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p\Downloads\"/>
    </mc:Choice>
  </mc:AlternateContent>
  <xr:revisionPtr revIDLastSave="0" documentId="13_ncr:1_{9603E951-8ECC-4063-B9FE-AE0C22FC88FD}" xr6:coauthVersionLast="47" xr6:coauthVersionMax="47" xr10:uidLastSave="{00000000-0000-0000-0000-000000000000}"/>
  <bookViews>
    <workbookView xWindow="-110" yWindow="-110" windowWidth="19420" windowHeight="10300" xr2:uid="{125DDCC9-3054-42E9-9D3A-1C0933F2D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5" i="1" l="1"/>
  <c r="B263" i="1"/>
  <c r="B256" i="1"/>
  <c r="B254" i="1"/>
  <c r="D237" i="1"/>
  <c r="E237" i="1" s="1"/>
  <c r="D238" i="1"/>
  <c r="E238" i="1" s="1"/>
  <c r="D239" i="1"/>
  <c r="E239" i="1" s="1"/>
  <c r="D236" i="1"/>
  <c r="E236" i="1" s="1"/>
  <c r="F223" i="1"/>
  <c r="F224" i="1"/>
  <c r="F225" i="1"/>
  <c r="G225" i="1" s="1"/>
  <c r="F222" i="1"/>
  <c r="E223" i="1"/>
  <c r="E224" i="1"/>
  <c r="E225" i="1"/>
  <c r="E226" i="1"/>
  <c r="G226" i="1" s="1"/>
  <c r="E222" i="1"/>
  <c r="G222" i="1" s="1"/>
  <c r="C239" i="1"/>
  <c r="C238" i="1"/>
  <c r="C237" i="1"/>
  <c r="C236" i="1"/>
  <c r="D226" i="1"/>
  <c r="D225" i="1"/>
  <c r="D224" i="1"/>
  <c r="D223" i="1"/>
  <c r="D222" i="1"/>
  <c r="D208" i="1"/>
  <c r="D209" i="1"/>
  <c r="D210" i="1"/>
  <c r="D207" i="1"/>
  <c r="G192" i="1"/>
  <c r="E194" i="1"/>
  <c r="E195" i="1"/>
  <c r="E196" i="1"/>
  <c r="E193" i="1"/>
  <c r="F193" i="1"/>
  <c r="F194" i="1"/>
  <c r="F195" i="1"/>
  <c r="F192" i="1"/>
  <c r="C210" i="1"/>
  <c r="F210" i="1" s="1"/>
  <c r="C209" i="1"/>
  <c r="F209" i="1" s="1"/>
  <c r="C208" i="1"/>
  <c r="F208" i="1" s="1"/>
  <c r="C207" i="1"/>
  <c r="F207" i="1" s="1"/>
  <c r="D196" i="1"/>
  <c r="H196" i="1" s="1"/>
  <c r="D195" i="1"/>
  <c r="H195" i="1" s="1"/>
  <c r="D194" i="1"/>
  <c r="H194" i="1" s="1"/>
  <c r="D193" i="1"/>
  <c r="H193" i="1" s="1"/>
  <c r="D192" i="1"/>
  <c r="D178" i="1"/>
  <c r="D179" i="1"/>
  <c r="D180" i="1"/>
  <c r="D177" i="1"/>
  <c r="F163" i="1"/>
  <c r="F164" i="1"/>
  <c r="F165" i="1"/>
  <c r="F162" i="1"/>
  <c r="E164" i="1"/>
  <c r="E165" i="1"/>
  <c r="E166" i="1"/>
  <c r="E163" i="1"/>
  <c r="C180" i="1"/>
  <c r="F180" i="1" s="1"/>
  <c r="C179" i="1"/>
  <c r="F179" i="1" s="1"/>
  <c r="C178" i="1"/>
  <c r="F178" i="1" s="1"/>
  <c r="C177" i="1"/>
  <c r="F177" i="1" s="1"/>
  <c r="D166" i="1"/>
  <c r="H166" i="1" s="1"/>
  <c r="D165" i="1"/>
  <c r="H165" i="1" s="1"/>
  <c r="D164" i="1"/>
  <c r="H164" i="1" s="1"/>
  <c r="D163" i="1"/>
  <c r="H163" i="1" s="1"/>
  <c r="D162" i="1"/>
  <c r="H162" i="1" s="1"/>
  <c r="E149" i="1"/>
  <c r="E148" i="1"/>
  <c r="E147" i="1"/>
  <c r="F147" i="1" s="1"/>
  <c r="D148" i="1"/>
  <c r="D149" i="1"/>
  <c r="D150" i="1"/>
  <c r="D147" i="1"/>
  <c r="H135" i="1"/>
  <c r="F133" i="1"/>
  <c r="F134" i="1"/>
  <c r="F135" i="1"/>
  <c r="F132" i="1"/>
  <c r="E133" i="1"/>
  <c r="E134" i="1"/>
  <c r="E135" i="1"/>
  <c r="E136" i="1"/>
  <c r="E132" i="1"/>
  <c r="C150" i="1"/>
  <c r="F150" i="1" s="1"/>
  <c r="C149" i="1"/>
  <c r="C148" i="1"/>
  <c r="C147" i="1"/>
  <c r="D136" i="1"/>
  <c r="H136" i="1" s="1"/>
  <c r="D135" i="1"/>
  <c r="D134" i="1"/>
  <c r="H134" i="1" s="1"/>
  <c r="D133" i="1"/>
  <c r="H133" i="1" s="1"/>
  <c r="D132" i="1"/>
  <c r="H132" i="1" s="1"/>
  <c r="D119" i="1"/>
  <c r="D120" i="1"/>
  <c r="D121" i="1"/>
  <c r="D118" i="1"/>
  <c r="C119" i="1"/>
  <c r="C120" i="1"/>
  <c r="C121" i="1"/>
  <c r="C118" i="1"/>
  <c r="E108" i="1"/>
  <c r="E107" i="1"/>
  <c r="E105" i="1"/>
  <c r="E106" i="1"/>
  <c r="E104" i="1"/>
  <c r="D105" i="1"/>
  <c r="D106" i="1"/>
  <c r="D107" i="1"/>
  <c r="D108" i="1"/>
  <c r="F108" i="1" s="1"/>
  <c r="D10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H226" i="1" l="1"/>
  <c r="F105" i="1"/>
  <c r="H223" i="1"/>
  <c r="G223" i="1"/>
  <c r="F238" i="1"/>
  <c r="F239" i="1"/>
  <c r="H225" i="1"/>
  <c r="F236" i="1"/>
  <c r="G224" i="1"/>
  <c r="H224" i="1" s="1"/>
  <c r="F148" i="1"/>
  <c r="F237" i="1"/>
  <c r="F149" i="1"/>
  <c r="H222" i="1"/>
  <c r="E120" i="1"/>
  <c r="F106" i="1"/>
  <c r="E118" i="1"/>
  <c r="H192" i="1"/>
  <c r="H197" i="1" s="1"/>
  <c r="H167" i="1"/>
  <c r="H137" i="1"/>
  <c r="F104" i="1"/>
  <c r="E119" i="1"/>
  <c r="F107" i="1"/>
  <c r="E121" i="1"/>
  <c r="F109" i="1" l="1"/>
  <c r="H227" i="1"/>
  <c r="B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  <c r="F2" i="1"/>
  <c r="H2" i="1"/>
  <c r="I2" i="1" s="1"/>
  <c r="H9" i="1"/>
  <c r="H43" i="1"/>
  <c r="I43" i="1" s="1"/>
  <c r="H17" i="1"/>
  <c r="H28" i="1"/>
  <c r="I28" i="1" s="1"/>
  <c r="H21" i="1"/>
  <c r="H25" i="1"/>
  <c r="I25" i="1" s="1"/>
  <c r="H3" i="1"/>
  <c r="I3" i="1" s="1"/>
  <c r="H19" i="1"/>
  <c r="I19" i="1" s="1"/>
  <c r="H7" i="1"/>
  <c r="I7" i="1" s="1"/>
  <c r="H24" i="1"/>
  <c r="H22" i="1"/>
  <c r="I22" i="1" s="1"/>
  <c r="H20" i="1"/>
  <c r="H5" i="1"/>
  <c r="H42" i="1"/>
  <c r="I42" i="1" s="1"/>
  <c r="H37" i="1"/>
  <c r="H16" i="1"/>
  <c r="H6" i="1"/>
  <c r="H33" i="1"/>
  <c r="H34" i="1"/>
  <c r="H29" i="1"/>
  <c r="H27" i="1"/>
  <c r="I27" i="1" s="1"/>
  <c r="H30" i="1"/>
  <c r="H11" i="1"/>
  <c r="I11" i="1" s="1"/>
  <c r="H12" i="1"/>
  <c r="I12" i="1" s="1"/>
  <c r="H8" i="1"/>
  <c r="H13" i="1"/>
  <c r="H10" i="1"/>
  <c r="I10" i="1" s="1"/>
  <c r="H40" i="1"/>
  <c r="H14" i="1"/>
  <c r="I14" i="1" s="1"/>
  <c r="H31" i="1"/>
  <c r="I31" i="1" s="1"/>
  <c r="H39" i="1"/>
  <c r="H38" i="1"/>
  <c r="H23" i="1"/>
  <c r="H18" i="1"/>
  <c r="H35" i="1"/>
  <c r="H15" i="1"/>
  <c r="I15" i="1" s="1"/>
  <c r="H36" i="1"/>
  <c r="I36" i="1" s="1"/>
  <c r="H41" i="1"/>
  <c r="I41" i="1" s="1"/>
  <c r="H4" i="1"/>
  <c r="I4" i="1" s="1"/>
  <c r="H32" i="1"/>
  <c r="I32" i="1" s="1"/>
  <c r="H26" i="1"/>
  <c r="I26" i="1" s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7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6" i="1"/>
  <c r="G25" i="1"/>
  <c r="G24" i="1"/>
  <c r="G23" i="1"/>
  <c r="G22" i="1"/>
  <c r="G21" i="1"/>
  <c r="G20" i="1"/>
  <c r="G19" i="1"/>
  <c r="G18" i="1"/>
  <c r="G17" i="1"/>
  <c r="G16" i="1"/>
  <c r="G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B4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K40" i="1" l="1"/>
  <c r="J40" i="1"/>
  <c r="J20" i="1"/>
  <c r="K20" i="1"/>
  <c r="J34" i="1"/>
  <c r="K34" i="1"/>
  <c r="K17" i="1"/>
  <c r="J17" i="1"/>
  <c r="K13" i="1"/>
  <c r="J13" i="1"/>
  <c r="K24" i="1"/>
  <c r="J24" i="1"/>
  <c r="I34" i="1"/>
  <c r="J23" i="1"/>
  <c r="K23" i="1"/>
  <c r="J6" i="1"/>
  <c r="K6" i="1"/>
  <c r="K9" i="1"/>
  <c r="J9" i="1"/>
  <c r="I17" i="1"/>
  <c r="I9" i="1"/>
  <c r="J38" i="1"/>
  <c r="K38" i="1"/>
  <c r="J16" i="1"/>
  <c r="K16" i="1"/>
  <c r="J19" i="1"/>
  <c r="K19" i="1"/>
  <c r="I16" i="1"/>
  <c r="K4" i="1"/>
  <c r="J4" i="1"/>
  <c r="K39" i="1"/>
  <c r="J39" i="1"/>
  <c r="K11" i="1"/>
  <c r="J11" i="1"/>
  <c r="K37" i="1"/>
  <c r="J37" i="1"/>
  <c r="K3" i="1"/>
  <c r="J3" i="1"/>
  <c r="I39" i="1"/>
  <c r="I23" i="1"/>
  <c r="K28" i="1"/>
  <c r="J28" i="1"/>
  <c r="I20" i="1"/>
  <c r="K35" i="1"/>
  <c r="J35" i="1"/>
  <c r="J18" i="1"/>
  <c r="K18" i="1"/>
  <c r="K33" i="1"/>
  <c r="J33" i="1"/>
  <c r="I18" i="1"/>
  <c r="J26" i="1"/>
  <c r="K26" i="1"/>
  <c r="J8" i="1"/>
  <c r="K8" i="1"/>
  <c r="J7" i="1"/>
  <c r="K7" i="1"/>
  <c r="I33" i="1"/>
  <c r="J32" i="1"/>
  <c r="K32" i="1"/>
  <c r="K12" i="1"/>
  <c r="J12" i="1"/>
  <c r="K2" i="1"/>
  <c r="J2" i="1"/>
  <c r="B94" i="1"/>
  <c r="I40" i="1"/>
  <c r="I24" i="1"/>
  <c r="I8" i="1"/>
  <c r="K41" i="1"/>
  <c r="J41" i="1"/>
  <c r="J31" i="1"/>
  <c r="K31" i="1"/>
  <c r="J30" i="1"/>
  <c r="K30" i="1"/>
  <c r="J42" i="1"/>
  <c r="K42" i="1"/>
  <c r="K25" i="1"/>
  <c r="J25" i="1"/>
  <c r="I38" i="1"/>
  <c r="I30" i="1"/>
  <c r="I6" i="1"/>
  <c r="K15" i="1"/>
  <c r="J15" i="1"/>
  <c r="K29" i="1"/>
  <c r="J29" i="1"/>
  <c r="J10" i="1"/>
  <c r="K10" i="1"/>
  <c r="J22" i="1"/>
  <c r="K22" i="1"/>
  <c r="I35" i="1"/>
  <c r="K43" i="1"/>
  <c r="J43" i="1"/>
  <c r="B74" i="1"/>
  <c r="B76" i="1" s="1"/>
  <c r="B70" i="1"/>
  <c r="B87" i="1"/>
  <c r="B90" i="1" s="1"/>
  <c r="B80" i="1"/>
  <c r="B82" i="1" s="1"/>
  <c r="K36" i="1"/>
  <c r="J36" i="1"/>
  <c r="J14" i="1"/>
  <c r="K14" i="1"/>
  <c r="K27" i="1"/>
  <c r="J27" i="1"/>
  <c r="K5" i="1"/>
  <c r="J5" i="1"/>
  <c r="K21" i="1"/>
  <c r="J21" i="1"/>
  <c r="I37" i="1"/>
  <c r="I29" i="1"/>
  <c r="I21" i="1"/>
  <c r="I13" i="1"/>
  <c r="I5" i="1"/>
  <c r="H47" i="1"/>
  <c r="H48" i="1"/>
  <c r="B96" i="1" s="1"/>
  <c r="J44" i="1" l="1"/>
  <c r="K44" i="1"/>
</calcChain>
</file>

<file path=xl/sharedStrings.xml><?xml version="1.0" encoding="utf-8"?>
<sst xmlns="http://schemas.openxmlformats.org/spreadsheetml/2006/main" count="219" uniqueCount="122">
  <si>
    <t>Year</t>
  </si>
  <si>
    <t>Annual maximum discharge(cumecs)</t>
  </si>
  <si>
    <t>ln(discharge)</t>
  </si>
  <si>
    <t>f(x)</t>
  </si>
  <si>
    <t>y=ln(dis.) inc.</t>
  </si>
  <si>
    <t>(x-mean)/stddev</t>
  </si>
  <si>
    <t>(y-mean)/stddev</t>
  </si>
  <si>
    <t>Discharge Increasing order</t>
  </si>
  <si>
    <t>Parameter estimation for exponential distribution using method of moment method</t>
  </si>
  <si>
    <t xml:space="preserve">λ=1/mean of the sample </t>
  </si>
  <si>
    <t>Thus, λ=</t>
  </si>
  <si>
    <t>Parameter estimation for gamma distribution using method of moment method(λ &amp; n)</t>
  </si>
  <si>
    <t xml:space="preserve">λ = (mean of the sample)/(standard deviation of sample)^2 </t>
  </si>
  <si>
    <t xml:space="preserve">λ = </t>
  </si>
  <si>
    <t>n =</t>
  </si>
  <si>
    <t>n = λ*mean of the sample</t>
  </si>
  <si>
    <t>a = ((standard deviation of sample)^2/1.645)^0.5</t>
  </si>
  <si>
    <t xml:space="preserve">a = </t>
  </si>
  <si>
    <t>b = mean of the sample - 0.577*a</t>
  </si>
  <si>
    <t xml:space="preserve">b = </t>
  </si>
  <si>
    <t>Parameter estimation for gumbel distribution using method of moment method(a &amp; b)</t>
  </si>
  <si>
    <t>Parameter estimation for log normal distribution using method of moment method(µy &amp; σy)</t>
  </si>
  <si>
    <t>σy = (Ln[1+(σx/µx)^2])^0.5 or,</t>
  </si>
  <si>
    <t xml:space="preserve">σy = (ln(1+(standard deviation of sample/mean of sample)^2)^0.5 </t>
  </si>
  <si>
    <t>σy =</t>
  </si>
  <si>
    <t xml:space="preserve">σy = </t>
  </si>
  <si>
    <t xml:space="preserve">µy = </t>
  </si>
  <si>
    <t>µy = ln(µx)-σy^2/2</t>
  </si>
  <si>
    <t>µy =</t>
  </si>
  <si>
    <t>µy = ln(mean of sample) - (standard deviation of sample)^2/2</t>
  </si>
  <si>
    <t>Parameter estimation for log normal distribution using maximum likelihood method(µy &amp; σy)</t>
  </si>
  <si>
    <t>µy = (Σln(xi))/n</t>
  </si>
  <si>
    <t>σy = (standard deviation of lnxi * (N-1)/N)^0.5</t>
  </si>
  <si>
    <t>f(y) when µy=4.7267 &amp; σy=1.5407</t>
  </si>
  <si>
    <t>f(y) when µy=4.744 &amp; σy=1.1806</t>
  </si>
  <si>
    <t>Checking Goodness of fit using chi-square and KS test</t>
  </si>
  <si>
    <t>Chi-Square test</t>
  </si>
  <si>
    <t>Range</t>
  </si>
  <si>
    <t>Low</t>
  </si>
  <si>
    <t>High</t>
  </si>
  <si>
    <t>∞</t>
  </si>
  <si>
    <t>N=42</t>
  </si>
  <si>
    <t>Number of
outcomes(n)</t>
  </si>
  <si>
    <t>fs(xj)=n/N</t>
  </si>
  <si>
    <t>p(xj)=e^(-λ*Low)-e^(-λ*high)</t>
  </si>
  <si>
    <t>1.Exponential (λ=0.0027)</t>
  </si>
  <si>
    <t>chi-squ.
value</t>
  </si>
  <si>
    <t>∑chi-sqaure value=27.36846</t>
  </si>
  <si>
    <t>where, m = number of intervals &amp; q = number of parameters</t>
  </si>
  <si>
    <t>degree of freedom(𝛎) = m-1-q = 5-1-1 = 3</t>
  </si>
  <si>
    <t>since, X^2(p=0.05,𝛎=3)&lt;∑chi-sqaure value(X^2), λ=0.0027 is not accepted</t>
  </si>
  <si>
    <t>KS test</t>
  </si>
  <si>
    <t>x</t>
  </si>
  <si>
    <t>No of occurrence&lt;x</t>
  </si>
  <si>
    <t>Sn(x)</t>
  </si>
  <si>
    <t>F(x)</t>
  </si>
  <si>
    <t>d=|Sn(x)-F(x)|</t>
  </si>
  <si>
    <t>KS,statistics=max(d)=0.3923</t>
  </si>
  <si>
    <t>X^2(p=0.05,𝛎=3)=7.815, where p= significance level</t>
  </si>
  <si>
    <t>Significance level(p)=0.05</t>
  </si>
  <si>
    <t>KS,reference(n=4,p=0.05)=0.624</t>
  </si>
  <si>
    <t>KS,statistics&lt;KS,refernce, λ=0.0027 is accepted</t>
  </si>
  <si>
    <t>2. Normal(µx=370.068  σx=1154.89)</t>
  </si>
  <si>
    <t>Low normalised</t>
  </si>
  <si>
    <t>High nor-
malised</t>
  </si>
  <si>
    <t>p(xj)=F(high norm.)-F(low norm.)</t>
  </si>
  <si>
    <t>∑chi-sqaure value=323.41</t>
  </si>
  <si>
    <t>since, X^2(p=0.05,𝛎=3)&lt;∑chi-sqaure value(X^2),µx=370.068  σx=1154.89 is not accepted</t>
  </si>
  <si>
    <t>z=(x-µx)/σx</t>
  </si>
  <si>
    <t>p(xj) is calculated using normal table</t>
  </si>
  <si>
    <t>F(z)</t>
  </si>
  <si>
    <t>KS,statistics=max(d)=0.3948</t>
  </si>
  <si>
    <t>F(z) is calculated using normal table</t>
  </si>
  <si>
    <t xml:space="preserve"> -∞</t>
  </si>
  <si>
    <t>p(xj)=F(high norm.) -F(low norm.)</t>
  </si>
  <si>
    <t>z=(ln(x)-µy)/σy</t>
  </si>
  <si>
    <t>KS,statistics=max(d)=0.16522</t>
  </si>
  <si>
    <t>3. lognormal(µy=4.727  σy=1.541)</t>
  </si>
  <si>
    <t>∑chi-sqaure value=7.8093</t>
  </si>
  <si>
    <t>∑chi-sqaure value=3.867</t>
  </si>
  <si>
    <t>since, X^2(p=0.05,𝛎=3)&gt;∑chi-sqaure value(X^2)&gt;0,µy=4.744  σy=1.1806 is accepted</t>
  </si>
  <si>
    <t>KS,statistics&lt;KS,reference,µy=4.727  σy=1.541 is accepted</t>
  </si>
  <si>
    <t>since, X^2(p=0.05,𝛎=3)&gt;∑chi-sqaure value(X^2)&gt;0,µy=4.727  σy=1.541 is accepted</t>
  </si>
  <si>
    <t>KS,statistics&lt;KS,reference,µx=370.068  σx=1154.89 is accepted</t>
  </si>
  <si>
    <t>KS,statistics&lt;KS,reference,µy=4.744  σy=1.1806 is accepted</t>
  </si>
  <si>
    <t>4. lognormal(µy=4.744  σy=1.1806)</t>
  </si>
  <si>
    <t>KS,statistics=max(d)=0.12912</t>
  </si>
  <si>
    <t>5.Gumbel (a=900.446 , b=-149.489)</t>
  </si>
  <si>
    <t>tau(low)=(Low-b)/a</t>
  </si>
  <si>
    <t>tau(high)=(High-b)/a</t>
  </si>
  <si>
    <t>p(xj)=F(tau(high))-F(tau(low))</t>
  </si>
  <si>
    <t>∑chi-sqaure value=312.675</t>
  </si>
  <si>
    <t>since, X^2(p=0.05,𝛎=3)&lt;∑chi-sqaure value(X^2), a=900.446 , b=-149.489 is not accepted</t>
  </si>
  <si>
    <t>tau=(x-b)/a</t>
  </si>
  <si>
    <t>F(tau)</t>
  </si>
  <si>
    <t>d=|Sn(x)-F(tau)|</t>
  </si>
  <si>
    <t>d=|Sn(x)-F(z)|</t>
  </si>
  <si>
    <t>KS,statistics=max(d)=0.32388</t>
  </si>
  <si>
    <t>KS,statistics&lt;KS,refernce, a=900.446 , b=-149.489 is accepted</t>
  </si>
  <si>
    <t xml:space="preserve">Only, log normal fittings (parameters calculation using method of moments and maximum likelihood) are passing both the </t>
  </si>
  <si>
    <t>chi-square and KS test.</t>
  </si>
  <si>
    <t>Now, to select one of those we will apply Model Selection Criteria (AIC &amp; BIC)</t>
  </si>
  <si>
    <t xml:space="preserve">a. Lognormal parameters calculated using method of moments </t>
  </si>
  <si>
    <t>µy=4.727  σy=1.541</t>
  </si>
  <si>
    <t>AIC</t>
  </si>
  <si>
    <t>L=∏f(xi|µy,σy) = 2.9176 * 10^(-117)</t>
  </si>
  <si>
    <t>AIC = -2*ln(L) +2*q, where q=numbers of parameters in the model, for lognormal q=2</t>
  </si>
  <si>
    <t>AIC =</t>
  </si>
  <si>
    <t>BIC = -2*ln(L) +ln(N)*q, where q=numbers of parameters in the model, for lognormal q=2, N(number of years)=42</t>
  </si>
  <si>
    <t>BIC =</t>
  </si>
  <si>
    <t>B. Lognormal parameters calculated using maximum likelihood estimation</t>
  </si>
  <si>
    <t>µy=4.744  σy=1.1806</t>
  </si>
  <si>
    <t>L=∏f(xi|µy,σy) = 3.6058 * 10^(-116)</t>
  </si>
  <si>
    <t xml:space="preserve">We know that smaller the AIC &amp; BIC value the better the parameters </t>
  </si>
  <si>
    <t>Thus, the given discharge fits well with log normal distribution with parameters µy=4.744  σy=1.1806</t>
  </si>
  <si>
    <t>Generally, Bridges are designed for 50 year return period (IRC 5: Clause 103)</t>
  </si>
  <si>
    <t>T=50 =&gt; p=1/T=0.02</t>
  </si>
  <si>
    <t>F(z) = 1-p =1-0.02 = 0.98</t>
  </si>
  <si>
    <t>F(z) = 0.9798 when z = 2.05 , F(z) = 0.9803 when z = 2.06 ; thus using interpolation z = 2.054 for F(z) = 0.98</t>
  </si>
  <si>
    <t>For F(z) = 0.98, we have to calculate z using standard normal distribution table</t>
  </si>
  <si>
    <t>We know, z = (y-µy)/σy =&gt; y = z*σy+µy = 2.054*1.1806+4.744 = 7.16895</t>
  </si>
  <si>
    <t>Thus, Design Discharge(Q) = e^(7.16895) = 1298.48 ~ 1300m^3/s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</si>
</sst>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1" xfId="1"/>
    <xf numFmtId="0" fontId="1" fillId="2" borderId="1" xfId="1" applyAlignment="1">
      <alignment wrapText="1"/>
    </xf>
    <xf numFmtId="0" fontId="2" fillId="3" borderId="2" xfId="2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Sheet1!$I$2:$I$43</c:f>
              <c:numCache>
                <c:formatCode>General</c:formatCode>
                <c:ptCount val="42"/>
                <c:pt idx="0">
                  <c:v>-1.7173647843565765</c:v>
                </c:pt>
                <c:pt idx="1">
                  <c:v>-1.3147198187928684</c:v>
                </c:pt>
                <c:pt idx="2">
                  <c:v>-1.0802936475078528</c:v>
                </c:pt>
                <c:pt idx="3">
                  <c:v>-1.0789705008032591</c:v>
                </c:pt>
                <c:pt idx="4">
                  <c:v>-0.99429297275277728</c:v>
                </c:pt>
                <c:pt idx="5">
                  <c:v>-0.91565928800384633</c:v>
                </c:pt>
                <c:pt idx="6">
                  <c:v>-0.88343850609067365</c:v>
                </c:pt>
                <c:pt idx="7">
                  <c:v>-0.77888774584568699</c:v>
                </c:pt>
                <c:pt idx="8">
                  <c:v>-0.71780495702116087</c:v>
                </c:pt>
                <c:pt idx="9">
                  <c:v>-0.70892177787421706</c:v>
                </c:pt>
                <c:pt idx="10">
                  <c:v>-0.65337157974249915</c:v>
                </c:pt>
                <c:pt idx="11">
                  <c:v>-0.61301675126529698</c:v>
                </c:pt>
                <c:pt idx="12">
                  <c:v>-0.5950280927432845</c:v>
                </c:pt>
                <c:pt idx="13">
                  <c:v>-0.58222393194351474</c:v>
                </c:pt>
                <c:pt idx="14">
                  <c:v>-0.41791728074908413</c:v>
                </c:pt>
                <c:pt idx="15">
                  <c:v>-0.39975298336455711</c:v>
                </c:pt>
                <c:pt idx="16">
                  <c:v>-0.391107106020541</c:v>
                </c:pt>
                <c:pt idx="17">
                  <c:v>-0.32669917135142384</c:v>
                </c:pt>
                <c:pt idx="18">
                  <c:v>-0.27687516645360022</c:v>
                </c:pt>
                <c:pt idx="19">
                  <c:v>-0.21710333668175247</c:v>
                </c:pt>
                <c:pt idx="20">
                  <c:v>-0.15937647313175887</c:v>
                </c:pt>
                <c:pt idx="21">
                  <c:v>-0.11534882724815905</c:v>
                </c:pt>
                <c:pt idx="22">
                  <c:v>-9.3563038715271579E-2</c:v>
                </c:pt>
                <c:pt idx="23">
                  <c:v>5.1351211300338529E-3</c:v>
                </c:pt>
                <c:pt idx="24">
                  <c:v>5.7062813099353328E-2</c:v>
                </c:pt>
                <c:pt idx="25">
                  <c:v>6.5188023683470181E-2</c:v>
                </c:pt>
                <c:pt idx="26">
                  <c:v>7.3235106032990757E-2</c:v>
                </c:pt>
                <c:pt idx="27">
                  <c:v>0.18606999347198613</c:v>
                </c:pt>
                <c:pt idx="28">
                  <c:v>0.22870519442206419</c:v>
                </c:pt>
                <c:pt idx="29">
                  <c:v>0.36402260349441024</c:v>
                </c:pt>
                <c:pt idx="30">
                  <c:v>0.37106519862813214</c:v>
                </c:pt>
                <c:pt idx="31">
                  <c:v>0.39775224638679701</c:v>
                </c:pt>
                <c:pt idx="32">
                  <c:v>0.41078328194197244</c:v>
                </c:pt>
                <c:pt idx="33">
                  <c:v>0.44142598742836536</c:v>
                </c:pt>
                <c:pt idx="34">
                  <c:v>0.58811396072165878</c:v>
                </c:pt>
                <c:pt idx="35">
                  <c:v>0.62481316779241713</c:v>
                </c:pt>
                <c:pt idx="36">
                  <c:v>0.89132394787320668</c:v>
                </c:pt>
                <c:pt idx="37">
                  <c:v>0.91776856420905373</c:v>
                </c:pt>
                <c:pt idx="38">
                  <c:v>1.5464146763849569</c:v>
                </c:pt>
                <c:pt idx="39">
                  <c:v>1.9314215607631549</c:v>
                </c:pt>
                <c:pt idx="40">
                  <c:v>2.4591869165072437</c:v>
                </c:pt>
                <c:pt idx="41">
                  <c:v>3.4733920946943107</c:v>
                </c:pt>
              </c:numCache>
            </c:numRef>
          </c:xVal>
          <c:yVal>
            <c:numRef>
              <c:f>Sheet1!$J$2:$J$43</c:f>
              <c:numCache>
                <c:formatCode>General</c:formatCode>
                <c:ptCount val="42"/>
                <c:pt idx="0">
                  <c:v>7.3343301404644474E-3</c:v>
                </c:pt>
                <c:pt idx="1">
                  <c:v>6.5214945965400423E-3</c:v>
                </c:pt>
                <c:pt idx="2">
                  <c:v>5.822909945433637E-3</c:v>
                </c:pt>
                <c:pt idx="3">
                  <c:v>5.8186414660641632E-3</c:v>
                </c:pt>
                <c:pt idx="4">
                  <c:v>5.5397339844362025E-3</c:v>
                </c:pt>
                <c:pt idx="5">
                  <c:v>5.2723175404114069E-3</c:v>
                </c:pt>
                <c:pt idx="6">
                  <c:v>5.1609591831180404E-3</c:v>
                </c:pt>
                <c:pt idx="7">
                  <c:v>4.7948998257175222E-3</c:v>
                </c:pt>
                <c:pt idx="8">
                  <c:v>4.5792156220051446E-3</c:v>
                </c:pt>
                <c:pt idx="9">
                  <c:v>4.547817476164521E-3</c:v>
                </c:pt>
                <c:pt idx="10">
                  <c:v>4.3516094086347218E-3</c:v>
                </c:pt>
                <c:pt idx="11">
                  <c:v>4.2094998048643134E-3</c:v>
                </c:pt>
                <c:pt idx="12">
                  <c:v>4.146348334344103E-3</c:v>
                </c:pt>
                <c:pt idx="13">
                  <c:v>4.1014893472084051E-3</c:v>
                </c:pt>
                <c:pt idx="14">
                  <c:v>3.5360507730252621E-3</c:v>
                </c:pt>
                <c:pt idx="15">
                  <c:v>3.4750698284887467E-3</c:v>
                </c:pt>
                <c:pt idx="16">
                  <c:v>3.4461742861421258E-3</c:v>
                </c:pt>
                <c:pt idx="17">
                  <c:v>3.233764377192356E-3</c:v>
                </c:pt>
                <c:pt idx="18">
                  <c:v>3.0732094147115289E-3</c:v>
                </c:pt>
                <c:pt idx="19">
                  <c:v>2.8853906964785084E-3</c:v>
                </c:pt>
                <c:pt idx="20">
                  <c:v>2.7093692032342516E-3</c:v>
                </c:pt>
                <c:pt idx="21">
                  <c:v>2.5788961169481038E-3</c:v>
                </c:pt>
                <c:pt idx="22">
                  <c:v>2.5155932623658248E-3</c:v>
                </c:pt>
                <c:pt idx="23">
                  <c:v>2.2396946061765538E-3</c:v>
                </c:pt>
                <c:pt idx="24">
                  <c:v>2.1019543799221103E-3</c:v>
                </c:pt>
                <c:pt idx="25">
                  <c:v>2.0808766341808846E-3</c:v>
                </c:pt>
                <c:pt idx="26">
                  <c:v>2.0601292587854644E-3</c:v>
                </c:pt>
                <c:pt idx="27">
                  <c:v>1.7827557399688861E-3</c:v>
                </c:pt>
                <c:pt idx="28">
                  <c:v>1.6845961864752474E-3</c:v>
                </c:pt>
                <c:pt idx="29">
                  <c:v>1.3972906539969465E-3</c:v>
                </c:pt>
                <c:pt idx="30">
                  <c:v>1.3833410972570119E-3</c:v>
                </c:pt>
                <c:pt idx="31">
                  <c:v>1.3313725416337081E-3</c:v>
                </c:pt>
                <c:pt idx="32">
                  <c:v>1.3065074083017608E-3</c:v>
                </c:pt>
                <c:pt idx="33">
                  <c:v>1.2493482667359436E-3</c:v>
                </c:pt>
                <c:pt idx="34">
                  <c:v>1.0006486558042111E-3</c:v>
                </c:pt>
                <c:pt idx="35">
                  <c:v>9.4467890948779487E-4</c:v>
                </c:pt>
                <c:pt idx="36">
                  <c:v>6.0701273592493176E-4</c:v>
                </c:pt>
                <c:pt idx="37">
                  <c:v>5.7959697317857975E-4</c:v>
                </c:pt>
                <c:pt idx="38">
                  <c:v>1.7068281046680032E-4</c:v>
                </c:pt>
                <c:pt idx="39">
                  <c:v>7.1787898140454541E-5</c:v>
                </c:pt>
                <c:pt idx="40">
                  <c:v>1.894624505333442E-5</c:v>
                </c:pt>
                <c:pt idx="41">
                  <c:v>9.1518195531076116E-7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7-4311-BC90-0C72F45BB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88527"/>
        <c:axId val="469663839"/>
      </c:scatterChart>
      <c:valAx>
        <c:axId val="12358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63839"/>
        <c:crosses val="autoZero"/>
        <c:crossBetween val="midCat"/>
      </c:valAx>
      <c:valAx>
        <c:axId val="46966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Sheet1!$E$2:$E$43</c:f>
              <c:numCache>
                <c:formatCode>General</c:formatCode>
                <c:ptCount val="42"/>
                <c:pt idx="0">
                  <c:v>-0.30765527452831004</c:v>
                </c:pt>
                <c:pt idx="1">
                  <c:v>-0.29975841855068447</c:v>
                </c:pt>
                <c:pt idx="2">
                  <c:v>-0.29307379923629084</c:v>
                </c:pt>
                <c:pt idx="3">
                  <c:v>-0.29303050506974687</c:v>
                </c:pt>
                <c:pt idx="4">
                  <c:v>-0.29011247824468128</c:v>
                </c:pt>
                <c:pt idx="5">
                  <c:v>-0.28712518075314525</c:v>
                </c:pt>
                <c:pt idx="6">
                  <c:v>-0.2858176969235165</c:v>
                </c:pt>
                <c:pt idx="7">
                  <c:v>-0.28121119760323487</c:v>
                </c:pt>
                <c:pt idx="8">
                  <c:v>-0.27824121777831651</c:v>
                </c:pt>
                <c:pt idx="9">
                  <c:v>-0.2777909584462589</c:v>
                </c:pt>
                <c:pt idx="10">
                  <c:v>-0.2748642727878845</c:v>
                </c:pt>
                <c:pt idx="11">
                  <c:v>-0.2726129761275965</c:v>
                </c:pt>
                <c:pt idx="12">
                  <c:v>-0.27157391613054055</c:v>
                </c:pt>
                <c:pt idx="13">
                  <c:v>-0.27082059763267491</c:v>
                </c:pt>
                <c:pt idx="14">
                  <c:v>-0.26005766782983658</c:v>
                </c:pt>
                <c:pt idx="15">
                  <c:v>-0.25873286633359016</c:v>
                </c:pt>
                <c:pt idx="16">
                  <c:v>-0.25809211266873899</c:v>
                </c:pt>
                <c:pt idx="17">
                  <c:v>-0.25310462468287021</c:v>
                </c:pt>
                <c:pt idx="18">
                  <c:v>-0.24897436119457264</c:v>
                </c:pt>
                <c:pt idx="19">
                  <c:v>-0.24368381404289582</c:v>
                </c:pt>
                <c:pt idx="20">
                  <c:v>-0.23820277255842542</c:v>
                </c:pt>
                <c:pt idx="21">
                  <c:v>-0.23376079107101103</c:v>
                </c:pt>
                <c:pt idx="22">
                  <c:v>-0.23147485907748785</c:v>
                </c:pt>
                <c:pt idx="23">
                  <c:v>-0.22033959944237111</c:v>
                </c:pt>
                <c:pt idx="24">
                  <c:v>-0.21393206279385912</c:v>
                </c:pt>
                <c:pt idx="25">
                  <c:v>-0.21289300279680315</c:v>
                </c:pt>
                <c:pt idx="26">
                  <c:v>-0.21185394279974712</c:v>
                </c:pt>
                <c:pt idx="27">
                  <c:v>-0.19618145451081917</c:v>
                </c:pt>
                <c:pt idx="28">
                  <c:v>-0.18968732952921921</c:v>
                </c:pt>
                <c:pt idx="29">
                  <c:v>-0.16674142126089928</c:v>
                </c:pt>
                <c:pt idx="30">
                  <c:v>-0.16544259626457927</c:v>
                </c:pt>
                <c:pt idx="31">
                  <c:v>-0.16042047294547529</c:v>
                </c:pt>
                <c:pt idx="32">
                  <c:v>-0.15790941128592331</c:v>
                </c:pt>
                <c:pt idx="33">
                  <c:v>-0.15184822796976333</c:v>
                </c:pt>
                <c:pt idx="34">
                  <c:v>-0.11955077972793943</c:v>
                </c:pt>
                <c:pt idx="35">
                  <c:v>-0.11054559308678746</c:v>
                </c:pt>
                <c:pt idx="36">
                  <c:v>-3.1836798309795709E-2</c:v>
                </c:pt>
                <c:pt idx="37">
                  <c:v>-2.2571846669379753E-2</c:v>
                </c:pt>
                <c:pt idx="38">
                  <c:v>0.1173548996008278</c:v>
                </c:pt>
                <c:pt idx="39">
                  <c:v>0.67965953467429796</c:v>
                </c:pt>
                <c:pt idx="40">
                  <c:v>1.558531115517495</c:v>
                </c:pt>
                <c:pt idx="41">
                  <c:v>5.9924685467880048</c:v>
                </c:pt>
              </c:numCache>
            </c:numRef>
          </c:xVal>
          <c:yVal>
            <c:numRef>
              <c:f>Sheet1!$F$2:$F$43</c:f>
              <c:numCache>
                <c:formatCode>General</c:formatCode>
                <c:ptCount val="42"/>
                <c:pt idx="0">
                  <c:v>2.0700986597979982E-3</c:v>
                </c:pt>
                <c:pt idx="1">
                  <c:v>2.0750693962642555E-3</c:v>
                </c:pt>
                <c:pt idx="2">
                  <c:v>2.0791850747402187E-3</c:v>
                </c:pt>
                <c:pt idx="3">
                  <c:v>2.0792114544614989E-3</c:v>
                </c:pt>
                <c:pt idx="4">
                  <c:v>2.0809812282661529E-3</c:v>
                </c:pt>
                <c:pt idx="5">
                  <c:v>2.0827762038008834E-3</c:v>
                </c:pt>
                <c:pt idx="6">
                  <c:v>2.0835564678540718E-3</c:v>
                </c:pt>
                <c:pt idx="7">
                  <c:v>2.0862793892724454E-3</c:v>
                </c:pt>
                <c:pt idx="8">
                  <c:v>2.0880133511248281E-3</c:v>
                </c:pt>
                <c:pt idx="9">
                  <c:v>2.0882747436142663E-3</c:v>
                </c:pt>
                <c:pt idx="10">
                  <c:v>2.0899642647495675E-3</c:v>
                </c:pt>
                <c:pt idx="11">
                  <c:v>2.0912526373956788E-3</c:v>
                </c:pt>
                <c:pt idx="12">
                  <c:v>2.0918439628873952E-3</c:v>
                </c:pt>
                <c:pt idx="13">
                  <c:v>2.0922713658947183E-3</c:v>
                </c:pt>
                <c:pt idx="14">
                  <c:v>2.0982573283037896E-3</c:v>
                </c:pt>
                <c:pt idx="15">
                  <c:v>2.098978512548557E-3</c:v>
                </c:pt>
                <c:pt idx="16">
                  <c:v>2.0993260875610178E-3</c:v>
                </c:pt>
                <c:pt idx="17">
                  <c:v>2.1020040019585472E-3</c:v>
                </c:pt>
                <c:pt idx="18">
                  <c:v>2.1041846145541223E-3</c:v>
                </c:pt>
                <c:pt idx="19">
                  <c:v>2.1069286084999216E-3</c:v>
                </c:pt>
                <c:pt idx="20">
                  <c:v>2.1097128990412248E-3</c:v>
                </c:pt>
                <c:pt idx="21">
                  <c:v>2.1119255159038341E-3</c:v>
                </c:pt>
                <c:pt idx="22">
                  <c:v>2.1130488278226921E-3</c:v>
                </c:pt>
                <c:pt idx="23">
                  <c:v>2.1183709686929753E-3</c:v>
                </c:pt>
                <c:pt idx="24">
                  <c:v>2.1213203217491741E-3</c:v>
                </c:pt>
                <c:pt idx="25">
                  <c:v>2.1217907733499463E-3</c:v>
                </c:pt>
                <c:pt idx="26">
                  <c:v>2.1222590379951539E-3</c:v>
                </c:pt>
                <c:pt idx="27">
                  <c:v>2.129055747304398E-3</c:v>
                </c:pt>
                <c:pt idx="28">
                  <c:v>2.1317249983861838E-3</c:v>
                </c:pt>
                <c:pt idx="29">
                  <c:v>2.1404600896093007E-3</c:v>
                </c:pt>
                <c:pt idx="30">
                  <c:v>2.1409218889995134E-3</c:v>
                </c:pt>
                <c:pt idx="31">
                  <c:v>2.1426744415075148E-3</c:v>
                </c:pt>
                <c:pt idx="32">
                  <c:v>2.1435309817512279E-3</c:v>
                </c:pt>
                <c:pt idx="33">
                  <c:v>2.145544163928544E-3</c:v>
                </c:pt>
                <c:pt idx="34">
                  <c:v>2.1549681791379642E-3</c:v>
                </c:pt>
                <c:pt idx="35">
                  <c:v>2.157201948590605E-3</c:v>
                </c:pt>
                <c:pt idx="36">
                  <c:v>2.1693234852336101E-3</c:v>
                </c:pt>
                <c:pt idx="37">
                  <c:v>2.1698703250410119E-3</c:v>
                </c:pt>
                <c:pt idx="38">
                  <c:v>2.1555287770159116E-3</c:v>
                </c:pt>
                <c:pt idx="39">
                  <c:v>1.7228047137897488E-3</c:v>
                </c:pt>
                <c:pt idx="40">
                  <c:v>6.4430216206286391E-4</c:v>
                </c:pt>
                <c:pt idx="41">
                  <c:v>3.4582519812665989E-11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E-477F-A443-6DA68DF35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096863"/>
        <c:axId val="130252303"/>
      </c:scatterChart>
      <c:valAx>
        <c:axId val="22809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52303"/>
        <c:crosses val="autoZero"/>
        <c:crossBetween val="midCat"/>
      </c:valAx>
      <c:valAx>
        <c:axId val="13025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715223097112861E-2"/>
          <c:y val="0.15782407407407409"/>
          <c:w val="0.922395888013998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Sheet1!$I$2:$I$43</c:f>
              <c:numCache>
                <c:formatCode>General</c:formatCode>
                <c:ptCount val="42"/>
                <c:pt idx="0">
                  <c:v>-1.7173647843565765</c:v>
                </c:pt>
                <c:pt idx="1">
                  <c:v>-1.3147198187928684</c:v>
                </c:pt>
                <c:pt idx="2">
                  <c:v>-1.0802936475078528</c:v>
                </c:pt>
                <c:pt idx="3">
                  <c:v>-1.0789705008032591</c:v>
                </c:pt>
                <c:pt idx="4">
                  <c:v>-0.99429297275277728</c:v>
                </c:pt>
                <c:pt idx="5">
                  <c:v>-0.91565928800384633</c:v>
                </c:pt>
                <c:pt idx="6">
                  <c:v>-0.88343850609067365</c:v>
                </c:pt>
                <c:pt idx="7">
                  <c:v>-0.77888774584568699</c:v>
                </c:pt>
                <c:pt idx="8">
                  <c:v>-0.71780495702116087</c:v>
                </c:pt>
                <c:pt idx="9">
                  <c:v>-0.70892177787421706</c:v>
                </c:pt>
                <c:pt idx="10">
                  <c:v>-0.65337157974249915</c:v>
                </c:pt>
                <c:pt idx="11">
                  <c:v>-0.61301675126529698</c:v>
                </c:pt>
                <c:pt idx="12">
                  <c:v>-0.5950280927432845</c:v>
                </c:pt>
                <c:pt idx="13">
                  <c:v>-0.58222393194351474</c:v>
                </c:pt>
                <c:pt idx="14">
                  <c:v>-0.41791728074908413</c:v>
                </c:pt>
                <c:pt idx="15">
                  <c:v>-0.39975298336455711</c:v>
                </c:pt>
                <c:pt idx="16">
                  <c:v>-0.391107106020541</c:v>
                </c:pt>
                <c:pt idx="17">
                  <c:v>-0.32669917135142384</c:v>
                </c:pt>
                <c:pt idx="18">
                  <c:v>-0.27687516645360022</c:v>
                </c:pt>
                <c:pt idx="19">
                  <c:v>-0.21710333668175247</c:v>
                </c:pt>
                <c:pt idx="20">
                  <c:v>-0.15937647313175887</c:v>
                </c:pt>
                <c:pt idx="21">
                  <c:v>-0.11534882724815905</c:v>
                </c:pt>
                <c:pt idx="22">
                  <c:v>-9.3563038715271579E-2</c:v>
                </c:pt>
                <c:pt idx="23">
                  <c:v>5.1351211300338529E-3</c:v>
                </c:pt>
                <c:pt idx="24">
                  <c:v>5.7062813099353328E-2</c:v>
                </c:pt>
                <c:pt idx="25">
                  <c:v>6.5188023683470181E-2</c:v>
                </c:pt>
                <c:pt idx="26">
                  <c:v>7.3235106032990757E-2</c:v>
                </c:pt>
                <c:pt idx="27">
                  <c:v>0.18606999347198613</c:v>
                </c:pt>
                <c:pt idx="28">
                  <c:v>0.22870519442206419</c:v>
                </c:pt>
                <c:pt idx="29">
                  <c:v>0.36402260349441024</c:v>
                </c:pt>
                <c:pt idx="30">
                  <c:v>0.37106519862813214</c:v>
                </c:pt>
                <c:pt idx="31">
                  <c:v>0.39775224638679701</c:v>
                </c:pt>
                <c:pt idx="32">
                  <c:v>0.41078328194197244</c:v>
                </c:pt>
                <c:pt idx="33">
                  <c:v>0.44142598742836536</c:v>
                </c:pt>
                <c:pt idx="34">
                  <c:v>0.58811396072165878</c:v>
                </c:pt>
                <c:pt idx="35">
                  <c:v>0.62481316779241713</c:v>
                </c:pt>
                <c:pt idx="36">
                  <c:v>0.89132394787320668</c:v>
                </c:pt>
                <c:pt idx="37">
                  <c:v>0.91776856420905373</c:v>
                </c:pt>
                <c:pt idx="38">
                  <c:v>1.5464146763849569</c:v>
                </c:pt>
                <c:pt idx="39">
                  <c:v>1.9314215607631549</c:v>
                </c:pt>
                <c:pt idx="40">
                  <c:v>2.4591869165072437</c:v>
                </c:pt>
                <c:pt idx="41">
                  <c:v>3.4733920946943107</c:v>
                </c:pt>
              </c:numCache>
            </c:numRef>
          </c:xVal>
          <c:yVal>
            <c:numRef>
              <c:f>Sheet1!$K$2:$K$43</c:f>
              <c:numCache>
                <c:formatCode>General</c:formatCode>
                <c:ptCount val="42"/>
                <c:pt idx="0">
                  <c:v>5.0544715669162167E-3</c:v>
                </c:pt>
                <c:pt idx="1">
                  <c:v>5.8383998996537102E-3</c:v>
                </c:pt>
                <c:pt idx="2">
                  <c:v>5.882075309041398E-3</c:v>
                </c:pt>
                <c:pt idx="3">
                  <c:v>5.8813830227887071E-3</c:v>
                </c:pt>
                <c:pt idx="4">
                  <c:v>5.8155159467712866E-3</c:v>
                </c:pt>
                <c:pt idx="5">
                  <c:v>5.717282247141112E-3</c:v>
                </c:pt>
                <c:pt idx="6">
                  <c:v>5.6671339307194212E-3</c:v>
                </c:pt>
                <c:pt idx="7">
                  <c:v>5.4672317628656833E-3</c:v>
                </c:pt>
                <c:pt idx="8">
                  <c:v>5.3260492042515248E-3</c:v>
                </c:pt>
                <c:pt idx="9">
                  <c:v>5.3041343973805645E-3</c:v>
                </c:pt>
                <c:pt idx="10">
                  <c:v>5.1596547292022061E-3</c:v>
                </c:pt>
                <c:pt idx="11">
                  <c:v>5.0471558050688781E-3</c:v>
                </c:pt>
                <c:pt idx="12">
                  <c:v>4.9951157976397473E-3</c:v>
                </c:pt>
                <c:pt idx="13">
                  <c:v>4.9574002041279548E-3</c:v>
                </c:pt>
                <c:pt idx="14">
                  <c:v>4.4314146077087443E-3</c:v>
                </c:pt>
                <c:pt idx="15">
                  <c:v>4.3693817829135216E-3</c:v>
                </c:pt>
                <c:pt idx="16">
                  <c:v>4.3396458107710246E-3</c:v>
                </c:pt>
                <c:pt idx="17">
                  <c:v>4.1144751649605637E-3</c:v>
                </c:pt>
                <c:pt idx="18">
                  <c:v>3.9368435964655434E-3</c:v>
                </c:pt>
                <c:pt idx="19">
                  <c:v>3.7213284838210647E-3</c:v>
                </c:pt>
                <c:pt idx="20">
                  <c:v>3.5121705222367562E-3</c:v>
                </c:pt>
                <c:pt idx="21">
                  <c:v>3.3528835700211259E-3</c:v>
                </c:pt>
                <c:pt idx="22">
                  <c:v>3.2743521097977932E-3</c:v>
                </c:pt>
                <c:pt idx="23">
                  <c:v>2.9231323959758057E-3</c:v>
                </c:pt>
                <c:pt idx="24">
                  <c:v>2.7427282183988435E-3</c:v>
                </c:pt>
                <c:pt idx="25">
                  <c:v>2.7148468685211638E-3</c:v>
                </c:pt>
                <c:pt idx="26">
                  <c:v>2.6873338440665277E-3</c:v>
                </c:pt>
                <c:pt idx="27">
                  <c:v>2.3134439155324308E-3</c:v>
                </c:pt>
                <c:pt idx="28">
                  <c:v>2.1787144014711723E-3</c:v>
                </c:pt>
                <c:pt idx="29">
                  <c:v>1.7788438474345746E-3</c:v>
                </c:pt>
                <c:pt idx="30">
                  <c:v>1.7592663654708433E-3</c:v>
                </c:pt>
                <c:pt idx="31">
                  <c:v>1.6862375991901141E-3</c:v>
                </c:pt>
                <c:pt idx="32">
                  <c:v>1.6512499915658329E-3</c:v>
                </c:pt>
                <c:pt idx="33">
                  <c:v>1.5707329901280963E-3</c:v>
                </c:pt>
                <c:pt idx="34">
                  <c:v>1.2200770836842661E-3</c:v>
                </c:pt>
                <c:pt idx="35">
                  <c:v>1.1414084606756808E-3</c:v>
                </c:pt>
                <c:pt idx="36">
                  <c:v>6.7492879866235813E-4</c:v>
                </c:pt>
                <c:pt idx="37">
                  <c:v>6.3810648334205881E-4</c:v>
                </c:pt>
                <c:pt idx="38">
                  <c:v>1.3617070025201283E-4</c:v>
                </c:pt>
                <c:pt idx="39">
                  <c:v>4.3295657611515926E-5</c:v>
                </c:pt>
                <c:pt idx="40">
                  <c:v>7.0327853166291146E-6</c:v>
                </c:pt>
                <c:pt idx="41">
                  <c:v>9.6035485005182649E-8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D-4C9F-9D32-BA74B2F84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28479"/>
        <c:axId val="201530959"/>
      </c:scatterChart>
      <c:valAx>
        <c:axId val="20542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0959"/>
        <c:crosses val="autoZero"/>
        <c:crossBetween val="midCat"/>
      </c:valAx>
      <c:valAx>
        <c:axId val="2015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Annual</a:t>
            </a:r>
            <a:r>
              <a:rPr lang="en-IN" baseline="0"/>
              <a:t> Maximum Flow Series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</c:numCache>
            </c:numRef>
          </c:xVal>
          <c:yVal>
            <c:numRef>
              <c:f>Sheet1!$B$2:$B$43</c:f>
              <c:numCache>
                <c:formatCode>General</c:formatCode>
                <c:ptCount val="42"/>
                <c:pt idx="0">
                  <c:v>123</c:v>
                </c:pt>
                <c:pt idx="1">
                  <c:v>179</c:v>
                </c:pt>
                <c:pt idx="2">
                  <c:v>31.6</c:v>
                </c:pt>
                <c:pt idx="3">
                  <c:v>1155</c:v>
                </c:pt>
                <c:pt idx="4">
                  <c:v>232</c:v>
                </c:pt>
                <c:pt idx="5">
                  <c:v>57.3</c:v>
                </c:pt>
                <c:pt idx="6">
                  <c:v>194.7</c:v>
                </c:pt>
                <c:pt idx="7">
                  <c:v>72</c:v>
                </c:pt>
                <c:pt idx="8">
                  <c:v>100.1</c:v>
                </c:pt>
                <c:pt idx="9">
                  <c:v>333.3</c:v>
                </c:pt>
                <c:pt idx="10">
                  <c:v>344</c:v>
                </c:pt>
                <c:pt idx="11">
                  <c:v>177.5</c:v>
                </c:pt>
                <c:pt idx="12">
                  <c:v>56.43</c:v>
                </c:pt>
                <c:pt idx="13">
                  <c:v>729.1</c:v>
                </c:pt>
                <c:pt idx="14">
                  <c:v>48.73</c:v>
                </c:pt>
                <c:pt idx="15">
                  <c:v>55.23</c:v>
                </c:pt>
                <c:pt idx="16">
                  <c:v>39.979999999999997</c:v>
                </c:pt>
                <c:pt idx="17">
                  <c:v>52.63</c:v>
                </c:pt>
                <c:pt idx="18">
                  <c:v>49.25</c:v>
                </c:pt>
                <c:pt idx="19">
                  <c:v>151</c:v>
                </c:pt>
                <c:pt idx="20">
                  <c:v>124.2</c:v>
                </c:pt>
                <c:pt idx="21">
                  <c:v>143.5</c:v>
                </c:pt>
                <c:pt idx="22">
                  <c:v>187.7</c:v>
                </c:pt>
                <c:pt idx="23">
                  <c:v>184.8</c:v>
                </c:pt>
                <c:pt idx="24">
                  <c:v>35.020000000000003</c:v>
                </c:pt>
                <c:pt idx="25">
                  <c:v>69.73</c:v>
                </c:pt>
                <c:pt idx="26">
                  <c:v>242.4</c:v>
                </c:pt>
                <c:pt idx="27">
                  <c:v>2170</c:v>
                </c:pt>
                <c:pt idx="28">
                  <c:v>31.65</c:v>
                </c:pt>
                <c:pt idx="29">
                  <c:v>82.53</c:v>
                </c:pt>
                <c:pt idx="30">
                  <c:v>94.97</c:v>
                </c:pt>
                <c:pt idx="31">
                  <c:v>102.74</c:v>
                </c:pt>
                <c:pt idx="32">
                  <c:v>38.47</c:v>
                </c:pt>
                <c:pt idx="33">
                  <c:v>77.760000000000005</c:v>
                </c:pt>
                <c:pt idx="34">
                  <c:v>23.88</c:v>
                </c:pt>
                <c:pt idx="35">
                  <c:v>115.6</c:v>
                </c:pt>
                <c:pt idx="36">
                  <c:v>88.64</c:v>
                </c:pt>
                <c:pt idx="37">
                  <c:v>125.4</c:v>
                </c:pt>
                <c:pt idx="38">
                  <c:v>71.260000000000005</c:v>
                </c:pt>
                <c:pt idx="39">
                  <c:v>7290.71</c:v>
                </c:pt>
                <c:pt idx="40">
                  <c:v>45.3</c:v>
                </c:pt>
                <c:pt idx="41">
                  <c:v>14.76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1-4943-AFF3-06C9BA995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415679"/>
        <c:axId val="840067423"/>
      </c:scatterChart>
      <c:valAx>
        <c:axId val="98941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067423"/>
        <c:crosses val="autoZero"/>
        <c:crossBetween val="midCat"/>
      </c:valAx>
      <c:valAx>
        <c:axId val="8400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Discharge(m^3/s)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41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51</xdr:row>
      <xdr:rowOff>9525</xdr:rowOff>
    </xdr:from>
    <xdr:to>
      <xdr:col>11</xdr:col>
      <xdr:colOff>139700</xdr:colOff>
      <xdr:row>65</xdr:row>
      <xdr:rowOff>174625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9E6AC7-3CE3-C075-2FB1-2AF2BC7EA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130175</xdr:colOff>
      <xdr:row>50</xdr:row>
      <xdr:rowOff>174625</xdr:rowOff>
    </xdr:from>
    <xdr:to>
      <xdr:col>4</xdr:col>
      <xdr:colOff>454025</xdr:colOff>
      <xdr:row>65</xdr:row>
      <xdr:rowOff>155575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234501-CB73-7BE6-DEAE-8C2B43CAF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561975</xdr:colOff>
      <xdr:row>51</xdr:row>
      <xdr:rowOff>3175</xdr:rowOff>
    </xdr:from>
    <xdr:to>
      <xdr:col>19</xdr:col>
      <xdr:colOff>257175</xdr:colOff>
      <xdr:row>65</xdr:row>
      <xdr:rowOff>168275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D10ECAD-198F-8EC7-EE24-32AC5C210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466725</xdr:colOff>
      <xdr:row>33</xdr:row>
      <xdr:rowOff>47625</xdr:rowOff>
    </xdr:from>
    <xdr:to>
      <xdr:col>21</xdr:col>
      <xdr:colOff>161925</xdr:colOff>
      <xdr:row>48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B1FBE-F635-E7FA-574D-734D0D69C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5F09-8F59-497B-83CF-40CF046C8FB0}">
  <dimension ref="A1:M277"/>
  <sheetViews>
    <sheetView tabSelected="1" workbookViewId="0">
      <selection activeCell="J1" sqref="J1"/>
    </sheetView>
  </sheetViews>
  <sheetFormatPr defaultRowHeight="14.5" x14ac:dyDescent="0.35"/>
  <cols>
    <col min="2" max="2" width="31.81640625" bestFit="1" customWidth="1"/>
    <col min="3" max="3" width="11.54296875" bestFit="1" customWidth="1"/>
    <col min="4" max="4" width="9.7265625" customWidth="1"/>
    <col min="5" max="5" width="16.26953125" customWidth="1"/>
    <col min="6" max="6" width="12.6328125" bestFit="1" customWidth="1"/>
    <col min="7" max="7" width="11.36328125" customWidth="1"/>
    <col min="8" max="8" width="11.81640625" bestFit="1" customWidth="1"/>
    <col min="9" max="9" width="14.81640625" bestFit="1" customWidth="1"/>
    <col min="10" max="11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3</v>
      </c>
      <c r="G1" t="s">
        <v>2</v>
      </c>
      <c r="H1" t="s">
        <v>4</v>
      </c>
      <c r="I1" t="s">
        <v>6</v>
      </c>
      <c r="J1" t="s">
        <v>33</v>
      </c>
      <c r="K1" t="s">
        <v>34</v>
      </c>
    </row>
    <row r="2" spans="1:13" x14ac:dyDescent="0.35">
      <c r="A2">
        <v>1978</v>
      </c>
      <c r="B2">
        <v>123</v>
      </c>
      <c r="C2">
        <f>LN(B2)</f>
        <v>4.8121843553724171</v>
      </c>
      <c r="D2">
        <v>14.76</v>
      </c>
      <c r="E2">
        <f>(D2-370.068)/1154.89</f>
        <v>-0.30765527452831004</v>
      </c>
      <c r="F2">
        <f>EXP(-1/2*((D2-370.068)/1154.89)^2)/1154.89*2.5066</f>
        <v>2.0700986597979982E-3</v>
      </c>
      <c r="G2">
        <f>LN(123)</f>
        <v>4.8121843553724171</v>
      </c>
      <c r="H2">
        <f>LN(14.76)</f>
        <v>2.6919208191723265</v>
      </c>
      <c r="I2">
        <f>(H2-4.744)/1.1949</f>
        <v>-1.7173647843565765</v>
      </c>
      <c r="J2">
        <f>(EXP(-1/2*((H2-4.7267)/1.5407)^2))/(1.5407*2.5066*EXP(H2))</f>
        <v>7.3343301404644474E-3</v>
      </c>
      <c r="K2">
        <f>(EXP(-1/2*((H2-4.744)/1.1806)^2))/(1.1806*2.5066*EXP(H2))</f>
        <v>5.0544715669162167E-3</v>
      </c>
      <c r="L2">
        <v>1</v>
      </c>
      <c r="M2">
        <v>14.76</v>
      </c>
    </row>
    <row r="3" spans="1:13" x14ac:dyDescent="0.35">
      <c r="A3">
        <f>A2+1</f>
        <v>1979</v>
      </c>
      <c r="B3">
        <v>179</v>
      </c>
      <c r="C3">
        <f t="shared" ref="C3:C43" si="0">LN(B3)</f>
        <v>5.1873858058407549</v>
      </c>
      <c r="D3">
        <v>23.88</v>
      </c>
      <c r="E3">
        <f t="shared" ref="E3:E43" si="1">(D3-370.068)/1154.89</f>
        <v>-0.29975841855068447</v>
      </c>
      <c r="F3">
        <f t="shared" ref="F3:F43" si="2">EXP(-1/2*((D3-370.068)/1154.89)^2)/1154.89*2.5066</f>
        <v>2.0750693962642555E-3</v>
      </c>
      <c r="G3">
        <f>LN(179)</f>
        <v>5.1873858058407549</v>
      </c>
      <c r="H3">
        <f>LN(23.88)</f>
        <v>3.1730412885244013</v>
      </c>
      <c r="I3">
        <f t="shared" ref="I3:I43" si="3">(H3-4.744)/1.1949</f>
        <v>-1.3147198187928684</v>
      </c>
      <c r="J3">
        <f t="shared" ref="J3:J43" si="4">(EXP(-1/2*((H3-4.7267)/1.5407)^2))/(1.5407*2.5066*EXP(H3))</f>
        <v>6.5214945965400423E-3</v>
      </c>
      <c r="K3">
        <f t="shared" ref="K3:K43" si="5">(EXP(-1/2*((H3-4.744)/1.1806)^2))/(1.1806*2.5066*EXP(H3))</f>
        <v>5.8383998996537102E-3</v>
      </c>
      <c r="L3">
        <f>L2+1</f>
        <v>2</v>
      </c>
      <c r="M3">
        <v>23.88</v>
      </c>
    </row>
    <row r="4" spans="1:13" x14ac:dyDescent="0.35">
      <c r="A4">
        <f t="shared" ref="A4:A45" si="6">A3+1</f>
        <v>1980</v>
      </c>
      <c r="B4">
        <v>31.6</v>
      </c>
      <c r="C4">
        <f t="shared" si="0"/>
        <v>3.4531571205928664</v>
      </c>
      <c r="D4">
        <v>31.6</v>
      </c>
      <c r="E4">
        <f t="shared" si="1"/>
        <v>-0.29307379923629084</v>
      </c>
      <c r="F4">
        <f t="shared" si="2"/>
        <v>2.0791850747402187E-3</v>
      </c>
      <c r="G4">
        <f>LN(31.6)</f>
        <v>3.4531571205928664</v>
      </c>
      <c r="H4">
        <f>LN(31.6)</f>
        <v>3.4531571205928664</v>
      </c>
      <c r="I4">
        <f t="shared" si="3"/>
        <v>-1.0802936475078528</v>
      </c>
      <c r="J4">
        <f t="shared" si="4"/>
        <v>5.822909945433637E-3</v>
      </c>
      <c r="K4">
        <f t="shared" si="5"/>
        <v>5.882075309041398E-3</v>
      </c>
      <c r="L4">
        <f t="shared" ref="L4:L43" si="7">L3+1</f>
        <v>3</v>
      </c>
      <c r="M4">
        <v>31.6</v>
      </c>
    </row>
    <row r="5" spans="1:13" x14ac:dyDescent="0.35">
      <c r="A5">
        <f t="shared" si="6"/>
        <v>1981</v>
      </c>
      <c r="B5">
        <v>1155</v>
      </c>
      <c r="C5">
        <f t="shared" si="0"/>
        <v>7.0518556229558937</v>
      </c>
      <c r="D5">
        <v>31.65</v>
      </c>
      <c r="E5">
        <f t="shared" si="1"/>
        <v>-0.29303050506974687</v>
      </c>
      <c r="F5">
        <f t="shared" si="2"/>
        <v>2.0792114544614989E-3</v>
      </c>
      <c r="G5">
        <f>LN(1155)</f>
        <v>7.0518556229558937</v>
      </c>
      <c r="H5">
        <f>LN(31.65)</f>
        <v>3.4547381485901854</v>
      </c>
      <c r="I5">
        <f t="shared" si="3"/>
        <v>-1.0789705008032591</v>
      </c>
      <c r="J5">
        <f t="shared" si="4"/>
        <v>5.8186414660641632E-3</v>
      </c>
      <c r="K5">
        <f t="shared" si="5"/>
        <v>5.8813830227887071E-3</v>
      </c>
      <c r="L5">
        <f t="shared" si="7"/>
        <v>4</v>
      </c>
      <c r="M5">
        <v>31.65</v>
      </c>
    </row>
    <row r="6" spans="1:13" x14ac:dyDescent="0.35">
      <c r="A6">
        <f t="shared" si="6"/>
        <v>1982</v>
      </c>
      <c r="B6">
        <v>232</v>
      </c>
      <c r="C6">
        <f t="shared" si="0"/>
        <v>5.4467373716663099</v>
      </c>
      <c r="D6">
        <v>35.020000000000003</v>
      </c>
      <c r="E6">
        <f t="shared" si="1"/>
        <v>-0.29011247824468128</v>
      </c>
      <c r="F6">
        <f t="shared" si="2"/>
        <v>2.0809812282661529E-3</v>
      </c>
      <c r="G6">
        <f>LN(232)</f>
        <v>5.4467373716663099</v>
      </c>
      <c r="H6">
        <f>LN(35.02)</f>
        <v>3.5559193268577061</v>
      </c>
      <c r="I6">
        <f t="shared" si="3"/>
        <v>-0.99429297275277728</v>
      </c>
      <c r="J6">
        <f t="shared" si="4"/>
        <v>5.5397339844362025E-3</v>
      </c>
      <c r="K6">
        <f t="shared" si="5"/>
        <v>5.8155159467712866E-3</v>
      </c>
      <c r="L6">
        <f t="shared" si="7"/>
        <v>5</v>
      </c>
      <c r="M6">
        <v>35.020000000000003</v>
      </c>
    </row>
    <row r="7" spans="1:13" x14ac:dyDescent="0.35">
      <c r="A7">
        <f t="shared" si="6"/>
        <v>1983</v>
      </c>
      <c r="B7">
        <v>57.3</v>
      </c>
      <c r="C7">
        <f t="shared" si="0"/>
        <v>4.048300623720694</v>
      </c>
      <c r="D7">
        <v>38.47</v>
      </c>
      <c r="E7">
        <f t="shared" si="1"/>
        <v>-0.28712518075314525</v>
      </c>
      <c r="F7">
        <f t="shared" si="2"/>
        <v>2.0827762038008834E-3</v>
      </c>
      <c r="G7">
        <f>LN(57.3)</f>
        <v>4.048300623720694</v>
      </c>
      <c r="H7">
        <f>LN(38.47)</f>
        <v>3.6498787167642037</v>
      </c>
      <c r="I7">
        <f t="shared" si="3"/>
        <v>-0.91565928800384633</v>
      </c>
      <c r="J7">
        <f t="shared" si="4"/>
        <v>5.2723175404114069E-3</v>
      </c>
      <c r="K7">
        <f t="shared" si="5"/>
        <v>5.717282247141112E-3</v>
      </c>
      <c r="L7">
        <f t="shared" si="7"/>
        <v>6</v>
      </c>
      <c r="M7">
        <v>38.47</v>
      </c>
    </row>
    <row r="8" spans="1:13" x14ac:dyDescent="0.35">
      <c r="A8">
        <f t="shared" si="6"/>
        <v>1984</v>
      </c>
      <c r="B8">
        <v>194.7</v>
      </c>
      <c r="C8">
        <f t="shared" si="0"/>
        <v>5.2714599123781536</v>
      </c>
      <c r="D8">
        <v>39.979999999999997</v>
      </c>
      <c r="E8">
        <f t="shared" si="1"/>
        <v>-0.2858176969235165</v>
      </c>
      <c r="F8">
        <f t="shared" si="2"/>
        <v>2.0835564678540718E-3</v>
      </c>
      <c r="G8">
        <f>LN(194.7)</f>
        <v>5.2714599123781536</v>
      </c>
      <c r="H8">
        <f>LN(39.98)</f>
        <v>3.6883793290722537</v>
      </c>
      <c r="I8">
        <f t="shared" si="3"/>
        <v>-0.88343850609067365</v>
      </c>
      <c r="J8">
        <f t="shared" si="4"/>
        <v>5.1609591831180404E-3</v>
      </c>
      <c r="K8">
        <f t="shared" si="5"/>
        <v>5.6671339307194212E-3</v>
      </c>
      <c r="L8">
        <f t="shared" si="7"/>
        <v>7</v>
      </c>
      <c r="M8">
        <v>39.979999999999997</v>
      </c>
    </row>
    <row r="9" spans="1:13" x14ac:dyDescent="0.35">
      <c r="A9">
        <f t="shared" si="6"/>
        <v>1985</v>
      </c>
      <c r="B9">
        <v>72</v>
      </c>
      <c r="C9">
        <f t="shared" si="0"/>
        <v>4.2766661190160553</v>
      </c>
      <c r="D9">
        <v>45.3</v>
      </c>
      <c r="E9">
        <f t="shared" si="1"/>
        <v>-0.28121119760323487</v>
      </c>
      <c r="F9">
        <f t="shared" si="2"/>
        <v>2.0862793892724454E-3</v>
      </c>
      <c r="G9">
        <f>LN(72)</f>
        <v>4.2766661190160553</v>
      </c>
      <c r="H9">
        <f>LN(45.3)</f>
        <v>3.8133070324889884</v>
      </c>
      <c r="I9">
        <f t="shared" si="3"/>
        <v>-0.77888774584568699</v>
      </c>
      <c r="J9">
        <f t="shared" si="4"/>
        <v>4.7948998257175222E-3</v>
      </c>
      <c r="K9">
        <f t="shared" si="5"/>
        <v>5.4672317628656833E-3</v>
      </c>
      <c r="L9">
        <f t="shared" si="7"/>
        <v>8</v>
      </c>
      <c r="M9">
        <v>45.3</v>
      </c>
    </row>
    <row r="10" spans="1:13" x14ac:dyDescent="0.35">
      <c r="A10">
        <f t="shared" si="6"/>
        <v>1986</v>
      </c>
      <c r="B10">
        <v>100.1</v>
      </c>
      <c r="C10">
        <f t="shared" si="0"/>
        <v>4.6061696863211745</v>
      </c>
      <c r="D10">
        <v>48.73</v>
      </c>
      <c r="E10">
        <f t="shared" si="1"/>
        <v>-0.27824121777831651</v>
      </c>
      <c r="F10">
        <f t="shared" si="2"/>
        <v>2.0880133511248281E-3</v>
      </c>
      <c r="G10">
        <f>LN(100.1)</f>
        <v>4.6061696863211745</v>
      </c>
      <c r="H10">
        <f>LN(48.73)</f>
        <v>3.8862948568554145</v>
      </c>
      <c r="I10">
        <f t="shared" si="3"/>
        <v>-0.71780495702116087</v>
      </c>
      <c r="J10">
        <f t="shared" si="4"/>
        <v>4.5792156220051446E-3</v>
      </c>
      <c r="K10">
        <f t="shared" si="5"/>
        <v>5.3260492042515248E-3</v>
      </c>
      <c r="L10">
        <f t="shared" si="7"/>
        <v>9</v>
      </c>
      <c r="M10">
        <v>48.73</v>
      </c>
    </row>
    <row r="11" spans="1:13" x14ac:dyDescent="0.35">
      <c r="A11">
        <f t="shared" si="6"/>
        <v>1987</v>
      </c>
      <c r="B11">
        <v>333.3</v>
      </c>
      <c r="C11">
        <f t="shared" si="0"/>
        <v>5.8090429853136945</v>
      </c>
      <c r="D11">
        <v>49.25</v>
      </c>
      <c r="E11">
        <f t="shared" si="1"/>
        <v>-0.2777909584462589</v>
      </c>
      <c r="F11">
        <f t="shared" si="2"/>
        <v>2.0882747436142663E-3</v>
      </c>
      <c r="G11">
        <f>LN(333.3)</f>
        <v>5.8090429853136945</v>
      </c>
      <c r="H11">
        <f>LN(49.25)</f>
        <v>3.8969093676180977</v>
      </c>
      <c r="I11">
        <f t="shared" si="3"/>
        <v>-0.70892177787421706</v>
      </c>
      <c r="J11">
        <f t="shared" si="4"/>
        <v>4.547817476164521E-3</v>
      </c>
      <c r="K11">
        <f t="shared" si="5"/>
        <v>5.3041343973805645E-3</v>
      </c>
      <c r="L11">
        <f t="shared" si="7"/>
        <v>10</v>
      </c>
      <c r="M11">
        <v>49.25</v>
      </c>
    </row>
    <row r="12" spans="1:13" x14ac:dyDescent="0.35">
      <c r="A12">
        <f t="shared" si="6"/>
        <v>1988</v>
      </c>
      <c r="B12">
        <v>344</v>
      </c>
      <c r="C12">
        <f t="shared" si="0"/>
        <v>5.8406416573733981</v>
      </c>
      <c r="D12">
        <v>52.63</v>
      </c>
      <c r="E12">
        <f t="shared" si="1"/>
        <v>-0.2748642727878845</v>
      </c>
      <c r="F12">
        <f t="shared" si="2"/>
        <v>2.0899642647495675E-3</v>
      </c>
      <c r="G12">
        <f>LN(344)</f>
        <v>5.8406416573733981</v>
      </c>
      <c r="H12">
        <f>LN(52.63)</f>
        <v>3.9632862993656874</v>
      </c>
      <c r="I12">
        <f t="shared" si="3"/>
        <v>-0.65337157974249915</v>
      </c>
      <c r="J12">
        <f t="shared" si="4"/>
        <v>4.3516094086347218E-3</v>
      </c>
      <c r="K12">
        <f t="shared" si="5"/>
        <v>5.1596547292022061E-3</v>
      </c>
      <c r="L12">
        <f t="shared" si="7"/>
        <v>11</v>
      </c>
      <c r="M12">
        <v>52.63</v>
      </c>
    </row>
    <row r="13" spans="1:13" x14ac:dyDescent="0.35">
      <c r="A13">
        <f t="shared" si="6"/>
        <v>1989</v>
      </c>
      <c r="B13">
        <v>177.5</v>
      </c>
      <c r="C13">
        <f t="shared" si="0"/>
        <v>5.1789706089154706</v>
      </c>
      <c r="D13">
        <v>55.23</v>
      </c>
      <c r="E13">
        <f t="shared" si="1"/>
        <v>-0.2726129761275965</v>
      </c>
      <c r="F13">
        <f t="shared" si="2"/>
        <v>2.0912526373956788E-3</v>
      </c>
      <c r="G13">
        <f>LN(177.5)</f>
        <v>5.1789706089154706</v>
      </c>
      <c r="H13">
        <f>LN(55.23)</f>
        <v>4.0115062839130964</v>
      </c>
      <c r="I13">
        <f t="shared" si="3"/>
        <v>-0.61301675126529698</v>
      </c>
      <c r="J13">
        <f t="shared" si="4"/>
        <v>4.2094998048643134E-3</v>
      </c>
      <c r="K13">
        <f t="shared" si="5"/>
        <v>5.0471558050688781E-3</v>
      </c>
      <c r="L13">
        <f t="shared" si="7"/>
        <v>12</v>
      </c>
      <c r="M13">
        <v>55.23</v>
      </c>
    </row>
    <row r="14" spans="1:13" x14ac:dyDescent="0.35">
      <c r="A14">
        <f t="shared" si="6"/>
        <v>1990</v>
      </c>
      <c r="B14">
        <v>56.43</v>
      </c>
      <c r="C14">
        <f t="shared" si="0"/>
        <v>4.0330009319810491</v>
      </c>
      <c r="D14">
        <v>56.43</v>
      </c>
      <c r="E14">
        <f t="shared" si="1"/>
        <v>-0.27157391613054055</v>
      </c>
      <c r="F14">
        <f t="shared" si="2"/>
        <v>2.0918439628873952E-3</v>
      </c>
      <c r="G14">
        <f>LN(56.43)</f>
        <v>4.0330009319810491</v>
      </c>
      <c r="H14">
        <f>LN(56.43)</f>
        <v>4.0330009319810491</v>
      </c>
      <c r="I14">
        <f t="shared" si="3"/>
        <v>-0.5950280927432845</v>
      </c>
      <c r="J14">
        <f t="shared" si="4"/>
        <v>4.146348334344103E-3</v>
      </c>
      <c r="K14">
        <f t="shared" si="5"/>
        <v>4.9951157976397473E-3</v>
      </c>
      <c r="L14">
        <f t="shared" si="7"/>
        <v>13</v>
      </c>
      <c r="M14">
        <v>56.43</v>
      </c>
    </row>
    <row r="15" spans="1:13" x14ac:dyDescent="0.35">
      <c r="A15">
        <f t="shared" si="6"/>
        <v>1991</v>
      </c>
      <c r="B15">
        <v>729.1</v>
      </c>
      <c r="C15">
        <f t="shared" si="0"/>
        <v>6.591810896812385</v>
      </c>
      <c r="D15">
        <v>57.3</v>
      </c>
      <c r="E15">
        <f t="shared" si="1"/>
        <v>-0.27082059763267491</v>
      </c>
      <c r="F15">
        <f t="shared" si="2"/>
        <v>2.0922713658947183E-3</v>
      </c>
      <c r="G15">
        <f>LN(729.1)</f>
        <v>6.591810896812385</v>
      </c>
      <c r="H15">
        <f>LN(57.3)</f>
        <v>4.048300623720694</v>
      </c>
      <c r="I15">
        <f t="shared" si="3"/>
        <v>-0.58222393194351474</v>
      </c>
      <c r="J15">
        <f t="shared" si="4"/>
        <v>4.1014893472084051E-3</v>
      </c>
      <c r="K15">
        <f t="shared" si="5"/>
        <v>4.9574002041279548E-3</v>
      </c>
      <c r="L15">
        <f t="shared" si="7"/>
        <v>14</v>
      </c>
      <c r="M15">
        <v>57.3</v>
      </c>
    </row>
    <row r="16" spans="1:13" x14ac:dyDescent="0.35">
      <c r="A16">
        <f t="shared" si="6"/>
        <v>1992</v>
      </c>
      <c r="B16">
        <v>48.73</v>
      </c>
      <c r="C16">
        <f t="shared" si="0"/>
        <v>3.8862948568554145</v>
      </c>
      <c r="D16">
        <v>69.73</v>
      </c>
      <c r="E16">
        <f t="shared" si="1"/>
        <v>-0.26005766782983658</v>
      </c>
      <c r="F16">
        <f t="shared" si="2"/>
        <v>2.0982573283037896E-3</v>
      </c>
      <c r="G16">
        <f>LN(48.73)</f>
        <v>3.8862948568554145</v>
      </c>
      <c r="H16">
        <f>LN(69.73)</f>
        <v>4.2446306412329191</v>
      </c>
      <c r="I16">
        <f t="shared" si="3"/>
        <v>-0.41791728074908413</v>
      </c>
      <c r="J16">
        <f t="shared" si="4"/>
        <v>3.5360507730252621E-3</v>
      </c>
      <c r="K16">
        <f t="shared" si="5"/>
        <v>4.4314146077087443E-3</v>
      </c>
      <c r="L16">
        <f t="shared" si="7"/>
        <v>15</v>
      </c>
      <c r="M16">
        <v>69.73</v>
      </c>
    </row>
    <row r="17" spans="1:13" x14ac:dyDescent="0.35">
      <c r="A17">
        <f t="shared" si="6"/>
        <v>1993</v>
      </c>
      <c r="B17">
        <v>55.23</v>
      </c>
      <c r="C17">
        <f t="shared" si="0"/>
        <v>4.0115062839130964</v>
      </c>
      <c r="D17">
        <v>71.260000000000005</v>
      </c>
      <c r="E17">
        <f t="shared" si="1"/>
        <v>-0.25873286633359016</v>
      </c>
      <c r="F17">
        <f t="shared" si="2"/>
        <v>2.098978512548557E-3</v>
      </c>
      <c r="G17">
        <f>LN(55.23)</f>
        <v>4.0115062839130964</v>
      </c>
      <c r="H17">
        <f>LN(71.26)</f>
        <v>4.2663351601776904</v>
      </c>
      <c r="I17">
        <f t="shared" si="3"/>
        <v>-0.39975298336455711</v>
      </c>
      <c r="J17">
        <f t="shared" si="4"/>
        <v>3.4750698284887467E-3</v>
      </c>
      <c r="K17">
        <f t="shared" si="5"/>
        <v>4.3693817829135216E-3</v>
      </c>
      <c r="L17">
        <f t="shared" si="7"/>
        <v>16</v>
      </c>
      <c r="M17">
        <v>71.260000000000005</v>
      </c>
    </row>
    <row r="18" spans="1:13" x14ac:dyDescent="0.35">
      <c r="A18">
        <f t="shared" si="6"/>
        <v>1994</v>
      </c>
      <c r="B18">
        <v>39.979999999999997</v>
      </c>
      <c r="C18">
        <f t="shared" si="0"/>
        <v>3.6883793290722537</v>
      </c>
      <c r="D18">
        <v>72</v>
      </c>
      <c r="E18">
        <f t="shared" si="1"/>
        <v>-0.25809211266873899</v>
      </c>
      <c r="F18">
        <f t="shared" si="2"/>
        <v>2.0993260875610178E-3</v>
      </c>
      <c r="G18">
        <f>LN(39.98)</f>
        <v>3.6883793290722537</v>
      </c>
      <c r="H18">
        <f>LN(72)</f>
        <v>4.2766661190160553</v>
      </c>
      <c r="I18">
        <f t="shared" si="3"/>
        <v>-0.391107106020541</v>
      </c>
      <c r="J18">
        <f t="shared" si="4"/>
        <v>3.4461742861421258E-3</v>
      </c>
      <c r="K18">
        <f t="shared" si="5"/>
        <v>4.3396458107710246E-3</v>
      </c>
      <c r="L18">
        <f t="shared" si="7"/>
        <v>17</v>
      </c>
      <c r="M18">
        <v>72</v>
      </c>
    </row>
    <row r="19" spans="1:13" x14ac:dyDescent="0.35">
      <c r="A19">
        <f t="shared" si="6"/>
        <v>1995</v>
      </c>
      <c r="B19">
        <v>52.63</v>
      </c>
      <c r="C19">
        <f t="shared" si="0"/>
        <v>3.9632862993656874</v>
      </c>
      <c r="D19">
        <v>77.760000000000005</v>
      </c>
      <c r="E19">
        <f t="shared" si="1"/>
        <v>-0.25310462468287021</v>
      </c>
      <c r="F19">
        <f t="shared" si="2"/>
        <v>2.1020040019585472E-3</v>
      </c>
      <c r="G19">
        <f>LN(52.63)</f>
        <v>3.9632862993656874</v>
      </c>
      <c r="H19">
        <f>LN(77.76)</f>
        <v>4.3536271601521834</v>
      </c>
      <c r="I19">
        <f t="shared" si="3"/>
        <v>-0.32669917135142384</v>
      </c>
      <c r="J19">
        <f t="shared" si="4"/>
        <v>3.233764377192356E-3</v>
      </c>
      <c r="K19">
        <f t="shared" si="5"/>
        <v>4.1144751649605637E-3</v>
      </c>
      <c r="L19">
        <f t="shared" si="7"/>
        <v>18</v>
      </c>
      <c r="M19">
        <v>77.760000000000005</v>
      </c>
    </row>
    <row r="20" spans="1:13" x14ac:dyDescent="0.35">
      <c r="A20">
        <f t="shared" si="6"/>
        <v>1996</v>
      </c>
      <c r="B20">
        <v>49.25</v>
      </c>
      <c r="C20">
        <f t="shared" si="0"/>
        <v>3.8969093676180977</v>
      </c>
      <c r="D20">
        <v>82.53</v>
      </c>
      <c r="E20">
        <f t="shared" si="1"/>
        <v>-0.24897436119457264</v>
      </c>
      <c r="F20">
        <f t="shared" si="2"/>
        <v>2.1041846145541223E-3</v>
      </c>
      <c r="G20">
        <f>LN(49.25)</f>
        <v>3.8969093676180977</v>
      </c>
      <c r="H20">
        <f>LN(82.53)</f>
        <v>4.4131618636045928</v>
      </c>
      <c r="I20">
        <f t="shared" si="3"/>
        <v>-0.27687516645360022</v>
      </c>
      <c r="J20">
        <f t="shared" si="4"/>
        <v>3.0732094147115289E-3</v>
      </c>
      <c r="K20">
        <f t="shared" si="5"/>
        <v>3.9368435964655434E-3</v>
      </c>
      <c r="L20">
        <f t="shared" si="7"/>
        <v>19</v>
      </c>
      <c r="M20">
        <v>82.53</v>
      </c>
    </row>
    <row r="21" spans="1:13" x14ac:dyDescent="0.35">
      <c r="A21">
        <f t="shared" si="6"/>
        <v>1997</v>
      </c>
      <c r="B21">
        <v>151</v>
      </c>
      <c r="C21">
        <f t="shared" si="0"/>
        <v>5.0172798368149243</v>
      </c>
      <c r="D21">
        <v>88.64</v>
      </c>
      <c r="E21">
        <f t="shared" si="1"/>
        <v>-0.24368381404289582</v>
      </c>
      <c r="F21">
        <f t="shared" si="2"/>
        <v>2.1069286084999216E-3</v>
      </c>
      <c r="G21">
        <f>LN(151)</f>
        <v>5.0172798368149243</v>
      </c>
      <c r="H21">
        <f>LN(88.64)</f>
        <v>4.4845832229989737</v>
      </c>
      <c r="I21">
        <f t="shared" si="3"/>
        <v>-0.21710333668175247</v>
      </c>
      <c r="J21">
        <f t="shared" si="4"/>
        <v>2.8853906964785084E-3</v>
      </c>
      <c r="K21">
        <f t="shared" si="5"/>
        <v>3.7213284838210647E-3</v>
      </c>
      <c r="L21">
        <f t="shared" si="7"/>
        <v>20</v>
      </c>
      <c r="M21">
        <v>88.64</v>
      </c>
    </row>
    <row r="22" spans="1:13" x14ac:dyDescent="0.35">
      <c r="A22">
        <f t="shared" si="6"/>
        <v>1998</v>
      </c>
      <c r="B22">
        <v>124.2</v>
      </c>
      <c r="C22">
        <f t="shared" si="0"/>
        <v>4.8218931694993783</v>
      </c>
      <c r="D22">
        <v>94.97</v>
      </c>
      <c r="E22">
        <f t="shared" si="1"/>
        <v>-0.23820277255842542</v>
      </c>
      <c r="F22">
        <f t="shared" si="2"/>
        <v>2.1097128990412248E-3</v>
      </c>
      <c r="G22">
        <f>LN(124.2)</f>
        <v>4.8218931694993783</v>
      </c>
      <c r="H22">
        <f>LN(94.97)</f>
        <v>4.5535610522548611</v>
      </c>
      <c r="I22">
        <f t="shared" si="3"/>
        <v>-0.15937647313175887</v>
      </c>
      <c r="J22">
        <f t="shared" si="4"/>
        <v>2.7093692032342516E-3</v>
      </c>
      <c r="K22">
        <f t="shared" si="5"/>
        <v>3.5121705222367562E-3</v>
      </c>
      <c r="L22">
        <f t="shared" si="7"/>
        <v>21</v>
      </c>
      <c r="M22">
        <v>94.97</v>
      </c>
    </row>
    <row r="23" spans="1:13" x14ac:dyDescent="0.35">
      <c r="A23">
        <f t="shared" si="6"/>
        <v>1999</v>
      </c>
      <c r="B23">
        <v>143.5</v>
      </c>
      <c r="C23">
        <f t="shared" si="0"/>
        <v>4.966335035199676</v>
      </c>
      <c r="D23">
        <v>100.1</v>
      </c>
      <c r="E23">
        <f t="shared" si="1"/>
        <v>-0.23376079107101103</v>
      </c>
      <c r="F23">
        <f t="shared" si="2"/>
        <v>2.1119255159038341E-3</v>
      </c>
      <c r="G23">
        <f>LN(143.5)</f>
        <v>4.966335035199676</v>
      </c>
      <c r="H23">
        <f>LN(100.1)</f>
        <v>4.6061696863211745</v>
      </c>
      <c r="I23">
        <f t="shared" si="3"/>
        <v>-0.11534882724815905</v>
      </c>
      <c r="J23">
        <f t="shared" si="4"/>
        <v>2.5788961169481038E-3</v>
      </c>
      <c r="K23">
        <f t="shared" si="5"/>
        <v>3.3528835700211259E-3</v>
      </c>
      <c r="L23">
        <f t="shared" si="7"/>
        <v>22</v>
      </c>
      <c r="M23">
        <v>100.1</v>
      </c>
    </row>
    <row r="24" spans="1:13" x14ac:dyDescent="0.35">
      <c r="A24">
        <f t="shared" si="6"/>
        <v>2000</v>
      </c>
      <c r="B24">
        <v>187.7</v>
      </c>
      <c r="C24">
        <f t="shared" si="0"/>
        <v>5.2348449435924627</v>
      </c>
      <c r="D24">
        <v>102.74</v>
      </c>
      <c r="E24">
        <f t="shared" si="1"/>
        <v>-0.23147485907748785</v>
      </c>
      <c r="F24">
        <f t="shared" si="2"/>
        <v>2.1130488278226921E-3</v>
      </c>
      <c r="G24">
        <f>LN(187.7)</f>
        <v>5.2348449435924627</v>
      </c>
      <c r="H24">
        <f>LN(102.74)</f>
        <v>4.6322015250391217</v>
      </c>
      <c r="I24">
        <f t="shared" si="3"/>
        <v>-9.3563038715271579E-2</v>
      </c>
      <c r="J24">
        <f t="shared" si="4"/>
        <v>2.5155932623658248E-3</v>
      </c>
      <c r="K24">
        <f t="shared" si="5"/>
        <v>3.2743521097977932E-3</v>
      </c>
      <c r="L24">
        <f t="shared" si="7"/>
        <v>23</v>
      </c>
      <c r="M24">
        <v>102.74</v>
      </c>
    </row>
    <row r="25" spans="1:13" x14ac:dyDescent="0.35">
      <c r="A25">
        <f t="shared" si="6"/>
        <v>2001</v>
      </c>
      <c r="B25">
        <v>184.8</v>
      </c>
      <c r="C25">
        <f t="shared" si="0"/>
        <v>5.2192741592075835</v>
      </c>
      <c r="D25">
        <v>115.6</v>
      </c>
      <c r="E25">
        <f t="shared" si="1"/>
        <v>-0.22033959944237111</v>
      </c>
      <c r="F25">
        <f t="shared" si="2"/>
        <v>2.1183709686929753E-3</v>
      </c>
      <c r="G25">
        <f>LN(184.8)</f>
        <v>5.2192741592075835</v>
      </c>
      <c r="H25">
        <f>LN(115.6)</f>
        <v>4.7501359562382772</v>
      </c>
      <c r="I25">
        <f t="shared" si="3"/>
        <v>5.1351211300338529E-3</v>
      </c>
      <c r="J25">
        <f t="shared" si="4"/>
        <v>2.2396946061765538E-3</v>
      </c>
      <c r="K25">
        <f t="shared" si="5"/>
        <v>2.9231323959758057E-3</v>
      </c>
      <c r="L25">
        <f t="shared" si="7"/>
        <v>24</v>
      </c>
      <c r="M25">
        <v>115.6</v>
      </c>
    </row>
    <row r="26" spans="1:13" x14ac:dyDescent="0.35">
      <c r="A26">
        <f t="shared" si="6"/>
        <v>2002</v>
      </c>
      <c r="B26">
        <v>35.020000000000003</v>
      </c>
      <c r="C26">
        <f t="shared" si="0"/>
        <v>3.5559193268577061</v>
      </c>
      <c r="D26">
        <v>123</v>
      </c>
      <c r="E26">
        <f t="shared" si="1"/>
        <v>-0.21393206279385912</v>
      </c>
      <c r="F26">
        <f t="shared" si="2"/>
        <v>2.1213203217491741E-3</v>
      </c>
      <c r="G26">
        <f>LN(35.02)</f>
        <v>3.5559193268577061</v>
      </c>
      <c r="H26">
        <f>LN(123)</f>
        <v>4.8121843553724171</v>
      </c>
      <c r="I26">
        <f t="shared" si="3"/>
        <v>5.7062813099353328E-2</v>
      </c>
      <c r="J26">
        <f t="shared" si="4"/>
        <v>2.1019543799221103E-3</v>
      </c>
      <c r="K26">
        <f t="shared" si="5"/>
        <v>2.7427282183988435E-3</v>
      </c>
      <c r="L26">
        <f t="shared" si="7"/>
        <v>25</v>
      </c>
      <c r="M26">
        <v>123</v>
      </c>
    </row>
    <row r="27" spans="1:13" x14ac:dyDescent="0.35">
      <c r="A27">
        <f t="shared" si="6"/>
        <v>2003</v>
      </c>
      <c r="B27">
        <v>69.73</v>
      </c>
      <c r="C27">
        <f t="shared" si="0"/>
        <v>4.2446306412329191</v>
      </c>
      <c r="D27">
        <v>124.2</v>
      </c>
      <c r="E27">
        <f t="shared" si="1"/>
        <v>-0.21289300279680315</v>
      </c>
      <c r="F27">
        <f t="shared" si="2"/>
        <v>2.1217907733499463E-3</v>
      </c>
      <c r="G27">
        <f>LN(69.73)</f>
        <v>4.2446306412329191</v>
      </c>
      <c r="H27">
        <f>LN(124.2)</f>
        <v>4.8218931694993783</v>
      </c>
      <c r="I27">
        <f t="shared" si="3"/>
        <v>6.5188023683470181E-2</v>
      </c>
      <c r="J27">
        <f t="shared" si="4"/>
        <v>2.0808766341808846E-3</v>
      </c>
      <c r="K27">
        <f t="shared" si="5"/>
        <v>2.7148468685211638E-3</v>
      </c>
      <c r="L27">
        <f t="shared" si="7"/>
        <v>26</v>
      </c>
      <c r="M27">
        <v>124.2</v>
      </c>
    </row>
    <row r="28" spans="1:13" x14ac:dyDescent="0.35">
      <c r="A28">
        <f t="shared" si="6"/>
        <v>2004</v>
      </c>
      <c r="B28">
        <v>242.4</v>
      </c>
      <c r="C28">
        <f t="shared" si="0"/>
        <v>5.4905892541951591</v>
      </c>
      <c r="D28">
        <v>125.4</v>
      </c>
      <c r="E28">
        <f t="shared" si="1"/>
        <v>-0.21185394279974712</v>
      </c>
      <c r="F28">
        <f t="shared" si="2"/>
        <v>2.1222590379951539E-3</v>
      </c>
      <c r="G28">
        <f>LN(242.4)</f>
        <v>5.4905892541951591</v>
      </c>
      <c r="H28">
        <f>LN(125.4)</f>
        <v>4.8315086281988204</v>
      </c>
      <c r="I28">
        <f t="shared" si="3"/>
        <v>7.3235106032990757E-2</v>
      </c>
      <c r="J28">
        <f t="shared" si="4"/>
        <v>2.0601292587854644E-3</v>
      </c>
      <c r="K28">
        <f t="shared" si="5"/>
        <v>2.6873338440665277E-3</v>
      </c>
      <c r="L28">
        <f t="shared" si="7"/>
        <v>27</v>
      </c>
      <c r="M28">
        <v>125.4</v>
      </c>
    </row>
    <row r="29" spans="1:13" x14ac:dyDescent="0.35">
      <c r="A29">
        <f t="shared" si="6"/>
        <v>2005</v>
      </c>
      <c r="B29">
        <v>2170</v>
      </c>
      <c r="C29">
        <f t="shared" si="0"/>
        <v>7.6824824465345056</v>
      </c>
      <c r="D29">
        <v>143.5</v>
      </c>
      <c r="E29">
        <f t="shared" si="1"/>
        <v>-0.19618145451081917</v>
      </c>
      <c r="F29">
        <f t="shared" si="2"/>
        <v>2.129055747304398E-3</v>
      </c>
      <c r="G29">
        <f>LN(2170)</f>
        <v>7.6824824465345056</v>
      </c>
      <c r="H29">
        <f>LN(143.5)</f>
        <v>4.966335035199676</v>
      </c>
      <c r="I29">
        <f t="shared" si="3"/>
        <v>0.18606999347198613</v>
      </c>
      <c r="J29">
        <f t="shared" si="4"/>
        <v>1.7827557399688861E-3</v>
      </c>
      <c r="K29">
        <f t="shared" si="5"/>
        <v>2.3134439155324308E-3</v>
      </c>
      <c r="L29">
        <f t="shared" si="7"/>
        <v>28</v>
      </c>
      <c r="M29">
        <v>143.5</v>
      </c>
    </row>
    <row r="30" spans="1:13" x14ac:dyDescent="0.35">
      <c r="A30">
        <f t="shared" si="6"/>
        <v>2006</v>
      </c>
      <c r="B30">
        <v>31.65</v>
      </c>
      <c r="C30">
        <f t="shared" si="0"/>
        <v>3.4547381485901854</v>
      </c>
      <c r="D30">
        <v>151</v>
      </c>
      <c r="E30">
        <f t="shared" si="1"/>
        <v>-0.18968732952921921</v>
      </c>
      <c r="F30">
        <f t="shared" si="2"/>
        <v>2.1317249983861838E-3</v>
      </c>
      <c r="G30">
        <f>LN(31.65)</f>
        <v>3.4547381485901854</v>
      </c>
      <c r="H30">
        <f>LN(151)</f>
        <v>5.0172798368149243</v>
      </c>
      <c r="I30">
        <f t="shared" si="3"/>
        <v>0.22870519442206419</v>
      </c>
      <c r="J30">
        <f t="shared" si="4"/>
        <v>1.6845961864752474E-3</v>
      </c>
      <c r="K30">
        <f t="shared" si="5"/>
        <v>2.1787144014711723E-3</v>
      </c>
      <c r="L30">
        <f t="shared" si="7"/>
        <v>29</v>
      </c>
      <c r="M30">
        <v>151</v>
      </c>
    </row>
    <row r="31" spans="1:13" x14ac:dyDescent="0.35">
      <c r="A31">
        <f t="shared" si="6"/>
        <v>2007</v>
      </c>
      <c r="B31">
        <v>82.53</v>
      </c>
      <c r="C31">
        <f t="shared" si="0"/>
        <v>4.4131618636045928</v>
      </c>
      <c r="D31">
        <v>177.5</v>
      </c>
      <c r="E31">
        <f t="shared" si="1"/>
        <v>-0.16674142126089928</v>
      </c>
      <c r="F31">
        <f t="shared" si="2"/>
        <v>2.1404600896093007E-3</v>
      </c>
      <c r="G31">
        <f>LN(82.53)</f>
        <v>4.4131618636045928</v>
      </c>
      <c r="H31">
        <f>LN(177.5)</f>
        <v>5.1789706089154706</v>
      </c>
      <c r="I31">
        <f t="shared" si="3"/>
        <v>0.36402260349441024</v>
      </c>
      <c r="J31">
        <f t="shared" si="4"/>
        <v>1.3972906539969465E-3</v>
      </c>
      <c r="K31">
        <f t="shared" si="5"/>
        <v>1.7788438474345746E-3</v>
      </c>
      <c r="L31">
        <f t="shared" si="7"/>
        <v>30</v>
      </c>
      <c r="M31">
        <v>177.5</v>
      </c>
    </row>
    <row r="32" spans="1:13" x14ac:dyDescent="0.35">
      <c r="A32">
        <f t="shared" si="6"/>
        <v>2008</v>
      </c>
      <c r="B32">
        <v>94.97</v>
      </c>
      <c r="C32">
        <f t="shared" si="0"/>
        <v>4.5535610522548611</v>
      </c>
      <c r="D32">
        <v>179</v>
      </c>
      <c r="E32">
        <f t="shared" si="1"/>
        <v>-0.16544259626457927</v>
      </c>
      <c r="F32">
        <f t="shared" si="2"/>
        <v>2.1409218889995134E-3</v>
      </c>
      <c r="G32">
        <f>LN(94.97)</f>
        <v>4.5535610522548611</v>
      </c>
      <c r="H32">
        <f>LN(179)</f>
        <v>5.1873858058407549</v>
      </c>
      <c r="I32">
        <f t="shared" si="3"/>
        <v>0.37106519862813214</v>
      </c>
      <c r="J32">
        <f t="shared" si="4"/>
        <v>1.3833410972570119E-3</v>
      </c>
      <c r="K32">
        <f t="shared" si="5"/>
        <v>1.7592663654708433E-3</v>
      </c>
      <c r="L32">
        <f t="shared" si="7"/>
        <v>31</v>
      </c>
      <c r="M32">
        <v>179</v>
      </c>
    </row>
    <row r="33" spans="1:13" x14ac:dyDescent="0.35">
      <c r="A33">
        <f t="shared" si="6"/>
        <v>2009</v>
      </c>
      <c r="B33">
        <v>102.74</v>
      </c>
      <c r="C33">
        <f t="shared" si="0"/>
        <v>4.6322015250391217</v>
      </c>
      <c r="D33">
        <v>184.8</v>
      </c>
      <c r="E33">
        <f t="shared" si="1"/>
        <v>-0.16042047294547529</v>
      </c>
      <c r="F33">
        <f t="shared" si="2"/>
        <v>2.1426744415075148E-3</v>
      </c>
      <c r="G33">
        <f>LN(102.74)</f>
        <v>4.6322015250391217</v>
      </c>
      <c r="H33">
        <f>LN(184.8)</f>
        <v>5.2192741592075835</v>
      </c>
      <c r="I33">
        <f t="shared" si="3"/>
        <v>0.39775224638679701</v>
      </c>
      <c r="J33">
        <f t="shared" si="4"/>
        <v>1.3313725416337081E-3</v>
      </c>
      <c r="K33">
        <f t="shared" si="5"/>
        <v>1.6862375991901141E-3</v>
      </c>
      <c r="L33">
        <f t="shared" si="7"/>
        <v>32</v>
      </c>
      <c r="M33">
        <v>184.8</v>
      </c>
    </row>
    <row r="34" spans="1:13" x14ac:dyDescent="0.35">
      <c r="A34">
        <f t="shared" si="6"/>
        <v>2010</v>
      </c>
      <c r="B34">
        <v>38.47</v>
      </c>
      <c r="C34">
        <f t="shared" si="0"/>
        <v>3.6498787167642037</v>
      </c>
      <c r="D34">
        <v>187.7</v>
      </c>
      <c r="E34">
        <f t="shared" si="1"/>
        <v>-0.15790941128592331</v>
      </c>
      <c r="F34">
        <f t="shared" si="2"/>
        <v>2.1435309817512279E-3</v>
      </c>
      <c r="G34">
        <f>LN(38.47)</f>
        <v>3.6498787167642037</v>
      </c>
      <c r="H34">
        <f>LN(187.7)</f>
        <v>5.2348449435924627</v>
      </c>
      <c r="I34">
        <f t="shared" si="3"/>
        <v>0.41078328194197244</v>
      </c>
      <c r="J34">
        <f t="shared" si="4"/>
        <v>1.3065074083017608E-3</v>
      </c>
      <c r="K34">
        <f t="shared" si="5"/>
        <v>1.6512499915658329E-3</v>
      </c>
      <c r="L34">
        <f t="shared" si="7"/>
        <v>33</v>
      </c>
      <c r="M34">
        <v>187.7</v>
      </c>
    </row>
    <row r="35" spans="1:13" x14ac:dyDescent="0.35">
      <c r="A35">
        <f t="shared" si="6"/>
        <v>2011</v>
      </c>
      <c r="B35">
        <v>77.760000000000005</v>
      </c>
      <c r="C35">
        <f t="shared" si="0"/>
        <v>4.3536271601521834</v>
      </c>
      <c r="D35">
        <v>194.7</v>
      </c>
      <c r="E35">
        <f t="shared" si="1"/>
        <v>-0.15184822796976333</v>
      </c>
      <c r="F35">
        <f t="shared" si="2"/>
        <v>2.145544163928544E-3</v>
      </c>
      <c r="G35">
        <f>LN(77.76)</f>
        <v>4.3536271601521834</v>
      </c>
      <c r="H35">
        <f>LN(194.7)</f>
        <v>5.2714599123781536</v>
      </c>
      <c r="I35">
        <f t="shared" si="3"/>
        <v>0.44142598742836536</v>
      </c>
      <c r="J35">
        <f t="shared" si="4"/>
        <v>1.2493482667359436E-3</v>
      </c>
      <c r="K35">
        <f t="shared" si="5"/>
        <v>1.5707329901280963E-3</v>
      </c>
      <c r="L35">
        <f t="shared" si="7"/>
        <v>34</v>
      </c>
      <c r="M35">
        <v>194.7</v>
      </c>
    </row>
    <row r="36" spans="1:13" x14ac:dyDescent="0.35">
      <c r="A36">
        <f t="shared" si="6"/>
        <v>2012</v>
      </c>
      <c r="B36">
        <v>23.88</v>
      </c>
      <c r="C36">
        <f t="shared" si="0"/>
        <v>3.1730412885244013</v>
      </c>
      <c r="D36">
        <v>232</v>
      </c>
      <c r="E36">
        <f t="shared" si="1"/>
        <v>-0.11955077972793943</v>
      </c>
      <c r="F36">
        <f t="shared" si="2"/>
        <v>2.1549681791379642E-3</v>
      </c>
      <c r="G36">
        <f>LN(23.88)</f>
        <v>3.1730412885244013</v>
      </c>
      <c r="H36">
        <f>LN(232)</f>
        <v>5.4467373716663099</v>
      </c>
      <c r="I36">
        <f t="shared" si="3"/>
        <v>0.58811396072165878</v>
      </c>
      <c r="J36">
        <f t="shared" si="4"/>
        <v>1.0006486558042111E-3</v>
      </c>
      <c r="K36">
        <f t="shared" si="5"/>
        <v>1.2200770836842661E-3</v>
      </c>
      <c r="L36">
        <f t="shared" si="7"/>
        <v>35</v>
      </c>
      <c r="M36">
        <v>232</v>
      </c>
    </row>
    <row r="37" spans="1:13" x14ac:dyDescent="0.35">
      <c r="A37">
        <f t="shared" si="6"/>
        <v>2013</v>
      </c>
      <c r="B37">
        <v>115.6</v>
      </c>
      <c r="C37">
        <f t="shared" si="0"/>
        <v>4.7501359562382772</v>
      </c>
      <c r="D37">
        <v>242.4</v>
      </c>
      <c r="E37">
        <f t="shared" si="1"/>
        <v>-0.11054559308678746</v>
      </c>
      <c r="F37">
        <f t="shared" si="2"/>
        <v>2.157201948590605E-3</v>
      </c>
      <c r="G37">
        <f>LN(115.6)</f>
        <v>4.7501359562382772</v>
      </c>
      <c r="H37">
        <f>LN(242.4)</f>
        <v>5.4905892541951591</v>
      </c>
      <c r="I37">
        <f t="shared" si="3"/>
        <v>0.62481316779241713</v>
      </c>
      <c r="J37">
        <f t="shared" si="4"/>
        <v>9.4467890948779487E-4</v>
      </c>
      <c r="K37">
        <f t="shared" si="5"/>
        <v>1.1414084606756808E-3</v>
      </c>
      <c r="L37">
        <f t="shared" si="7"/>
        <v>36</v>
      </c>
      <c r="M37">
        <v>242.4</v>
      </c>
    </row>
    <row r="38" spans="1:13" x14ac:dyDescent="0.35">
      <c r="A38">
        <f t="shared" si="6"/>
        <v>2014</v>
      </c>
      <c r="B38">
        <v>88.64</v>
      </c>
      <c r="C38">
        <f t="shared" si="0"/>
        <v>4.4845832229989737</v>
      </c>
      <c r="D38">
        <v>333.3</v>
      </c>
      <c r="E38">
        <f t="shared" si="1"/>
        <v>-3.1836798309795709E-2</v>
      </c>
      <c r="F38">
        <f t="shared" si="2"/>
        <v>2.1693234852336101E-3</v>
      </c>
      <c r="G38">
        <f>LN(88.64)</f>
        <v>4.4845832229989737</v>
      </c>
      <c r="H38">
        <f>LN(333.3)</f>
        <v>5.8090429853136945</v>
      </c>
      <c r="I38">
        <f t="shared" si="3"/>
        <v>0.89132394787320668</v>
      </c>
      <c r="J38">
        <f t="shared" si="4"/>
        <v>6.0701273592493176E-4</v>
      </c>
      <c r="K38">
        <f t="shared" si="5"/>
        <v>6.7492879866235813E-4</v>
      </c>
      <c r="L38">
        <f t="shared" si="7"/>
        <v>37</v>
      </c>
      <c r="M38">
        <v>333.3</v>
      </c>
    </row>
    <row r="39" spans="1:13" x14ac:dyDescent="0.35">
      <c r="A39">
        <f t="shared" si="6"/>
        <v>2015</v>
      </c>
      <c r="B39">
        <v>125.4</v>
      </c>
      <c r="C39">
        <f t="shared" si="0"/>
        <v>4.8315086281988204</v>
      </c>
      <c r="D39">
        <v>344</v>
      </c>
      <c r="E39">
        <f t="shared" si="1"/>
        <v>-2.2571846669379753E-2</v>
      </c>
      <c r="F39">
        <f t="shared" si="2"/>
        <v>2.1698703250410119E-3</v>
      </c>
      <c r="G39">
        <f>LN(125.4)</f>
        <v>4.8315086281988204</v>
      </c>
      <c r="H39">
        <f>LN(344)</f>
        <v>5.8406416573733981</v>
      </c>
      <c r="I39">
        <f t="shared" si="3"/>
        <v>0.91776856420905373</v>
      </c>
      <c r="J39">
        <f t="shared" si="4"/>
        <v>5.7959697317857975E-4</v>
      </c>
      <c r="K39">
        <f t="shared" si="5"/>
        <v>6.3810648334205881E-4</v>
      </c>
      <c r="L39">
        <f t="shared" si="7"/>
        <v>38</v>
      </c>
      <c r="M39">
        <v>344</v>
      </c>
    </row>
    <row r="40" spans="1:13" x14ac:dyDescent="0.35">
      <c r="A40">
        <f t="shared" si="6"/>
        <v>2016</v>
      </c>
      <c r="B40">
        <v>71.260000000000005</v>
      </c>
      <c r="C40">
        <f t="shared" si="0"/>
        <v>4.2663351601776904</v>
      </c>
      <c r="D40">
        <v>505.6</v>
      </c>
      <c r="E40">
        <f t="shared" si="1"/>
        <v>0.1173548996008278</v>
      </c>
      <c r="F40">
        <f t="shared" si="2"/>
        <v>2.1555287770159116E-3</v>
      </c>
      <c r="G40">
        <f>LN(71.26)</f>
        <v>4.2663351601776904</v>
      </c>
      <c r="H40">
        <f>LN(729.1)</f>
        <v>6.591810896812385</v>
      </c>
      <c r="I40">
        <f t="shared" si="3"/>
        <v>1.5464146763849569</v>
      </c>
      <c r="J40">
        <f t="shared" si="4"/>
        <v>1.7068281046680032E-4</v>
      </c>
      <c r="K40">
        <f t="shared" si="5"/>
        <v>1.3617070025201283E-4</v>
      </c>
      <c r="L40">
        <f t="shared" si="7"/>
        <v>39</v>
      </c>
      <c r="M40">
        <v>729.1</v>
      </c>
    </row>
    <row r="41" spans="1:13" x14ac:dyDescent="0.35">
      <c r="A41">
        <f t="shared" si="6"/>
        <v>2017</v>
      </c>
      <c r="B41">
        <v>7290.71</v>
      </c>
      <c r="C41">
        <f t="shared" si="0"/>
        <v>8.8943562139502319</v>
      </c>
      <c r="D41">
        <v>1155</v>
      </c>
      <c r="E41">
        <f t="shared" si="1"/>
        <v>0.67965953467429796</v>
      </c>
      <c r="F41">
        <f t="shared" si="2"/>
        <v>1.7228047137897488E-3</v>
      </c>
      <c r="G41">
        <f>LN(7290.71)</f>
        <v>8.8943562139502319</v>
      </c>
      <c r="H41">
        <f>LN(1155)</f>
        <v>7.0518556229558937</v>
      </c>
      <c r="I41">
        <f t="shared" si="3"/>
        <v>1.9314215607631549</v>
      </c>
      <c r="J41">
        <f t="shared" si="4"/>
        <v>7.1787898140454541E-5</v>
      </c>
      <c r="K41">
        <f t="shared" si="5"/>
        <v>4.3295657611515926E-5</v>
      </c>
      <c r="L41">
        <f t="shared" si="7"/>
        <v>40</v>
      </c>
      <c r="M41">
        <v>1155</v>
      </c>
    </row>
    <row r="42" spans="1:13" x14ac:dyDescent="0.35">
      <c r="A42">
        <f t="shared" si="6"/>
        <v>2018</v>
      </c>
      <c r="B42">
        <v>45.3</v>
      </c>
      <c r="C42">
        <f t="shared" si="0"/>
        <v>3.8133070324889884</v>
      </c>
      <c r="D42">
        <v>2170</v>
      </c>
      <c r="E42">
        <f t="shared" si="1"/>
        <v>1.558531115517495</v>
      </c>
      <c r="F42">
        <f t="shared" si="2"/>
        <v>6.4430216206286391E-4</v>
      </c>
      <c r="G42">
        <f>LN(45.3)</f>
        <v>3.8133070324889884</v>
      </c>
      <c r="H42">
        <f>LN(2170)</f>
        <v>7.6824824465345056</v>
      </c>
      <c r="I42">
        <f t="shared" si="3"/>
        <v>2.4591869165072437</v>
      </c>
      <c r="J42">
        <f t="shared" si="4"/>
        <v>1.894624505333442E-5</v>
      </c>
      <c r="K42">
        <f t="shared" si="5"/>
        <v>7.0327853166291146E-6</v>
      </c>
      <c r="L42">
        <f t="shared" si="7"/>
        <v>41</v>
      </c>
      <c r="M42">
        <v>2170</v>
      </c>
    </row>
    <row r="43" spans="1:13" x14ac:dyDescent="0.35">
      <c r="A43">
        <f t="shared" si="6"/>
        <v>2019</v>
      </c>
      <c r="B43">
        <v>14.76</v>
      </c>
      <c r="C43">
        <f t="shared" si="0"/>
        <v>2.6919208191723265</v>
      </c>
      <c r="D43">
        <v>7290.71</v>
      </c>
      <c r="E43">
        <f t="shared" si="1"/>
        <v>5.9924685467880048</v>
      </c>
      <c r="F43">
        <f t="shared" si="2"/>
        <v>3.4582519812665989E-11</v>
      </c>
      <c r="G43">
        <f>LN(14.76)</f>
        <v>2.6919208191723265</v>
      </c>
      <c r="H43">
        <f>LN(7290.71)</f>
        <v>8.8943562139502319</v>
      </c>
      <c r="I43">
        <f t="shared" si="3"/>
        <v>3.4733920946943107</v>
      </c>
      <c r="J43">
        <f t="shared" si="4"/>
        <v>9.1518195531076116E-7</v>
      </c>
      <c r="K43">
        <f t="shared" si="5"/>
        <v>9.6035485005182649E-8</v>
      </c>
      <c r="L43">
        <f t="shared" si="7"/>
        <v>42</v>
      </c>
      <c r="M43">
        <v>7290.71</v>
      </c>
    </row>
    <row r="44" spans="1:13" x14ac:dyDescent="0.35">
      <c r="A44">
        <f t="shared" si="6"/>
        <v>2020</v>
      </c>
      <c r="B44">
        <v>0</v>
      </c>
      <c r="J44">
        <f>PRODUCT(J2:J43)</f>
        <v>2.9176380681243466E-117</v>
      </c>
      <c r="K44">
        <f>PRODUCT(K2:K43)</f>
        <v>3.6057803208996386E-116</v>
      </c>
    </row>
    <row r="45" spans="1:13" x14ac:dyDescent="0.35">
      <c r="A45">
        <f t="shared" si="6"/>
        <v>2021</v>
      </c>
      <c r="B45">
        <v>0</v>
      </c>
    </row>
    <row r="46" spans="1:13" x14ac:dyDescent="0.35">
      <c r="A46">
        <f>A45+1</f>
        <v>2022</v>
      </c>
      <c r="B46">
        <v>0</v>
      </c>
    </row>
    <row r="47" spans="1:13" x14ac:dyDescent="0.35">
      <c r="B47">
        <f>AVERAGE(B2:B43)</f>
        <v>370.06833333333333</v>
      </c>
      <c r="H47">
        <f>AVERAGE(H2:H43)</f>
        <v>4.7440325103898573</v>
      </c>
    </row>
    <row r="48" spans="1:13" x14ac:dyDescent="0.35">
      <c r="B48">
        <f>_xlfn.STDEV.S(B2:B43)</f>
        <v>1154.8897962564024</v>
      </c>
      <c r="H48">
        <f>_xlfn.STDEV.S(H2:H43)</f>
        <v>1.1949126912337291</v>
      </c>
    </row>
    <row r="68" spans="1:6" x14ac:dyDescent="0.35">
      <c r="A68" s="3" t="s">
        <v>8</v>
      </c>
      <c r="B68" s="3"/>
      <c r="C68" s="3"/>
      <c r="D68" s="3"/>
      <c r="E68" s="3"/>
      <c r="F68" s="3"/>
    </row>
    <row r="69" spans="1:6" x14ac:dyDescent="0.35">
      <c r="A69" s="3" t="s">
        <v>9</v>
      </c>
      <c r="B69" s="3"/>
      <c r="C69" s="4"/>
      <c r="D69" s="4"/>
      <c r="E69" s="4"/>
      <c r="F69" s="4"/>
    </row>
    <row r="70" spans="1:6" x14ac:dyDescent="0.35">
      <c r="A70" s="4" t="s">
        <v>10</v>
      </c>
      <c r="B70" s="4">
        <f>1/B47</f>
        <v>2.7022036470741892E-3</v>
      </c>
      <c r="C70" s="4"/>
      <c r="D70" s="4"/>
      <c r="E70" s="4"/>
      <c r="F70" s="4"/>
    </row>
    <row r="71" spans="1:6" x14ac:dyDescent="0.35">
      <c r="A71" s="4"/>
      <c r="B71" s="4"/>
      <c r="C71" s="4"/>
      <c r="D71" s="4"/>
      <c r="E71" s="4"/>
      <c r="F71" s="4"/>
    </row>
    <row r="72" spans="1:6" x14ac:dyDescent="0.35">
      <c r="A72" s="3" t="s">
        <v>11</v>
      </c>
      <c r="B72" s="3"/>
      <c r="C72" s="3"/>
      <c r="D72" s="3"/>
      <c r="E72" s="3"/>
      <c r="F72" s="4"/>
    </row>
    <row r="73" spans="1:6" x14ac:dyDescent="0.35">
      <c r="A73" s="3" t="s">
        <v>12</v>
      </c>
      <c r="B73" s="3"/>
      <c r="C73" s="3"/>
      <c r="D73" s="3"/>
      <c r="E73" s="3"/>
      <c r="F73" s="4"/>
    </row>
    <row r="74" spans="1:6" x14ac:dyDescent="0.35">
      <c r="A74" s="4" t="s">
        <v>13</v>
      </c>
      <c r="B74" s="4">
        <f>B47/B48^2</f>
        <v>2.7746028988161734E-4</v>
      </c>
      <c r="C74" s="4"/>
      <c r="D74" s="4"/>
      <c r="E74" s="4"/>
      <c r="F74" s="4"/>
    </row>
    <row r="75" spans="1:6" x14ac:dyDescent="0.35">
      <c r="A75" s="3" t="s">
        <v>15</v>
      </c>
      <c r="B75" s="3"/>
      <c r="C75" s="3"/>
      <c r="D75" s="3"/>
      <c r="E75" s="3"/>
      <c r="F75" s="4"/>
    </row>
    <row r="76" spans="1:6" x14ac:dyDescent="0.35">
      <c r="A76" s="4" t="s">
        <v>14</v>
      </c>
      <c r="B76" s="4">
        <f>B74*B47</f>
        <v>0.10267926704267366</v>
      </c>
      <c r="C76" s="4"/>
      <c r="D76" s="4"/>
      <c r="E76" s="4"/>
      <c r="F76" s="4"/>
    </row>
    <row r="78" spans="1:6" x14ac:dyDescent="0.35">
      <c r="A78" s="3" t="s">
        <v>20</v>
      </c>
      <c r="B78" s="3"/>
      <c r="C78" s="3"/>
      <c r="D78" s="3"/>
      <c r="E78" s="3"/>
    </row>
    <row r="79" spans="1:6" x14ac:dyDescent="0.35">
      <c r="A79" s="3" t="s">
        <v>16</v>
      </c>
      <c r="B79" s="3"/>
      <c r="C79" s="3"/>
      <c r="D79" s="3"/>
      <c r="E79" s="3"/>
    </row>
    <row r="80" spans="1:6" x14ac:dyDescent="0.35">
      <c r="A80" s="4" t="s">
        <v>17</v>
      </c>
      <c r="B80" s="4">
        <f>(B48^2/1.645)^0.5</f>
        <v>900.44583401683326</v>
      </c>
      <c r="C80" s="4"/>
      <c r="D80" s="4"/>
      <c r="E80" s="4"/>
    </row>
    <row r="81" spans="1:5" x14ac:dyDescent="0.35">
      <c r="A81" s="3" t="s">
        <v>18</v>
      </c>
      <c r="B81" s="3"/>
      <c r="C81" s="3"/>
      <c r="D81" s="3"/>
      <c r="E81" s="3"/>
    </row>
    <row r="82" spans="1:5" x14ac:dyDescent="0.35">
      <c r="A82" s="4" t="s">
        <v>19</v>
      </c>
      <c r="B82" s="4">
        <f>B47-0.577*B80</f>
        <v>-149.48891289437944</v>
      </c>
      <c r="C82" s="4"/>
      <c r="D82" s="4"/>
      <c r="E82" s="4"/>
    </row>
    <row r="84" spans="1:5" x14ac:dyDescent="0.35">
      <c r="A84" s="3" t="s">
        <v>21</v>
      </c>
      <c r="B84" s="3"/>
      <c r="C84" s="3"/>
      <c r="D84" s="3"/>
      <c r="E84" s="3"/>
    </row>
    <row r="85" spans="1:5" x14ac:dyDescent="0.35">
      <c r="A85" s="3" t="s">
        <v>22</v>
      </c>
      <c r="B85" s="3"/>
      <c r="C85" s="3"/>
      <c r="D85" s="3"/>
      <c r="E85" s="3"/>
    </row>
    <row r="86" spans="1:5" x14ac:dyDescent="0.35">
      <c r="A86" s="3" t="s">
        <v>23</v>
      </c>
      <c r="B86" s="3"/>
      <c r="C86" s="3"/>
      <c r="D86" s="3"/>
      <c r="E86" s="3"/>
    </row>
    <row r="87" spans="1:5" x14ac:dyDescent="0.35">
      <c r="A87" s="4" t="s">
        <v>25</v>
      </c>
      <c r="B87" s="4">
        <f>(LN(1+(B48/B47)^2))^0.5</f>
        <v>1.5407426705603444</v>
      </c>
      <c r="C87" s="4"/>
      <c r="D87" s="4"/>
      <c r="E87" s="4"/>
    </row>
    <row r="88" spans="1:5" x14ac:dyDescent="0.35">
      <c r="A88" s="3" t="s">
        <v>27</v>
      </c>
      <c r="B88" s="3"/>
      <c r="C88" s="3"/>
      <c r="D88" s="3"/>
      <c r="E88" s="3"/>
    </row>
    <row r="89" spans="1:5" x14ac:dyDescent="0.35">
      <c r="A89" s="3" t="s">
        <v>29</v>
      </c>
      <c r="B89" s="3"/>
      <c r="C89" s="3"/>
      <c r="D89" s="3"/>
      <c r="E89" s="3"/>
    </row>
    <row r="90" spans="1:5" x14ac:dyDescent="0.35">
      <c r="A90" s="4" t="s">
        <v>28</v>
      </c>
      <c r="B90" s="4">
        <f>LN(B47)-B87^2/2</f>
        <v>4.7267436848281266</v>
      </c>
      <c r="C90" s="4"/>
      <c r="D90" s="4"/>
      <c r="E90" s="4"/>
    </row>
    <row r="91" spans="1:5" x14ac:dyDescent="0.35">
      <c r="A91" s="4"/>
      <c r="B91" s="4"/>
      <c r="C91" s="4"/>
      <c r="D91" s="4"/>
      <c r="E91" s="4"/>
    </row>
    <row r="92" spans="1:5" x14ac:dyDescent="0.35">
      <c r="A92" s="3" t="s">
        <v>30</v>
      </c>
      <c r="B92" s="3"/>
      <c r="C92" s="3"/>
      <c r="D92" s="3"/>
      <c r="E92" s="3"/>
    </row>
    <row r="93" spans="1:5" x14ac:dyDescent="0.35">
      <c r="A93" s="3" t="s">
        <v>31</v>
      </c>
      <c r="B93" s="3"/>
      <c r="C93" s="3"/>
      <c r="D93" s="3"/>
      <c r="E93" s="3"/>
    </row>
    <row r="94" spans="1:5" x14ac:dyDescent="0.35">
      <c r="A94" s="4" t="s">
        <v>26</v>
      </c>
      <c r="B94" s="4">
        <f>AVERAGE(H2:H43)</f>
        <v>4.7440325103898573</v>
      </c>
      <c r="C94" s="4"/>
      <c r="D94" s="4"/>
      <c r="E94" s="4"/>
    </row>
    <row r="95" spans="1:5" x14ac:dyDescent="0.35">
      <c r="A95" s="3" t="s">
        <v>32</v>
      </c>
      <c r="B95" s="3"/>
      <c r="C95" s="3"/>
      <c r="D95" s="3"/>
      <c r="E95" s="3"/>
    </row>
    <row r="96" spans="1:5" x14ac:dyDescent="0.35">
      <c r="A96" s="4" t="s">
        <v>24</v>
      </c>
      <c r="B96" s="4">
        <f>(H48^2*41/42)^0.5</f>
        <v>1.1806018433563448</v>
      </c>
      <c r="C96" s="4"/>
      <c r="D96" s="4"/>
      <c r="E96" s="4"/>
    </row>
    <row r="98" spans="1:6" x14ac:dyDescent="0.35">
      <c r="A98" t="s">
        <v>35</v>
      </c>
    </row>
    <row r="100" spans="1:6" x14ac:dyDescent="0.35">
      <c r="A100" s="1" t="s">
        <v>45</v>
      </c>
      <c r="B100" s="1"/>
      <c r="C100" s="1"/>
      <c r="D100" s="1"/>
      <c r="E100" s="1"/>
      <c r="F100" s="1"/>
    </row>
    <row r="101" spans="1:6" x14ac:dyDescent="0.35">
      <c r="A101" s="1" t="s">
        <v>36</v>
      </c>
      <c r="B101" s="1"/>
      <c r="C101" s="1"/>
      <c r="D101" s="1"/>
      <c r="E101" s="1"/>
      <c r="F101" s="1"/>
    </row>
    <row r="102" spans="1:6" x14ac:dyDescent="0.35">
      <c r="A102" s="1" t="s">
        <v>37</v>
      </c>
      <c r="B102" s="1"/>
      <c r="C102" s="2" t="s">
        <v>42</v>
      </c>
      <c r="D102" s="1" t="s">
        <v>43</v>
      </c>
      <c r="E102" s="2" t="s">
        <v>44</v>
      </c>
      <c r="F102" s="2" t="s">
        <v>46</v>
      </c>
    </row>
    <row r="103" spans="1:6" x14ac:dyDescent="0.35">
      <c r="A103" t="s">
        <v>38</v>
      </c>
      <c r="B103" t="s">
        <v>39</v>
      </c>
      <c r="C103" s="1"/>
      <c r="D103" s="1"/>
      <c r="E103" s="1"/>
      <c r="F103" s="1"/>
    </row>
    <row r="104" spans="1:6" x14ac:dyDescent="0.35">
      <c r="A104">
        <v>0</v>
      </c>
      <c r="B104">
        <v>100</v>
      </c>
      <c r="C104">
        <v>21</v>
      </c>
      <c r="D104">
        <f>C104/42</f>
        <v>0.5</v>
      </c>
      <c r="E104">
        <f>EXP(-0.0027*A104)-EXP(-0.0027*B104)</f>
        <v>0.23662050566314685</v>
      </c>
      <c r="F104">
        <f>(42*(D104-E104)^2)/E104</f>
        <v>12.312913580310639</v>
      </c>
    </row>
    <row r="105" spans="1:6" x14ac:dyDescent="0.35">
      <c r="A105">
        <v>100</v>
      </c>
      <c r="B105">
        <v>200</v>
      </c>
      <c r="C105">
        <v>13</v>
      </c>
      <c r="D105">
        <f t="shared" ref="D105:D108" si="8">C105/42</f>
        <v>0.30952380952380953</v>
      </c>
      <c r="E105">
        <f t="shared" ref="E105:E106" si="9">EXP(-0.0027*A105)-EXP(-0.0027*B105)</f>
        <v>0.18063124196286351</v>
      </c>
      <c r="F105">
        <f t="shared" ref="F105:F108" si="10">(42*(D105-E105)^2)/E105</f>
        <v>3.8628884973646009</v>
      </c>
    </row>
    <row r="106" spans="1:6" x14ac:dyDescent="0.35">
      <c r="A106">
        <v>200</v>
      </c>
      <c r="B106">
        <v>300</v>
      </c>
      <c r="C106">
        <v>2</v>
      </c>
      <c r="D106">
        <f t="shared" si="8"/>
        <v>4.7619047619047616E-2</v>
      </c>
      <c r="E106">
        <f t="shared" si="9"/>
        <v>0.13789018615104853</v>
      </c>
      <c r="F106">
        <f t="shared" si="10"/>
        <v>2.4820685541998082</v>
      </c>
    </row>
    <row r="107" spans="1:6" x14ac:dyDescent="0.35">
      <c r="A107">
        <v>300</v>
      </c>
      <c r="B107">
        <v>400</v>
      </c>
      <c r="C107">
        <v>2</v>
      </c>
      <c r="D107">
        <f t="shared" si="8"/>
        <v>4.7619047619047616E-2</v>
      </c>
      <c r="E107">
        <f>EXP(-0.0027*A107)-EXP(-0.0027*B107)</f>
        <v>0.105262540578002</v>
      </c>
      <c r="F107">
        <f t="shared" si="10"/>
        <v>1.3257939150534221</v>
      </c>
    </row>
    <row r="108" spans="1:6" x14ac:dyDescent="0.35">
      <c r="A108">
        <v>400</v>
      </c>
      <c r="B108" t="s">
        <v>40</v>
      </c>
      <c r="C108">
        <v>4</v>
      </c>
      <c r="D108">
        <f t="shared" si="8"/>
        <v>9.5238095238095233E-2</v>
      </c>
      <c r="E108">
        <f>EXP(-0.0027*A108)</f>
        <v>0.33959552564493911</v>
      </c>
      <c r="F108">
        <f t="shared" si="10"/>
        <v>7.3847947632076423</v>
      </c>
    </row>
    <row r="109" spans="1:6" x14ac:dyDescent="0.35">
      <c r="C109" t="s">
        <v>41</v>
      </c>
      <c r="F109">
        <f>SUM(F104:F108)</f>
        <v>27.36845931013611</v>
      </c>
    </row>
    <row r="110" spans="1:6" x14ac:dyDescent="0.35">
      <c r="A110" s="1" t="s">
        <v>47</v>
      </c>
      <c r="B110" s="1"/>
      <c r="C110" s="1"/>
      <c r="D110" s="1"/>
      <c r="E110" s="1"/>
      <c r="F110" s="1"/>
    </row>
    <row r="111" spans="1:6" x14ac:dyDescent="0.35">
      <c r="A111" s="1" t="s">
        <v>49</v>
      </c>
      <c r="B111" s="1"/>
      <c r="C111" s="1"/>
      <c r="D111" s="1"/>
      <c r="E111" s="1"/>
      <c r="F111" s="1"/>
    </row>
    <row r="112" spans="1:6" x14ac:dyDescent="0.35">
      <c r="A112" s="1" t="s">
        <v>48</v>
      </c>
      <c r="B112" s="1"/>
      <c r="C112" s="1"/>
      <c r="D112" s="1"/>
      <c r="E112" s="1"/>
      <c r="F112" s="1"/>
    </row>
    <row r="113" spans="1:6" x14ac:dyDescent="0.35">
      <c r="A113" s="1" t="s">
        <v>58</v>
      </c>
      <c r="B113" s="1"/>
      <c r="C113" s="1"/>
      <c r="D113" s="1"/>
      <c r="E113" s="1"/>
      <c r="F113" s="1"/>
    </row>
    <row r="114" spans="1:6" x14ac:dyDescent="0.35">
      <c r="A114" s="1" t="s">
        <v>50</v>
      </c>
      <c r="B114" s="1"/>
      <c r="C114" s="1"/>
      <c r="D114" s="1"/>
      <c r="E114" s="1"/>
      <c r="F114" s="1"/>
    </row>
    <row r="116" spans="1:6" x14ac:dyDescent="0.35">
      <c r="A116" s="1" t="s">
        <v>51</v>
      </c>
      <c r="B116" s="1"/>
      <c r="C116" s="1"/>
      <c r="D116" s="1"/>
      <c r="E116" s="1"/>
      <c r="F116" s="1"/>
    </row>
    <row r="117" spans="1:6" x14ac:dyDescent="0.35">
      <c r="A117" t="s">
        <v>52</v>
      </c>
      <c r="B117" t="s">
        <v>53</v>
      </c>
      <c r="C117" t="s">
        <v>54</v>
      </c>
      <c r="D117" t="s">
        <v>55</v>
      </c>
      <c r="E117" t="s">
        <v>56</v>
      </c>
    </row>
    <row r="118" spans="1:6" x14ac:dyDescent="0.35">
      <c r="A118">
        <v>100</v>
      </c>
      <c r="B118">
        <v>21</v>
      </c>
      <c r="C118">
        <f>B118/42</f>
        <v>0.5</v>
      </c>
      <c r="D118">
        <f>1-EXP(-0.0027*A118)</f>
        <v>0.23662050566314685</v>
      </c>
      <c r="E118">
        <f>ABS(C118-D118)</f>
        <v>0.26337949433685315</v>
      </c>
    </row>
    <row r="119" spans="1:6" x14ac:dyDescent="0.35">
      <c r="A119">
        <v>200</v>
      </c>
      <c r="B119">
        <v>34</v>
      </c>
      <c r="C119">
        <f t="shared" ref="C119:C121" si="11">B119/42</f>
        <v>0.80952380952380953</v>
      </c>
      <c r="D119">
        <f t="shared" ref="D119:D121" si="12">1-EXP(-0.0027*A119)</f>
        <v>0.41725174762601036</v>
      </c>
      <c r="E119">
        <f t="shared" ref="E119:E121" si="13">ABS(C119-D119)</f>
        <v>0.39227206189779917</v>
      </c>
    </row>
    <row r="120" spans="1:6" x14ac:dyDescent="0.35">
      <c r="A120">
        <v>300</v>
      </c>
      <c r="B120">
        <v>36</v>
      </c>
      <c r="C120">
        <f t="shared" si="11"/>
        <v>0.8571428571428571</v>
      </c>
      <c r="D120">
        <f t="shared" si="12"/>
        <v>0.55514193377705889</v>
      </c>
      <c r="E120">
        <f t="shared" si="13"/>
        <v>0.3020009233657982</v>
      </c>
    </row>
    <row r="121" spans="1:6" x14ac:dyDescent="0.35">
      <c r="A121">
        <v>400</v>
      </c>
      <c r="B121">
        <v>38</v>
      </c>
      <c r="C121">
        <f t="shared" si="11"/>
        <v>0.90476190476190477</v>
      </c>
      <c r="D121">
        <f t="shared" si="12"/>
        <v>0.66040447435506089</v>
      </c>
      <c r="E121">
        <f t="shared" si="13"/>
        <v>0.24435743040684388</v>
      </c>
    </row>
    <row r="122" spans="1:6" x14ac:dyDescent="0.35">
      <c r="A122" s="1" t="s">
        <v>57</v>
      </c>
      <c r="B122" s="1"/>
      <c r="C122" s="1"/>
      <c r="D122" s="1"/>
      <c r="E122" s="1"/>
    </row>
    <row r="123" spans="1:6" x14ac:dyDescent="0.35">
      <c r="A123" s="1" t="s">
        <v>59</v>
      </c>
      <c r="B123" s="1"/>
      <c r="C123" s="1"/>
      <c r="D123" s="1"/>
      <c r="E123" s="1"/>
    </row>
    <row r="124" spans="1:6" x14ac:dyDescent="0.35">
      <c r="A124" s="1" t="s">
        <v>60</v>
      </c>
      <c r="B124" s="1"/>
      <c r="C124" s="1"/>
      <c r="D124" s="1"/>
      <c r="E124" s="1"/>
    </row>
    <row r="125" spans="1:6" x14ac:dyDescent="0.35">
      <c r="A125" t="s">
        <v>61</v>
      </c>
    </row>
    <row r="128" spans="1:6" x14ac:dyDescent="0.35">
      <c r="A128" s="1" t="s">
        <v>62</v>
      </c>
      <c r="B128" s="1"/>
      <c r="C128" s="1"/>
      <c r="D128" s="1"/>
      <c r="E128" s="1"/>
      <c r="F128" s="1"/>
    </row>
    <row r="129" spans="1:8" x14ac:dyDescent="0.35">
      <c r="A129" s="1" t="s">
        <v>36</v>
      </c>
      <c r="B129" s="1"/>
      <c r="C129" s="1"/>
      <c r="D129" s="1"/>
      <c r="E129" s="1"/>
      <c r="F129" s="1"/>
    </row>
    <row r="130" spans="1:8" x14ac:dyDescent="0.35">
      <c r="A130" s="1" t="s">
        <v>37</v>
      </c>
      <c r="B130" s="1"/>
      <c r="C130" s="2" t="s">
        <v>42</v>
      </c>
      <c r="D130" s="1" t="s">
        <v>43</v>
      </c>
      <c r="E130" s="2" t="s">
        <v>63</v>
      </c>
      <c r="F130" s="2" t="s">
        <v>64</v>
      </c>
      <c r="G130" s="2" t="s">
        <v>65</v>
      </c>
      <c r="H130" s="2" t="s">
        <v>46</v>
      </c>
    </row>
    <row r="131" spans="1:8" x14ac:dyDescent="0.35">
      <c r="A131" t="s">
        <v>38</v>
      </c>
      <c r="B131" t="s">
        <v>39</v>
      </c>
      <c r="C131" s="1"/>
      <c r="D131" s="1"/>
      <c r="E131" s="1"/>
      <c r="F131" s="1"/>
      <c r="G131" s="1"/>
      <c r="H131" s="1"/>
    </row>
    <row r="132" spans="1:8" x14ac:dyDescent="0.35">
      <c r="A132">
        <v>0</v>
      </c>
      <c r="B132">
        <v>100</v>
      </c>
      <c r="C132">
        <v>21</v>
      </c>
      <c r="D132">
        <f>C132/42</f>
        <v>0.5</v>
      </c>
      <c r="E132">
        <f>(A132-370.068)/1154.89</f>
        <v>-0.32043571249209879</v>
      </c>
      <c r="F132">
        <f>(B132-370.068)/1154.89</f>
        <v>-0.23384737940409905</v>
      </c>
      <c r="G132">
        <v>4.1000000000000002E-2</v>
      </c>
      <c r="H132">
        <f>(42*(D132-G132)^2)/G132</f>
        <v>215.81956097560973</v>
      </c>
    </row>
    <row r="133" spans="1:8" x14ac:dyDescent="0.35">
      <c r="A133">
        <v>100</v>
      </c>
      <c r="B133">
        <v>200</v>
      </c>
      <c r="C133">
        <v>13</v>
      </c>
      <c r="D133">
        <f t="shared" ref="D133:D136" si="14">C133/42</f>
        <v>0.30952380952380953</v>
      </c>
      <c r="E133">
        <f t="shared" ref="E133:E136" si="15">(A133-370.068)/1154.89</f>
        <v>-0.23384737940409905</v>
      </c>
      <c r="F133">
        <f t="shared" ref="F133:F135" si="16">(B133-370.068)/1154.89</f>
        <v>-0.14725904631609935</v>
      </c>
      <c r="G133">
        <v>3.4000000000000002E-2</v>
      </c>
      <c r="H133">
        <f t="shared" ref="H133:H136" si="17">(42*(D133-G133)^2)/G133</f>
        <v>93.775338935574212</v>
      </c>
    </row>
    <row r="134" spans="1:8" x14ac:dyDescent="0.35">
      <c r="A134">
        <v>200</v>
      </c>
      <c r="B134">
        <v>300</v>
      </c>
      <c r="C134">
        <v>2</v>
      </c>
      <c r="D134">
        <f t="shared" si="14"/>
        <v>4.7619047619047616E-2</v>
      </c>
      <c r="E134">
        <f t="shared" si="15"/>
        <v>-0.14725904631609935</v>
      </c>
      <c r="F134">
        <f t="shared" si="16"/>
        <v>-6.0670713228099624E-2</v>
      </c>
      <c r="G134">
        <v>3.4000000000000002E-2</v>
      </c>
      <c r="H134">
        <f t="shared" si="17"/>
        <v>0.22912044817927152</v>
      </c>
    </row>
    <row r="135" spans="1:8" x14ac:dyDescent="0.35">
      <c r="A135">
        <v>300</v>
      </c>
      <c r="B135">
        <v>400</v>
      </c>
      <c r="C135">
        <v>2</v>
      </c>
      <c r="D135">
        <f t="shared" si="14"/>
        <v>4.7619047619047616E-2</v>
      </c>
      <c r="E135">
        <f t="shared" si="15"/>
        <v>-6.0670713228099624E-2</v>
      </c>
      <c r="F135">
        <f t="shared" si="16"/>
        <v>2.5917619859900088E-2</v>
      </c>
      <c r="G135">
        <v>3.4000000000000002E-2</v>
      </c>
      <c r="H135">
        <f t="shared" si="17"/>
        <v>0.22912044817927152</v>
      </c>
    </row>
    <row r="136" spans="1:8" x14ac:dyDescent="0.35">
      <c r="A136">
        <v>400</v>
      </c>
      <c r="B136" t="s">
        <v>40</v>
      </c>
      <c r="C136">
        <v>4</v>
      </c>
      <c r="D136">
        <f t="shared" si="14"/>
        <v>9.5238095238095233E-2</v>
      </c>
      <c r="E136">
        <f t="shared" si="15"/>
        <v>2.5917619859900088E-2</v>
      </c>
      <c r="F136" t="s">
        <v>40</v>
      </c>
      <c r="G136">
        <v>0.49</v>
      </c>
      <c r="H136">
        <f t="shared" si="17"/>
        <v>13.35745383867833</v>
      </c>
    </row>
    <row r="137" spans="1:8" x14ac:dyDescent="0.35">
      <c r="C137" t="s">
        <v>41</v>
      </c>
      <c r="H137">
        <f>SUM(H132:H136)</f>
        <v>323.41059464622083</v>
      </c>
    </row>
    <row r="138" spans="1:8" x14ac:dyDescent="0.35">
      <c r="A138" s="1" t="s">
        <v>66</v>
      </c>
      <c r="B138" s="1"/>
      <c r="C138" s="1"/>
      <c r="D138" s="1"/>
      <c r="E138" s="1"/>
      <c r="F138" s="1"/>
    </row>
    <row r="139" spans="1:8" x14ac:dyDescent="0.35">
      <c r="A139" s="1" t="s">
        <v>49</v>
      </c>
      <c r="B139" s="1"/>
      <c r="C139" s="1"/>
      <c r="D139" s="1"/>
      <c r="E139" s="1"/>
      <c r="F139" s="1"/>
    </row>
    <row r="140" spans="1:8" x14ac:dyDescent="0.35">
      <c r="A140" s="1" t="s">
        <v>48</v>
      </c>
      <c r="B140" s="1"/>
      <c r="C140" s="1"/>
      <c r="D140" s="1"/>
      <c r="E140" s="1"/>
      <c r="F140" s="1"/>
    </row>
    <row r="141" spans="1:8" x14ac:dyDescent="0.35">
      <c r="A141" s="1" t="s">
        <v>58</v>
      </c>
      <c r="B141" s="1"/>
      <c r="C141" s="1"/>
      <c r="D141" s="1"/>
      <c r="E141" s="1"/>
      <c r="F141" s="1"/>
    </row>
    <row r="142" spans="1:8" x14ac:dyDescent="0.35">
      <c r="A142" s="1" t="s">
        <v>67</v>
      </c>
      <c r="B142" s="1"/>
      <c r="C142" s="1"/>
      <c r="D142" s="1"/>
      <c r="E142" s="1"/>
      <c r="F142" s="1"/>
    </row>
    <row r="143" spans="1:8" x14ac:dyDescent="0.35">
      <c r="A143" s="1" t="s">
        <v>69</v>
      </c>
      <c r="B143" s="1"/>
      <c r="C143" s="1"/>
      <c r="D143" s="1"/>
      <c r="E143" s="1"/>
      <c r="F143" s="1"/>
    </row>
    <row r="145" spans="1:8" x14ac:dyDescent="0.35">
      <c r="A145" s="1" t="s">
        <v>51</v>
      </c>
      <c r="B145" s="1"/>
      <c r="C145" s="1"/>
      <c r="D145" s="1"/>
      <c r="E145" s="1"/>
      <c r="F145" s="1"/>
    </row>
    <row r="146" spans="1:8" x14ac:dyDescent="0.35">
      <c r="A146" t="s">
        <v>52</v>
      </c>
      <c r="B146" t="s">
        <v>53</v>
      </c>
      <c r="C146" t="s">
        <v>54</v>
      </c>
      <c r="D146" t="s">
        <v>68</v>
      </c>
      <c r="E146" t="s">
        <v>70</v>
      </c>
      <c r="F146" t="s">
        <v>96</v>
      </c>
    </row>
    <row r="147" spans="1:8" x14ac:dyDescent="0.35">
      <c r="A147">
        <v>100</v>
      </c>
      <c r="B147">
        <v>21</v>
      </c>
      <c r="C147">
        <f>B147/42</f>
        <v>0.5</v>
      </c>
      <c r="D147">
        <f>(A147-370.068)/1154.89</f>
        <v>-0.23384737940409905</v>
      </c>
      <c r="E147">
        <f>1-0.5924</f>
        <v>0.40759999999999996</v>
      </c>
      <c r="F147">
        <f>ABS(C147-E147)</f>
        <v>9.2400000000000038E-2</v>
      </c>
    </row>
    <row r="148" spans="1:8" x14ac:dyDescent="0.35">
      <c r="A148">
        <v>200</v>
      </c>
      <c r="B148">
        <v>34</v>
      </c>
      <c r="C148">
        <f t="shared" ref="C148:C150" si="18">B148/42</f>
        <v>0.80952380952380953</v>
      </c>
      <c r="D148">
        <f t="shared" ref="D148:D150" si="19">(A148-370.068)/1154.89</f>
        <v>-0.14725904631609935</v>
      </c>
      <c r="E148">
        <f>1-0.5584</f>
        <v>0.44159999999999999</v>
      </c>
      <c r="F148">
        <f t="shared" ref="F148:F150" si="20">ABS(C148-E148)</f>
        <v>0.36792380952380954</v>
      </c>
    </row>
    <row r="149" spans="1:8" x14ac:dyDescent="0.35">
      <c r="A149">
        <v>300</v>
      </c>
      <c r="B149">
        <v>36</v>
      </c>
      <c r="C149">
        <f t="shared" si="18"/>
        <v>0.8571428571428571</v>
      </c>
      <c r="D149">
        <f t="shared" si="19"/>
        <v>-6.0670713228099624E-2</v>
      </c>
      <c r="E149">
        <f>1-0.5239</f>
        <v>0.47609999999999997</v>
      </c>
      <c r="F149">
        <f t="shared" si="20"/>
        <v>0.38104285714285713</v>
      </c>
    </row>
    <row r="150" spans="1:8" x14ac:dyDescent="0.35">
      <c r="A150">
        <v>400</v>
      </c>
      <c r="B150">
        <v>38</v>
      </c>
      <c r="C150">
        <f t="shared" si="18"/>
        <v>0.90476190476190477</v>
      </c>
      <c r="D150">
        <f t="shared" si="19"/>
        <v>2.5917619859900088E-2</v>
      </c>
      <c r="E150">
        <v>0.51</v>
      </c>
      <c r="F150">
        <f t="shared" si="20"/>
        <v>0.39476190476190476</v>
      </c>
    </row>
    <row r="151" spans="1:8" x14ac:dyDescent="0.35">
      <c r="A151" s="1" t="s">
        <v>71</v>
      </c>
      <c r="B151" s="1"/>
      <c r="C151" s="1"/>
      <c r="D151" s="1"/>
      <c r="E151" s="1"/>
    </row>
    <row r="152" spans="1:8" x14ac:dyDescent="0.35">
      <c r="A152" s="1" t="s">
        <v>59</v>
      </c>
      <c r="B152" s="1"/>
      <c r="C152" s="1"/>
      <c r="D152" s="1"/>
      <c r="E152" s="1"/>
    </row>
    <row r="153" spans="1:8" x14ac:dyDescent="0.35">
      <c r="A153" s="1" t="s">
        <v>60</v>
      </c>
      <c r="B153" s="1"/>
      <c r="C153" s="1"/>
      <c r="D153" s="1"/>
      <c r="E153" s="1"/>
    </row>
    <row r="154" spans="1:8" x14ac:dyDescent="0.35">
      <c r="A154" s="1" t="s">
        <v>83</v>
      </c>
      <c r="B154" s="1"/>
      <c r="C154" s="1"/>
      <c r="D154" s="1"/>
      <c r="E154" s="1"/>
    </row>
    <row r="155" spans="1:8" x14ac:dyDescent="0.35">
      <c r="A155" s="1" t="s">
        <v>72</v>
      </c>
      <c r="B155" s="1"/>
      <c r="C155" s="1"/>
      <c r="D155" s="1"/>
      <c r="E155" s="1"/>
    </row>
    <row r="158" spans="1:8" x14ac:dyDescent="0.35">
      <c r="A158" s="3" t="s">
        <v>77</v>
      </c>
      <c r="B158" s="3"/>
      <c r="C158" s="3"/>
      <c r="D158" s="3"/>
      <c r="E158" s="3"/>
      <c r="F158" s="3"/>
      <c r="G158" s="4"/>
      <c r="H158" s="4"/>
    </row>
    <row r="159" spans="1:8" x14ac:dyDescent="0.35">
      <c r="A159" s="3" t="s">
        <v>36</v>
      </c>
      <c r="B159" s="3"/>
      <c r="C159" s="3"/>
      <c r="D159" s="3"/>
      <c r="E159" s="3"/>
      <c r="F159" s="3"/>
      <c r="G159" s="4"/>
      <c r="H159" s="4"/>
    </row>
    <row r="160" spans="1:8" x14ac:dyDescent="0.35">
      <c r="A160" s="3" t="s">
        <v>37</v>
      </c>
      <c r="B160" s="3"/>
      <c r="C160" s="5" t="s">
        <v>42</v>
      </c>
      <c r="D160" s="3" t="s">
        <v>43</v>
      </c>
      <c r="E160" s="5" t="s">
        <v>63</v>
      </c>
      <c r="F160" s="5" t="s">
        <v>64</v>
      </c>
      <c r="G160" s="5" t="s">
        <v>74</v>
      </c>
      <c r="H160" s="5" t="s">
        <v>46</v>
      </c>
    </row>
    <row r="161" spans="1:8" x14ac:dyDescent="0.35">
      <c r="A161" s="4" t="s">
        <v>38</v>
      </c>
      <c r="B161" s="4" t="s">
        <v>39</v>
      </c>
      <c r="C161" s="3"/>
      <c r="D161" s="3"/>
      <c r="E161" s="3"/>
      <c r="F161" s="3"/>
      <c r="G161" s="3"/>
      <c r="H161" s="3"/>
    </row>
    <row r="162" spans="1:8" x14ac:dyDescent="0.35">
      <c r="A162" s="4">
        <v>0</v>
      </c>
      <c r="B162" s="4">
        <v>100</v>
      </c>
      <c r="C162" s="4">
        <v>21</v>
      </c>
      <c r="D162" s="4">
        <f>C162/42</f>
        <v>0.5</v>
      </c>
      <c r="E162" s="4" t="s">
        <v>73</v>
      </c>
      <c r="F162" s="4">
        <f>(LN(B162)-4.727)/1.541</f>
        <v>-7.9058931870154781E-2</v>
      </c>
      <c r="G162" s="4">
        <v>0.46800000000000003</v>
      </c>
      <c r="H162" s="4">
        <f>(42*(D162-G162)^2)/G162</f>
        <v>9.1897435897435736E-2</v>
      </c>
    </row>
    <row r="163" spans="1:8" x14ac:dyDescent="0.35">
      <c r="A163" s="4">
        <v>100</v>
      </c>
      <c r="B163" s="4">
        <v>200</v>
      </c>
      <c r="C163" s="4">
        <v>13</v>
      </c>
      <c r="D163" s="4">
        <f t="shared" ref="D163:D166" si="21">C163/42</f>
        <v>0.30952380952380953</v>
      </c>
      <c r="E163" s="4">
        <f>(LN(A163)-4.727)/1.541</f>
        <v>-7.9058931870154781E-2</v>
      </c>
      <c r="F163" s="4">
        <f t="shared" ref="F163:F165" si="22">(LN(B163)-4.727)/1.541</f>
        <v>0.37074455973266451</v>
      </c>
      <c r="G163" s="4">
        <v>0.17630000000000001</v>
      </c>
      <c r="H163" s="4">
        <f t="shared" ref="H163:H166" si="23">(42*(D163-G163)^2)/G163</f>
        <v>4.2282501634119329</v>
      </c>
    </row>
    <row r="164" spans="1:8" x14ac:dyDescent="0.35">
      <c r="A164" s="4">
        <v>200</v>
      </c>
      <c r="B164" s="4">
        <v>300</v>
      </c>
      <c r="C164" s="4">
        <v>2</v>
      </c>
      <c r="D164" s="4">
        <f t="shared" si="21"/>
        <v>4.7619047619047616E-2</v>
      </c>
      <c r="E164" s="4">
        <f t="shared" ref="E164:E166" si="24">(LN(A164)-4.727)/1.541</f>
        <v>0.37074455973266451</v>
      </c>
      <c r="F164" s="4">
        <f t="shared" si="22"/>
        <v>0.63386273501375767</v>
      </c>
      <c r="G164" s="4">
        <v>9.2600000000000002E-2</v>
      </c>
      <c r="H164" s="4">
        <f t="shared" si="23"/>
        <v>0.91768914943947344</v>
      </c>
    </row>
    <row r="165" spans="1:8" x14ac:dyDescent="0.35">
      <c r="A165" s="4">
        <v>300</v>
      </c>
      <c r="B165" s="4">
        <v>400</v>
      </c>
      <c r="C165" s="4">
        <v>2</v>
      </c>
      <c r="D165" s="4">
        <f t="shared" si="21"/>
        <v>4.7619047619047616E-2</v>
      </c>
      <c r="E165" s="4">
        <f t="shared" si="24"/>
        <v>0.63386273501375767</v>
      </c>
      <c r="F165" s="4">
        <f t="shared" si="22"/>
        <v>0.82054805133548436</v>
      </c>
      <c r="G165" s="4">
        <v>5.6899999999999999E-2</v>
      </c>
      <c r="H165" s="4">
        <f t="shared" si="23"/>
        <v>6.3580232655452359E-2</v>
      </c>
    </row>
    <row r="166" spans="1:8" x14ac:dyDescent="0.35">
      <c r="A166" s="4">
        <v>400</v>
      </c>
      <c r="B166" s="4" t="s">
        <v>40</v>
      </c>
      <c r="C166" s="4">
        <v>4</v>
      </c>
      <c r="D166" s="4">
        <f t="shared" si="21"/>
        <v>9.5238095238095233E-2</v>
      </c>
      <c r="E166" s="4">
        <f t="shared" si="24"/>
        <v>0.82054805133548436</v>
      </c>
      <c r="F166" s="4" t="s">
        <v>40</v>
      </c>
      <c r="G166" s="4">
        <v>0.20619999999999999</v>
      </c>
      <c r="H166" s="4">
        <f t="shared" si="23"/>
        <v>2.5078897233384136</v>
      </c>
    </row>
    <row r="167" spans="1:8" x14ac:dyDescent="0.35">
      <c r="A167" s="4"/>
      <c r="B167" s="4"/>
      <c r="C167" s="4" t="s">
        <v>41</v>
      </c>
      <c r="D167" s="4"/>
      <c r="E167" s="4"/>
      <c r="F167" s="4"/>
      <c r="G167" s="4"/>
      <c r="H167" s="4">
        <f>SUM(H162:H166)</f>
        <v>7.809306704742708</v>
      </c>
    </row>
    <row r="168" spans="1:8" x14ac:dyDescent="0.35">
      <c r="A168" s="3" t="s">
        <v>78</v>
      </c>
      <c r="B168" s="3"/>
      <c r="C168" s="3"/>
      <c r="D168" s="3"/>
      <c r="E168" s="3"/>
      <c r="F168" s="3"/>
      <c r="G168" s="4"/>
      <c r="H168" s="4"/>
    </row>
    <row r="169" spans="1:8" x14ac:dyDescent="0.35">
      <c r="A169" s="3" t="s">
        <v>49</v>
      </c>
      <c r="B169" s="3"/>
      <c r="C169" s="3"/>
      <c r="D169" s="3"/>
      <c r="E169" s="3"/>
      <c r="F169" s="3"/>
      <c r="G169" s="4"/>
      <c r="H169" s="4"/>
    </row>
    <row r="170" spans="1:8" x14ac:dyDescent="0.35">
      <c r="A170" s="3" t="s">
        <v>48</v>
      </c>
      <c r="B170" s="3"/>
      <c r="C170" s="3"/>
      <c r="D170" s="3"/>
      <c r="E170" s="3"/>
      <c r="F170" s="3"/>
      <c r="G170" s="4"/>
      <c r="H170" s="4"/>
    </row>
    <row r="171" spans="1:8" x14ac:dyDescent="0.35">
      <c r="A171" s="3" t="s">
        <v>58</v>
      </c>
      <c r="B171" s="3"/>
      <c r="C171" s="3"/>
      <c r="D171" s="3"/>
      <c r="E171" s="3"/>
      <c r="F171" s="3"/>
      <c r="G171" s="4"/>
      <c r="H171" s="4"/>
    </row>
    <row r="172" spans="1:8" x14ac:dyDescent="0.35">
      <c r="A172" s="3" t="s">
        <v>82</v>
      </c>
      <c r="B172" s="3"/>
      <c r="C172" s="3"/>
      <c r="D172" s="3"/>
      <c r="E172" s="3"/>
      <c r="F172" s="3"/>
      <c r="G172" s="4"/>
      <c r="H172" s="4"/>
    </row>
    <row r="173" spans="1:8" x14ac:dyDescent="0.35">
      <c r="A173" s="3" t="s">
        <v>69</v>
      </c>
      <c r="B173" s="3"/>
      <c r="C173" s="3"/>
      <c r="D173" s="3"/>
      <c r="E173" s="3"/>
      <c r="F173" s="3"/>
      <c r="G173" s="4"/>
      <c r="H173" s="4"/>
    </row>
    <row r="174" spans="1:8" x14ac:dyDescent="0.35">
      <c r="A174" s="4"/>
      <c r="B174" s="4"/>
      <c r="C174" s="4"/>
      <c r="D174" s="4"/>
      <c r="E174" s="4"/>
      <c r="F174" s="4"/>
      <c r="G174" s="4"/>
      <c r="H174" s="4"/>
    </row>
    <row r="175" spans="1:8" x14ac:dyDescent="0.35">
      <c r="A175" s="3" t="s">
        <v>51</v>
      </c>
      <c r="B175" s="3"/>
      <c r="C175" s="3"/>
      <c r="D175" s="3"/>
      <c r="E175" s="3"/>
      <c r="F175" s="3"/>
      <c r="G175" s="4"/>
      <c r="H175" s="4"/>
    </row>
    <row r="176" spans="1:8" x14ac:dyDescent="0.35">
      <c r="A176" s="4" t="s">
        <v>52</v>
      </c>
      <c r="B176" s="4" t="s">
        <v>53</v>
      </c>
      <c r="C176" s="4" t="s">
        <v>54</v>
      </c>
      <c r="D176" s="4" t="s">
        <v>75</v>
      </c>
      <c r="E176" s="4" t="s">
        <v>70</v>
      </c>
      <c r="F176" s="4" t="s">
        <v>96</v>
      </c>
      <c r="G176" s="4"/>
      <c r="H176" s="4"/>
    </row>
    <row r="177" spans="1:8" x14ac:dyDescent="0.35">
      <c r="A177" s="4">
        <v>100</v>
      </c>
      <c r="B177" s="4">
        <v>21</v>
      </c>
      <c r="C177" s="4">
        <f>B177/42</f>
        <v>0.5</v>
      </c>
      <c r="D177" s="4">
        <f>(LN(A177)-4.727)/1.541</f>
        <v>-7.9058931870154781E-2</v>
      </c>
      <c r="E177" s="4">
        <v>0.46800000000000003</v>
      </c>
      <c r="F177" s="4">
        <f>ABS(C177-E177)</f>
        <v>3.1999999999999973E-2</v>
      </c>
      <c r="G177" s="4"/>
      <c r="H177" s="4"/>
    </row>
    <row r="178" spans="1:8" x14ac:dyDescent="0.35">
      <c r="A178" s="4">
        <v>200</v>
      </c>
      <c r="B178" s="4">
        <v>34</v>
      </c>
      <c r="C178" s="4">
        <f t="shared" ref="C178:C180" si="25">B178/42</f>
        <v>0.80952380952380953</v>
      </c>
      <c r="D178" s="4">
        <f t="shared" ref="D178:D180" si="26">(LN(A178)-4.727)/1.541</f>
        <v>0.37074455973266451</v>
      </c>
      <c r="E178" s="4">
        <v>0.64429999999999998</v>
      </c>
      <c r="F178" s="4">
        <f t="shared" ref="F178:F180" si="27">ABS(C178-E178)</f>
        <v>0.16522380952380955</v>
      </c>
      <c r="G178" s="4"/>
      <c r="H178" s="4"/>
    </row>
    <row r="179" spans="1:8" x14ac:dyDescent="0.35">
      <c r="A179" s="4">
        <v>300</v>
      </c>
      <c r="B179" s="4">
        <v>36</v>
      </c>
      <c r="C179" s="4">
        <f t="shared" si="25"/>
        <v>0.8571428571428571</v>
      </c>
      <c r="D179" s="4">
        <f t="shared" si="26"/>
        <v>0.63386273501375767</v>
      </c>
      <c r="E179" s="4">
        <v>0.7369</v>
      </c>
      <c r="F179" s="4">
        <f t="shared" si="27"/>
        <v>0.1202428571428571</v>
      </c>
      <c r="G179" s="4"/>
      <c r="H179" s="4"/>
    </row>
    <row r="180" spans="1:8" x14ac:dyDescent="0.35">
      <c r="A180" s="4">
        <v>400</v>
      </c>
      <c r="B180" s="4">
        <v>38</v>
      </c>
      <c r="C180" s="4">
        <f t="shared" si="25"/>
        <v>0.90476190476190477</v>
      </c>
      <c r="D180" s="4">
        <f t="shared" si="26"/>
        <v>0.82054805133548436</v>
      </c>
      <c r="E180" s="4">
        <v>0.79379999999999995</v>
      </c>
      <c r="F180" s="4">
        <f t="shared" si="27"/>
        <v>0.11096190476190482</v>
      </c>
      <c r="G180" s="4"/>
      <c r="H180" s="4"/>
    </row>
    <row r="181" spans="1:8" x14ac:dyDescent="0.35">
      <c r="A181" s="3" t="s">
        <v>76</v>
      </c>
      <c r="B181" s="3"/>
      <c r="C181" s="3"/>
      <c r="D181" s="3"/>
      <c r="E181" s="3"/>
      <c r="F181" s="4"/>
      <c r="G181" s="4"/>
      <c r="H181" s="4"/>
    </row>
    <row r="182" spans="1:8" x14ac:dyDescent="0.35">
      <c r="A182" s="3" t="s">
        <v>59</v>
      </c>
      <c r="B182" s="3"/>
      <c r="C182" s="3"/>
      <c r="D182" s="3"/>
      <c r="E182" s="3"/>
      <c r="F182" s="4"/>
      <c r="G182" s="4"/>
      <c r="H182" s="4"/>
    </row>
    <row r="183" spans="1:8" x14ac:dyDescent="0.35">
      <c r="A183" s="3" t="s">
        <v>60</v>
      </c>
      <c r="B183" s="3"/>
      <c r="C183" s="3"/>
      <c r="D183" s="3"/>
      <c r="E183" s="3"/>
      <c r="F183" s="4"/>
      <c r="G183" s="4"/>
      <c r="H183" s="4"/>
    </row>
    <row r="184" spans="1:8" x14ac:dyDescent="0.35">
      <c r="A184" s="3" t="s">
        <v>81</v>
      </c>
      <c r="B184" s="3"/>
      <c r="C184" s="3"/>
      <c r="D184" s="3"/>
      <c r="E184" s="3"/>
      <c r="F184" s="4"/>
      <c r="G184" s="4"/>
      <c r="H184" s="4"/>
    </row>
    <row r="185" spans="1:8" x14ac:dyDescent="0.35">
      <c r="A185" s="3" t="s">
        <v>72</v>
      </c>
      <c r="B185" s="3"/>
      <c r="C185" s="3"/>
      <c r="D185" s="3"/>
      <c r="E185" s="3"/>
      <c r="F185" s="4"/>
      <c r="G185" s="4"/>
      <c r="H185" s="4"/>
    </row>
    <row r="188" spans="1:8" x14ac:dyDescent="0.35">
      <c r="A188" s="3" t="s">
        <v>85</v>
      </c>
      <c r="B188" s="3"/>
      <c r="C188" s="3"/>
      <c r="D188" s="3"/>
      <c r="E188" s="3"/>
      <c r="F188" s="3"/>
      <c r="G188" s="4"/>
      <c r="H188" s="4"/>
    </row>
    <row r="189" spans="1:8" x14ac:dyDescent="0.35">
      <c r="A189" s="3" t="s">
        <v>36</v>
      </c>
      <c r="B189" s="3"/>
      <c r="C189" s="3"/>
      <c r="D189" s="3"/>
      <c r="E189" s="3"/>
      <c r="F189" s="3"/>
      <c r="G189" s="4"/>
      <c r="H189" s="4"/>
    </row>
    <row r="190" spans="1:8" x14ac:dyDescent="0.35">
      <c r="A190" s="3" t="s">
        <v>37</v>
      </c>
      <c r="B190" s="3"/>
      <c r="C190" s="5" t="s">
        <v>42</v>
      </c>
      <c r="D190" s="3" t="s">
        <v>43</v>
      </c>
      <c r="E190" s="5" t="s">
        <v>63</v>
      </c>
      <c r="F190" s="5" t="s">
        <v>64</v>
      </c>
      <c r="G190" s="5" t="s">
        <v>74</v>
      </c>
      <c r="H190" s="5" t="s">
        <v>46</v>
      </c>
    </row>
    <row r="191" spans="1:8" x14ac:dyDescent="0.35">
      <c r="A191" s="4" t="s">
        <v>38</v>
      </c>
      <c r="B191" s="4" t="s">
        <v>39</v>
      </c>
      <c r="C191" s="3"/>
      <c r="D191" s="3"/>
      <c r="E191" s="3"/>
      <c r="F191" s="3"/>
      <c r="G191" s="3"/>
      <c r="H191" s="3"/>
    </row>
    <row r="192" spans="1:8" x14ac:dyDescent="0.35">
      <c r="A192" s="4">
        <v>0</v>
      </c>
      <c r="B192" s="4">
        <v>100</v>
      </c>
      <c r="C192" s="4">
        <v>21</v>
      </c>
      <c r="D192" s="4">
        <f>C192/42</f>
        <v>0.5</v>
      </c>
      <c r="E192" s="4" t="s">
        <v>73</v>
      </c>
      <c r="F192" s="4">
        <f>(LN(B192)-4.744)/1.1806</f>
        <v>-0.11759259191250886</v>
      </c>
      <c r="G192" s="4">
        <f>1-0.5469</f>
        <v>0.45309999999999995</v>
      </c>
      <c r="H192" s="4">
        <f>(42*(D192-G192)^2)/G192</f>
        <v>0.20389234164643616</v>
      </c>
    </row>
    <row r="193" spans="1:8" x14ac:dyDescent="0.35">
      <c r="A193" s="4">
        <v>100</v>
      </c>
      <c r="B193" s="4">
        <v>200</v>
      </c>
      <c r="C193" s="4">
        <v>13</v>
      </c>
      <c r="D193" s="4">
        <f t="shared" ref="D193:D196" si="28">C193/42</f>
        <v>0.30952380952380953</v>
      </c>
      <c r="E193" s="4">
        <f>(LN(A193)-4.744)/1.1806</f>
        <v>-0.11759259191250886</v>
      </c>
      <c r="F193" s="4">
        <f t="shared" ref="F193:F195" si="29">(LN(B193)-4.744)/1.1806</f>
        <v>0.46952174025752708</v>
      </c>
      <c r="G193" s="4">
        <v>0.2273</v>
      </c>
      <c r="H193" s="4">
        <f t="shared" ref="H193:H196" si="30">(42*(D193-G193)^2)/G193</f>
        <v>1.2492375882513147</v>
      </c>
    </row>
    <row r="194" spans="1:8" x14ac:dyDescent="0.35">
      <c r="A194" s="4">
        <v>200</v>
      </c>
      <c r="B194" s="4">
        <v>300</v>
      </c>
      <c r="C194" s="4">
        <v>2</v>
      </c>
      <c r="D194" s="4">
        <f t="shared" si="28"/>
        <v>4.7619047619047616E-2</v>
      </c>
      <c r="E194" s="4">
        <f t="shared" ref="E194:E196" si="31">(LN(A194)-4.744)/1.1806</f>
        <v>0.46952174025752708</v>
      </c>
      <c r="F194" s="4">
        <f t="shared" si="29"/>
        <v>0.8129616082129435</v>
      </c>
      <c r="G194" s="4">
        <v>0.1114</v>
      </c>
      <c r="H194" s="4">
        <f t="shared" si="30"/>
        <v>1.5337200649739251</v>
      </c>
    </row>
    <row r="195" spans="1:8" x14ac:dyDescent="0.35">
      <c r="A195" s="4">
        <v>300</v>
      </c>
      <c r="B195" s="4">
        <v>400</v>
      </c>
      <c r="C195" s="4">
        <v>2</v>
      </c>
      <c r="D195" s="4">
        <f t="shared" si="28"/>
        <v>4.7619047619047616E-2</v>
      </c>
      <c r="E195" s="4">
        <f t="shared" si="31"/>
        <v>0.8129616082129435</v>
      </c>
      <c r="F195" s="4">
        <f t="shared" si="29"/>
        <v>1.0566360724275639</v>
      </c>
      <c r="G195" s="4">
        <v>6.2899999999999998E-2</v>
      </c>
      <c r="H195" s="4">
        <f t="shared" si="30"/>
        <v>0.15591916117798471</v>
      </c>
    </row>
    <row r="196" spans="1:8" x14ac:dyDescent="0.35">
      <c r="A196" s="4">
        <v>400</v>
      </c>
      <c r="B196" s="4" t="s">
        <v>40</v>
      </c>
      <c r="C196" s="4">
        <v>4</v>
      </c>
      <c r="D196" s="4">
        <f t="shared" si="28"/>
        <v>9.5238095238095233E-2</v>
      </c>
      <c r="E196" s="4">
        <f t="shared" si="31"/>
        <v>1.0566360724275639</v>
      </c>
      <c r="F196" s="4" t="s">
        <v>40</v>
      </c>
      <c r="G196" s="4">
        <v>0.14530000000000001</v>
      </c>
      <c r="H196" s="4">
        <f t="shared" si="30"/>
        <v>0.72443331694687541</v>
      </c>
    </row>
    <row r="197" spans="1:8" x14ac:dyDescent="0.35">
      <c r="A197" s="4"/>
      <c r="B197" s="4"/>
      <c r="C197" s="4" t="s">
        <v>41</v>
      </c>
      <c r="D197" s="4"/>
      <c r="E197" s="4"/>
      <c r="F197" s="4"/>
      <c r="G197" s="4"/>
      <c r="H197" s="4">
        <f>SUM(H192:H196)</f>
        <v>3.867202472996536</v>
      </c>
    </row>
    <row r="198" spans="1:8" x14ac:dyDescent="0.35">
      <c r="A198" s="3" t="s">
        <v>79</v>
      </c>
      <c r="B198" s="3"/>
      <c r="C198" s="3"/>
      <c r="D198" s="3"/>
      <c r="E198" s="3"/>
      <c r="F198" s="3"/>
      <c r="G198" s="4"/>
      <c r="H198" s="4"/>
    </row>
    <row r="199" spans="1:8" x14ac:dyDescent="0.35">
      <c r="A199" s="3" t="s">
        <v>49</v>
      </c>
      <c r="B199" s="3"/>
      <c r="C199" s="3"/>
      <c r="D199" s="3"/>
      <c r="E199" s="3"/>
      <c r="F199" s="3"/>
      <c r="G199" s="4"/>
      <c r="H199" s="4"/>
    </row>
    <row r="200" spans="1:8" x14ac:dyDescent="0.35">
      <c r="A200" s="3" t="s">
        <v>48</v>
      </c>
      <c r="B200" s="3"/>
      <c r="C200" s="3"/>
      <c r="D200" s="3"/>
      <c r="E200" s="3"/>
      <c r="F200" s="3"/>
      <c r="G200" s="4"/>
      <c r="H200" s="4"/>
    </row>
    <row r="201" spans="1:8" x14ac:dyDescent="0.35">
      <c r="A201" s="3" t="s">
        <v>58</v>
      </c>
      <c r="B201" s="3"/>
      <c r="C201" s="3"/>
      <c r="D201" s="3"/>
      <c r="E201" s="3"/>
      <c r="F201" s="3"/>
      <c r="G201" s="4"/>
      <c r="H201" s="4"/>
    </row>
    <row r="202" spans="1:8" x14ac:dyDescent="0.35">
      <c r="A202" s="3" t="s">
        <v>80</v>
      </c>
      <c r="B202" s="3"/>
      <c r="C202" s="3"/>
      <c r="D202" s="3"/>
      <c r="E202" s="3"/>
      <c r="F202" s="3"/>
      <c r="G202" s="4"/>
      <c r="H202" s="4"/>
    </row>
    <row r="203" spans="1:8" x14ac:dyDescent="0.35">
      <c r="A203" s="3" t="s">
        <v>69</v>
      </c>
      <c r="B203" s="3"/>
      <c r="C203" s="3"/>
      <c r="D203" s="3"/>
      <c r="E203" s="3"/>
      <c r="F203" s="3"/>
      <c r="G203" s="4"/>
      <c r="H203" s="4"/>
    </row>
    <row r="204" spans="1:8" x14ac:dyDescent="0.35">
      <c r="A204" s="4"/>
      <c r="B204" s="4"/>
      <c r="C204" s="4"/>
      <c r="D204" s="4"/>
      <c r="E204" s="4"/>
      <c r="F204" s="4"/>
      <c r="G204" s="4"/>
      <c r="H204" s="4"/>
    </row>
    <row r="205" spans="1:8" x14ac:dyDescent="0.35">
      <c r="A205" s="3" t="s">
        <v>51</v>
      </c>
      <c r="B205" s="3"/>
      <c r="C205" s="3"/>
      <c r="D205" s="3"/>
      <c r="E205" s="3"/>
      <c r="F205" s="3"/>
      <c r="G205" s="4"/>
      <c r="H205" s="4"/>
    </row>
    <row r="206" spans="1:8" x14ac:dyDescent="0.35">
      <c r="A206" s="4" t="s">
        <v>52</v>
      </c>
      <c r="B206" s="4" t="s">
        <v>53</v>
      </c>
      <c r="C206" s="4" t="s">
        <v>54</v>
      </c>
      <c r="D206" s="4" t="s">
        <v>75</v>
      </c>
      <c r="E206" s="4" t="s">
        <v>70</v>
      </c>
      <c r="F206" s="4" t="s">
        <v>96</v>
      </c>
      <c r="G206" s="4"/>
      <c r="H206" s="4"/>
    </row>
    <row r="207" spans="1:8" x14ac:dyDescent="0.35">
      <c r="A207" s="4">
        <v>100</v>
      </c>
      <c r="B207" s="4">
        <v>21</v>
      </c>
      <c r="C207" s="4">
        <f>B207/42</f>
        <v>0.5</v>
      </c>
      <c r="D207" s="4">
        <f>(LN(A207)-4.744)/1.1806</f>
        <v>-0.11759259191250886</v>
      </c>
      <c r="E207" s="4">
        <v>0.4531</v>
      </c>
      <c r="F207" s="4">
        <f>ABS(C207-E207)</f>
        <v>4.6899999999999997E-2</v>
      </c>
      <c r="G207" s="4"/>
      <c r="H207" s="4"/>
    </row>
    <row r="208" spans="1:8" x14ac:dyDescent="0.35">
      <c r="A208" s="4">
        <v>200</v>
      </c>
      <c r="B208" s="4">
        <v>34</v>
      </c>
      <c r="C208" s="4">
        <f t="shared" ref="C208:C210" si="32">B208/42</f>
        <v>0.80952380952380953</v>
      </c>
      <c r="D208" s="4">
        <f t="shared" ref="D208:D210" si="33">(LN(A208)-4.744)/1.1806</f>
        <v>0.46952174025752708</v>
      </c>
      <c r="E208" s="4">
        <v>0.6804</v>
      </c>
      <c r="F208" s="4">
        <f t="shared" ref="F208:F210" si="34">ABS(C208-E208)</f>
        <v>0.12912380952380953</v>
      </c>
      <c r="G208" s="4"/>
      <c r="H208" s="4"/>
    </row>
    <row r="209" spans="1:8" x14ac:dyDescent="0.35">
      <c r="A209" s="4">
        <v>300</v>
      </c>
      <c r="B209" s="4">
        <v>36</v>
      </c>
      <c r="C209" s="4">
        <f t="shared" si="32"/>
        <v>0.8571428571428571</v>
      </c>
      <c r="D209" s="4">
        <f t="shared" si="33"/>
        <v>0.8129616082129435</v>
      </c>
      <c r="E209" s="4">
        <v>0.79179999999999995</v>
      </c>
      <c r="F209" s="4">
        <f t="shared" si="34"/>
        <v>6.5342857142857147E-2</v>
      </c>
      <c r="G209" s="4"/>
      <c r="H209" s="4"/>
    </row>
    <row r="210" spans="1:8" x14ac:dyDescent="0.35">
      <c r="A210" s="4">
        <v>400</v>
      </c>
      <c r="B210" s="4">
        <v>38</v>
      </c>
      <c r="C210" s="4">
        <f t="shared" si="32"/>
        <v>0.90476190476190477</v>
      </c>
      <c r="D210" s="4">
        <f t="shared" si="33"/>
        <v>1.0566360724275639</v>
      </c>
      <c r="E210" s="4">
        <v>0.85470000000000002</v>
      </c>
      <c r="F210" s="4">
        <f t="shared" si="34"/>
        <v>5.0061904761904752E-2</v>
      </c>
      <c r="G210" s="4"/>
      <c r="H210" s="4"/>
    </row>
    <row r="211" spans="1:8" x14ac:dyDescent="0.35">
      <c r="A211" s="3" t="s">
        <v>86</v>
      </c>
      <c r="B211" s="3"/>
      <c r="C211" s="3"/>
      <c r="D211" s="3"/>
      <c r="E211" s="3"/>
      <c r="F211" s="4"/>
      <c r="G211" s="4"/>
      <c r="H211" s="4"/>
    </row>
    <row r="212" spans="1:8" x14ac:dyDescent="0.35">
      <c r="A212" s="3" t="s">
        <v>59</v>
      </c>
      <c r="B212" s="3"/>
      <c r="C212" s="3"/>
      <c r="D212" s="3"/>
      <c r="E212" s="3"/>
      <c r="F212" s="4"/>
      <c r="G212" s="4"/>
      <c r="H212" s="4"/>
    </row>
    <row r="213" spans="1:8" x14ac:dyDescent="0.35">
      <c r="A213" s="3" t="s">
        <v>60</v>
      </c>
      <c r="B213" s="3"/>
      <c r="C213" s="3"/>
      <c r="D213" s="3"/>
      <c r="E213" s="3"/>
      <c r="F213" s="4"/>
      <c r="G213" s="4"/>
      <c r="H213" s="4"/>
    </row>
    <row r="214" spans="1:8" x14ac:dyDescent="0.35">
      <c r="A214" s="3" t="s">
        <v>84</v>
      </c>
      <c r="B214" s="3"/>
      <c r="C214" s="3"/>
      <c r="D214" s="3"/>
      <c r="E214" s="3"/>
      <c r="F214" s="4"/>
      <c r="G214" s="4"/>
      <c r="H214" s="4"/>
    </row>
    <row r="215" spans="1:8" x14ac:dyDescent="0.35">
      <c r="A215" s="3" t="s">
        <v>72</v>
      </c>
      <c r="B215" s="3"/>
      <c r="C215" s="3"/>
      <c r="D215" s="3"/>
      <c r="E215" s="3"/>
      <c r="F215" s="4"/>
      <c r="G215" s="4"/>
      <c r="H215" s="4"/>
    </row>
    <row r="218" spans="1:8" x14ac:dyDescent="0.35">
      <c r="A218" s="1" t="s">
        <v>87</v>
      </c>
      <c r="B218" s="1"/>
      <c r="C218" s="1"/>
      <c r="D218" s="1"/>
      <c r="E218" s="1"/>
      <c r="F218" s="1"/>
    </row>
    <row r="219" spans="1:8" x14ac:dyDescent="0.35">
      <c r="A219" s="1" t="s">
        <v>36</v>
      </c>
      <c r="B219" s="1"/>
      <c r="C219" s="1"/>
      <c r="D219" s="1"/>
      <c r="E219" s="1"/>
      <c r="F219" s="1"/>
    </row>
    <row r="220" spans="1:8" x14ac:dyDescent="0.35">
      <c r="A220" s="1" t="s">
        <v>37</v>
      </c>
      <c r="B220" s="1"/>
      <c r="C220" s="2" t="s">
        <v>42</v>
      </c>
      <c r="D220" s="1" t="s">
        <v>43</v>
      </c>
      <c r="E220" s="2" t="s">
        <v>88</v>
      </c>
      <c r="F220" s="2" t="s">
        <v>89</v>
      </c>
      <c r="G220" s="2" t="s">
        <v>90</v>
      </c>
      <c r="H220" s="2" t="s">
        <v>46</v>
      </c>
    </row>
    <row r="221" spans="1:8" x14ac:dyDescent="0.35">
      <c r="A221" t="s">
        <v>38</v>
      </c>
      <c r="B221" t="s">
        <v>39</v>
      </c>
      <c r="C221" s="1"/>
      <c r="D221" s="1"/>
      <c r="E221" s="1"/>
      <c r="F221" s="1"/>
      <c r="G221" s="1"/>
      <c r="H221" s="1"/>
    </row>
    <row r="222" spans="1:8" x14ac:dyDescent="0.35">
      <c r="A222">
        <v>0</v>
      </c>
      <c r="B222">
        <v>100</v>
      </c>
      <c r="C222">
        <v>21</v>
      </c>
      <c r="D222">
        <f>C222/42</f>
        <v>0.5</v>
      </c>
      <c r="E222">
        <f>(A222+149.489)/900.446</f>
        <v>0.16601661843131071</v>
      </c>
      <c r="F222">
        <f>(B222+149.489)/900.446</f>
        <v>0.27707269508665705</v>
      </c>
      <c r="G222">
        <f>EXP(-EXP(-F222))-EXP(-EXP(-E222))</f>
        <v>3.991766433211863E-2</v>
      </c>
      <c r="H222">
        <f>(42*(D222-G222)^2)/G222</f>
        <v>222.71798422279812</v>
      </c>
    </row>
    <row r="223" spans="1:8" x14ac:dyDescent="0.35">
      <c r="A223">
        <v>100</v>
      </c>
      <c r="B223">
        <v>200</v>
      </c>
      <c r="C223">
        <v>13</v>
      </c>
      <c r="D223">
        <f t="shared" ref="D223:D226" si="35">C223/42</f>
        <v>0.30952380952380953</v>
      </c>
      <c r="E223">
        <f t="shared" ref="E223:E226" si="36">(A223+149.489)/900.446</f>
        <v>0.27707269508665705</v>
      </c>
      <c r="F223">
        <f t="shared" ref="F223:F225" si="37">(B223+149.489)/900.446</f>
        <v>0.38812877174200344</v>
      </c>
      <c r="G223">
        <f t="shared" ref="G223:G225" si="38">EXP(-EXP(-F223))-EXP(-EXP(-E223))</f>
        <v>3.8863312122420113E-2</v>
      </c>
      <c r="H223">
        <f t="shared" ref="H223:H226" si="39">(42*(D223-G223)^2)/G223</f>
        <v>79.16974225351322</v>
      </c>
    </row>
    <row r="224" spans="1:8" x14ac:dyDescent="0.35">
      <c r="A224">
        <v>200</v>
      </c>
      <c r="B224">
        <v>300</v>
      </c>
      <c r="C224">
        <v>2</v>
      </c>
      <c r="D224">
        <f t="shared" si="35"/>
        <v>4.7619047619047616E-2</v>
      </c>
      <c r="E224">
        <f t="shared" si="36"/>
        <v>0.38812877174200344</v>
      </c>
      <c r="F224">
        <f t="shared" si="37"/>
        <v>0.49918484839734978</v>
      </c>
      <c r="G224">
        <f t="shared" si="38"/>
        <v>3.7503301811417145E-2</v>
      </c>
      <c r="H224">
        <f t="shared" si="39"/>
        <v>0.11459762070774654</v>
      </c>
    </row>
    <row r="225" spans="1:8" x14ac:dyDescent="0.35">
      <c r="A225">
        <v>300</v>
      </c>
      <c r="B225">
        <v>400</v>
      </c>
      <c r="C225">
        <v>2</v>
      </c>
      <c r="D225">
        <f t="shared" si="35"/>
        <v>4.7619047619047616E-2</v>
      </c>
      <c r="E225">
        <f t="shared" si="36"/>
        <v>0.49918484839734978</v>
      </c>
      <c r="F225">
        <f t="shared" si="37"/>
        <v>0.61024092505269611</v>
      </c>
      <c r="G225">
        <f t="shared" si="38"/>
        <v>3.5905239085037843E-2</v>
      </c>
      <c r="H225">
        <f t="shared" si="39"/>
        <v>0.16050468350737104</v>
      </c>
    </row>
    <row r="226" spans="1:8" x14ac:dyDescent="0.35">
      <c r="A226">
        <v>400</v>
      </c>
      <c r="B226" t="s">
        <v>40</v>
      </c>
      <c r="C226">
        <v>4</v>
      </c>
      <c r="D226">
        <f t="shared" si="35"/>
        <v>9.5238095238095233E-2</v>
      </c>
      <c r="E226">
        <f t="shared" si="36"/>
        <v>0.61024092505269611</v>
      </c>
      <c r="F226" t="s">
        <v>40</v>
      </c>
      <c r="G226">
        <f>1-EXP(-EXP(-E226))</f>
        <v>0.41912516637933017</v>
      </c>
      <c r="H226">
        <f t="shared" si="39"/>
        <v>10.512179695301816</v>
      </c>
    </row>
    <row r="227" spans="1:8" x14ac:dyDescent="0.35">
      <c r="C227" t="s">
        <v>41</v>
      </c>
      <c r="H227">
        <f>SUM(H222:H226)</f>
        <v>312.67500847582829</v>
      </c>
    </row>
    <row r="228" spans="1:8" x14ac:dyDescent="0.35">
      <c r="A228" s="1" t="s">
        <v>91</v>
      </c>
      <c r="B228" s="1"/>
      <c r="C228" s="1"/>
      <c r="D228" s="1"/>
      <c r="E228" s="1"/>
      <c r="F228" s="1"/>
    </row>
    <row r="229" spans="1:8" x14ac:dyDescent="0.35">
      <c r="A229" s="1" t="s">
        <v>49</v>
      </c>
      <c r="B229" s="1"/>
      <c r="C229" s="1"/>
      <c r="D229" s="1"/>
      <c r="E229" s="1"/>
      <c r="F229" s="1"/>
    </row>
    <row r="230" spans="1:8" x14ac:dyDescent="0.35">
      <c r="A230" s="1" t="s">
        <v>48</v>
      </c>
      <c r="B230" s="1"/>
      <c r="C230" s="1"/>
      <c r="D230" s="1"/>
      <c r="E230" s="1"/>
      <c r="F230" s="1"/>
    </row>
    <row r="231" spans="1:8" x14ac:dyDescent="0.35">
      <c r="A231" s="1" t="s">
        <v>58</v>
      </c>
      <c r="B231" s="1"/>
      <c r="C231" s="1"/>
      <c r="D231" s="1"/>
      <c r="E231" s="1"/>
      <c r="F231" s="1"/>
    </row>
    <row r="232" spans="1:8" x14ac:dyDescent="0.35">
      <c r="A232" s="1" t="s">
        <v>92</v>
      </c>
      <c r="B232" s="1"/>
      <c r="C232" s="1"/>
      <c r="D232" s="1"/>
      <c r="E232" s="1"/>
      <c r="F232" s="1"/>
    </row>
    <row r="234" spans="1:8" x14ac:dyDescent="0.35">
      <c r="A234" s="1" t="s">
        <v>51</v>
      </c>
      <c r="B234" s="1"/>
      <c r="C234" s="1"/>
      <c r="D234" s="1"/>
      <c r="E234" s="1"/>
      <c r="F234" s="1"/>
    </row>
    <row r="235" spans="1:8" x14ac:dyDescent="0.35">
      <c r="A235" t="s">
        <v>52</v>
      </c>
      <c r="B235" t="s">
        <v>53</v>
      </c>
      <c r="C235" t="s">
        <v>54</v>
      </c>
      <c r="D235" t="s">
        <v>93</v>
      </c>
      <c r="E235" t="s">
        <v>94</v>
      </c>
      <c r="F235" t="s">
        <v>95</v>
      </c>
    </row>
    <row r="236" spans="1:8" x14ac:dyDescent="0.35">
      <c r="A236">
        <v>100</v>
      </c>
      <c r="B236">
        <v>21</v>
      </c>
      <c r="C236">
        <f>B236/42</f>
        <v>0.5</v>
      </c>
      <c r="D236">
        <f>(A236+149.489)/900.446</f>
        <v>0.27707269508665705</v>
      </c>
      <c r="E236">
        <f>EXP(-EXP(-D236))</f>
        <v>0.46860298060179473</v>
      </c>
      <c r="F236">
        <f>C236-E236</f>
        <v>3.1397019398205273E-2</v>
      </c>
    </row>
    <row r="237" spans="1:8" x14ac:dyDescent="0.35">
      <c r="A237">
        <v>200</v>
      </c>
      <c r="B237">
        <v>34</v>
      </c>
      <c r="C237">
        <f t="shared" ref="C237:C239" si="40">B237/42</f>
        <v>0.80952380952380953</v>
      </c>
      <c r="D237">
        <f t="shared" ref="D237:D239" si="41">(A237+149.489)/900.446</f>
        <v>0.38812877174200344</v>
      </c>
      <c r="E237">
        <f t="shared" ref="E237:E239" si="42">EXP(-EXP(-D237))</f>
        <v>0.50746629272421484</v>
      </c>
      <c r="F237">
        <f t="shared" ref="F237:F239" si="43">C237-E237</f>
        <v>0.30205751679959469</v>
      </c>
    </row>
    <row r="238" spans="1:8" x14ac:dyDescent="0.35">
      <c r="A238">
        <v>300</v>
      </c>
      <c r="B238">
        <v>36</v>
      </c>
      <c r="C238">
        <f t="shared" si="40"/>
        <v>0.8571428571428571</v>
      </c>
      <c r="D238">
        <f t="shared" si="41"/>
        <v>0.49918484839734978</v>
      </c>
      <c r="E238">
        <f t="shared" si="42"/>
        <v>0.54496959453563198</v>
      </c>
      <c r="F238">
        <f t="shared" si="43"/>
        <v>0.31217326260722511</v>
      </c>
    </row>
    <row r="239" spans="1:8" x14ac:dyDescent="0.35">
      <c r="A239">
        <v>400</v>
      </c>
      <c r="B239">
        <v>38</v>
      </c>
      <c r="C239">
        <f t="shared" si="40"/>
        <v>0.90476190476190477</v>
      </c>
      <c r="D239">
        <f t="shared" si="41"/>
        <v>0.61024092505269611</v>
      </c>
      <c r="E239">
        <f t="shared" si="42"/>
        <v>0.58087483362066983</v>
      </c>
      <c r="F239">
        <f t="shared" si="43"/>
        <v>0.32388707114123494</v>
      </c>
    </row>
    <row r="240" spans="1:8" x14ac:dyDescent="0.35">
      <c r="A240" s="1" t="s">
        <v>97</v>
      </c>
      <c r="B240" s="1"/>
      <c r="C240" s="1"/>
      <c r="D240" s="1"/>
      <c r="E240" s="1"/>
    </row>
    <row r="241" spans="1:7" x14ac:dyDescent="0.35">
      <c r="A241" s="1" t="s">
        <v>59</v>
      </c>
      <c r="B241" s="1"/>
      <c r="C241" s="1"/>
      <c r="D241" s="1"/>
      <c r="E241" s="1"/>
    </row>
    <row r="242" spans="1:7" x14ac:dyDescent="0.35">
      <c r="A242" s="1" t="s">
        <v>60</v>
      </c>
      <c r="B242" s="1"/>
      <c r="C242" s="1"/>
      <c r="D242" s="1"/>
      <c r="E242" s="1"/>
    </row>
    <row r="243" spans="1:7" x14ac:dyDescent="0.35">
      <c r="A243" s="1" t="s">
        <v>98</v>
      </c>
      <c r="B243" s="1"/>
      <c r="C243" s="1"/>
      <c r="D243" s="1"/>
      <c r="E243" s="1"/>
    </row>
    <row r="245" spans="1:7" x14ac:dyDescent="0.35">
      <c r="A245" s="1" t="s">
        <v>99</v>
      </c>
      <c r="B245" s="1"/>
      <c r="C245" s="1"/>
      <c r="D245" s="1"/>
      <c r="E245" s="1"/>
      <c r="F245" s="1"/>
      <c r="G245" s="1"/>
    </row>
    <row r="246" spans="1:7" x14ac:dyDescent="0.35">
      <c r="A246" s="1" t="s">
        <v>100</v>
      </c>
      <c r="B246" s="1"/>
      <c r="C246" s="1"/>
      <c r="D246" s="1"/>
      <c r="E246" s="1"/>
      <c r="F246" s="1"/>
      <c r="G246" s="1"/>
    </row>
    <row r="247" spans="1:7" x14ac:dyDescent="0.35">
      <c r="A247" s="1" t="s">
        <v>101</v>
      </c>
      <c r="B247" s="1"/>
      <c r="C247" s="1"/>
      <c r="D247" s="1"/>
      <c r="E247" s="1"/>
      <c r="F247" s="1"/>
      <c r="G247" s="1"/>
    </row>
    <row r="249" spans="1:7" x14ac:dyDescent="0.35">
      <c r="A249" s="3" t="s">
        <v>102</v>
      </c>
      <c r="B249" s="3"/>
      <c r="C249" s="3"/>
      <c r="D249" s="3"/>
      <c r="E249" s="3"/>
      <c r="F249" s="3"/>
      <c r="G249" s="3"/>
    </row>
    <row r="250" spans="1:7" x14ac:dyDescent="0.35">
      <c r="A250" s="3" t="s">
        <v>103</v>
      </c>
      <c r="B250" s="3"/>
      <c r="C250" s="3"/>
      <c r="D250" s="3"/>
      <c r="E250" s="3"/>
      <c r="F250" s="3"/>
      <c r="G250" s="3"/>
    </row>
    <row r="251" spans="1:7" x14ac:dyDescent="0.35">
      <c r="A251" s="3" t="s">
        <v>104</v>
      </c>
      <c r="B251" s="3"/>
      <c r="C251" s="3"/>
      <c r="D251" s="3"/>
      <c r="E251" s="3"/>
      <c r="F251" s="3"/>
      <c r="G251" s="3"/>
    </row>
    <row r="252" spans="1:7" x14ac:dyDescent="0.35">
      <c r="A252" s="3" t="s">
        <v>105</v>
      </c>
      <c r="B252" s="3"/>
      <c r="C252" s="3"/>
      <c r="D252" s="3"/>
      <c r="E252" s="3"/>
      <c r="F252" s="3"/>
      <c r="G252" s="3"/>
    </row>
    <row r="253" spans="1:7" x14ac:dyDescent="0.35">
      <c r="A253" s="3" t="s">
        <v>106</v>
      </c>
      <c r="B253" s="3"/>
      <c r="C253" s="3"/>
      <c r="D253" s="3"/>
      <c r="E253" s="3"/>
      <c r="F253" s="3"/>
      <c r="G253" s="3"/>
    </row>
    <row r="254" spans="1:7" x14ac:dyDescent="0.35">
      <c r="A254" s="4" t="s">
        <v>107</v>
      </c>
      <c r="B254" s="4">
        <f>-2*LN(2.9176*10^(-117))+2*2</f>
        <v>540.66338903958206</v>
      </c>
      <c r="C254" s="4"/>
      <c r="D254" s="4"/>
      <c r="E254" s="4"/>
      <c r="F254" s="4"/>
      <c r="G254" s="4"/>
    </row>
    <row r="255" spans="1:7" x14ac:dyDescent="0.35">
      <c r="A255" s="3" t="s">
        <v>108</v>
      </c>
      <c r="B255" s="3"/>
      <c r="C255" s="3"/>
      <c r="D255" s="3"/>
      <c r="E255" s="3"/>
      <c r="F255" s="3"/>
      <c r="G255" s="3"/>
    </row>
    <row r="256" spans="1:7" x14ac:dyDescent="0.35">
      <c r="A256" s="4" t="s">
        <v>109</v>
      </c>
      <c r="B256" s="4">
        <f>-2*LN(2.9176*10^(-117))+LN(42)*2</f>
        <v>544.13872827614875</v>
      </c>
      <c r="C256" s="4"/>
      <c r="D256" s="4"/>
      <c r="E256" s="4"/>
      <c r="F256" s="4"/>
      <c r="G256" s="4"/>
    </row>
    <row r="257" spans="1:7" x14ac:dyDescent="0.35">
      <c r="A257" s="4"/>
      <c r="B257" s="4"/>
      <c r="C257" s="4"/>
      <c r="D257" s="4"/>
      <c r="E257" s="4"/>
      <c r="F257" s="4"/>
      <c r="G257" s="4"/>
    </row>
    <row r="258" spans="1:7" x14ac:dyDescent="0.35">
      <c r="A258" s="3" t="s">
        <v>110</v>
      </c>
      <c r="B258" s="3"/>
      <c r="C258" s="3"/>
      <c r="D258" s="3"/>
      <c r="E258" s="3"/>
      <c r="F258" s="3"/>
      <c r="G258" s="3"/>
    </row>
    <row r="259" spans="1:7" x14ac:dyDescent="0.35">
      <c r="A259" s="3" t="s">
        <v>111</v>
      </c>
      <c r="B259" s="3"/>
      <c r="C259" s="3"/>
      <c r="D259" s="3"/>
      <c r="E259" s="3"/>
      <c r="F259" s="3"/>
      <c r="G259" s="3"/>
    </row>
    <row r="260" spans="1:7" x14ac:dyDescent="0.35">
      <c r="A260" s="3" t="s">
        <v>104</v>
      </c>
      <c r="B260" s="3"/>
      <c r="C260" s="3"/>
      <c r="D260" s="3"/>
      <c r="E260" s="3"/>
      <c r="F260" s="3"/>
      <c r="G260" s="3"/>
    </row>
    <row r="261" spans="1:7" x14ac:dyDescent="0.35">
      <c r="A261" s="3" t="s">
        <v>112</v>
      </c>
      <c r="B261" s="3"/>
      <c r="C261" s="3"/>
      <c r="D261" s="3"/>
      <c r="E261" s="3"/>
      <c r="F261" s="3"/>
      <c r="G261" s="3"/>
    </row>
    <row r="262" spans="1:7" x14ac:dyDescent="0.35">
      <c r="A262" s="3" t="s">
        <v>106</v>
      </c>
      <c r="B262" s="3"/>
      <c r="C262" s="3"/>
      <c r="D262" s="3"/>
      <c r="E262" s="3"/>
      <c r="F262" s="3"/>
      <c r="G262" s="3"/>
    </row>
    <row r="263" spans="1:7" x14ac:dyDescent="0.35">
      <c r="A263" s="4" t="s">
        <v>107</v>
      </c>
      <c r="B263" s="4">
        <f>-2*LN(3.6058*10^(-116))+2*2</f>
        <v>535.63465425436664</v>
      </c>
      <c r="C263" s="4"/>
      <c r="D263" s="4"/>
      <c r="E263" s="4"/>
      <c r="F263" s="4"/>
      <c r="G263" s="4"/>
    </row>
    <row r="264" spans="1:7" x14ac:dyDescent="0.35">
      <c r="A264" s="3" t="s">
        <v>108</v>
      </c>
      <c r="B264" s="3"/>
      <c r="C264" s="3"/>
      <c r="D264" s="3"/>
      <c r="E264" s="3"/>
      <c r="F264" s="3"/>
      <c r="G264" s="3"/>
    </row>
    <row r="265" spans="1:7" x14ac:dyDescent="0.35">
      <c r="A265" s="4" t="s">
        <v>109</v>
      </c>
      <c r="B265" s="4">
        <f>-2*LN(3.6058*10^(-116))+LN(42)*2</f>
        <v>539.10999349093333</v>
      </c>
      <c r="C265" s="4"/>
      <c r="D265" s="4"/>
      <c r="E265" s="4"/>
      <c r="F265" s="4"/>
      <c r="G265" s="4"/>
    </row>
    <row r="266" spans="1:7" x14ac:dyDescent="0.35">
      <c r="A266" s="4"/>
      <c r="B266" s="4"/>
      <c r="C266" s="4"/>
      <c r="D266" s="4"/>
      <c r="E266" s="4"/>
      <c r="F266" s="4"/>
      <c r="G266" s="4"/>
    </row>
    <row r="267" spans="1:7" x14ac:dyDescent="0.35">
      <c r="A267" s="3" t="s">
        <v>113</v>
      </c>
      <c r="B267" s="3"/>
      <c r="C267" s="3"/>
      <c r="D267" s="3"/>
      <c r="E267" s="3"/>
      <c r="F267" s="3"/>
      <c r="G267" s="3"/>
    </row>
    <row r="268" spans="1:7" x14ac:dyDescent="0.35">
      <c r="A268" s="3" t="s">
        <v>114</v>
      </c>
      <c r="B268" s="3"/>
      <c r="C268" s="3"/>
      <c r="D268" s="3"/>
      <c r="E268" s="3"/>
      <c r="F268" s="3"/>
      <c r="G268" s="3"/>
    </row>
    <row r="269" spans="1:7" ht="15" thickBot="1" x14ac:dyDescent="0.4"/>
    <row r="270" spans="1:7" ht="15.5" thickTop="1" thickBot="1" x14ac:dyDescent="0.4">
      <c r="A270" s="6" t="s">
        <v>115</v>
      </c>
      <c r="B270" s="6"/>
      <c r="C270" s="6"/>
      <c r="D270" s="6"/>
      <c r="E270" s="6"/>
      <c r="F270" s="6"/>
      <c r="G270" s="6"/>
    </row>
    <row r="271" spans="1:7" ht="15.5" thickTop="1" thickBot="1" x14ac:dyDescent="0.4">
      <c r="A271" s="6" t="s">
        <v>116</v>
      </c>
      <c r="B271" s="6"/>
      <c r="C271" s="6"/>
      <c r="D271" s="6"/>
      <c r="E271" s="6"/>
      <c r="F271" s="6"/>
      <c r="G271" s="6"/>
    </row>
    <row r="272" spans="1:7" ht="15.5" thickTop="1" thickBot="1" x14ac:dyDescent="0.4">
      <c r="A272" s="6" t="s">
        <v>117</v>
      </c>
      <c r="B272" s="6"/>
      <c r="C272" s="6"/>
      <c r="D272" s="6"/>
      <c r="E272" s="6"/>
      <c r="F272" s="6"/>
      <c r="G272" s="6"/>
    </row>
    <row r="273" spans="1:7" ht="15.5" thickTop="1" thickBot="1" x14ac:dyDescent="0.4">
      <c r="A273" s="6" t="s">
        <v>119</v>
      </c>
      <c r="B273" s="6"/>
      <c r="C273" s="6"/>
      <c r="D273" s="6"/>
      <c r="E273" s="6"/>
      <c r="F273" s="6"/>
      <c r="G273" s="6"/>
    </row>
    <row r="274" spans="1:7" ht="15.5" thickTop="1" thickBot="1" x14ac:dyDescent="0.4">
      <c r="A274" s="6" t="s">
        <v>118</v>
      </c>
      <c r="B274" s="6"/>
      <c r="C274" s="6"/>
      <c r="D274" s="6"/>
      <c r="E274" s="6"/>
      <c r="F274" s="6"/>
      <c r="G274" s="6"/>
    </row>
    <row r="275" spans="1:7" ht="15.5" thickTop="1" thickBot="1" x14ac:dyDescent="0.4">
      <c r="A275" s="6" t="s">
        <v>120</v>
      </c>
      <c r="B275" s="6"/>
      <c r="C275" s="6"/>
      <c r="D275" s="6"/>
      <c r="E275" s="6"/>
      <c r="F275" s="6"/>
      <c r="G275" s="6"/>
    </row>
    <row r="276" spans="1:7" ht="15.5" thickTop="1" thickBot="1" x14ac:dyDescent="0.4">
      <c r="A276" s="6" t="s">
        <v>121</v>
      </c>
      <c r="B276" s="6"/>
      <c r="C276" s="6"/>
      <c r="D276" s="6"/>
      <c r="E276" s="6"/>
      <c r="F276" s="6"/>
      <c r="G276" s="6"/>
    </row>
    <row r="277" spans="1:7" ht="15" thickTop="1" x14ac:dyDescent="0.35"/>
  </sheetData>
  <sortState xmlns:xlrd2="http://schemas.microsoft.com/office/spreadsheetml/2017/richdata2" ref="M2:M43">
    <sortCondition ref="M2:M43"/>
  </sortState>
  <mergeCells count="138">
    <mergeCell ref="A68:F68"/>
    <mergeCell ref="A69:B69"/>
    <mergeCell ref="A72:E72"/>
    <mergeCell ref="A73:E73"/>
    <mergeCell ref="A75:E75"/>
    <mergeCell ref="A78:E78"/>
    <mergeCell ref="A89:E89"/>
    <mergeCell ref="A93:E93"/>
    <mergeCell ref="A95:E95"/>
    <mergeCell ref="A102:B102"/>
    <mergeCell ref="C102:C103"/>
    <mergeCell ref="D102:D103"/>
    <mergeCell ref="E102:E103"/>
    <mergeCell ref="A79:E79"/>
    <mergeCell ref="A81:E81"/>
    <mergeCell ref="A84:E84"/>
    <mergeCell ref="A85:E85"/>
    <mergeCell ref="A86:E86"/>
    <mergeCell ref="A88:E88"/>
    <mergeCell ref="A100:F100"/>
    <mergeCell ref="A128:F128"/>
    <mergeCell ref="F102:F103"/>
    <mergeCell ref="A110:F110"/>
    <mergeCell ref="A111:F111"/>
    <mergeCell ref="A112:F112"/>
    <mergeCell ref="A113:F113"/>
    <mergeCell ref="A114:F114"/>
    <mergeCell ref="A92:E92"/>
    <mergeCell ref="A151:E151"/>
    <mergeCell ref="A130:B130"/>
    <mergeCell ref="C130:C131"/>
    <mergeCell ref="D130:D131"/>
    <mergeCell ref="E130:E131"/>
    <mergeCell ref="F130:F131"/>
    <mergeCell ref="A138:F138"/>
    <mergeCell ref="A116:F116"/>
    <mergeCell ref="A122:E122"/>
    <mergeCell ref="A123:E123"/>
    <mergeCell ref="A124:E124"/>
    <mergeCell ref="A129:F129"/>
    <mergeCell ref="G130:G131"/>
    <mergeCell ref="H130:H131"/>
    <mergeCell ref="A143:F143"/>
    <mergeCell ref="A139:F139"/>
    <mergeCell ref="A140:F140"/>
    <mergeCell ref="A141:F141"/>
    <mergeCell ref="A142:F142"/>
    <mergeCell ref="A145:F145"/>
    <mergeCell ref="G160:G161"/>
    <mergeCell ref="H160:H161"/>
    <mergeCell ref="A168:F168"/>
    <mergeCell ref="A169:F169"/>
    <mergeCell ref="A170:F170"/>
    <mergeCell ref="A171:F171"/>
    <mergeCell ref="A154:E154"/>
    <mergeCell ref="A155:E155"/>
    <mergeCell ref="A158:F158"/>
    <mergeCell ref="A159:F159"/>
    <mergeCell ref="A160:B160"/>
    <mergeCell ref="C160:C161"/>
    <mergeCell ref="D160:D161"/>
    <mergeCell ref="E160:E161"/>
    <mergeCell ref="F160:F161"/>
    <mergeCell ref="G190:G191"/>
    <mergeCell ref="H190:H191"/>
    <mergeCell ref="A198:F198"/>
    <mergeCell ref="A199:F199"/>
    <mergeCell ref="A200:F200"/>
    <mergeCell ref="A201:F201"/>
    <mergeCell ref="A184:E184"/>
    <mergeCell ref="A185:E185"/>
    <mergeCell ref="A188:F188"/>
    <mergeCell ref="A189:F189"/>
    <mergeCell ref="A190:B190"/>
    <mergeCell ref="C190:C191"/>
    <mergeCell ref="D190:D191"/>
    <mergeCell ref="E190:E191"/>
    <mergeCell ref="F190:F191"/>
    <mergeCell ref="A214:E214"/>
    <mergeCell ref="A215:E215"/>
    <mergeCell ref="A101:F101"/>
    <mergeCell ref="A218:F218"/>
    <mergeCell ref="A219:F219"/>
    <mergeCell ref="A220:B220"/>
    <mergeCell ref="C220:C221"/>
    <mergeCell ref="D220:D221"/>
    <mergeCell ref="E220:E221"/>
    <mergeCell ref="F220:F221"/>
    <mergeCell ref="A202:F202"/>
    <mergeCell ref="A203:F203"/>
    <mergeCell ref="A205:F205"/>
    <mergeCell ref="A211:E211"/>
    <mergeCell ref="A212:E212"/>
    <mergeCell ref="A213:E213"/>
    <mergeCell ref="A172:F172"/>
    <mergeCell ref="A173:F173"/>
    <mergeCell ref="A175:F175"/>
    <mergeCell ref="A181:E181"/>
    <mergeCell ref="A182:E182"/>
    <mergeCell ref="A183:E183"/>
    <mergeCell ref="A152:E152"/>
    <mergeCell ref="A153:E153"/>
    <mergeCell ref="A240:E240"/>
    <mergeCell ref="A241:E241"/>
    <mergeCell ref="A242:E242"/>
    <mergeCell ref="G220:G221"/>
    <mergeCell ref="H220:H221"/>
    <mergeCell ref="A243:E243"/>
    <mergeCell ref="A228:F228"/>
    <mergeCell ref="A229:F229"/>
    <mergeCell ref="A230:F230"/>
    <mergeCell ref="A231:F231"/>
    <mergeCell ref="A232:F232"/>
    <mergeCell ref="A234:F234"/>
    <mergeCell ref="A253:G253"/>
    <mergeCell ref="A251:G251"/>
    <mergeCell ref="A255:G255"/>
    <mergeCell ref="A258:G258"/>
    <mergeCell ref="A259:G259"/>
    <mergeCell ref="A260:G260"/>
    <mergeCell ref="A245:G245"/>
    <mergeCell ref="A246:G246"/>
    <mergeCell ref="A247:G247"/>
    <mergeCell ref="A249:G249"/>
    <mergeCell ref="A250:G250"/>
    <mergeCell ref="A252:G252"/>
    <mergeCell ref="A270:G270"/>
    <mergeCell ref="A271:G271"/>
    <mergeCell ref="A272:G272"/>
    <mergeCell ref="A273:G273"/>
    <mergeCell ref="A274:G274"/>
    <mergeCell ref="A275:G275"/>
    <mergeCell ref="A276:G276"/>
    <mergeCell ref="A261:G261"/>
    <mergeCell ref="A262:G262"/>
    <mergeCell ref="A264:G264"/>
    <mergeCell ref="A267:G267"/>
    <mergeCell ref="A268:G2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anujp</dc:creator>
  <cp:lastModifiedBy>anujp</cp:lastModifiedBy>
  <dcterms:created xsi:type="dcterms:W3CDTF">2023-04-01T11:50:10Z</dcterms:created>
  <dcterms:modified xsi:type="dcterms:W3CDTF">2023-04-05T18:30:24Z</dcterms:modified>
</cp:coreProperties>
</file>