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jp\Downloads\"/>
    </mc:Choice>
  </mc:AlternateContent>
  <xr:revisionPtr revIDLastSave="0" documentId="13_ncr:1_{6F0769A5-B382-4560-90B1-5C29A09E74EC}" xr6:coauthVersionLast="47" xr6:coauthVersionMax="47" xr10:uidLastSave="{00000000-0000-0000-0000-000000000000}"/>
  <bookViews>
    <workbookView xWindow="-110" yWindow="-110" windowWidth="19420" windowHeight="10300" xr2:uid="{14F1D26D-ED46-4025-A827-3539429BC4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1" l="1"/>
  <c r="K48" i="1" s="1"/>
  <c r="I48" i="1"/>
  <c r="G48" i="1"/>
  <c r="O25" i="1"/>
  <c r="P25" i="1" s="1"/>
  <c r="F48" i="1"/>
  <c r="J47" i="1"/>
  <c r="K47" i="1" s="1"/>
  <c r="I47" i="1"/>
  <c r="G47" i="1"/>
  <c r="O22" i="1"/>
  <c r="F47" i="1"/>
  <c r="E61" i="1" s="1"/>
  <c r="I44" i="1"/>
  <c r="G44" i="1"/>
  <c r="O19" i="1"/>
  <c r="I41" i="1"/>
  <c r="G41" i="1"/>
  <c r="O16" i="1"/>
  <c r="P16" i="1" s="1"/>
  <c r="I38" i="1"/>
  <c r="G38" i="1"/>
  <c r="O13" i="1"/>
  <c r="P13" i="1" s="1"/>
  <c r="I35" i="1"/>
  <c r="G35" i="1"/>
  <c r="O10" i="1"/>
  <c r="P10" i="1" s="1"/>
  <c r="I32" i="1"/>
  <c r="G32" i="1"/>
  <c r="G33" i="1"/>
  <c r="J31" i="1"/>
  <c r="I31" i="1"/>
  <c r="O7" i="1"/>
  <c r="P7" i="1" s="1"/>
  <c r="E33" i="1"/>
  <c r="F31" i="1"/>
  <c r="G31" i="1"/>
  <c r="O4" i="1"/>
  <c r="P4" i="1" s="1"/>
  <c r="K61" i="1"/>
  <c r="L61" i="1" s="1"/>
  <c r="K62" i="1"/>
  <c r="L62" i="1" s="1"/>
  <c r="K55" i="1"/>
  <c r="J56" i="1"/>
  <c r="J57" i="1"/>
  <c r="J58" i="1"/>
  <c r="J59" i="1"/>
  <c r="J60" i="1"/>
  <c r="J61" i="1"/>
  <c r="M61" i="1" s="1"/>
  <c r="N61" i="1" s="1"/>
  <c r="J62" i="1"/>
  <c r="J55" i="1"/>
  <c r="E32" i="1"/>
  <c r="E35" i="1"/>
  <c r="E38" i="1"/>
  <c r="E41" i="1"/>
  <c r="E44" i="1"/>
  <c r="E47" i="1"/>
  <c r="E48" i="1"/>
  <c r="E31" i="1"/>
  <c r="B48" i="1"/>
  <c r="B47" i="1"/>
  <c r="B44" i="1"/>
  <c r="B41" i="1"/>
  <c r="B38" i="1"/>
  <c r="B35" i="1"/>
  <c r="B32" i="1"/>
  <c r="B31" i="1"/>
  <c r="P19" i="1"/>
  <c r="P22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5" i="1"/>
  <c r="M6" i="1"/>
  <c r="M4" i="1"/>
  <c r="E62" i="1" l="1"/>
  <c r="E51" i="1"/>
  <c r="M62" i="1"/>
  <c r="N62" i="1" s="1"/>
  <c r="G50" i="1"/>
  <c r="E50" i="1"/>
  <c r="K31" i="1"/>
  <c r="E55" i="1" s="1"/>
  <c r="G51" i="1"/>
  <c r="E36" i="1"/>
  <c r="E39" i="1" s="1"/>
  <c r="F40" i="1" s="1"/>
  <c r="M55" i="1"/>
  <c r="F34" i="1"/>
  <c r="L55" i="1"/>
  <c r="N4" i="1"/>
  <c r="N13" i="1"/>
  <c r="N22" i="1"/>
  <c r="N7" i="1"/>
  <c r="Q7" i="1" s="1"/>
  <c r="N10" i="1"/>
  <c r="N25" i="1"/>
  <c r="N16" i="1"/>
  <c r="N19" i="1"/>
  <c r="N55" i="1" l="1"/>
  <c r="K56" i="1"/>
  <c r="F37" i="1"/>
  <c r="E42" i="1"/>
  <c r="F43" i="1" s="1"/>
  <c r="Q19" i="1"/>
  <c r="R19" i="1" s="1"/>
  <c r="S19" i="1" s="1"/>
  <c r="Q16" i="1"/>
  <c r="T16" i="1" s="1"/>
  <c r="Q10" i="1"/>
  <c r="T10" i="1" s="1"/>
  <c r="Q13" i="1"/>
  <c r="T13" i="1" s="1"/>
  <c r="Q4" i="1"/>
  <c r="Q25" i="1"/>
  <c r="T25" i="1" s="1"/>
  <c r="Q22" i="1"/>
  <c r="T19" i="1"/>
  <c r="T7" i="1"/>
  <c r="R16" i="1"/>
  <c r="S16" i="1" s="1"/>
  <c r="E45" i="1" l="1"/>
  <c r="F46" i="1" s="1"/>
  <c r="L56" i="1"/>
  <c r="M56" i="1"/>
  <c r="R25" i="1"/>
  <c r="S25" i="1" s="1"/>
  <c r="R13" i="1"/>
  <c r="S13" i="1" s="1"/>
  <c r="R22" i="1"/>
  <c r="S22" i="1" s="1"/>
  <c r="T22" i="1"/>
  <c r="F55" i="1"/>
  <c r="H55" i="1"/>
  <c r="F61" i="1"/>
  <c r="H61" i="1"/>
  <c r="I61" i="1" s="1"/>
  <c r="H50" i="1" s="1"/>
  <c r="I50" i="1" s="1"/>
  <c r="H62" i="1"/>
  <c r="I62" i="1" s="1"/>
  <c r="H51" i="1" s="1"/>
  <c r="I51" i="1" s="1"/>
  <c r="F62" i="1"/>
  <c r="T4" i="1"/>
  <c r="R4" i="1"/>
  <c r="S4" i="1" s="1"/>
  <c r="R7" i="1"/>
  <c r="S7" i="1" s="1"/>
  <c r="R10" i="1"/>
  <c r="S10" i="1" s="1"/>
  <c r="K57" i="1" l="1"/>
  <c r="N56" i="1"/>
  <c r="E49" i="1"/>
  <c r="F52" i="1" s="1"/>
  <c r="I55" i="1"/>
  <c r="H33" i="1"/>
  <c r="G36" i="1" s="1"/>
  <c r="L57" i="1" l="1"/>
  <c r="M57" i="1"/>
  <c r="I33" i="1"/>
  <c r="J34" i="1"/>
  <c r="K58" i="1" l="1"/>
  <c r="N57" i="1"/>
  <c r="K34" i="1"/>
  <c r="E56" i="1" s="1"/>
  <c r="L58" i="1" l="1"/>
  <c r="M58" i="1"/>
  <c r="H56" i="1"/>
  <c r="F56" i="1"/>
  <c r="K59" i="1" l="1"/>
  <c r="N58" i="1"/>
  <c r="I56" i="1"/>
  <c r="H36" i="1"/>
  <c r="G39" i="1" s="1"/>
  <c r="L59" i="1" l="1"/>
  <c r="M59" i="1"/>
  <c r="J37" i="1"/>
  <c r="I36" i="1"/>
  <c r="K60" i="1" l="1"/>
  <c r="N59" i="1"/>
  <c r="K37" i="1"/>
  <c r="E57" i="1" s="1"/>
  <c r="L60" i="1" l="1"/>
  <c r="M60" i="1"/>
  <c r="H57" i="1"/>
  <c r="F57" i="1"/>
  <c r="K63" i="1" l="1"/>
  <c r="L63" i="1" s="1"/>
  <c r="N60" i="1"/>
  <c r="H39" i="1"/>
  <c r="G42" i="1" s="1"/>
  <c r="I57" i="1"/>
  <c r="J40" i="1" l="1"/>
  <c r="I39" i="1"/>
  <c r="K40" i="1" l="1"/>
  <c r="E58" i="1" s="1"/>
  <c r="F58" i="1" l="1"/>
  <c r="H58" i="1"/>
  <c r="H42" i="1" l="1"/>
  <c r="I42" i="1" s="1"/>
  <c r="J43" i="1" s="1"/>
  <c r="I58" i="1"/>
  <c r="K43" i="1" l="1"/>
  <c r="E59" i="1" s="1"/>
  <c r="G45" i="1"/>
  <c r="F59" i="1" l="1"/>
  <c r="H59" i="1"/>
  <c r="H45" i="1" l="1"/>
  <c r="I45" i="1" s="1"/>
  <c r="J46" i="1" s="1"/>
  <c r="I59" i="1"/>
  <c r="G49" i="1" l="1"/>
  <c r="K46" i="1"/>
  <c r="E60" i="1" s="1"/>
  <c r="F60" i="1" l="1"/>
  <c r="H60" i="1"/>
  <c r="I60" i="1" s="1"/>
  <c r="H49" i="1" s="1"/>
  <c r="I49" i="1"/>
  <c r="J52" i="1" s="1"/>
  <c r="K52" i="1" s="1"/>
  <c r="E63" i="1" s="1"/>
  <c r="F63" i="1" l="1"/>
  <c r="H63" i="1"/>
  <c r="I63" i="1" s="1"/>
</calcChain>
</file>

<file path=xl/sharedStrings.xml><?xml version="1.0" encoding="utf-8"?>
<sst xmlns="http://schemas.openxmlformats.org/spreadsheetml/2006/main" count="126" uniqueCount="63">
  <si>
    <t>Basin</t>
  </si>
  <si>
    <t>Basin Area</t>
  </si>
  <si>
    <r>
      <t>(km</t>
    </r>
    <r>
      <rPr>
        <b/>
        <vertAlign val="superscript"/>
        <sz val="13.5"/>
        <color theme="1"/>
        <rFont val="Times New Roman"/>
        <family val="1"/>
      </rPr>
      <t>2</t>
    </r>
    <r>
      <rPr>
        <b/>
        <sz val="13.5"/>
        <color theme="1"/>
        <rFont val="Times New Roman"/>
        <family val="1"/>
      </rPr>
      <t>)</t>
    </r>
  </si>
  <si>
    <t>Division of the basin area (%)</t>
  </si>
  <si>
    <t>Drainage Length</t>
  </si>
  <si>
    <t>(m)</t>
  </si>
  <si>
    <t>Slope of the basin</t>
  </si>
  <si>
    <t>Kerby’s coefficient</t>
  </si>
  <si>
    <t>I</t>
  </si>
  <si>
    <t>Residential</t>
  </si>
  <si>
    <t>Lawn and open spaces</t>
  </si>
  <si>
    <t>Paved street roads</t>
  </si>
  <si>
    <t>II</t>
  </si>
  <si>
    <t>III</t>
  </si>
  <si>
    <t>IV</t>
  </si>
  <si>
    <t>V</t>
  </si>
  <si>
    <t>VI</t>
  </si>
  <si>
    <t>VII</t>
  </si>
  <si>
    <t>VIII</t>
  </si>
  <si>
    <t>Product of 
percentage
 of land and
corresponding C</t>
  </si>
  <si>
    <t>Runoff
Coefficient C</t>
  </si>
  <si>
    <t>Time of
Concentration/
Inlet time/Time
Duration for IDF Curve(min)</t>
  </si>
  <si>
    <t>Intensity
(mm/min)</t>
  </si>
  <si>
    <t>C overall 
for the 
basin</t>
  </si>
  <si>
    <t>Peak
Discharge
(Q), m^3/s</t>
  </si>
  <si>
    <t>Gutter Width(T),(m)</t>
  </si>
  <si>
    <t>Minimum 
Curb height
for gutter</t>
  </si>
  <si>
    <t>Length of
curb 
opening
inlet (Lt) (m)</t>
  </si>
  <si>
    <t>Sewer</t>
  </si>
  <si>
    <t>Directly Drained 
Catchment or 
Contributing Upstre 
-am Sewer</t>
  </si>
  <si>
    <t>Area(Aj)
(Km^2)</t>
  </si>
  <si>
    <t>Runoff 
Coefficient
(Cj)</t>
  </si>
  <si>
    <t>CjAj</t>
  </si>
  <si>
    <t>∑CjAj</t>
  </si>
  <si>
    <t>Inlet
Time
(min)</t>
  </si>
  <si>
    <t>Upstream
Sewer
Flow Time
(min)</t>
  </si>
  <si>
    <t>Design
Rain
Duration
tD (min)</t>
  </si>
  <si>
    <t xml:space="preserve"> 21-31</t>
  </si>
  <si>
    <t xml:space="preserve"> 11-21  </t>
  </si>
  <si>
    <t xml:space="preserve"> 31-41</t>
  </si>
  <si>
    <t xml:space="preserve"> 41-51</t>
  </si>
  <si>
    <t xml:space="preserve"> 51-61</t>
  </si>
  <si>
    <t xml:space="preserve"> 61-71</t>
  </si>
  <si>
    <t xml:space="preserve"> 17-71</t>
  </si>
  <si>
    <t xml:space="preserve"> 18-71</t>
  </si>
  <si>
    <t xml:space="preserve"> 71-81</t>
  </si>
  <si>
    <t xml:space="preserve"> 11-21</t>
  </si>
  <si>
    <t>Upstream 
manhole 
ground 
elevation (m)</t>
  </si>
  <si>
    <t>Length L (m)</t>
  </si>
  <si>
    <t>Slope S</t>
  </si>
  <si>
    <t>Design 
Discharge 
Qp, m3/sec</t>
  </si>
  <si>
    <t>Required 
Diameter 
dr, (m)</t>
  </si>
  <si>
    <t>Diameter 
used dn, (m)</t>
  </si>
  <si>
    <t>Flow
Velocity V
(m/sec)</t>
  </si>
  <si>
    <t>Sewer
Flow
Time
(min)</t>
  </si>
  <si>
    <t>SL (m)</t>
  </si>
  <si>
    <t>Upstream
Crown
Elevation
(m)</t>
  </si>
  <si>
    <t>Upstream
Invert
Elevation
(m)</t>
  </si>
  <si>
    <t>Downstream
Crown
Elevation
(m)</t>
  </si>
  <si>
    <t>Downstream
Invert
Elevation
(m)</t>
  </si>
  <si>
    <t>Design
Rain
Intensity
(mm/min)</t>
  </si>
  <si>
    <t>b. Design of storm water drainage system</t>
  </si>
  <si>
    <t>Time of
Concentration tc
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</si>
</sst>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3.5"/>
      <color theme="1"/>
      <name val="Times New Roman"/>
      <family val="1"/>
    </font>
    <font>
      <b/>
      <vertAlign val="superscript"/>
      <sz val="13.5"/>
      <color theme="1"/>
      <name val="Times New Roman"/>
      <family val="1"/>
    </font>
    <font>
      <sz val="13.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0" xfId="0"/>
    <xf numFmtId="0" fontId="5" fillId="0" borderId="8" xfId="0" applyFont="1" applyBorder="1" applyAlignment="1">
      <alignment wrapText="1"/>
    </xf>
    <xf numFmtId="0" fontId="5" fillId="0" borderId="8" xfId="0" applyFont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7" fillId="0" borderId="0" xfId="0" applyFont="1" applyBorder="1"/>
    <xf numFmtId="0" fontId="0" fillId="0" borderId="9" xfId="0" applyBorder="1"/>
    <xf numFmtId="0" fontId="0" fillId="0" borderId="9" xfId="0" applyBorder="1" applyAlignment="1">
      <alignment wrapText="1"/>
    </xf>
    <xf numFmtId="17" fontId="0" fillId="0" borderId="9" xfId="0" applyNumberFormat="1" applyBorder="1"/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1406-C4DD-4222-9620-B380DC6B5F54}">
  <dimension ref="A1:T63"/>
  <sheetViews>
    <sheetView tabSelected="1" workbookViewId="0">
      <selection sqref="A1:L1"/>
    </sheetView>
  </sheetViews>
  <sheetFormatPr defaultRowHeight="14.5" x14ac:dyDescent="0.35"/>
  <cols>
    <col min="1" max="1" width="12" customWidth="1"/>
    <col min="2" max="2" width="13.7265625" customWidth="1"/>
    <col min="3" max="3" width="14.6328125" customWidth="1"/>
    <col min="4" max="4" width="14.453125" customWidth="1"/>
    <col min="5" max="5" width="12.6328125" customWidth="1"/>
    <col min="6" max="6" width="13" customWidth="1"/>
    <col min="7" max="7" width="12" customWidth="1"/>
    <col min="8" max="8" width="15.453125" customWidth="1"/>
    <col min="9" max="9" width="13" customWidth="1"/>
    <col min="10" max="10" width="10.90625" customWidth="1"/>
    <col min="11" max="11" width="8.54296875" customWidth="1"/>
    <col min="12" max="12" width="8.90625" customWidth="1"/>
    <col min="13" max="13" width="10.36328125" customWidth="1"/>
    <col min="14" max="14" width="10.90625" customWidth="1"/>
    <col min="15" max="15" width="10.81640625" customWidth="1"/>
    <col min="16" max="16" width="9.90625" customWidth="1"/>
    <col min="17" max="17" width="10.54296875" customWidth="1"/>
  </cols>
  <sheetData>
    <row r="1" spans="1:20" ht="43" customHeight="1" thickBot="1" x14ac:dyDescent="1.05">
      <c r="A1" s="20" t="s">
        <v>61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20" ht="51" x14ac:dyDescent="0.35">
      <c r="A2" s="4" t="s">
        <v>0</v>
      </c>
      <c r="B2" s="1" t="s">
        <v>1</v>
      </c>
      <c r="C2" s="6" t="s">
        <v>3</v>
      </c>
      <c r="D2" s="7"/>
      <c r="E2" s="1" t="s">
        <v>4</v>
      </c>
      <c r="F2" s="4" t="s">
        <v>6</v>
      </c>
      <c r="G2" s="4" t="s">
        <v>7</v>
      </c>
      <c r="H2" s="4"/>
      <c r="I2" s="4" t="s">
        <v>0</v>
      </c>
      <c r="J2" s="6" t="s">
        <v>3</v>
      </c>
      <c r="K2" s="7"/>
      <c r="L2" s="16" t="s">
        <v>20</v>
      </c>
      <c r="M2" s="18" t="s">
        <v>19</v>
      </c>
      <c r="N2" s="18" t="s">
        <v>23</v>
      </c>
      <c r="O2" s="18" t="s">
        <v>21</v>
      </c>
      <c r="P2" s="18" t="s">
        <v>22</v>
      </c>
      <c r="Q2" s="18" t="s">
        <v>24</v>
      </c>
      <c r="R2" s="19" t="s">
        <v>25</v>
      </c>
      <c r="S2" s="18" t="s">
        <v>26</v>
      </c>
      <c r="T2" s="18" t="s">
        <v>27</v>
      </c>
    </row>
    <row r="3" spans="1:20" ht="19.5" thickBot="1" x14ac:dyDescent="0.4">
      <c r="A3" s="5"/>
      <c r="B3" s="2" t="s">
        <v>2</v>
      </c>
      <c r="C3" s="8"/>
      <c r="D3" s="9"/>
      <c r="E3" s="2" t="s">
        <v>5</v>
      </c>
      <c r="F3" s="5"/>
      <c r="G3" s="5"/>
      <c r="H3" s="10"/>
      <c r="I3" s="5"/>
      <c r="J3" s="8"/>
      <c r="K3" s="9"/>
      <c r="L3" s="17"/>
      <c r="M3" s="15"/>
      <c r="N3" s="15"/>
      <c r="O3" s="15"/>
      <c r="P3" s="15"/>
      <c r="Q3" s="15"/>
      <c r="R3" s="19"/>
      <c r="S3" s="15"/>
      <c r="T3" s="15"/>
    </row>
    <row r="4" spans="1:20" ht="18" thickBot="1" x14ac:dyDescent="0.4">
      <c r="A4" s="4" t="s">
        <v>8</v>
      </c>
      <c r="B4" s="11">
        <v>8.5000000000000006E-3</v>
      </c>
      <c r="C4" s="3" t="s">
        <v>9</v>
      </c>
      <c r="D4" s="3">
        <v>68</v>
      </c>
      <c r="E4" s="11">
        <v>85.3</v>
      </c>
      <c r="F4" s="11">
        <v>8.9999999999999993E-3</v>
      </c>
      <c r="G4" s="11">
        <v>3.5000000000000003E-2</v>
      </c>
      <c r="H4" s="10"/>
      <c r="I4" s="4" t="s">
        <v>8</v>
      </c>
      <c r="J4" s="3" t="s">
        <v>9</v>
      </c>
      <c r="K4" s="3">
        <v>68</v>
      </c>
      <c r="L4">
        <v>0.6</v>
      </c>
      <c r="M4">
        <f>K4*L4</f>
        <v>40.799999999999997</v>
      </c>
      <c r="N4" s="15">
        <f>SUM(M4:M6)/100</f>
        <v>0.60899999999999999</v>
      </c>
      <c r="O4" s="15">
        <f>1.44*(E4*G4/(F4)^0.5)^0.467</f>
        <v>7.2090799243269714</v>
      </c>
      <c r="P4" s="15">
        <f>(1.84891*2^0.205529)/(O4+13.1819)^0.49399</f>
        <v>0.48076942422155006</v>
      </c>
      <c r="Q4" s="15">
        <f>N4*50/3*P4*B4</f>
        <v>4.1478382074714236E-2</v>
      </c>
      <c r="R4" s="15">
        <f>Q4*0.013/(0.376*0.045^(5/3)*0.0015^(0.5))</f>
        <v>6.5039545238804921</v>
      </c>
      <c r="S4" s="15">
        <f>0.045*R4</f>
        <v>0.29267795357462212</v>
      </c>
      <c r="T4" s="15">
        <f>0.817*Q4^(0.42)*0.0015^0.3*(0.013*0.045)^(-0.6)</f>
        <v>2.6560795241733777</v>
      </c>
    </row>
    <row r="5" spans="1:20" ht="35.5" thickBot="1" x14ac:dyDescent="0.4">
      <c r="A5" s="10"/>
      <c r="B5" s="12"/>
      <c r="C5" s="3" t="s">
        <v>10</v>
      </c>
      <c r="D5" s="3">
        <v>22</v>
      </c>
      <c r="E5" s="12"/>
      <c r="F5" s="12"/>
      <c r="G5" s="12"/>
      <c r="H5" s="10"/>
      <c r="I5" s="10"/>
      <c r="J5" s="3" t="s">
        <v>10</v>
      </c>
      <c r="K5" s="3">
        <v>22</v>
      </c>
      <c r="L5">
        <v>0.55000000000000004</v>
      </c>
      <c r="M5">
        <f t="shared" ref="M5:M27" si="0">K5*L5</f>
        <v>12.100000000000001</v>
      </c>
      <c r="N5" s="15"/>
      <c r="O5" s="15"/>
      <c r="P5" s="15"/>
      <c r="Q5" s="15"/>
      <c r="R5" s="15"/>
      <c r="S5" s="15"/>
      <c r="T5" s="15"/>
    </row>
    <row r="6" spans="1:20" ht="35.5" thickBot="1" x14ac:dyDescent="0.4">
      <c r="A6" s="5"/>
      <c r="B6" s="13"/>
      <c r="C6" s="3" t="s">
        <v>11</v>
      </c>
      <c r="D6" s="3">
        <v>10</v>
      </c>
      <c r="E6" s="13"/>
      <c r="F6" s="13"/>
      <c r="G6" s="13"/>
      <c r="H6" s="10"/>
      <c r="I6" s="5"/>
      <c r="J6" s="3" t="s">
        <v>11</v>
      </c>
      <c r="K6" s="3">
        <v>10</v>
      </c>
      <c r="L6">
        <v>0.8</v>
      </c>
      <c r="M6">
        <f t="shared" si="0"/>
        <v>8</v>
      </c>
      <c r="N6" s="15"/>
      <c r="O6" s="15"/>
      <c r="P6" s="15"/>
      <c r="Q6" s="15"/>
      <c r="R6" s="15"/>
      <c r="S6" s="15"/>
      <c r="T6" s="15"/>
    </row>
    <row r="7" spans="1:20" ht="18" thickBot="1" x14ac:dyDescent="0.4">
      <c r="A7" s="4" t="s">
        <v>12</v>
      </c>
      <c r="B7" s="11">
        <v>1.2999999999999999E-2</v>
      </c>
      <c r="C7" s="3" t="s">
        <v>9</v>
      </c>
      <c r="D7" s="3">
        <v>58</v>
      </c>
      <c r="E7" s="11">
        <v>130.5</v>
      </c>
      <c r="F7" s="11">
        <v>1.4999999999999999E-2</v>
      </c>
      <c r="G7" s="11">
        <v>4.2999999999999997E-2</v>
      </c>
      <c r="H7" s="10"/>
      <c r="I7" s="4" t="s">
        <v>12</v>
      </c>
      <c r="J7" s="3" t="s">
        <v>9</v>
      </c>
      <c r="K7" s="3">
        <v>58</v>
      </c>
      <c r="L7">
        <v>0.6</v>
      </c>
      <c r="M7">
        <f t="shared" si="0"/>
        <v>34.799999999999997</v>
      </c>
      <c r="N7" s="15">
        <f t="shared" ref="N7" si="1">SUM(M7:M9)/100</f>
        <v>0.60399999999999998</v>
      </c>
      <c r="O7" s="15">
        <f>1.44*(E7*G7/(F7)^0.5)^0.467</f>
        <v>8.59142218293265</v>
      </c>
      <c r="P7" s="15">
        <f t="shared" ref="P7" si="2">(1.84891*2^0.205529)/(O7+13.1819)^0.49399</f>
        <v>0.46544111397024629</v>
      </c>
      <c r="Q7" s="15">
        <f t="shared" ref="Q7" si="3">N7*50/3*P7*B7</f>
        <v>6.0910727114906228E-2</v>
      </c>
      <c r="R7" s="15">
        <f t="shared" ref="R7" si="4">Q7*0.013/(0.376*0.045^(5/3)*0.0015^(0.5))</f>
        <v>9.5510137897434841</v>
      </c>
      <c r="S7" s="15">
        <f>0.045*R7</f>
        <v>0.42979562053845677</v>
      </c>
      <c r="T7" s="15">
        <f t="shared" ref="T7" si="5">0.817*Q7^(0.42)*0.0015^0.3*(0.013*0.045)^(-0.6)</f>
        <v>3.1212410053178847</v>
      </c>
    </row>
    <row r="8" spans="1:20" ht="35.5" thickBot="1" x14ac:dyDescent="0.4">
      <c r="A8" s="10"/>
      <c r="B8" s="12"/>
      <c r="C8" s="3" t="s">
        <v>10</v>
      </c>
      <c r="D8" s="3">
        <v>32</v>
      </c>
      <c r="E8" s="12"/>
      <c r="F8" s="12"/>
      <c r="G8" s="12"/>
      <c r="H8" s="10"/>
      <c r="I8" s="10"/>
      <c r="J8" s="3" t="s">
        <v>10</v>
      </c>
      <c r="K8" s="3">
        <v>32</v>
      </c>
      <c r="L8">
        <v>0.55000000000000004</v>
      </c>
      <c r="M8">
        <f t="shared" si="0"/>
        <v>17.600000000000001</v>
      </c>
      <c r="N8" s="15"/>
      <c r="O8" s="15"/>
      <c r="P8" s="15"/>
      <c r="Q8" s="15"/>
      <c r="R8" s="15"/>
      <c r="S8" s="15"/>
      <c r="T8" s="15"/>
    </row>
    <row r="9" spans="1:20" ht="35.5" thickBot="1" x14ac:dyDescent="0.4">
      <c r="A9" s="5"/>
      <c r="B9" s="13"/>
      <c r="C9" s="3" t="s">
        <v>11</v>
      </c>
      <c r="D9" s="3">
        <v>10</v>
      </c>
      <c r="E9" s="13"/>
      <c r="F9" s="13"/>
      <c r="G9" s="13"/>
      <c r="H9" s="10"/>
      <c r="I9" s="5"/>
      <c r="J9" s="3" t="s">
        <v>11</v>
      </c>
      <c r="K9" s="3">
        <v>10</v>
      </c>
      <c r="L9">
        <v>0.8</v>
      </c>
      <c r="M9">
        <f t="shared" si="0"/>
        <v>8</v>
      </c>
      <c r="N9" s="15"/>
      <c r="O9" s="15"/>
      <c r="P9" s="15"/>
      <c r="Q9" s="15"/>
      <c r="R9" s="15"/>
      <c r="S9" s="15"/>
      <c r="T9" s="15"/>
    </row>
    <row r="10" spans="1:20" ht="18" thickBot="1" x14ac:dyDescent="0.4">
      <c r="A10" s="4" t="s">
        <v>13</v>
      </c>
      <c r="B10" s="11">
        <v>1.4999999999999999E-2</v>
      </c>
      <c r="C10" s="3" t="s">
        <v>9</v>
      </c>
      <c r="D10" s="3">
        <v>75</v>
      </c>
      <c r="E10" s="11">
        <v>135.6</v>
      </c>
      <c r="F10" s="11">
        <v>1.2E-2</v>
      </c>
      <c r="G10" s="11">
        <v>4.4999999999999998E-2</v>
      </c>
      <c r="H10" s="10"/>
      <c r="I10" s="4" t="s">
        <v>13</v>
      </c>
      <c r="J10" s="3" t="s">
        <v>9</v>
      </c>
      <c r="K10" s="3">
        <v>75</v>
      </c>
      <c r="L10">
        <v>0.6</v>
      </c>
      <c r="M10">
        <f t="shared" si="0"/>
        <v>45</v>
      </c>
      <c r="N10" s="15">
        <f t="shared" ref="N10" si="6">SUM(M10:M12)/100</f>
        <v>0.6</v>
      </c>
      <c r="O10" s="15">
        <f>1.44*(E10*G10/(F10)^0.5)^0.467</f>
        <v>9.4121575905685351</v>
      </c>
      <c r="P10" s="15">
        <f t="shared" ref="P10" si="7">(1.84891*2^0.205529)/(O10+13.1819)^0.49399</f>
        <v>0.4570108964147816</v>
      </c>
      <c r="Q10" s="15">
        <f t="shared" ref="Q10" si="8">N10*50/3*P10*B10</f>
        <v>6.8551634462217237E-2</v>
      </c>
      <c r="R10" s="15">
        <f t="shared" ref="R10" si="9">Q10*0.013/(0.376*0.045^(5/3)*0.0015^(0.5))</f>
        <v>10.749134628173932</v>
      </c>
      <c r="S10" s="15">
        <f t="shared" ref="S10" si="10">0.045*R10</f>
        <v>0.48371105826782695</v>
      </c>
      <c r="T10" s="15">
        <f t="shared" ref="T10" si="11">0.817*Q10^(0.42)*0.0015^0.3*(0.013*0.045)^(-0.6)</f>
        <v>3.2800721480054462</v>
      </c>
    </row>
    <row r="11" spans="1:20" ht="35.5" thickBot="1" x14ac:dyDescent="0.4">
      <c r="A11" s="10"/>
      <c r="B11" s="12"/>
      <c r="C11" s="3" t="s">
        <v>10</v>
      </c>
      <c r="D11" s="3">
        <v>20</v>
      </c>
      <c r="E11" s="12"/>
      <c r="F11" s="12"/>
      <c r="G11" s="12"/>
      <c r="H11" s="10"/>
      <c r="I11" s="10"/>
      <c r="J11" s="3" t="s">
        <v>10</v>
      </c>
      <c r="K11" s="3">
        <v>20</v>
      </c>
      <c r="L11">
        <v>0.55000000000000004</v>
      </c>
      <c r="M11">
        <f t="shared" si="0"/>
        <v>11</v>
      </c>
      <c r="N11" s="15"/>
      <c r="O11" s="15"/>
      <c r="P11" s="15"/>
      <c r="Q11" s="15"/>
      <c r="R11" s="15"/>
      <c r="S11" s="15"/>
      <c r="T11" s="15"/>
    </row>
    <row r="12" spans="1:20" ht="35.5" thickBot="1" x14ac:dyDescent="0.4">
      <c r="A12" s="5"/>
      <c r="B12" s="13"/>
      <c r="C12" s="3" t="s">
        <v>11</v>
      </c>
      <c r="D12" s="3">
        <v>5</v>
      </c>
      <c r="E12" s="13"/>
      <c r="F12" s="13"/>
      <c r="G12" s="13"/>
      <c r="H12" s="10"/>
      <c r="I12" s="5"/>
      <c r="J12" s="3" t="s">
        <v>11</v>
      </c>
      <c r="K12" s="3">
        <v>5</v>
      </c>
      <c r="L12">
        <v>0.8</v>
      </c>
      <c r="M12">
        <f t="shared" si="0"/>
        <v>4</v>
      </c>
      <c r="N12" s="15"/>
      <c r="O12" s="15"/>
      <c r="P12" s="15"/>
      <c r="Q12" s="15"/>
      <c r="R12" s="15"/>
      <c r="S12" s="15"/>
      <c r="T12" s="15"/>
    </row>
    <row r="13" spans="1:20" ht="18" thickBot="1" x14ac:dyDescent="0.4">
      <c r="A13" s="4" t="s">
        <v>14</v>
      </c>
      <c r="B13" s="11">
        <v>1.2E-2</v>
      </c>
      <c r="C13" s="3" t="s">
        <v>9</v>
      </c>
      <c r="D13" s="3">
        <v>60</v>
      </c>
      <c r="E13" s="11">
        <v>122.7</v>
      </c>
      <c r="F13" s="11">
        <v>1.0999999999999999E-2</v>
      </c>
      <c r="G13" s="11">
        <v>4.2000000000000003E-2</v>
      </c>
      <c r="H13" s="10"/>
      <c r="I13" s="4" t="s">
        <v>14</v>
      </c>
      <c r="J13" s="3" t="s">
        <v>9</v>
      </c>
      <c r="K13" s="3">
        <v>60</v>
      </c>
      <c r="L13">
        <v>0.6</v>
      </c>
      <c r="M13">
        <f t="shared" si="0"/>
        <v>36</v>
      </c>
      <c r="N13" s="15">
        <f t="shared" ref="N13" si="12">SUM(M13:M15)/100</f>
        <v>0.61750000000000005</v>
      </c>
      <c r="O13" s="15">
        <f>1.44*(E13*G13/(F13)^0.5)^0.467</f>
        <v>8.8765689224958599</v>
      </c>
      <c r="P13" s="15">
        <f t="shared" ref="P13" si="13">(1.84891*2^0.205529)/(O13+13.1819)^0.49399</f>
        <v>0.46245914392187915</v>
      </c>
      <c r="Q13" s="15">
        <f>N13*50/3*P13*B13</f>
        <v>5.7113704274352084E-2</v>
      </c>
      <c r="R13" s="15">
        <f t="shared" ref="R13" si="14">Q13*0.013/(0.376*0.045^(5/3)*0.0015^(0.5))</f>
        <v>8.9556274066243002</v>
      </c>
      <c r="S13" s="15">
        <f t="shared" ref="S13" si="15">0.045*R13</f>
        <v>0.40300323329809351</v>
      </c>
      <c r="T13" s="15">
        <f t="shared" ref="T13" si="16">0.817*Q13^(0.42)*0.0015^0.3*(0.013*0.045)^(-0.6)</f>
        <v>3.0379935856663023</v>
      </c>
    </row>
    <row r="14" spans="1:20" ht="35.5" thickBot="1" x14ac:dyDescent="0.4">
      <c r="A14" s="10"/>
      <c r="B14" s="12"/>
      <c r="C14" s="3" t="s">
        <v>10</v>
      </c>
      <c r="D14" s="3">
        <v>25</v>
      </c>
      <c r="E14" s="12"/>
      <c r="F14" s="12"/>
      <c r="G14" s="12"/>
      <c r="H14" s="10"/>
      <c r="I14" s="10"/>
      <c r="J14" s="3" t="s">
        <v>10</v>
      </c>
      <c r="K14" s="3">
        <v>25</v>
      </c>
      <c r="L14">
        <v>0.55000000000000004</v>
      </c>
      <c r="M14">
        <f t="shared" si="0"/>
        <v>13.750000000000002</v>
      </c>
      <c r="N14" s="15"/>
      <c r="O14" s="15"/>
      <c r="P14" s="15"/>
      <c r="Q14" s="15"/>
      <c r="R14" s="15"/>
      <c r="S14" s="15"/>
      <c r="T14" s="15"/>
    </row>
    <row r="15" spans="1:20" ht="35.5" thickBot="1" x14ac:dyDescent="0.4">
      <c r="A15" s="5"/>
      <c r="B15" s="13"/>
      <c r="C15" s="3" t="s">
        <v>11</v>
      </c>
      <c r="D15" s="3">
        <v>15</v>
      </c>
      <c r="E15" s="13"/>
      <c r="F15" s="13"/>
      <c r="G15" s="13"/>
      <c r="H15" s="10"/>
      <c r="I15" s="5"/>
      <c r="J15" s="3" t="s">
        <v>11</v>
      </c>
      <c r="K15" s="3">
        <v>15</v>
      </c>
      <c r="L15">
        <v>0.8</v>
      </c>
      <c r="M15">
        <f t="shared" si="0"/>
        <v>12</v>
      </c>
      <c r="N15" s="15"/>
      <c r="O15" s="15"/>
      <c r="P15" s="15"/>
      <c r="Q15" s="15"/>
      <c r="R15" s="15"/>
      <c r="S15" s="15"/>
      <c r="T15" s="15"/>
    </row>
    <row r="16" spans="1:20" ht="18" thickBot="1" x14ac:dyDescent="0.4">
      <c r="A16" s="4" t="s">
        <v>15</v>
      </c>
      <c r="B16" s="11">
        <v>1.2E-2</v>
      </c>
      <c r="C16" s="3" t="s">
        <v>9</v>
      </c>
      <c r="D16" s="3">
        <v>64</v>
      </c>
      <c r="E16" s="11">
        <v>121.3</v>
      </c>
      <c r="F16" s="11">
        <v>1.0999999999999999E-2</v>
      </c>
      <c r="G16" s="11">
        <v>4.1000000000000002E-2</v>
      </c>
      <c r="H16" s="10"/>
      <c r="I16" s="4" t="s">
        <v>15</v>
      </c>
      <c r="J16" s="3" t="s">
        <v>9</v>
      </c>
      <c r="K16" s="3">
        <v>64</v>
      </c>
      <c r="L16">
        <v>0.6</v>
      </c>
      <c r="M16">
        <f t="shared" si="0"/>
        <v>38.4</v>
      </c>
      <c r="N16" s="15">
        <f t="shared" ref="N16" si="17">SUM(M16:M18)/100</f>
        <v>0.59699999999999998</v>
      </c>
      <c r="O16" s="15">
        <f>1.44*(E16*G16/(F16)^0.5)^0.467</f>
        <v>8.7303238723787029</v>
      </c>
      <c r="P16" s="15">
        <f t="shared" ref="P16" si="18">(1.84891*2^0.205529)/(O16+13.1819)^0.49399</f>
        <v>0.46398128439581093</v>
      </c>
      <c r="Q16" s="15">
        <f t="shared" ref="Q16" si="19">N16*50/3*P16*B16</f>
        <v>5.5399365356859825E-2</v>
      </c>
      <c r="R16" s="15">
        <f t="shared" ref="R16" si="20">Q16*0.013/(0.376*0.045^(5/3)*0.0015^(0.5))</f>
        <v>8.6868131038435425</v>
      </c>
      <c r="S16" s="15">
        <f t="shared" ref="S16" si="21">0.045*R16</f>
        <v>0.39090658967295938</v>
      </c>
      <c r="T16" s="15">
        <f t="shared" ref="T16" si="22">0.817*Q16^(0.42)*0.0015^0.3*(0.013*0.045)^(-0.6)</f>
        <v>2.9993553788339926</v>
      </c>
    </row>
    <row r="17" spans="1:20" ht="35.5" thickBot="1" x14ac:dyDescent="0.4">
      <c r="A17" s="10"/>
      <c r="B17" s="12"/>
      <c r="C17" s="3" t="s">
        <v>10</v>
      </c>
      <c r="D17" s="3">
        <v>30</v>
      </c>
      <c r="E17" s="12"/>
      <c r="F17" s="12"/>
      <c r="G17" s="12"/>
      <c r="H17" s="10"/>
      <c r="I17" s="10"/>
      <c r="J17" s="3" t="s">
        <v>10</v>
      </c>
      <c r="K17" s="3">
        <v>30</v>
      </c>
      <c r="L17">
        <v>0.55000000000000004</v>
      </c>
      <c r="M17">
        <f t="shared" si="0"/>
        <v>16.5</v>
      </c>
      <c r="N17" s="15"/>
      <c r="O17" s="15"/>
      <c r="P17" s="15"/>
      <c r="Q17" s="15"/>
      <c r="R17" s="15"/>
      <c r="S17" s="15"/>
      <c r="T17" s="15"/>
    </row>
    <row r="18" spans="1:20" ht="35.5" thickBot="1" x14ac:dyDescent="0.4">
      <c r="A18" s="5"/>
      <c r="B18" s="13"/>
      <c r="C18" s="3" t="s">
        <v>11</v>
      </c>
      <c r="D18" s="3">
        <v>6</v>
      </c>
      <c r="E18" s="13"/>
      <c r="F18" s="13"/>
      <c r="G18" s="13"/>
      <c r="H18" s="10"/>
      <c r="I18" s="5"/>
      <c r="J18" s="3" t="s">
        <v>11</v>
      </c>
      <c r="K18" s="3">
        <v>6</v>
      </c>
      <c r="L18">
        <v>0.8</v>
      </c>
      <c r="M18">
        <f t="shared" si="0"/>
        <v>4.8000000000000007</v>
      </c>
      <c r="N18" s="15"/>
      <c r="O18" s="15"/>
      <c r="P18" s="15"/>
      <c r="Q18" s="15"/>
      <c r="R18" s="15"/>
      <c r="S18" s="15"/>
      <c r="T18" s="15"/>
    </row>
    <row r="19" spans="1:20" ht="18" thickBot="1" x14ac:dyDescent="0.4">
      <c r="A19" s="4" t="s">
        <v>16</v>
      </c>
      <c r="B19" s="11">
        <v>1.2E-2</v>
      </c>
      <c r="C19" s="3" t="s">
        <v>9</v>
      </c>
      <c r="D19" s="3">
        <v>59</v>
      </c>
      <c r="E19" s="11">
        <v>120.5</v>
      </c>
      <c r="F19" s="11">
        <v>1.2999999999999999E-2</v>
      </c>
      <c r="G19" s="11">
        <v>4.2000000000000003E-2</v>
      </c>
      <c r="H19" s="10"/>
      <c r="I19" s="4" t="s">
        <v>16</v>
      </c>
      <c r="J19" s="3" t="s">
        <v>9</v>
      </c>
      <c r="K19" s="3">
        <v>59</v>
      </c>
      <c r="L19">
        <v>0.6</v>
      </c>
      <c r="M19">
        <f t="shared" si="0"/>
        <v>35.4</v>
      </c>
      <c r="N19" s="15">
        <f t="shared" ref="N19" si="23">SUM(M19:M21)/100</f>
        <v>0.61199999999999999</v>
      </c>
      <c r="O19" s="15">
        <f>1.44*(E19*G19/(F19)^0.5)^0.467</f>
        <v>8.4651583964472685</v>
      </c>
      <c r="P19" s="15">
        <f t="shared" ref="P19" si="24">(1.84891*2^0.205529)/(O19+13.1819)^0.49399</f>
        <v>0.46678024574741583</v>
      </c>
      <c r="Q19" s="15">
        <f>N19*50/3*P19*B19</f>
        <v>5.7133902079483691E-2</v>
      </c>
      <c r="R19" s="15">
        <f t="shared" ref="R19" si="25">Q19*0.013/(0.376*0.045^(5/3)*0.0015^(0.5))</f>
        <v>8.9587944926938938</v>
      </c>
      <c r="S19" s="15">
        <f t="shared" ref="S19" si="26">0.045*R19</f>
        <v>0.40314575217122522</v>
      </c>
      <c r="T19" s="15">
        <f t="shared" ref="T19" si="27">0.817*Q19^(0.42)*0.0015^0.3*(0.013*0.045)^(-0.6)</f>
        <v>3.0384447715035989</v>
      </c>
    </row>
    <row r="20" spans="1:20" ht="35.5" thickBot="1" x14ac:dyDescent="0.4">
      <c r="A20" s="10"/>
      <c r="B20" s="12"/>
      <c r="C20" s="3" t="s">
        <v>10</v>
      </c>
      <c r="D20" s="3">
        <v>28</v>
      </c>
      <c r="E20" s="12"/>
      <c r="F20" s="12"/>
      <c r="G20" s="12"/>
      <c r="H20" s="10"/>
      <c r="I20" s="10"/>
      <c r="J20" s="3" t="s">
        <v>10</v>
      </c>
      <c r="K20" s="3">
        <v>28</v>
      </c>
      <c r="L20">
        <v>0.55000000000000004</v>
      </c>
      <c r="M20">
        <f t="shared" si="0"/>
        <v>15.400000000000002</v>
      </c>
      <c r="N20" s="15"/>
      <c r="O20" s="15"/>
      <c r="P20" s="15"/>
      <c r="Q20" s="15"/>
      <c r="R20" s="15"/>
      <c r="S20" s="15"/>
      <c r="T20" s="15"/>
    </row>
    <row r="21" spans="1:20" ht="35.5" thickBot="1" x14ac:dyDescent="0.4">
      <c r="A21" s="5"/>
      <c r="B21" s="13"/>
      <c r="C21" s="3" t="s">
        <v>11</v>
      </c>
      <c r="D21" s="3">
        <v>13</v>
      </c>
      <c r="E21" s="13"/>
      <c r="F21" s="13"/>
      <c r="G21" s="13"/>
      <c r="H21" s="10"/>
      <c r="I21" s="5"/>
      <c r="J21" s="3" t="s">
        <v>11</v>
      </c>
      <c r="K21" s="3">
        <v>13</v>
      </c>
      <c r="L21">
        <v>0.8</v>
      </c>
      <c r="M21">
        <f t="shared" si="0"/>
        <v>10.4</v>
      </c>
      <c r="N21" s="15"/>
      <c r="O21" s="15"/>
      <c r="P21" s="15"/>
      <c r="Q21" s="15"/>
      <c r="R21" s="15"/>
      <c r="S21" s="15"/>
      <c r="T21" s="15"/>
    </row>
    <row r="22" spans="1:20" ht="18" thickBot="1" x14ac:dyDescent="0.4">
      <c r="A22" s="4" t="s">
        <v>17</v>
      </c>
      <c r="B22" s="11">
        <v>1.7000000000000001E-2</v>
      </c>
      <c r="C22" s="3" t="s">
        <v>9</v>
      </c>
      <c r="D22" s="3">
        <v>72</v>
      </c>
      <c r="E22" s="11">
        <v>140.6</v>
      </c>
      <c r="F22" s="11">
        <v>1.6E-2</v>
      </c>
      <c r="G22" s="11">
        <v>5.5E-2</v>
      </c>
      <c r="H22" s="10"/>
      <c r="I22" s="4" t="s">
        <v>17</v>
      </c>
      <c r="J22" s="3" t="s">
        <v>9</v>
      </c>
      <c r="K22" s="3">
        <v>72</v>
      </c>
      <c r="L22">
        <v>0.6</v>
      </c>
      <c r="M22">
        <f t="shared" si="0"/>
        <v>43.199999999999996</v>
      </c>
      <c r="N22" s="15">
        <f t="shared" ref="N22" si="28">SUM(M22:M24)/100</f>
        <v>0.60099999999999998</v>
      </c>
      <c r="O22" s="15">
        <f>1.44*(E22*G22/(F22)^0.5)^0.467</f>
        <v>9.8301240162189423</v>
      </c>
      <c r="P22" s="15">
        <f t="shared" ref="P22" si="29">(1.84891*2^0.205529)/(O22+13.1819)^0.49399</f>
        <v>0.45289143192813541</v>
      </c>
      <c r="Q22" s="15">
        <f t="shared" ref="Q22" si="30">N22*50/3*P22*B22</f>
        <v>7.7119862666829325E-2</v>
      </c>
      <c r="R22" s="15">
        <f t="shared" ref="R22" si="31">Q22*0.013/(0.376*0.045^(5/3)*0.0015^(0.5))</f>
        <v>12.092662601194831</v>
      </c>
      <c r="S22" s="15">
        <f t="shared" ref="S22" si="32">0.045*R22</f>
        <v>0.54416981705376744</v>
      </c>
      <c r="T22" s="15">
        <f t="shared" ref="T22" si="33">0.817*Q22^(0.42)*0.0015^0.3*(0.013*0.045)^(-0.6)</f>
        <v>3.4464004518388047</v>
      </c>
    </row>
    <row r="23" spans="1:20" ht="35.5" thickBot="1" x14ac:dyDescent="0.4">
      <c r="A23" s="10"/>
      <c r="B23" s="12"/>
      <c r="C23" s="3" t="s">
        <v>10</v>
      </c>
      <c r="D23" s="3">
        <v>22</v>
      </c>
      <c r="E23" s="12"/>
      <c r="F23" s="12"/>
      <c r="G23" s="12"/>
      <c r="H23" s="10"/>
      <c r="I23" s="10"/>
      <c r="J23" s="3" t="s">
        <v>10</v>
      </c>
      <c r="K23" s="3">
        <v>22</v>
      </c>
      <c r="L23">
        <v>0.55000000000000004</v>
      </c>
      <c r="M23">
        <f t="shared" si="0"/>
        <v>12.100000000000001</v>
      </c>
      <c r="N23" s="15"/>
      <c r="O23" s="15"/>
      <c r="P23" s="15"/>
      <c r="Q23" s="15"/>
      <c r="R23" s="15"/>
      <c r="S23" s="15"/>
      <c r="T23" s="15"/>
    </row>
    <row r="24" spans="1:20" ht="35.5" thickBot="1" x14ac:dyDescent="0.4">
      <c r="A24" s="5"/>
      <c r="B24" s="13"/>
      <c r="C24" s="3" t="s">
        <v>11</v>
      </c>
      <c r="D24" s="3">
        <v>6</v>
      </c>
      <c r="E24" s="13"/>
      <c r="F24" s="13"/>
      <c r="G24" s="13"/>
      <c r="H24" s="10"/>
      <c r="I24" s="5"/>
      <c r="J24" s="3" t="s">
        <v>11</v>
      </c>
      <c r="K24" s="3">
        <v>6</v>
      </c>
      <c r="L24">
        <v>0.8</v>
      </c>
      <c r="M24">
        <f t="shared" si="0"/>
        <v>4.8000000000000007</v>
      </c>
      <c r="N24" s="15"/>
      <c r="O24" s="15"/>
      <c r="P24" s="15"/>
      <c r="Q24" s="15"/>
      <c r="R24" s="15"/>
      <c r="S24" s="15"/>
      <c r="T24" s="15"/>
    </row>
    <row r="25" spans="1:20" ht="18" thickBot="1" x14ac:dyDescent="0.4">
      <c r="A25" s="4" t="s">
        <v>18</v>
      </c>
      <c r="B25" s="11">
        <v>1.2E-2</v>
      </c>
      <c r="C25" s="3" t="s">
        <v>9</v>
      </c>
      <c r="D25" s="3">
        <v>65</v>
      </c>
      <c r="E25" s="11">
        <v>119.6</v>
      </c>
      <c r="F25" s="11">
        <v>1.0999999999999999E-2</v>
      </c>
      <c r="G25" s="11">
        <v>4.2999999999999997E-2</v>
      </c>
      <c r="H25" s="10"/>
      <c r="I25" s="4" t="s">
        <v>18</v>
      </c>
      <c r="J25" s="3" t="s">
        <v>9</v>
      </c>
      <c r="K25" s="3">
        <v>65</v>
      </c>
      <c r="L25">
        <v>0.6</v>
      </c>
      <c r="M25">
        <f t="shared" si="0"/>
        <v>39</v>
      </c>
      <c r="N25" s="15">
        <f t="shared" ref="N25" si="34">SUM(M25:M27)/100</f>
        <v>0.62</v>
      </c>
      <c r="O25" s="15">
        <f>1.44*(E25*G25/(F25)^0.5)^0.467</f>
        <v>8.8680376803025904</v>
      </c>
      <c r="P25" s="15">
        <f t="shared" ref="P25" si="35">(1.84891*2^0.205529)/(O25+13.1819)^0.49399</f>
        <v>0.46254752390755022</v>
      </c>
      <c r="Q25" s="15">
        <f>N25*50/3*P25*B25</f>
        <v>5.7355892964536234E-2</v>
      </c>
      <c r="R25" s="15">
        <f t="shared" ref="R25" si="36">Q25*0.013/(0.376*0.045^(5/3)*0.0015^(0.5))</f>
        <v>8.9936034353015657</v>
      </c>
      <c r="S25" s="15">
        <f t="shared" ref="S25" si="37">0.045*R25</f>
        <v>0.40471215458857046</v>
      </c>
      <c r="T25" s="15">
        <f t="shared" ref="T25" si="38">0.817*Q25^(0.42)*0.0015^0.3*(0.013*0.045)^(-0.6)</f>
        <v>3.0433975996989373</v>
      </c>
    </row>
    <row r="26" spans="1:20" ht="35.5" thickBot="1" x14ac:dyDescent="0.4">
      <c r="A26" s="10"/>
      <c r="B26" s="12"/>
      <c r="C26" s="3" t="s">
        <v>10</v>
      </c>
      <c r="D26" s="3">
        <v>20</v>
      </c>
      <c r="E26" s="12"/>
      <c r="F26" s="12"/>
      <c r="G26" s="12"/>
      <c r="H26" s="10"/>
      <c r="I26" s="10"/>
      <c r="J26" s="3" t="s">
        <v>10</v>
      </c>
      <c r="K26" s="3">
        <v>20</v>
      </c>
      <c r="L26">
        <v>0.55000000000000004</v>
      </c>
      <c r="M26">
        <f t="shared" si="0"/>
        <v>11</v>
      </c>
      <c r="N26" s="15"/>
      <c r="O26" s="15"/>
      <c r="P26" s="15"/>
      <c r="Q26" s="15"/>
      <c r="R26" s="15"/>
      <c r="S26" s="15"/>
      <c r="T26" s="15"/>
    </row>
    <row r="27" spans="1:20" ht="35.5" thickBot="1" x14ac:dyDescent="0.4">
      <c r="A27" s="5"/>
      <c r="B27" s="13"/>
      <c r="C27" s="3" t="s">
        <v>11</v>
      </c>
      <c r="D27" s="3">
        <v>15</v>
      </c>
      <c r="E27" s="13"/>
      <c r="F27" s="13"/>
      <c r="G27" s="13"/>
      <c r="H27" s="5"/>
      <c r="I27" s="5"/>
      <c r="J27" s="3" t="s">
        <v>11</v>
      </c>
      <c r="K27" s="3">
        <v>15</v>
      </c>
      <c r="L27">
        <v>0.8</v>
      </c>
      <c r="M27">
        <f t="shared" si="0"/>
        <v>12</v>
      </c>
      <c r="N27" s="15"/>
      <c r="O27" s="15"/>
      <c r="P27" s="15"/>
      <c r="Q27" s="15"/>
      <c r="R27" s="15"/>
      <c r="S27" s="15"/>
      <c r="T27" s="15"/>
    </row>
    <row r="28" spans="1:20" ht="20" x14ac:dyDescent="0.35">
      <c r="A28" s="14"/>
    </row>
    <row r="29" spans="1:20" ht="20" x14ac:dyDescent="0.35">
      <c r="A29" s="14"/>
    </row>
    <row r="30" spans="1:20" ht="87" x14ac:dyDescent="0.35">
      <c r="A30" s="21" t="s">
        <v>28</v>
      </c>
      <c r="B30" s="22" t="s">
        <v>29</v>
      </c>
      <c r="C30" s="22" t="s">
        <v>30</v>
      </c>
      <c r="D30" s="22" t="s">
        <v>31</v>
      </c>
      <c r="E30" s="21" t="s">
        <v>32</v>
      </c>
      <c r="F30" s="22" t="s">
        <v>33</v>
      </c>
      <c r="G30" s="22" t="s">
        <v>34</v>
      </c>
      <c r="H30" s="22" t="s">
        <v>35</v>
      </c>
      <c r="I30" s="22" t="s">
        <v>62</v>
      </c>
      <c r="J30" s="22" t="s">
        <v>36</v>
      </c>
      <c r="K30" s="22" t="s">
        <v>60</v>
      </c>
    </row>
    <row r="31" spans="1:20" x14ac:dyDescent="0.35">
      <c r="A31" s="23" t="s">
        <v>38</v>
      </c>
      <c r="B31" s="21" t="str">
        <f>ROMAN(1)</f>
        <v>I</v>
      </c>
      <c r="C31" s="21">
        <v>8.5000000000000006E-3</v>
      </c>
      <c r="D31" s="21">
        <v>0.60899999999999999</v>
      </c>
      <c r="E31" s="21">
        <f>C31*D31</f>
        <v>5.1765000000000005E-3</v>
      </c>
      <c r="F31" s="21">
        <f>C31*D31</f>
        <v>5.1765000000000005E-3</v>
      </c>
      <c r="G31" s="21">
        <f>1.44*(E4*G4/(F4)^0.5)^0.467</f>
        <v>7.2090799243269714</v>
      </c>
      <c r="H31" s="21"/>
      <c r="I31" s="21">
        <f>1.44*(E4*G4/(F4)^0.5)^0.467</f>
        <v>7.2090799243269714</v>
      </c>
      <c r="J31" s="21">
        <f>1.44*(E4*G4/(F4)^0.5)^0.467</f>
        <v>7.2090799243269714</v>
      </c>
      <c r="K31" s="21">
        <f>(1.84891*2^0.205529)/(O4+13.1819)^0.49399</f>
        <v>0.48076942422155006</v>
      </c>
    </row>
    <row r="32" spans="1:20" x14ac:dyDescent="0.35">
      <c r="A32" s="21" t="s">
        <v>37</v>
      </c>
      <c r="B32" s="21" t="str">
        <f>ROMAN(2)</f>
        <v>II</v>
      </c>
      <c r="C32" s="21">
        <v>1.2999999999999999E-2</v>
      </c>
      <c r="D32" s="21">
        <v>0.60399999999999998</v>
      </c>
      <c r="E32" s="21">
        <f t="shared" ref="E32:E48" si="39">C32*D32</f>
        <v>7.8519999999999996E-3</v>
      </c>
      <c r="F32" s="21"/>
      <c r="G32" s="21">
        <f>1.44*(E7*G7/(F7)^0.5)^0.467</f>
        <v>8.59142218293265</v>
      </c>
      <c r="H32" s="21"/>
      <c r="I32" s="21">
        <f>1.44*(E7*G7/(F7)^0.5)^0.467</f>
        <v>8.59142218293265</v>
      </c>
      <c r="J32" s="21"/>
      <c r="K32" s="21"/>
    </row>
    <row r="33" spans="1:11" x14ac:dyDescent="0.35">
      <c r="A33" s="21"/>
      <c r="B33" s="21" t="s">
        <v>46</v>
      </c>
      <c r="C33" s="21"/>
      <c r="D33" s="21"/>
      <c r="E33" s="21">
        <f>C31*D31</f>
        <v>5.1765000000000005E-3</v>
      </c>
      <c r="F33" s="21"/>
      <c r="G33" s="21">
        <f>1.44*(E4*G4/(F4)^0.5)^0.467</f>
        <v>7.2090799243269714</v>
      </c>
      <c r="H33" s="21">
        <f>B55/H55/60</f>
        <v>5.228828186756787</v>
      </c>
      <c r="I33" s="21">
        <f>G33+H33</f>
        <v>12.437908111083757</v>
      </c>
      <c r="J33" s="21"/>
      <c r="K33" s="21"/>
    </row>
    <row r="34" spans="1:11" x14ac:dyDescent="0.35">
      <c r="A34" s="21"/>
      <c r="B34" s="21"/>
      <c r="C34" s="21"/>
      <c r="D34" s="21"/>
      <c r="E34" s="21"/>
      <c r="F34" s="21">
        <f>E32+E33</f>
        <v>1.30285E-2</v>
      </c>
      <c r="G34" s="21"/>
      <c r="H34" s="21"/>
      <c r="I34" s="21"/>
      <c r="J34" s="21">
        <f>G33+H33</f>
        <v>12.437908111083757</v>
      </c>
      <c r="K34" s="21">
        <f>(1.84891*2^0.205529)/(J34+13.1819)^0.49399</f>
        <v>0.42950059523342016</v>
      </c>
    </row>
    <row r="35" spans="1:11" x14ac:dyDescent="0.35">
      <c r="A35" s="21" t="s">
        <v>39</v>
      </c>
      <c r="B35" s="21" t="str">
        <f>ROMAN(3)</f>
        <v>III</v>
      </c>
      <c r="C35" s="21">
        <v>1.4999999999999999E-2</v>
      </c>
      <c r="D35" s="21">
        <v>0.6</v>
      </c>
      <c r="E35" s="21">
        <f t="shared" si="39"/>
        <v>8.9999999999999993E-3</v>
      </c>
      <c r="F35" s="21"/>
      <c r="G35" s="21">
        <f>1.44*(E10*G10/(F10)^0.5)^0.467</f>
        <v>9.4121575905685351</v>
      </c>
      <c r="H35" s="21"/>
      <c r="I35" s="21">
        <f>1.44*(E10*G10/(F10)^0.5)^0.467</f>
        <v>9.4121575905685351</v>
      </c>
      <c r="J35" s="21"/>
      <c r="K35" s="21"/>
    </row>
    <row r="36" spans="1:11" x14ac:dyDescent="0.35">
      <c r="A36" s="21"/>
      <c r="B36" s="21" t="s">
        <v>37</v>
      </c>
      <c r="C36" s="21"/>
      <c r="D36" s="21"/>
      <c r="E36" s="21">
        <f>E32+E33</f>
        <v>1.30285E-2</v>
      </c>
      <c r="F36" s="21"/>
      <c r="G36" s="21">
        <f>G33+H33</f>
        <v>12.437908111083757</v>
      </c>
      <c r="H36" s="21">
        <f>(B56/H56)/60</f>
        <v>3.8300027464980664</v>
      </c>
      <c r="I36" s="21">
        <f>G36+H36</f>
        <v>16.267910857581825</v>
      </c>
      <c r="J36" s="21"/>
      <c r="K36" s="21"/>
    </row>
    <row r="37" spans="1:11" x14ac:dyDescent="0.35">
      <c r="A37" s="21"/>
      <c r="B37" s="21"/>
      <c r="C37" s="21"/>
      <c r="D37" s="21"/>
      <c r="E37" s="21"/>
      <c r="F37" s="21">
        <f>E35+E36</f>
        <v>2.2028499999999999E-2</v>
      </c>
      <c r="G37" s="21"/>
      <c r="H37" s="21"/>
      <c r="I37" s="21"/>
      <c r="J37" s="21">
        <f>G36+H36</f>
        <v>16.267910857581825</v>
      </c>
      <c r="K37" s="21">
        <f>(1.84891*2^0.205529)/(J37+13.1819)^0.49399</f>
        <v>0.40093511655984415</v>
      </c>
    </row>
    <row r="38" spans="1:11" x14ac:dyDescent="0.35">
      <c r="A38" s="21" t="s">
        <v>40</v>
      </c>
      <c r="B38" s="21" t="str">
        <f>ROMAN(4)</f>
        <v>IV</v>
      </c>
      <c r="C38" s="21">
        <v>1.2E-2</v>
      </c>
      <c r="D38" s="21">
        <v>0.61750000000000005</v>
      </c>
      <c r="E38" s="21">
        <f t="shared" si="39"/>
        <v>7.4100000000000008E-3</v>
      </c>
      <c r="F38" s="21"/>
      <c r="G38" s="21">
        <f>1.44*(E13*G13/(F13)^0.5)^0.467</f>
        <v>8.8765689224958599</v>
      </c>
      <c r="H38" s="21"/>
      <c r="I38" s="21">
        <f>1.44*(E13*G13/(F13)^0.5)^0.467</f>
        <v>8.8765689224958599</v>
      </c>
      <c r="J38" s="21"/>
      <c r="K38" s="21"/>
    </row>
    <row r="39" spans="1:11" x14ac:dyDescent="0.35">
      <c r="A39" s="21"/>
      <c r="B39" s="21" t="s">
        <v>39</v>
      </c>
      <c r="C39" s="21"/>
      <c r="D39" s="21"/>
      <c r="E39" s="21">
        <f>E35+E36</f>
        <v>2.2028499999999999E-2</v>
      </c>
      <c r="F39" s="21"/>
      <c r="G39" s="21">
        <f>G36+H36</f>
        <v>16.267910857581825</v>
      </c>
      <c r="H39" s="21">
        <f>B57/H57/60</f>
        <v>3.5791726459640762</v>
      </c>
      <c r="I39" s="21">
        <f>G39+H39</f>
        <v>19.8470835035459</v>
      </c>
      <c r="J39" s="21"/>
      <c r="K39" s="21"/>
    </row>
    <row r="40" spans="1:11" x14ac:dyDescent="0.35">
      <c r="A40" s="21"/>
      <c r="B40" s="21"/>
      <c r="C40" s="21"/>
      <c r="D40" s="21"/>
      <c r="E40" s="21"/>
      <c r="F40" s="21">
        <f>E38+E39</f>
        <v>2.9438499999999999E-2</v>
      </c>
      <c r="G40" s="21"/>
      <c r="H40" s="21"/>
      <c r="I40" s="21"/>
      <c r="J40" s="21">
        <f>G39+H39</f>
        <v>19.8470835035459</v>
      </c>
      <c r="K40" s="21">
        <f>(1.84891*2^0.205529)/(J40+13.1819)^0.49399</f>
        <v>0.37884985163696322</v>
      </c>
    </row>
    <row r="41" spans="1:11" x14ac:dyDescent="0.35">
      <c r="A41" s="21" t="s">
        <v>41</v>
      </c>
      <c r="B41" s="21" t="str">
        <f>ROMAN(5)</f>
        <v>V</v>
      </c>
      <c r="C41" s="21">
        <v>1.2E-2</v>
      </c>
      <c r="D41" s="21">
        <v>0.59699999999999998</v>
      </c>
      <c r="E41" s="21">
        <f t="shared" si="39"/>
        <v>7.1640000000000002E-3</v>
      </c>
      <c r="F41" s="21"/>
      <c r="G41" s="21">
        <f>1.44*(E16*G16/(F16)^0.5)^0.467</f>
        <v>8.7303238723787029</v>
      </c>
      <c r="H41" s="21"/>
      <c r="I41" s="21">
        <f>1.44*(E16*G16/(F16)^0.5)^0.467</f>
        <v>8.7303238723787029</v>
      </c>
      <c r="J41" s="21"/>
      <c r="K41" s="21"/>
    </row>
    <row r="42" spans="1:11" x14ac:dyDescent="0.35">
      <c r="A42" s="21"/>
      <c r="B42" s="21" t="s">
        <v>40</v>
      </c>
      <c r="C42" s="21"/>
      <c r="D42" s="21"/>
      <c r="E42" s="21">
        <f>E38+E39</f>
        <v>2.9438499999999999E-2</v>
      </c>
      <c r="F42" s="21"/>
      <c r="G42" s="21">
        <f>G39+H39</f>
        <v>19.8470835035459</v>
      </c>
      <c r="H42" s="21">
        <f>B58/H58/60</f>
        <v>2.82586072657856</v>
      </c>
      <c r="I42" s="21">
        <f>G42+H42</f>
        <v>22.672944230124461</v>
      </c>
      <c r="J42" s="21"/>
      <c r="K42" s="21"/>
    </row>
    <row r="43" spans="1:11" x14ac:dyDescent="0.35">
      <c r="A43" s="21"/>
      <c r="B43" s="21"/>
      <c r="C43" s="21"/>
      <c r="D43" s="21"/>
      <c r="E43" s="21"/>
      <c r="F43" s="21">
        <f>E41+E42</f>
        <v>3.6602499999999996E-2</v>
      </c>
      <c r="G43" s="21"/>
      <c r="H43" s="21"/>
      <c r="I43" s="21"/>
      <c r="J43" s="21">
        <f>I42</f>
        <v>22.672944230124461</v>
      </c>
      <c r="K43" s="21">
        <f>(1.84891*2^0.205529)/(J43+13.1819)^0.49399</f>
        <v>0.36379361954005163</v>
      </c>
    </row>
    <row r="44" spans="1:11" x14ac:dyDescent="0.35">
      <c r="A44" s="21" t="s">
        <v>42</v>
      </c>
      <c r="B44" s="21" t="str">
        <f>ROMAN(6)</f>
        <v>VI</v>
      </c>
      <c r="C44" s="21">
        <v>1.2E-2</v>
      </c>
      <c r="D44" s="21">
        <v>0.61199999999999999</v>
      </c>
      <c r="E44" s="21">
        <f t="shared" si="39"/>
        <v>7.3439999999999998E-3</v>
      </c>
      <c r="F44" s="21"/>
      <c r="G44" s="21">
        <f>1.44*(E19*G19/(F19)^0.5)^0.467</f>
        <v>8.4651583964472685</v>
      </c>
      <c r="H44" s="21"/>
      <c r="I44" s="21">
        <f>1.44*(E19*G19/(F19)^0.5)^0.467</f>
        <v>8.4651583964472685</v>
      </c>
      <c r="J44" s="21"/>
      <c r="K44" s="21"/>
    </row>
    <row r="45" spans="1:11" x14ac:dyDescent="0.35">
      <c r="A45" s="21"/>
      <c r="B45" s="21" t="s">
        <v>41</v>
      </c>
      <c r="C45" s="21"/>
      <c r="D45" s="21"/>
      <c r="E45" s="21">
        <f>F43</f>
        <v>3.6602499999999996E-2</v>
      </c>
      <c r="F45" s="21"/>
      <c r="G45" s="21">
        <f>J43</f>
        <v>22.672944230124461</v>
      </c>
      <c r="H45" s="21">
        <f>B59/H59/60</f>
        <v>2.7806156941752418</v>
      </c>
      <c r="I45" s="21">
        <f>G45+H45</f>
        <v>25.453559924299704</v>
      </c>
      <c r="J45" s="21"/>
      <c r="K45" s="21"/>
    </row>
    <row r="46" spans="1:11" x14ac:dyDescent="0.35">
      <c r="A46" s="21"/>
      <c r="B46" s="21"/>
      <c r="C46" s="21"/>
      <c r="D46" s="21"/>
      <c r="E46" s="21"/>
      <c r="F46" s="21">
        <f>E44+E45</f>
        <v>4.3946499999999999E-2</v>
      </c>
      <c r="G46" s="21"/>
      <c r="H46" s="21"/>
      <c r="I46" s="21"/>
      <c r="J46" s="21">
        <f>I45</f>
        <v>25.453559924299704</v>
      </c>
      <c r="K46" s="21">
        <f>(1.84891*2^0.205529)/(J46+13.1819)^0.49399</f>
        <v>0.35061533611907131</v>
      </c>
    </row>
    <row r="47" spans="1:11" x14ac:dyDescent="0.35">
      <c r="A47" s="21" t="s">
        <v>43</v>
      </c>
      <c r="B47" s="21" t="str">
        <f>ROMAN(7)</f>
        <v>VII</v>
      </c>
      <c r="C47" s="21">
        <v>1.7000000000000001E-2</v>
      </c>
      <c r="D47" s="21">
        <v>0.60099999999999998</v>
      </c>
      <c r="E47" s="21">
        <f t="shared" si="39"/>
        <v>1.0217E-2</v>
      </c>
      <c r="F47" s="21">
        <f>E47</f>
        <v>1.0217E-2</v>
      </c>
      <c r="G47" s="21">
        <f>1.44*(E22*G22/(F22)^0.5)^0.467</f>
        <v>9.8301240162189423</v>
      </c>
      <c r="H47" s="21"/>
      <c r="I47" s="21">
        <f>1.44*(E22*G22/(F22)^0.5)^0.467</f>
        <v>9.8301240162189423</v>
      </c>
      <c r="J47" s="21">
        <f>1.44*(E22*G22/(F22)^0.5)^0.467</f>
        <v>9.8301240162189423</v>
      </c>
      <c r="K47" s="21">
        <f>(1.84891*2^0.205529)/(J47+13.1819)^0.49399</f>
        <v>0.45289143192813541</v>
      </c>
    </row>
    <row r="48" spans="1:11" x14ac:dyDescent="0.35">
      <c r="A48" s="21" t="s">
        <v>44</v>
      </c>
      <c r="B48" s="21" t="str">
        <f>ROMAN(8)</f>
        <v>VIII</v>
      </c>
      <c r="C48" s="21">
        <v>1.2E-2</v>
      </c>
      <c r="D48" s="21">
        <v>0.62</v>
      </c>
      <c r="E48" s="21">
        <f t="shared" si="39"/>
        <v>7.4400000000000004E-3</v>
      </c>
      <c r="F48" s="21">
        <f>E48</f>
        <v>7.4400000000000004E-3</v>
      </c>
      <c r="G48" s="21">
        <f>1.44*(E25*G25/(F25)^0.5)^0.467</f>
        <v>8.8680376803025904</v>
      </c>
      <c r="H48" s="21"/>
      <c r="I48" s="21">
        <f>1.44*(E25*G25/(F25)^0.5)^0.467</f>
        <v>8.8680376803025904</v>
      </c>
      <c r="J48" s="21">
        <f>1.44*(E25*G25/(F25)^0.5)^0.467</f>
        <v>8.8680376803025904</v>
      </c>
      <c r="K48" s="21">
        <f>(1.84891*2^0.205529)/(J48+13.1819)^0.49399</f>
        <v>0.46254752390755022</v>
      </c>
    </row>
    <row r="49" spans="1:14" x14ac:dyDescent="0.35">
      <c r="A49" s="21" t="s">
        <v>45</v>
      </c>
      <c r="B49" s="21" t="s">
        <v>42</v>
      </c>
      <c r="C49" s="21"/>
      <c r="D49" s="21"/>
      <c r="E49" s="21">
        <f>F46</f>
        <v>4.3946499999999999E-2</v>
      </c>
      <c r="F49" s="21"/>
      <c r="G49" s="21">
        <f>J46</f>
        <v>25.453559924299704</v>
      </c>
      <c r="H49" s="21">
        <f>I60</f>
        <v>2.805092234807304</v>
      </c>
      <c r="I49" s="21">
        <f>G49+H49</f>
        <v>28.258652159107008</v>
      </c>
      <c r="J49" s="21"/>
      <c r="K49" s="21"/>
    </row>
    <row r="50" spans="1:14" x14ac:dyDescent="0.35">
      <c r="A50" s="21"/>
      <c r="B50" s="21" t="s">
        <v>43</v>
      </c>
      <c r="C50" s="21"/>
      <c r="D50" s="21"/>
      <c r="E50" s="21">
        <f>F47</f>
        <v>1.0217E-2</v>
      </c>
      <c r="F50" s="21"/>
      <c r="G50" s="21">
        <f>J47</f>
        <v>9.8301240162189423</v>
      </c>
      <c r="H50" s="21">
        <f>I61</f>
        <v>3.5101821054097524</v>
      </c>
      <c r="I50" s="21">
        <f t="shared" ref="I50:I51" si="40">G50+H50</f>
        <v>13.340306121628695</v>
      </c>
      <c r="J50" s="21"/>
      <c r="K50" s="21"/>
    </row>
    <row r="51" spans="1:14" x14ac:dyDescent="0.35">
      <c r="A51" s="21"/>
      <c r="B51" s="21" t="s">
        <v>44</v>
      </c>
      <c r="C51" s="21"/>
      <c r="D51" s="21"/>
      <c r="E51" s="21">
        <f>F48</f>
        <v>7.4400000000000004E-3</v>
      </c>
      <c r="F51" s="21"/>
      <c r="G51" s="21">
        <f>J48</f>
        <v>8.8680376803025904</v>
      </c>
      <c r="H51" s="21">
        <f>I62</f>
        <v>4.7124314576156081</v>
      </c>
      <c r="I51" s="21">
        <f t="shared" si="40"/>
        <v>13.580469137918199</v>
      </c>
      <c r="J51" s="21"/>
      <c r="K51" s="21"/>
    </row>
    <row r="52" spans="1:14" x14ac:dyDescent="0.35">
      <c r="A52" s="21"/>
      <c r="B52" s="21"/>
      <c r="C52" s="21"/>
      <c r="D52" s="21"/>
      <c r="E52" s="21"/>
      <c r="F52" s="21">
        <f>E49+E50+E51</f>
        <v>6.1603500000000005E-2</v>
      </c>
      <c r="G52" s="21"/>
      <c r="H52" s="21"/>
      <c r="I52" s="21"/>
      <c r="J52" s="21">
        <f>I49</f>
        <v>28.258652159107008</v>
      </c>
      <c r="K52" s="21">
        <f>(1.84891*2^0.205529)/(J52+13.1819)^0.49399</f>
        <v>0.33868356780662312</v>
      </c>
    </row>
    <row r="54" spans="1:14" ht="72.5" x14ac:dyDescent="0.35">
      <c r="A54" s="21" t="s">
        <v>28</v>
      </c>
      <c r="B54" s="22" t="s">
        <v>47</v>
      </c>
      <c r="C54" s="21" t="s">
        <v>48</v>
      </c>
      <c r="D54" s="21" t="s">
        <v>49</v>
      </c>
      <c r="E54" s="22" t="s">
        <v>50</v>
      </c>
      <c r="F54" s="22" t="s">
        <v>51</v>
      </c>
      <c r="G54" s="22" t="s">
        <v>52</v>
      </c>
      <c r="H54" s="22" t="s">
        <v>53</v>
      </c>
      <c r="I54" s="22" t="s">
        <v>54</v>
      </c>
      <c r="J54" s="21" t="s">
        <v>55</v>
      </c>
      <c r="K54" s="22" t="s">
        <v>56</v>
      </c>
      <c r="L54" s="22" t="s">
        <v>57</v>
      </c>
      <c r="M54" s="22" t="s">
        <v>58</v>
      </c>
      <c r="N54" s="22" t="s">
        <v>59</v>
      </c>
    </row>
    <row r="55" spans="1:14" x14ac:dyDescent="0.35">
      <c r="A55" s="21">
        <v>11</v>
      </c>
      <c r="B55" s="24">
        <v>135.19999999999999</v>
      </c>
      <c r="C55" s="25">
        <v>500</v>
      </c>
      <c r="D55" s="25">
        <v>3.0000000000000001E-3</v>
      </c>
      <c r="E55" s="21">
        <f>50/3*F31*K31</f>
        <v>4.1478382074714243E-2</v>
      </c>
      <c r="F55" s="21">
        <f>(3.208*0.013*E55/(0.0015^0.5))^0.375</f>
        <v>0.3116970620637185</v>
      </c>
      <c r="G55" s="21">
        <v>0.35</v>
      </c>
      <c r="H55" s="21">
        <f>(4*E55/(22/7*(G55^2)))</f>
        <v>0.43094422934768051</v>
      </c>
      <c r="I55" s="21">
        <f>B55/H55/60</f>
        <v>5.228828186756787</v>
      </c>
      <c r="J55" s="21">
        <f>C55*D55</f>
        <v>1.5</v>
      </c>
      <c r="K55" s="21">
        <f>B55-1</f>
        <v>134.19999999999999</v>
      </c>
      <c r="L55" s="21">
        <f>K55-G55</f>
        <v>133.85</v>
      </c>
      <c r="M55" s="21">
        <f>K55-J55</f>
        <v>132.69999999999999</v>
      </c>
      <c r="N55" s="21">
        <f>M55-G55</f>
        <v>132.35</v>
      </c>
    </row>
    <row r="56" spans="1:14" x14ac:dyDescent="0.35">
      <c r="A56" s="21">
        <v>21</v>
      </c>
      <c r="B56" s="24">
        <v>134.69999999999999</v>
      </c>
      <c r="C56" s="25">
        <v>500</v>
      </c>
      <c r="D56" s="25">
        <v>2.5000000000000001E-3</v>
      </c>
      <c r="E56" s="21">
        <f>50/3*F34*K34</f>
        <v>9.3262475083310245E-2</v>
      </c>
      <c r="F56" s="21">
        <f t="shared" ref="F56:F63" si="41">(3.208*0.013*E56/(0.0015^0.5))^0.375</f>
        <v>0.42236666283736024</v>
      </c>
      <c r="G56" s="21">
        <v>0.45</v>
      </c>
      <c r="H56" s="21">
        <f t="shared" ref="H56:H63" si="42">(4*E56/(22/7*(G56^2)))</f>
        <v>0.58616145955840326</v>
      </c>
      <c r="I56" s="21">
        <f>(B56/H56)/60</f>
        <v>3.8300027464980664</v>
      </c>
      <c r="J56" s="21">
        <f t="shared" ref="J56:J62" si="43">C56*D56</f>
        <v>1.25</v>
      </c>
      <c r="K56" s="21">
        <f>M55</f>
        <v>132.69999999999999</v>
      </c>
      <c r="L56" s="21">
        <f t="shared" ref="L56:L63" si="44">K56-G56</f>
        <v>132.25</v>
      </c>
      <c r="M56" s="21">
        <f t="shared" ref="M56:M62" si="45">K56-J56</f>
        <v>131.44999999999999</v>
      </c>
      <c r="N56" s="21">
        <f>M56-G56</f>
        <v>131</v>
      </c>
    </row>
    <row r="57" spans="1:14" x14ac:dyDescent="0.35">
      <c r="A57" s="21">
        <v>31</v>
      </c>
      <c r="B57" s="24">
        <v>133</v>
      </c>
      <c r="C57" s="25">
        <v>300</v>
      </c>
      <c r="D57" s="25">
        <v>2.0999999999999999E-3</v>
      </c>
      <c r="E57" s="21">
        <f>F37*K37*50/3</f>
        <v>0.14719998691897546</v>
      </c>
      <c r="F57" s="21">
        <f t="shared" si="41"/>
        <v>0.50120448104779236</v>
      </c>
      <c r="G57" s="21">
        <v>0.55000000000000004</v>
      </c>
      <c r="H57" s="21">
        <f t="shared" si="42"/>
        <v>0.6193237616425713</v>
      </c>
      <c r="I57" s="21">
        <f>B57/H57/60</f>
        <v>3.5791726459640762</v>
      </c>
      <c r="J57" s="21">
        <f t="shared" si="43"/>
        <v>0.63</v>
      </c>
      <c r="K57" s="21">
        <f>M56</f>
        <v>131.44999999999999</v>
      </c>
      <c r="L57" s="21">
        <f>K57-G57</f>
        <v>130.89999999999998</v>
      </c>
      <c r="M57" s="21">
        <f t="shared" si="45"/>
        <v>130.82</v>
      </c>
      <c r="N57" s="21">
        <f>M57-G57</f>
        <v>130.26999999999998</v>
      </c>
    </row>
    <row r="58" spans="1:14" x14ac:dyDescent="0.35">
      <c r="A58" s="21">
        <v>41</v>
      </c>
      <c r="B58" s="24">
        <v>132.6</v>
      </c>
      <c r="C58" s="25">
        <v>1000</v>
      </c>
      <c r="D58" s="25">
        <v>4.1999999999999997E-3</v>
      </c>
      <c r="E58" s="21">
        <f>50/3*F40*K40</f>
        <v>0.18587952262357904</v>
      </c>
      <c r="F58" s="21">
        <f t="shared" si="41"/>
        <v>0.54703027355079969</v>
      </c>
      <c r="G58" s="21">
        <v>0.55000000000000004</v>
      </c>
      <c r="H58" s="21">
        <f t="shared" si="42"/>
        <v>0.78206260457704169</v>
      </c>
      <c r="I58" s="21">
        <f>B58/H58/60</f>
        <v>2.82586072657856</v>
      </c>
      <c r="J58" s="21">
        <f t="shared" si="43"/>
        <v>4.2</v>
      </c>
      <c r="K58" s="21">
        <f>M57</f>
        <v>130.82</v>
      </c>
      <c r="L58" s="21">
        <f t="shared" si="44"/>
        <v>130.26999999999998</v>
      </c>
      <c r="M58" s="21">
        <f t="shared" si="45"/>
        <v>126.61999999999999</v>
      </c>
      <c r="N58" s="21">
        <f>M58-G58</f>
        <v>126.07</v>
      </c>
    </row>
    <row r="59" spans="1:14" x14ac:dyDescent="0.35">
      <c r="A59" s="21">
        <v>51</v>
      </c>
      <c r="B59" s="24">
        <v>130.9</v>
      </c>
      <c r="C59" s="25">
        <v>400</v>
      </c>
      <c r="D59" s="25">
        <v>3.2000000000000002E-3</v>
      </c>
      <c r="E59" s="21">
        <f>50/3*F43*K43</f>
        <v>0.22192926598691229</v>
      </c>
      <c r="F59" s="21">
        <f t="shared" si="41"/>
        <v>0.58462851920223968</v>
      </c>
      <c r="G59" s="21">
        <v>0.6</v>
      </c>
      <c r="H59" s="21">
        <f t="shared" si="42"/>
        <v>0.78459841510524542</v>
      </c>
      <c r="I59" s="21">
        <f>B59/H59/60</f>
        <v>2.7806156941752418</v>
      </c>
      <c r="J59" s="21">
        <f t="shared" si="43"/>
        <v>1.28</v>
      </c>
      <c r="K59" s="21">
        <f>M58</f>
        <v>126.61999999999999</v>
      </c>
      <c r="L59" s="21">
        <f t="shared" si="44"/>
        <v>126.02</v>
      </c>
      <c r="M59" s="21">
        <f t="shared" si="45"/>
        <v>125.33999999999999</v>
      </c>
      <c r="N59" s="21">
        <f>M59-G59</f>
        <v>124.74</v>
      </c>
    </row>
    <row r="60" spans="1:14" x14ac:dyDescent="0.35">
      <c r="A60" s="21">
        <v>61</v>
      </c>
      <c r="B60" s="24">
        <v>130.19999999999999</v>
      </c>
      <c r="C60" s="25">
        <v>400</v>
      </c>
      <c r="D60" s="25">
        <v>5.1000000000000004E-3</v>
      </c>
      <c r="E60" s="21">
        <f>50/3*F46*K46</f>
        <v>0.25680528114594614</v>
      </c>
      <c r="F60" s="21">
        <f t="shared" si="41"/>
        <v>0.61751997792235647</v>
      </c>
      <c r="G60" s="21">
        <v>0.65</v>
      </c>
      <c r="H60" s="21">
        <f t="shared" si="42"/>
        <v>0.77359310081619048</v>
      </c>
      <c r="I60" s="21">
        <f t="shared" ref="I59:I63" si="46">B60/H60/60</f>
        <v>2.805092234807304</v>
      </c>
      <c r="J60" s="21">
        <f t="shared" si="43"/>
        <v>2.04</v>
      </c>
      <c r="K60" s="21">
        <f>M59</f>
        <v>125.33999999999999</v>
      </c>
      <c r="L60" s="21">
        <f t="shared" si="44"/>
        <v>124.68999999999998</v>
      </c>
      <c r="M60" s="21">
        <f t="shared" si="45"/>
        <v>123.29999999999998</v>
      </c>
      <c r="N60" s="21">
        <f>M60-G60</f>
        <v>122.64999999999998</v>
      </c>
    </row>
    <row r="61" spans="1:14" x14ac:dyDescent="0.35">
      <c r="A61" s="21">
        <v>17</v>
      </c>
      <c r="B61" s="24">
        <v>129.19999999999999</v>
      </c>
      <c r="C61" s="25">
        <v>500</v>
      </c>
      <c r="D61" s="25">
        <v>3.5999999999999999E-3</v>
      </c>
      <c r="E61" s="21">
        <f>50/3*F47*K47</f>
        <v>7.7119862666829325E-2</v>
      </c>
      <c r="F61" s="21">
        <f t="shared" si="41"/>
        <v>0.39331170722833531</v>
      </c>
      <c r="G61" s="21">
        <v>0.4</v>
      </c>
      <c r="H61" s="21">
        <f t="shared" si="42"/>
        <v>0.61345345303159682</v>
      </c>
      <c r="I61" s="21">
        <f t="shared" si="46"/>
        <v>3.5101821054097524</v>
      </c>
      <c r="J61" s="21">
        <f t="shared" si="43"/>
        <v>1.8</v>
      </c>
      <c r="K61" s="21">
        <f t="shared" ref="K56:K62" si="47">B61-1</f>
        <v>128.19999999999999</v>
      </c>
      <c r="L61" s="21">
        <f t="shared" si="44"/>
        <v>127.79999999999998</v>
      </c>
      <c r="M61" s="21">
        <f t="shared" si="45"/>
        <v>126.39999999999999</v>
      </c>
      <c r="N61" s="21">
        <f>M61-G61</f>
        <v>125.99999999999999</v>
      </c>
    </row>
    <row r="62" spans="1:14" x14ac:dyDescent="0.35">
      <c r="A62" s="21">
        <v>18</v>
      </c>
      <c r="B62" s="24">
        <v>129</v>
      </c>
      <c r="C62" s="25">
        <v>600</v>
      </c>
      <c r="D62" s="25">
        <v>4.0000000000000001E-3</v>
      </c>
      <c r="E62" s="21">
        <f>50/3*F48*K48</f>
        <v>5.7355892964536234E-2</v>
      </c>
      <c r="F62" s="21">
        <f t="shared" si="41"/>
        <v>0.35197863116695044</v>
      </c>
      <c r="G62" s="21">
        <v>0.4</v>
      </c>
      <c r="H62" s="21">
        <f t="shared" si="42"/>
        <v>0.4562400576724473</v>
      </c>
      <c r="I62" s="21">
        <f t="shared" si="46"/>
        <v>4.7124314576156081</v>
      </c>
      <c r="J62" s="21">
        <f t="shared" si="43"/>
        <v>2.4</v>
      </c>
      <c r="K62" s="21">
        <f t="shared" si="47"/>
        <v>128</v>
      </c>
      <c r="L62" s="21">
        <f t="shared" si="44"/>
        <v>127.6</v>
      </c>
      <c r="M62" s="21">
        <f t="shared" si="45"/>
        <v>125.6</v>
      </c>
      <c r="N62" s="21">
        <f>M62-G62</f>
        <v>125.19999999999999</v>
      </c>
    </row>
    <row r="63" spans="1:14" x14ac:dyDescent="0.35">
      <c r="A63" s="21">
        <v>71</v>
      </c>
      <c r="B63" s="24">
        <v>128.6</v>
      </c>
      <c r="C63" s="21"/>
      <c r="D63" s="21"/>
      <c r="E63" s="21">
        <f>50/3*F52*K52</f>
        <v>0.34773488615625514</v>
      </c>
      <c r="F63" s="21">
        <f t="shared" si="41"/>
        <v>0.69185905532955938</v>
      </c>
      <c r="G63" s="21">
        <v>0.7</v>
      </c>
      <c r="H63" s="21">
        <f t="shared" si="42"/>
        <v>0.90320749650975374</v>
      </c>
      <c r="I63" s="21">
        <f t="shared" si="46"/>
        <v>2.3730242957634569</v>
      </c>
      <c r="J63" s="21"/>
      <c r="K63" s="21">
        <f>M60</f>
        <v>123.29999999999998</v>
      </c>
      <c r="L63" s="21">
        <f t="shared" si="44"/>
        <v>122.59999999999998</v>
      </c>
      <c r="M63" s="21"/>
      <c r="N63" s="21"/>
    </row>
  </sheetData>
  <mergeCells count="121">
    <mergeCell ref="T19:T21"/>
    <mergeCell ref="T22:T24"/>
    <mergeCell ref="T25:T27"/>
    <mergeCell ref="A1:L1"/>
    <mergeCell ref="T2:T3"/>
    <mergeCell ref="T4:T6"/>
    <mergeCell ref="T7:T9"/>
    <mergeCell ref="T10:T12"/>
    <mergeCell ref="T13:T15"/>
    <mergeCell ref="T16:T18"/>
    <mergeCell ref="R25:R27"/>
    <mergeCell ref="S2:S3"/>
    <mergeCell ref="S4:S6"/>
    <mergeCell ref="S7:S9"/>
    <mergeCell ref="S10:S12"/>
    <mergeCell ref="S13:S15"/>
    <mergeCell ref="S16:S18"/>
    <mergeCell ref="S19:S21"/>
    <mergeCell ref="S22:S24"/>
    <mergeCell ref="S25:S27"/>
    <mergeCell ref="Q22:Q24"/>
    <mergeCell ref="Q25:Q27"/>
    <mergeCell ref="R2:R3"/>
    <mergeCell ref="R4:R6"/>
    <mergeCell ref="R7:R9"/>
    <mergeCell ref="R10:R12"/>
    <mergeCell ref="R13:R15"/>
    <mergeCell ref="R16:R18"/>
    <mergeCell ref="R19:R21"/>
    <mergeCell ref="R22:R24"/>
    <mergeCell ref="P19:P21"/>
    <mergeCell ref="P22:P24"/>
    <mergeCell ref="P25:P27"/>
    <mergeCell ref="Q2:Q3"/>
    <mergeCell ref="Q4:Q6"/>
    <mergeCell ref="Q7:Q9"/>
    <mergeCell ref="Q10:Q12"/>
    <mergeCell ref="Q13:Q15"/>
    <mergeCell ref="Q16:Q18"/>
    <mergeCell ref="Q19:Q21"/>
    <mergeCell ref="O16:O18"/>
    <mergeCell ref="O19:O21"/>
    <mergeCell ref="O22:O24"/>
    <mergeCell ref="O25:O27"/>
    <mergeCell ref="P2:P3"/>
    <mergeCell ref="P4:P6"/>
    <mergeCell ref="P7:P9"/>
    <mergeCell ref="P10:P12"/>
    <mergeCell ref="P13:P15"/>
    <mergeCell ref="P16:P18"/>
    <mergeCell ref="N13:N15"/>
    <mergeCell ref="N16:N18"/>
    <mergeCell ref="N19:N21"/>
    <mergeCell ref="N22:N24"/>
    <mergeCell ref="N25:N27"/>
    <mergeCell ref="O2:O3"/>
    <mergeCell ref="O4:O6"/>
    <mergeCell ref="O7:O9"/>
    <mergeCell ref="O10:O12"/>
    <mergeCell ref="O13:O15"/>
    <mergeCell ref="L2:L3"/>
    <mergeCell ref="M2:M3"/>
    <mergeCell ref="N2:N3"/>
    <mergeCell ref="N4:N6"/>
    <mergeCell ref="N7:N9"/>
    <mergeCell ref="N10:N12"/>
    <mergeCell ref="I13:I15"/>
    <mergeCell ref="I16:I18"/>
    <mergeCell ref="I19:I21"/>
    <mergeCell ref="I22:I24"/>
    <mergeCell ref="I25:I27"/>
    <mergeCell ref="H2:H27"/>
    <mergeCell ref="A25:A27"/>
    <mergeCell ref="B25:B27"/>
    <mergeCell ref="E25:E27"/>
    <mergeCell ref="F25:F27"/>
    <mergeCell ref="G25:G27"/>
    <mergeCell ref="J2:K3"/>
    <mergeCell ref="I2:I3"/>
    <mergeCell ref="I4:I6"/>
    <mergeCell ref="I7:I9"/>
    <mergeCell ref="I10:I12"/>
    <mergeCell ref="A19:A21"/>
    <mergeCell ref="B19:B21"/>
    <mergeCell ref="E19:E21"/>
    <mergeCell ref="F19:F21"/>
    <mergeCell ref="G19:G21"/>
    <mergeCell ref="A22:A24"/>
    <mergeCell ref="B22:B24"/>
    <mergeCell ref="E22:E24"/>
    <mergeCell ref="F22:F24"/>
    <mergeCell ref="G22:G24"/>
    <mergeCell ref="A13:A15"/>
    <mergeCell ref="B13:B15"/>
    <mergeCell ref="E13:E15"/>
    <mergeCell ref="F13:F15"/>
    <mergeCell ref="G13:G15"/>
    <mergeCell ref="A16:A18"/>
    <mergeCell ref="B16:B18"/>
    <mergeCell ref="E16:E18"/>
    <mergeCell ref="F16:F18"/>
    <mergeCell ref="G16:G18"/>
    <mergeCell ref="A7:A9"/>
    <mergeCell ref="B7:B9"/>
    <mergeCell ref="E7:E9"/>
    <mergeCell ref="F7:F9"/>
    <mergeCell ref="G7:G9"/>
    <mergeCell ref="A10:A12"/>
    <mergeCell ref="B10:B12"/>
    <mergeCell ref="E10:E12"/>
    <mergeCell ref="F10:F12"/>
    <mergeCell ref="G10:G12"/>
    <mergeCell ref="A2:A3"/>
    <mergeCell ref="C2:D3"/>
    <mergeCell ref="F2:F3"/>
    <mergeCell ref="G2:G3"/>
    <mergeCell ref="A4:A6"/>
    <mergeCell ref="B4:B6"/>
    <mergeCell ref="E4:E6"/>
    <mergeCell ref="F4:F6"/>
    <mergeCell ref="G4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anujp</dc:creator>
  <cp:lastModifiedBy>anujp</cp:lastModifiedBy>
  <dcterms:created xsi:type="dcterms:W3CDTF">2023-02-17T10:40:01Z</dcterms:created>
  <dcterms:modified xsi:type="dcterms:W3CDTF">2023-02-17T19:40:28Z</dcterms:modified>
</cp:coreProperties>
</file>