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c3393113e0c482/Desktop/Forge_M^0a/"/>
    </mc:Choice>
  </mc:AlternateContent>
  <xr:revisionPtr revIDLastSave="89" documentId="13_ncr:1_{D497A6B4-1D83-BD47-A084-8E9393B95CA9}" xr6:coauthVersionLast="47" xr6:coauthVersionMax="47" xr10:uidLastSave="{A1C225CB-3727-4128-8BED-2F013B0FD472}"/>
  <bookViews>
    <workbookView xWindow="-108" yWindow="-108" windowWidth="23256" windowHeight="12456" tabRatio="884" firstSheet="2" activeTab="5" xr2:uid="{00000000-000D-0000-FFFF-FFFF00000000}"/>
  </bookViews>
  <sheets>
    <sheet name="__FDSCACHE__" sheetId="7" state="veryHidden" r:id="rId1"/>
    <sheet name="__FDS_SIDEBAR__" sheetId="25" state="veryHidden" r:id="rId2"/>
    <sheet name="Assumptions" sheetId="12" r:id="rId3"/>
    <sheet name="Targets's 5 yr Plan " sheetId="44" r:id="rId4"/>
    <sheet name=" Financials" sheetId="45" r:id="rId5"/>
    <sheet name="DCF input" sheetId="3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4" hidden="1">#REF!</definedName>
    <definedName name="_bdm.1CEE895BAA7B41D59F88EC619FDEF041.edm" hidden="1">#REF!</definedName>
    <definedName name="_bdm.228191AD795C44C3B2C1D29851BA6B5A.edm" localSheetId="4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5517df198ca9484c9e35b3878cf17a8e.edm" localSheetId="4" hidden="1">' Financials'!#REF!</definedName>
    <definedName name="_bdm.5F91EDFB28E345298D64C1B04C911BD8.edm" hidden="1">Assumptions!$1:$1048576</definedName>
    <definedName name="_bdm.609C5E0B40C34CEC83463B2CED066A56.edm" localSheetId="4" hidden="1">#REF!</definedName>
    <definedName name="_bdm.609C5E0B40C34CEC83463B2CED066A56.edm" hidden="1">#REF!</definedName>
    <definedName name="_bdm.6DE9FD41CF0248559D918CB423239EC7.edm" localSheetId="4" hidden="1">#REF!</definedName>
    <definedName name="_bdm.6DE9FD41CF0248559D918CB423239EC7.edm" hidden="1">#REF!</definedName>
    <definedName name="_bdm.74CEE327218B454AA9BC56D8CEA74141.edm" hidden="1">'DCF input'!$1:$1048576</definedName>
    <definedName name="_bdm.a4ac6fa1a2134a37ad560cac0499cf89.edm" hidden="1">#REF!</definedName>
    <definedName name="_bdm.A77C3BBF950C4F3C8195B83DEAA7CFBF.edm" hidden="1">#REF!</definedName>
    <definedName name="_bdm.B028FC28E4054953B61282121BB0749D.edm" localSheetId="4" hidden="1">#REF!</definedName>
    <definedName name="_bdm.B028FC28E4054953B61282121BB0749D.edm" hidden="1">#REF!</definedName>
    <definedName name="_bdm.BA7DF401FF66448AB626C492D77D0998.edm" localSheetId="4" hidden="1">#REF!</definedName>
    <definedName name="_bdm.BA7DF401FF66448AB626C492D77D0998.edm" hidden="1">#REF!</definedName>
    <definedName name="_bdm.c517996dc1c34e9a9e03e0d7b68ed7ad.edm" localSheetId="4" hidden="1">' Financials'!#REF!</definedName>
    <definedName name="_bdm.D51DF457840D4146B534F29F484627FC.edm" localSheetId="4" hidden="1">' Financials'!#REF!</definedName>
    <definedName name="_bdm.D537BEABC8504CB086955292FC36C894.edm" localSheetId="4" hidden="1">' Financials'!#REF!</definedName>
    <definedName name="_bdm.D62A5529011B4AA59DA7E2E0D578E7E6.edm" localSheetId="4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4" hidden="1">' Financials'!#REF!</definedName>
    <definedName name="_bdm.FF6CFCDC65EC4615A9B67519CC6F83BE.edm" localSheetId="5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4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#REF!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4">#REF!</definedName>
    <definedName name="FX_CASE_1">#REF!</definedName>
    <definedName name="FX_CASE_2" localSheetId="4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4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4">' Financials'!$B$2:$W$80</definedName>
    <definedName name="_xlnm.Print_Area" localSheetId="2">Assumptions!$B$2:$L$25</definedName>
    <definedName name="_xlnm.Print_Area" localSheetId="5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4">#REF!</definedName>
    <definedName name="range_16">#REF!</definedName>
    <definedName name="range_17" localSheetId="4">#REF!</definedName>
    <definedName name="range_17">#REF!</definedName>
    <definedName name="range_18" localSheetId="4">#REF!</definedName>
    <definedName name="range_18">#REF!</definedName>
    <definedName name="range_2">#REF!</definedName>
    <definedName name="range_FF">#REF!</definedName>
    <definedName name="Range_Financials" localSheetId="4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4">#REF!</definedName>
    <definedName name="S1_BUYBACK_CASE">#REF!</definedName>
    <definedName name="S1_CRSO_CASE" localSheetId="4">#REF!</definedName>
    <definedName name="S1_CRSO_CASE">#REF!</definedName>
    <definedName name="S1_EQUITY_RAISE_METHOD" localSheetId="4">#REF!</definedName>
    <definedName name="S1_EQUITY_RAISE_METHOD">#REF!</definedName>
    <definedName name="S1_RATINGS_CASE" localSheetId="4">#REF!</definedName>
    <definedName name="S1_RATINGS_CASE">#REF!</definedName>
    <definedName name="S1_WINECO_CASE" localSheetId="4">#REF!</definedName>
    <definedName name="S1_WINECO_CASE">#REF!</definedName>
    <definedName name="S2_BUYBACK_CASE" localSheetId="4">#REF!</definedName>
    <definedName name="S2_BUYBACK_CASE">#REF!</definedName>
    <definedName name="S2_EQUITY_RAISE_METHOD" localSheetId="4">#REF!</definedName>
    <definedName name="S2_EQUITY_RAISE_METHOD">#REF!</definedName>
    <definedName name="S2_RATINGS_CASE" localSheetId="4">#REF!</definedName>
    <definedName name="S2_RATINGS_CASE">#REF!</definedName>
    <definedName name="S3_EQUITY_RAISE_METHOD" localSheetId="4">#REF!</definedName>
    <definedName name="S3_EQUITY_RAISE_METHOD">#REF!</definedName>
    <definedName name="SAB_FINS_CASE" localSheetId="4">#REF!</definedName>
    <definedName name="SAB_FINS_CASE">#REF!</definedName>
    <definedName name="SAB_SP" localSheetId="4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4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8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7" i="31" l="1"/>
  <c r="F87" i="31"/>
  <c r="F8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S40" i="31"/>
  <c r="R40" i="31"/>
  <c r="Q40" i="31"/>
  <c r="P40" i="31"/>
  <c r="O40" i="31"/>
  <c r="N40" i="31"/>
  <c r="M40" i="31"/>
  <c r="L40" i="31"/>
  <c r="K40" i="31"/>
  <c r="J40" i="31"/>
  <c r="I40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V49" i="45"/>
  <c r="U49" i="45"/>
  <c r="T49" i="45"/>
  <c r="S49" i="45"/>
  <c r="R49" i="45"/>
  <c r="Q49" i="45"/>
  <c r="V40" i="45"/>
  <c r="U40" i="45"/>
  <c r="T40" i="45"/>
  <c r="S40" i="45"/>
  <c r="R40" i="45"/>
  <c r="Q40" i="45"/>
  <c r="V29" i="45"/>
  <c r="U29" i="45"/>
  <c r="T29" i="45"/>
  <c r="S29" i="45"/>
  <c r="R29" i="45"/>
  <c r="Q29" i="45"/>
  <c r="P29" i="45"/>
  <c r="O29" i="45"/>
  <c r="N29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124" i="31"/>
  <c r="S125" i="31"/>
  <c r="K125" i="31"/>
  <c r="O125" i="31"/>
  <c r="I124" i="31"/>
  <c r="S78" i="45"/>
  <c r="T53" i="45"/>
  <c r="Q125" i="31" l="1"/>
  <c r="R125" i="31"/>
  <c r="P125" i="31"/>
  <c r="L125" i="31"/>
  <c r="K124" i="31"/>
  <c r="O124" i="31"/>
  <c r="L124" i="31"/>
  <c r="M125" i="31"/>
  <c r="J125" i="31"/>
  <c r="T54" i="45"/>
  <c r="T78" i="45"/>
  <c r="U53" i="45"/>
  <c r="M124" i="31" l="1"/>
  <c r="U78" i="45"/>
  <c r="V53" i="45"/>
  <c r="U54" i="45"/>
  <c r="P124" i="31" l="1"/>
  <c r="V54" i="45"/>
  <c r="V78" i="45"/>
  <c r="Q124" i="31" l="1"/>
  <c r="R124" i="31" l="1"/>
  <c r="S124" i="31" l="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L33" i="45"/>
  <c r="L32" i="45"/>
  <c r="N32" i="45"/>
  <c r="M33" i="45"/>
  <c r="M32" i="45"/>
  <c r="K66" i="45"/>
  <c r="M11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111" i="31" l="1"/>
  <c r="K111" i="31" l="1"/>
  <c r="L111" i="31" l="1"/>
  <c r="M111" i="31" l="1"/>
  <c r="N111" i="31" l="1"/>
  <c r="O111" i="31" l="1"/>
  <c r="P111" i="31" l="1"/>
  <c r="Q111" i="31" l="1"/>
  <c r="S111" i="31" l="1"/>
  <c r="R111" i="31"/>
  <c r="E97" i="31" l="1"/>
  <c r="E96" i="31" s="1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H94" i="31"/>
  <c r="I94" i="31" s="1"/>
  <c r="J94" i="31" s="1"/>
  <c r="N78" i="31"/>
  <c r="H78" i="31"/>
  <c r="O94" i="31"/>
  <c r="N94" i="31" s="1"/>
  <c r="M94" i="31" s="1"/>
  <c r="P88" i="31"/>
  <c r="M88" i="31"/>
  <c r="L106" i="31" s="1"/>
  <c r="L107" i="31" s="1"/>
  <c r="L108" i="31" s="1"/>
  <c r="L97" i="31" l="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P103" i="31"/>
  <c r="Q103" i="31" s="1"/>
  <c r="P94" i="31"/>
  <c r="Q94" i="31" s="1"/>
  <c r="I119" i="31"/>
  <c r="L119" i="31"/>
  <c r="K119" i="31"/>
  <c r="E95" i="31"/>
  <c r="L105" i="31"/>
  <c r="L104" i="31" s="1"/>
  <c r="G94" i="31"/>
  <c r="F94" i="31" s="1"/>
  <c r="G103" i="31"/>
  <c r="G29" i="31"/>
  <c r="F122" i="31"/>
  <c r="I122" i="31"/>
  <c r="L96" i="31" l="1"/>
  <c r="L95" i="31" s="1"/>
  <c r="F56" i="31"/>
  <c r="F59" i="31"/>
  <c r="G59" i="31"/>
  <c r="G56" i="31"/>
  <c r="F49" i="31"/>
  <c r="F113" i="31"/>
  <c r="F28" i="31"/>
  <c r="G28" i="31"/>
  <c r="G49" i="31"/>
  <c r="E99" i="31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F121" i="31"/>
  <c r="F32" i="31"/>
  <c r="K123" i="31" l="1"/>
  <c r="G35" i="31"/>
  <c r="G116" i="31" s="1"/>
  <c r="G117" i="31" s="1"/>
  <c r="G32" i="31"/>
  <c r="G114" i="31"/>
  <c r="G115" i="31" s="1"/>
  <c r="G50" i="31"/>
  <c r="G33" i="31"/>
  <c r="J122" i="31"/>
  <c r="K122" i="31"/>
  <c r="H119" i="31"/>
  <c r="F36" i="31"/>
  <c r="N119" i="31"/>
  <c r="F118" i="31"/>
  <c r="M119" i="31"/>
  <c r="P108" i="31"/>
  <c r="I106" i="31"/>
  <c r="M108" i="31"/>
  <c r="Q106" i="31"/>
  <c r="Q105" i="31"/>
  <c r="N108" i="31"/>
  <c r="F105" i="31"/>
  <c r="J106" i="31"/>
  <c r="H108" i="31"/>
  <c r="G105" i="31"/>
  <c r="I108" i="31"/>
  <c r="Q104" i="31"/>
  <c r="H104" i="31"/>
  <c r="N106" i="31"/>
  <c r="I104" i="31"/>
  <c r="M105" i="31"/>
  <c r="F108" i="31"/>
  <c r="J105" i="31"/>
  <c r="P105" i="31"/>
  <c r="Q108" i="31"/>
  <c r="H107" i="31"/>
  <c r="O104" i="31"/>
  <c r="P107" i="31"/>
  <c r="G108" i="31"/>
  <c r="G104" i="31"/>
  <c r="M107" i="31"/>
  <c r="I107" i="31"/>
  <c r="F107" i="31"/>
  <c r="J108" i="31"/>
  <c r="J104" i="31"/>
  <c r="O106" i="31"/>
  <c r="P106" i="31"/>
  <c r="H106" i="31"/>
  <c r="N105" i="31"/>
  <c r="O108" i="31"/>
  <c r="G107" i="31"/>
  <c r="P104" i="31"/>
  <c r="Q107" i="31"/>
  <c r="N104" i="31"/>
  <c r="I105" i="31"/>
  <c r="J107" i="31"/>
  <c r="M104" i="31"/>
  <c r="N107" i="31"/>
  <c r="O107" i="31"/>
  <c r="F106" i="31"/>
  <c r="H105" i="31"/>
  <c r="M106" i="31"/>
  <c r="F104" i="31"/>
  <c r="G106" i="31"/>
  <c r="O105" i="31"/>
  <c r="D18" i="12"/>
  <c r="F111" i="31"/>
  <c r="G36" i="31" l="1"/>
  <c r="G118" i="31"/>
  <c r="G37" i="31"/>
  <c r="H37" i="31"/>
  <c r="H118" i="31"/>
  <c r="O119" i="31"/>
  <c r="H17" i="31"/>
  <c r="H18" i="31" s="1"/>
  <c r="D24" i="12"/>
  <c r="G17" i="31"/>
  <c r="G18" i="31" s="1"/>
  <c r="I56" i="31" l="1"/>
  <c r="I59" i="31"/>
  <c r="I53" i="31"/>
  <c r="H120" i="31"/>
  <c r="H127" i="31" s="1"/>
  <c r="I25" i="31"/>
  <c r="I49" i="31"/>
  <c r="F120" i="31"/>
  <c r="F127" i="31" s="1"/>
  <c r="P119" i="31"/>
  <c r="I17" i="31"/>
  <c r="I18" i="31" s="1"/>
  <c r="I66" i="31"/>
  <c r="G120" i="31" l="1"/>
  <c r="G127" i="31" s="1"/>
  <c r="J56" i="31"/>
  <c r="J59" i="31"/>
  <c r="J25" i="31"/>
  <c r="J49" i="31"/>
  <c r="I29" i="31"/>
  <c r="I112" i="31"/>
  <c r="I113" i="31" s="1"/>
  <c r="J53" i="31"/>
  <c r="I28" i="31"/>
  <c r="I121" i="31"/>
  <c r="I114" i="31"/>
  <c r="I115" i="31" s="1"/>
  <c r="Q119" i="31"/>
  <c r="J121" i="31"/>
  <c r="J28" i="31"/>
  <c r="J112" i="31"/>
  <c r="J113" i="31" s="1"/>
  <c r="J29" i="31"/>
  <c r="J17" i="31"/>
  <c r="J18" i="31" s="1"/>
  <c r="I50" i="31"/>
  <c r="I33" i="31"/>
  <c r="I35" i="31"/>
  <c r="I32" i="31"/>
  <c r="J66" i="31"/>
  <c r="I67" i="31"/>
  <c r="I116" i="31" l="1"/>
  <c r="I117" i="31" s="1"/>
  <c r="I39" i="31"/>
  <c r="I42" i="31" s="1"/>
  <c r="K59" i="31"/>
  <c r="K56" i="31"/>
  <c r="K53" i="31"/>
  <c r="S119" i="31"/>
  <c r="K29" i="31"/>
  <c r="K49" i="31"/>
  <c r="K25" i="31"/>
  <c r="K112" i="31"/>
  <c r="K113" i="31" s="1"/>
  <c r="R119" i="31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J67" i="31"/>
  <c r="K66" i="31"/>
  <c r="I44" i="31" l="1"/>
  <c r="I61" i="31"/>
  <c r="I43" i="31"/>
  <c r="K35" i="31"/>
  <c r="K116" i="31" s="1"/>
  <c r="K117" i="31" s="1"/>
  <c r="K121" i="31"/>
  <c r="J37" i="31"/>
  <c r="J116" i="31"/>
  <c r="J117" i="31" s="1"/>
  <c r="I118" i="31"/>
  <c r="L17" i="31"/>
  <c r="L18" i="31" s="1"/>
  <c r="J39" i="31"/>
  <c r="J118" i="31" s="1"/>
  <c r="J36" i="31"/>
  <c r="K33" i="31"/>
  <c r="K50" i="31"/>
  <c r="K32" i="31"/>
  <c r="K46" i="31"/>
  <c r="K114" i="31" s="1"/>
  <c r="K115" i="31" s="1"/>
  <c r="L66" i="31"/>
  <c r="K67" i="31"/>
  <c r="I120" i="31" l="1"/>
  <c r="I127" i="31" s="1"/>
  <c r="I63" i="31"/>
  <c r="I64" i="31" s="1"/>
  <c r="K39" i="31"/>
  <c r="K42" i="31" s="1"/>
  <c r="K61" i="31" s="1"/>
  <c r="K36" i="31"/>
  <c r="K37" i="31"/>
  <c r="M17" i="31"/>
  <c r="M18" i="31" s="1"/>
  <c r="J42" i="31"/>
  <c r="J61" i="31" s="1"/>
  <c r="M66" i="31"/>
  <c r="L67" i="31"/>
  <c r="K120" i="31" l="1"/>
  <c r="K127" i="31" s="1"/>
  <c r="K118" i="31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J63" i="31" l="1"/>
  <c r="J64" i="31" s="1"/>
  <c r="O17" i="31"/>
  <c r="O18" i="31" s="1"/>
  <c r="O66" i="31"/>
  <c r="N67" i="31"/>
  <c r="P17" i="31" l="1"/>
  <c r="P18" i="31" s="1"/>
  <c r="O67" i="31"/>
  <c r="P66" i="31"/>
  <c r="Q17" i="31" l="1"/>
  <c r="Q18" i="31" s="1"/>
  <c r="Q66" i="31"/>
  <c r="P67" i="31"/>
  <c r="R17" i="31" l="1"/>
  <c r="R18" i="31" s="1"/>
  <c r="Q67" i="31"/>
  <c r="R66" i="31"/>
  <c r="S66" i="31" s="1"/>
  <c r="S67" i="31" s="1"/>
  <c r="R67" i="31" l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22" i="45"/>
  <c r="P22" i="45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Q122" i="31"/>
  <c r="M122" i="31" l="1"/>
  <c r="R122" i="31"/>
  <c r="S122" i="31"/>
  <c r="O122" i="31"/>
  <c r="P122" i="31"/>
  <c r="N122" i="31" l="1"/>
  <c r="M49" i="31" l="1"/>
  <c r="N59" i="31"/>
  <c r="N25" i="31"/>
  <c r="L33" i="31"/>
  <c r="M32" i="31"/>
  <c r="N53" i="31"/>
  <c r="M56" i="31"/>
  <c r="M59" i="31"/>
  <c r="M53" i="31" l="1"/>
  <c r="M123" i="31"/>
  <c r="N56" i="31"/>
  <c r="M121" i="31"/>
  <c r="M112" i="31"/>
  <c r="M113" i="31" s="1"/>
  <c r="L28" i="31"/>
  <c r="M50" i="31"/>
  <c r="N123" i="31"/>
  <c r="N49" i="31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59" i="31"/>
  <c r="L123" i="31"/>
  <c r="L49" i="31"/>
  <c r="L32" i="31"/>
  <c r="L25" i="31"/>
  <c r="L56" i="31"/>
  <c r="L121" i="31"/>
  <c r="M29" i="31"/>
  <c r="L112" i="31"/>
  <c r="L113" i="31" s="1"/>
  <c r="L53" i="31"/>
  <c r="L50" i="31"/>
  <c r="L29" i="31"/>
  <c r="L37" i="31" l="1"/>
  <c r="M37" i="31"/>
  <c r="M116" i="31"/>
  <c r="M117" i="31" s="1"/>
  <c r="M39" i="31"/>
  <c r="M118" i="31" s="1"/>
  <c r="M36" i="31"/>
  <c r="L36" i="31"/>
  <c r="L39" i="31"/>
  <c r="L118" i="31" s="1"/>
  <c r="M42" i="31" l="1"/>
  <c r="L42" i="31"/>
  <c r="M44" i="31" l="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O56" i="31" l="1"/>
  <c r="O53" i="31"/>
  <c r="O59" i="31"/>
  <c r="O123" i="31"/>
  <c r="O49" i="31" l="1"/>
  <c r="O25" i="31"/>
  <c r="P56" i="31" l="1"/>
  <c r="P25" i="31"/>
  <c r="P49" i="31"/>
  <c r="P59" i="31"/>
  <c r="Q56" i="31" l="1"/>
  <c r="Q25" i="31"/>
  <c r="Q49" i="31"/>
  <c r="Q59" i="31"/>
  <c r="P123" i="31"/>
  <c r="P53" i="31"/>
  <c r="Q53" i="31" l="1"/>
  <c r="Q123" i="31"/>
  <c r="R59" i="31"/>
  <c r="R56" i="31"/>
  <c r="R25" i="31"/>
  <c r="R49" i="31"/>
  <c r="R123" i="31" l="1"/>
  <c r="R53" i="31"/>
  <c r="S59" i="31"/>
  <c r="S49" i="31"/>
  <c r="S56" i="31"/>
  <c r="S25" i="31"/>
  <c r="S53" i="31" l="1"/>
  <c r="S123" i="31"/>
  <c r="S112" i="31"/>
  <c r="S113" i="31" s="1"/>
  <c r="S28" i="31"/>
  <c r="T70" i="31"/>
  <c r="N76" i="31" s="1"/>
  <c r="S121" i="31" l="1"/>
  <c r="S33" i="31"/>
  <c r="S46" i="31"/>
  <c r="S114" i="31" s="1"/>
  <c r="S115" i="31" s="1"/>
  <c r="S50" i="31"/>
  <c r="S32" i="31"/>
  <c r="S35" i="31"/>
  <c r="S116" i="31" l="1"/>
  <c r="S117" i="31" s="1"/>
  <c r="S39" i="31"/>
  <c r="S118" i="31" s="1"/>
  <c r="S36" i="31"/>
  <c r="S42" i="31" l="1"/>
  <c r="S120" i="31" l="1"/>
  <c r="S127" i="31" s="1"/>
  <c r="S61" i="31"/>
  <c r="S63" i="31" s="1"/>
  <c r="S64" i="31" s="1"/>
  <c r="S43" i="31"/>
  <c r="Q15" i="45"/>
  <c r="Q62" i="45" s="1"/>
  <c r="Q63" i="45" s="1"/>
  <c r="Q17" i="45" l="1"/>
  <c r="Q71" i="45"/>
  <c r="Q43" i="45"/>
  <c r="T69" i="31"/>
  <c r="H76" i="31" s="1"/>
  <c r="Q112" i="31"/>
  <c r="Q113" i="31" s="1"/>
  <c r="Q28" i="31"/>
  <c r="N29" i="31"/>
  <c r="N28" i="31"/>
  <c r="N112" i="31"/>
  <c r="N113" i="31" s="1"/>
  <c r="Q64" i="45"/>
  <c r="R28" i="31" l="1"/>
  <c r="R29" i="31"/>
  <c r="R112" i="31"/>
  <c r="R113" i="31" s="1"/>
  <c r="S29" i="31"/>
  <c r="O28" i="31" l="1"/>
  <c r="O29" i="31"/>
  <c r="O112" i="31"/>
  <c r="O113" i="31" s="1"/>
  <c r="P28" i="31"/>
  <c r="P29" i="31"/>
  <c r="P112" i="31"/>
  <c r="P113" i="31" s="1"/>
  <c r="Q29" i="31"/>
  <c r="Q20" i="45" l="1"/>
  <c r="Q21" i="45" s="1"/>
  <c r="R20" i="45"/>
  <c r="S20" i="45"/>
  <c r="T20" i="45"/>
  <c r="U20" i="45"/>
  <c r="Q23" i="45" l="1"/>
  <c r="V21" i="45"/>
  <c r="U21" i="45"/>
  <c r="Q25" i="45"/>
  <c r="R21" i="45"/>
  <c r="S21" i="45"/>
  <c r="T21" i="45"/>
  <c r="Q68" i="45"/>
  <c r="Q26" i="45" l="1"/>
  <c r="Q27" i="45"/>
  <c r="Q69" i="45"/>
  <c r="Q65" i="45"/>
  <c r="Q70" i="45"/>
  <c r="Q35" i="31" l="1"/>
  <c r="Q33" i="31"/>
  <c r="Q46" i="31"/>
  <c r="Q114" i="31" s="1"/>
  <c r="Q115" i="31" s="1"/>
  <c r="Q32" i="31"/>
  <c r="Q66" i="45"/>
  <c r="Q67" i="45"/>
  <c r="Q121" i="31" l="1"/>
  <c r="Q50" i="31"/>
  <c r="O46" i="31"/>
  <c r="O114" i="31" s="1"/>
  <c r="O115" i="31" s="1"/>
  <c r="O32" i="31"/>
  <c r="O35" i="31"/>
  <c r="O121" i="31"/>
  <c r="O33" i="31"/>
  <c r="O50" i="31"/>
  <c r="Q36" i="31"/>
  <c r="Q116" i="31"/>
  <c r="Q117" i="31" s="1"/>
  <c r="Q39" i="31"/>
  <c r="Q118" i="31" s="1"/>
  <c r="N46" i="31"/>
  <c r="N114" i="31" s="1"/>
  <c r="N115" i="31" s="1"/>
  <c r="N32" i="31"/>
  <c r="N35" i="31"/>
  <c r="N50" i="31"/>
  <c r="N33" i="31"/>
  <c r="N121" i="31"/>
  <c r="R33" i="31" l="1"/>
  <c r="R46" i="31"/>
  <c r="R114" i="31" s="1"/>
  <c r="R115" i="31" s="1"/>
  <c r="R121" i="31"/>
  <c r="R50" i="31"/>
  <c r="R32" i="31"/>
  <c r="R35" i="31"/>
  <c r="O116" i="31"/>
  <c r="O117" i="31" s="1"/>
  <c r="O36" i="31"/>
  <c r="O39" i="31"/>
  <c r="O118" i="31" s="1"/>
  <c r="O37" i="31"/>
  <c r="N36" i="31"/>
  <c r="N39" i="31"/>
  <c r="N118" i="31" s="1"/>
  <c r="N37" i="31"/>
  <c r="N116" i="31"/>
  <c r="N117" i="31" s="1"/>
  <c r="P33" i="31"/>
  <c r="P46" i="31"/>
  <c r="P114" i="31" s="1"/>
  <c r="P115" i="31" s="1"/>
  <c r="P32" i="31"/>
  <c r="P35" i="31"/>
  <c r="P121" i="31"/>
  <c r="P50" i="31"/>
  <c r="Q42" i="31"/>
  <c r="R39" i="31" l="1"/>
  <c r="R118" i="31" s="1"/>
  <c r="R116" i="31"/>
  <c r="R117" i="31" s="1"/>
  <c r="S37" i="31"/>
  <c r="R36" i="31"/>
  <c r="R37" i="31"/>
  <c r="P36" i="31"/>
  <c r="P39" i="31"/>
  <c r="P118" i="31" s="1"/>
  <c r="P116" i="31"/>
  <c r="P117" i="31" s="1"/>
  <c r="P37" i="31"/>
  <c r="Q37" i="31"/>
  <c r="Q43" i="31"/>
  <c r="Q61" i="31"/>
  <c r="Q63" i="31" s="1"/>
  <c r="Q64" i="31" s="1"/>
  <c r="Q120" i="31"/>
  <c r="Q127" i="31" s="1"/>
  <c r="O42" i="31"/>
  <c r="N42" i="31"/>
  <c r="R42" i="31" l="1"/>
  <c r="O44" i="31"/>
  <c r="O61" i="31"/>
  <c r="O63" i="31" s="1"/>
  <c r="O64" i="31" s="1"/>
  <c r="O43" i="31"/>
  <c r="O120" i="31"/>
  <c r="O127" i="31" s="1"/>
  <c r="P42" i="31"/>
  <c r="N44" i="31"/>
  <c r="N61" i="31"/>
  <c r="N63" i="31" s="1"/>
  <c r="N64" i="31" s="1"/>
  <c r="N43" i="31"/>
  <c r="N120" i="31"/>
  <c r="N127" i="31" s="1"/>
  <c r="R43" i="31" l="1"/>
  <c r="R120" i="31"/>
  <c r="R127" i="31" s="1"/>
  <c r="R61" i="31"/>
  <c r="R63" i="31" s="1"/>
  <c r="R64" i="31" s="1"/>
  <c r="R44" i="31"/>
  <c r="S44" i="31"/>
  <c r="P44" i="31"/>
  <c r="P61" i="31"/>
  <c r="P63" i="31" s="1"/>
  <c r="P64" i="31" s="1"/>
  <c r="P43" i="31"/>
  <c r="P120" i="31"/>
  <c r="P127" i="31" s="1"/>
  <c r="Q44" i="31"/>
  <c r="N75" i="31" l="1"/>
  <c r="N77" i="31" s="1"/>
  <c r="H75" i="31"/>
  <c r="H77" i="31" s="1"/>
  <c r="I76" i="31" l="1"/>
  <c r="E94" i="31"/>
  <c r="H79" i="31"/>
  <c r="H80" i="31" s="1"/>
  <c r="I75" i="31"/>
  <c r="L94" i="31"/>
  <c r="N79" i="31"/>
  <c r="N80" i="31" s="1"/>
  <c r="O76" i="31"/>
  <c r="O75" i="31"/>
  <c r="I77" i="31" l="1"/>
  <c r="O77" i="31"/>
  <c r="N81" i="31"/>
  <c r="L103" i="31"/>
  <c r="E103" i="31"/>
  <c r="H81" i="31"/>
  <c r="R11" i="45"/>
  <c r="S11" i="45"/>
  <c r="T11" i="45"/>
  <c r="U11" i="45"/>
  <c r="V11" i="45"/>
  <c r="R15" i="45"/>
  <c r="S15" i="45"/>
  <c r="T15" i="45"/>
  <c r="U15" i="45"/>
  <c r="V15" i="45"/>
  <c r="R17" i="45"/>
  <c r="S17" i="45"/>
  <c r="T17" i="45"/>
  <c r="U17" i="45"/>
  <c r="V17" i="45"/>
  <c r="R23" i="45"/>
  <c r="S23" i="45"/>
  <c r="T23" i="45"/>
  <c r="U23" i="45"/>
  <c r="V23" i="45"/>
  <c r="R25" i="45"/>
  <c r="S25" i="45"/>
  <c r="T25" i="45"/>
  <c r="U25" i="45"/>
  <c r="V25" i="45"/>
  <c r="R26" i="45"/>
  <c r="S26" i="45"/>
  <c r="T26" i="45"/>
  <c r="U26" i="45"/>
  <c r="V26" i="45"/>
  <c r="R27" i="45"/>
  <c r="S27" i="45"/>
  <c r="T27" i="45"/>
  <c r="U27" i="45"/>
  <c r="V27" i="45"/>
  <c r="R42" i="45"/>
  <c r="S42" i="45"/>
  <c r="T42" i="45"/>
  <c r="U42" i="45"/>
  <c r="V42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R62" i="45"/>
  <c r="S62" i="45"/>
  <c r="T62" i="45"/>
  <c r="U62" i="45"/>
  <c r="V62" i="45"/>
  <c r="R63" i="45"/>
  <c r="S63" i="45"/>
  <c r="T63" i="45"/>
  <c r="U63" i="45"/>
  <c r="V63" i="45"/>
  <c r="R64" i="45"/>
  <c r="S64" i="45"/>
  <c r="T64" i="45"/>
  <c r="U64" i="45"/>
  <c r="V64" i="45"/>
  <c r="R68" i="45"/>
  <c r="R65" i="45" s="1"/>
  <c r="S68" i="45"/>
  <c r="S65" i="45" s="1"/>
  <c r="T68" i="45"/>
  <c r="T65" i="45" s="1"/>
  <c r="U68" i="45"/>
  <c r="U65" i="45" s="1"/>
  <c r="V68" i="45"/>
  <c r="V65" i="45" s="1"/>
  <c r="R69" i="45"/>
  <c r="S69" i="45"/>
  <c r="T69" i="45"/>
  <c r="U69" i="45"/>
  <c r="V69" i="45"/>
  <c r="R70" i="45"/>
  <c r="S70" i="45"/>
  <c r="T70" i="45"/>
  <c r="U70" i="45"/>
  <c r="V70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V66" i="45" l="1"/>
  <c r="V67" i="45"/>
  <c r="U66" i="45"/>
  <c r="U67" i="45"/>
  <c r="T66" i="45"/>
  <c r="T67" i="45"/>
  <c r="S66" i="45"/>
  <c r="S67" i="45"/>
  <c r="R66" i="45"/>
  <c r="R67" i="4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<sst xmlns="http://schemas.openxmlformats.org/spreadsheetml/2006/main" count="218" uniqueCount="133">
  <si>
    <t>This sheet contains FactSet XML data for use with this workbook's =FDS codes.  Modifying the worksheet's contents may damage the workbook's =FDS functionality.</t>
  </si>
  <si>
    <t>Assumptions</t>
  </si>
  <si>
    <t>Circular switch</t>
  </si>
  <si>
    <t>On / off</t>
  </si>
  <si>
    <t>Key assumptions</t>
  </si>
  <si>
    <t>Last Historical FYE</t>
  </si>
  <si>
    <t>Transaction date</t>
  </si>
  <si>
    <t>Enterprise value calculation</t>
  </si>
  <si>
    <t>Current share price (c)</t>
  </si>
  <si>
    <t>p_price</t>
  </si>
  <si>
    <t>NOSH (m)</t>
  </si>
  <si>
    <t>Market cap ($m)</t>
  </si>
  <si>
    <t>Net debt / (cash) ($m)</t>
  </si>
  <si>
    <t>Minority interests ($m)</t>
  </si>
  <si>
    <t>Pension liability ($m)</t>
  </si>
  <si>
    <t>Investment in associates ($m)</t>
  </si>
  <si>
    <t>EV ($m)</t>
  </si>
  <si>
    <t>Happy Hour Co - 5 Year plan</t>
  </si>
  <si>
    <t xml:space="preserve">5 Year Plan </t>
  </si>
  <si>
    <t>FY20</t>
  </si>
  <si>
    <t>FY21</t>
  </si>
  <si>
    <t>FY22</t>
  </si>
  <si>
    <t>FY23</t>
  </si>
  <si>
    <t>FY24</t>
  </si>
  <si>
    <t>Revenue</t>
  </si>
  <si>
    <t>YoY growth %</t>
  </si>
  <si>
    <t>GP $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</si>
  <si>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</si>
  <si>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</si>
  <si>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</si>
  <si>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</si>
  <si>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</si>
  <si>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</si>
  <si>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</si>
  <si>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</si>
  <si>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</si>
  <si>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</si>
  <si>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</si>
  <si>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</si>
  <si>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</si>
  <si>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Capex</t>
  </si>
  <si>
    <t>Acquisition</t>
  </si>
  <si>
    <t>Tax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</si>
  <si>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</si>
  <si>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</si>
  <si>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</si>
  <si>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</si>
  <si>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</si>
  <si>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</si>
  <si>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</si>
  <si>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</si>
  <si>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</si>
  <si>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Income statement</t>
  </si>
  <si>
    <t>Actuals</t>
  </si>
  <si>
    <t>CMD case</t>
  </si>
  <si>
    <t>Extrapolations</t>
  </si>
  <si>
    <t>Total revenue</t>
  </si>
  <si>
    <t>Management case</t>
  </si>
  <si>
    <t>% forecast growth</t>
  </si>
  <si>
    <t>EBITDA</t>
  </si>
  <si>
    <t>% growth</t>
  </si>
  <si>
    <t>% forecast margin</t>
  </si>
  <si>
    <t>Depreciation and amortisation</t>
  </si>
  <si>
    <t>% capex</t>
  </si>
  <si>
    <t>% margin</t>
  </si>
  <si>
    <t>EBIT</t>
  </si>
  <si>
    <t>% tax rate</t>
  </si>
  <si>
    <t>x</t>
  </si>
  <si>
    <t>Net income</t>
  </si>
  <si>
    <t>Cashflow statement</t>
  </si>
  <si>
    <t>% sales</t>
  </si>
  <si>
    <t>% Cash conversion</t>
  </si>
  <si>
    <t>Change in Working Capital</t>
  </si>
  <si>
    <t>Other Cashflows</t>
  </si>
  <si>
    <t>Exceptional items</t>
  </si>
  <si>
    <t>Summary financials</t>
  </si>
  <si>
    <t>March Y/E</t>
  </si>
  <si>
    <t>D&amp;A</t>
  </si>
  <si>
    <t>% of revenue</t>
  </si>
  <si>
    <t>% of capex</t>
  </si>
  <si>
    <t>% revenue</t>
  </si>
  <si>
    <t>Change in NWC</t>
  </si>
  <si>
    <t>DCF</t>
  </si>
  <si>
    <t>Next financial YE</t>
  </si>
  <si>
    <t>Perpetuity growth rate</t>
  </si>
  <si>
    <t>TV exit EBITDA multiple</t>
  </si>
  <si>
    <t>WACC used for sensitivity analysis</t>
  </si>
  <si>
    <t>DCF FCF Calculation</t>
  </si>
  <si>
    <t>Stub period</t>
  </si>
  <si>
    <t>Stub factor</t>
  </si>
  <si>
    <t>Estimates</t>
  </si>
  <si>
    <t>EBIAT</t>
  </si>
  <si>
    <t>% D&amp;A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</si>
  <si>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</si>
  <si>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</si>
  <si>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</si>
  <si>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</si>
  <si>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</si>
  <si>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</si>
  <si>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</si>
  <si>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</si>
  <si>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</si>
  <si>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</si>
  <si>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</si>
  <si>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($m)</t>
  </si>
  <si>
    <t>(%)</t>
  </si>
  <si>
    <t>PV of FCF</t>
  </si>
  <si>
    <t>PV of Terminal Value</t>
  </si>
  <si>
    <t>Enterprise value</t>
  </si>
  <si>
    <t>Net debt &amp; adjustments</t>
  </si>
  <si>
    <t>Equity value</t>
  </si>
  <si>
    <t>Share price</t>
  </si>
  <si>
    <t>% premium to current</t>
  </si>
  <si>
    <t>Sensitivity analysis</t>
  </si>
  <si>
    <t>Spread rates and step-up</t>
  </si>
  <si>
    <t>Perptuity growth rate step-up</t>
  </si>
  <si>
    <t>EBITDA multiple</t>
  </si>
  <si>
    <t>EBITDA multiple step-up</t>
  </si>
  <si>
    <t>WACC</t>
  </si>
  <si>
    <t>WACC step-up</t>
  </si>
  <si>
    <t>Perpetuity growth rate analysis</t>
  </si>
  <si>
    <t>EBITDA multiple analysis</t>
  </si>
  <si>
    <t>Enterprise value ($m)</t>
  </si>
  <si>
    <t>WACC (%)</t>
  </si>
  <si>
    <t>Perpetuity growth rate (%)</t>
  </si>
  <si>
    <t>Exit EBITDA multiple (x)</t>
  </si>
  <si>
    <t>Offer price (p)</t>
  </si>
  <si>
    <t>Tax rate</t>
  </si>
  <si>
    <t>+D&amp;A</t>
  </si>
  <si>
    <t>+ Maintenance capex</t>
  </si>
  <si>
    <t>+Change in working capital</t>
  </si>
  <si>
    <t>+ Exceptional cash flows</t>
  </si>
  <si>
    <t>+ Other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</si>
</sst>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1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_);\(#,##0.0\);&quot;-  &quot;;@_)"/>
  </numFmts>
  <fonts count="326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i/>
      <sz val="10"/>
      <color theme="4" tint="-0.249977111117893"/>
      <name val="Arial"/>
      <family val="2"/>
    </font>
  </fonts>
  <fills count="10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9"/>
        <bgColor indexed="64"/>
      </patternFill>
    </fill>
  </fills>
  <borders count="8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/>
      <bottom style="thin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3808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2" fillId="10" borderId="0">
      <alignment horizontal="right"/>
    </xf>
    <xf numFmtId="0" fontId="6" fillId="0" borderId="0">
      <alignment vertical="center"/>
    </xf>
    <xf numFmtId="173" fontId="8" fillId="3" borderId="20"/>
    <xf numFmtId="185" fontId="25" fillId="0" borderId="0">
      <alignment horizontal="right"/>
    </xf>
    <xf numFmtId="173" fontId="26" fillId="13" borderId="0"/>
    <xf numFmtId="186" fontId="27" fillId="0" borderId="0" applyFont="0" applyFill="0" applyBorder="0" applyAlignment="0" applyProtection="0"/>
    <xf numFmtId="0" fontId="2" fillId="0" borderId="0"/>
    <xf numFmtId="186" fontId="27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29" fillId="0" borderId="0"/>
    <xf numFmtId="190" fontId="4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28" fillId="0" borderId="0" applyFont="0" applyFill="0" applyBorder="0" applyAlignment="0" applyProtection="0"/>
    <xf numFmtId="10" fontId="31" fillId="0" borderId="0"/>
    <xf numFmtId="10" fontId="31" fillId="0" borderId="0"/>
    <xf numFmtId="9" fontId="28" fillId="0" borderId="0" applyFont="0" applyFill="0" applyBorder="0" applyAlignment="0" applyProtection="0"/>
    <xf numFmtId="10" fontId="31" fillId="0" borderId="0"/>
    <xf numFmtId="10" fontId="31" fillId="0" borderId="0"/>
    <xf numFmtId="9" fontId="32" fillId="0" borderId="0"/>
    <xf numFmtId="181" fontId="32" fillId="0" borderId="0"/>
    <xf numFmtId="10" fontId="32" fillId="0" borderId="0"/>
    <xf numFmtId="0" fontId="30" fillId="0" borderId="0" applyNumberFormat="0" applyFont="0" applyFill="0" applyBorder="0" applyAlignment="0" applyProtection="0"/>
    <xf numFmtId="0" fontId="33" fillId="12" borderId="0" applyBorder="0" applyAlignment="0"/>
    <xf numFmtId="182" fontId="32" fillId="0" borderId="10" applyFont="0" applyFill="0" applyBorder="0" applyAlignment="0" applyProtection="0"/>
    <xf numFmtId="173" fontId="29" fillId="0" borderId="0" applyFont="0" applyFill="0" applyBorder="0" applyAlignment="0" applyProtection="0"/>
    <xf numFmtId="192" fontId="29" fillId="0" borderId="0" applyFont="0" applyFill="0" applyBorder="0" applyAlignment="0"/>
    <xf numFmtId="193" fontId="6" fillId="0" borderId="0" applyFont="0" applyFill="0" applyBorder="0" applyAlignment="0" applyProtection="0"/>
    <xf numFmtId="0" fontId="34" fillId="0" borderId="0"/>
    <xf numFmtId="0" fontId="35" fillId="0" borderId="0" applyFont="0" applyAlignment="0">
      <alignment horizontal="center" vertical="center"/>
    </xf>
    <xf numFmtId="0" fontId="26" fillId="0" borderId="0"/>
    <xf numFmtId="0" fontId="29" fillId="0" borderId="0"/>
    <xf numFmtId="0" fontId="35" fillId="0" borderId="0" applyFont="0" applyAlignment="0">
      <alignment horizontal="center" vertical="center"/>
    </xf>
    <xf numFmtId="0" fontId="35" fillId="0" borderId="0" applyFont="0" applyAlignment="0">
      <alignment horizontal="center" vertical="center"/>
    </xf>
    <xf numFmtId="0" fontId="35" fillId="0" borderId="0" applyFont="0" applyAlignment="0">
      <alignment horizontal="center" vertical="center"/>
    </xf>
    <xf numFmtId="0" fontId="35" fillId="0" borderId="0" applyFont="0" applyAlignment="0">
      <alignment horizontal="center" vertical="center"/>
    </xf>
    <xf numFmtId="0" fontId="35" fillId="0" borderId="0" applyFont="0" applyAlignment="0">
      <alignment horizontal="center" vertical="center"/>
    </xf>
    <xf numFmtId="0" fontId="29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36" fillId="0" borderId="0"/>
    <xf numFmtId="0" fontId="36" fillId="0" borderId="0"/>
    <xf numFmtId="0" fontId="30" fillId="0" borderId="0" applyNumberFormat="0" applyFill="0" applyBorder="0" applyAlignment="0" applyProtection="0"/>
    <xf numFmtId="0" fontId="6" fillId="0" borderId="0"/>
    <xf numFmtId="0" fontId="4" fillId="12" borderId="0">
      <alignment horizontal="left" wrapText="1"/>
    </xf>
    <xf numFmtId="0" fontId="7" fillId="14" borderId="0">
      <alignment horizontal="left"/>
    </xf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7" fillId="14" borderId="0">
      <alignment horizontal="left"/>
    </xf>
    <xf numFmtId="3" fontId="4" fillId="15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7" fillId="14" borderId="0">
      <alignment horizontal="left"/>
    </xf>
    <xf numFmtId="0" fontId="7" fillId="14" borderId="0">
      <alignment horizontal="left"/>
    </xf>
    <xf numFmtId="0" fontId="6" fillId="12" borderId="0"/>
    <xf numFmtId="0" fontId="6" fillId="12" borderId="0"/>
    <xf numFmtId="0" fontId="6" fillId="12" borderId="0"/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6" fillId="12" borderId="0"/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/>
    <xf numFmtId="0" fontId="4" fillId="15" borderId="0"/>
    <xf numFmtId="0" fontId="4" fillId="15" borderId="0"/>
    <xf numFmtId="0" fontId="4" fillId="15" borderId="0"/>
    <xf numFmtId="49" fontId="7" fillId="16" borderId="0">
      <alignment horizontal="left"/>
    </xf>
    <xf numFmtId="0" fontId="4" fillId="15" borderId="0"/>
    <xf numFmtId="0" fontId="4" fillId="15" borderId="0"/>
    <xf numFmtId="49" fontId="7" fillId="16" borderId="0">
      <alignment horizontal="left"/>
    </xf>
    <xf numFmtId="49" fontId="7" fillId="16" borderId="0">
      <alignment horizontal="left"/>
    </xf>
    <xf numFmtId="0" fontId="4" fillId="15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/>
    <xf numFmtId="0" fontId="4" fillId="15" borderId="0"/>
    <xf numFmtId="0" fontId="4" fillId="15" borderId="0"/>
    <xf numFmtId="0" fontId="4" fillId="15" borderId="0"/>
    <xf numFmtId="0" fontId="7" fillId="17" borderId="0">
      <alignment horizontal="left"/>
    </xf>
    <xf numFmtId="0" fontId="4" fillId="15" borderId="0"/>
    <xf numFmtId="0" fontId="4" fillId="15" borderId="0"/>
    <xf numFmtId="0" fontId="7" fillId="17" borderId="0">
      <alignment horizontal="left"/>
    </xf>
    <xf numFmtId="0" fontId="7" fillId="17" borderId="0">
      <alignment horizontal="left"/>
    </xf>
    <xf numFmtId="0" fontId="4" fillId="15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/>
    <xf numFmtId="0" fontId="4" fillId="15" borderId="0"/>
    <xf numFmtId="49" fontId="7" fillId="18" borderId="0">
      <alignment horizontal="left"/>
    </xf>
    <xf numFmtId="0" fontId="4" fillId="15" borderId="0"/>
    <xf numFmtId="0" fontId="4" fillId="15" borderId="0"/>
    <xf numFmtId="49" fontId="7" fillId="18" borderId="0">
      <alignment horizontal="left"/>
    </xf>
    <xf numFmtId="0" fontId="4" fillId="15" borderId="0"/>
    <xf numFmtId="0" fontId="4" fillId="15" borderId="0"/>
    <xf numFmtId="49" fontId="7" fillId="19" borderId="0">
      <alignment horizontal="left"/>
    </xf>
    <xf numFmtId="49" fontId="7" fillId="18" borderId="0">
      <alignment horizontal="left"/>
    </xf>
    <xf numFmtId="49" fontId="7" fillId="18" borderId="0">
      <alignment horizontal="left"/>
    </xf>
    <xf numFmtId="0" fontId="4" fillId="15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/>
    <xf numFmtId="0" fontId="4" fillId="15" borderId="0"/>
    <xf numFmtId="0" fontId="4" fillId="15" borderId="0"/>
    <xf numFmtId="0" fontId="4" fillId="15" borderId="0"/>
    <xf numFmtId="0" fontId="7" fillId="19" borderId="0">
      <alignment horizontal="left"/>
    </xf>
    <xf numFmtId="0" fontId="4" fillId="15" borderId="0"/>
    <xf numFmtId="0" fontId="4" fillId="15" borderId="0"/>
    <xf numFmtId="0" fontId="7" fillId="20" borderId="0">
      <alignment horizontal="left"/>
    </xf>
    <xf numFmtId="0" fontId="7" fillId="19" borderId="0">
      <alignment horizontal="left"/>
    </xf>
    <xf numFmtId="0" fontId="7" fillId="19" borderId="0">
      <alignment horizontal="left"/>
    </xf>
    <xf numFmtId="0" fontId="4" fillId="15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/>
    <xf numFmtId="0" fontId="4" fillId="15" borderId="0"/>
    <xf numFmtId="0" fontId="4" fillId="15" borderId="0"/>
    <xf numFmtId="0" fontId="4" fillId="15" borderId="0"/>
    <xf numFmtId="0" fontId="12" fillId="20" borderId="0">
      <alignment horizontal="left"/>
    </xf>
    <xf numFmtId="0" fontId="4" fillId="15" borderId="0"/>
    <xf numFmtId="0" fontId="4" fillId="15" borderId="0"/>
    <xf numFmtId="0" fontId="12" fillId="20" borderId="0">
      <alignment horizontal="left"/>
    </xf>
    <xf numFmtId="0" fontId="12" fillId="20" borderId="0">
      <alignment horizontal="left"/>
    </xf>
    <xf numFmtId="0" fontId="4" fillId="15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/>
    <xf numFmtId="0" fontId="4" fillId="15" borderId="0"/>
    <xf numFmtId="0" fontId="37" fillId="21" borderId="0">
      <alignment horizontal="left"/>
    </xf>
    <xf numFmtId="0" fontId="4" fillId="15" borderId="0"/>
    <xf numFmtId="0" fontId="4" fillId="15" borderId="0"/>
    <xf numFmtId="0" fontId="37" fillId="21" borderId="0">
      <alignment horizontal="left"/>
    </xf>
    <xf numFmtId="0" fontId="4" fillId="15" borderId="0"/>
    <xf numFmtId="0" fontId="4" fillId="15" borderId="0"/>
    <xf numFmtId="0" fontId="37" fillId="21" borderId="0">
      <alignment horizontal="left"/>
    </xf>
    <xf numFmtId="0" fontId="37" fillId="21" borderId="0">
      <alignment horizontal="left"/>
    </xf>
    <xf numFmtId="0" fontId="4" fillId="15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12" fillId="22" borderId="0">
      <alignment horizontal="left"/>
    </xf>
    <xf numFmtId="0" fontId="12" fillId="23" borderId="0">
      <alignment horizontal="left"/>
    </xf>
    <xf numFmtId="0" fontId="12" fillId="22" borderId="0">
      <alignment horizontal="left"/>
    </xf>
    <xf numFmtId="0" fontId="12" fillId="23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1">
      <alignment horizontal="right"/>
    </xf>
    <xf numFmtId="4" fontId="6" fillId="3" borderId="0"/>
    <xf numFmtId="4" fontId="38" fillId="24" borderId="22" applyBorder="0"/>
    <xf numFmtId="170" fontId="4" fillId="3" borderId="21"/>
    <xf numFmtId="3" fontId="4" fillId="3" borderId="21">
      <alignment horizontal="right"/>
    </xf>
    <xf numFmtId="3" fontId="4" fillId="3" borderId="21">
      <alignment horizontal="right"/>
    </xf>
    <xf numFmtId="4" fontId="38" fillId="24" borderId="22" applyBorder="0"/>
    <xf numFmtId="3" fontId="4" fillId="2" borderId="21"/>
    <xf numFmtId="3" fontId="4" fillId="3" borderId="21">
      <alignment horizontal="right"/>
    </xf>
    <xf numFmtId="3" fontId="4" fillId="3" borderId="21">
      <alignment horizontal="right"/>
    </xf>
    <xf numFmtId="170" fontId="4" fillId="3" borderId="21"/>
    <xf numFmtId="3" fontId="4" fillId="3" borderId="21">
      <alignment horizontal="right"/>
    </xf>
    <xf numFmtId="3" fontId="4" fillId="3" borderId="21">
      <alignment horizontal="right"/>
    </xf>
    <xf numFmtId="3" fontId="4" fillId="3" borderId="21">
      <alignment horizontal="right"/>
    </xf>
    <xf numFmtId="4" fontId="38" fillId="24" borderId="22" applyBorder="0"/>
    <xf numFmtId="4" fontId="38" fillId="24" borderId="22" applyBorder="0"/>
    <xf numFmtId="170" fontId="4" fillId="3" borderId="21"/>
    <xf numFmtId="170" fontId="4" fillId="3" borderId="21"/>
    <xf numFmtId="170" fontId="4" fillId="3" borderId="21"/>
    <xf numFmtId="170" fontId="4" fillId="3" borderId="21"/>
    <xf numFmtId="3" fontId="4" fillId="3" borderId="21">
      <alignment horizontal="right"/>
    </xf>
    <xf numFmtId="3" fontId="4" fillId="3" borderId="21">
      <alignment horizontal="right"/>
    </xf>
    <xf numFmtId="3" fontId="4" fillId="3" borderId="21">
      <alignment horizontal="right"/>
    </xf>
    <xf numFmtId="170" fontId="4" fillId="3" borderId="21"/>
    <xf numFmtId="170" fontId="4" fillId="3" borderId="21"/>
    <xf numFmtId="3" fontId="4" fillId="3" borderId="21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39" fillId="0" borderId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ont="0" applyFill="0" applyBorder="0" applyAlignment="0" applyProtection="0"/>
    <xf numFmtId="0" fontId="30" fillId="0" borderId="0" applyNumberFormat="0" applyFont="0" applyFill="0" applyBorder="0" applyAlignment="0" applyProtection="0"/>
    <xf numFmtId="0" fontId="9" fillId="3" borderId="0">
      <alignment horizontal="left"/>
    </xf>
    <xf numFmtId="0" fontId="40" fillId="25" borderId="0"/>
    <xf numFmtId="0" fontId="41" fillId="26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1" fillId="26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0" fillId="25" borderId="0"/>
    <xf numFmtId="0" fontId="9" fillId="3" borderId="0">
      <alignment horizontal="left"/>
    </xf>
    <xf numFmtId="0" fontId="41" fillId="26" borderId="0"/>
    <xf numFmtId="0" fontId="41" fillId="26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" fillId="27" borderId="0" applyNumberFormat="0" applyFont="0" applyAlignment="0" applyProtection="0"/>
    <xf numFmtId="0" fontId="30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29" fillId="0" borderId="0" applyFont="0" applyFill="0" applyBorder="0" applyAlignment="0" applyProtection="0"/>
    <xf numFmtId="214" fontId="29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29" fillId="0" borderId="0" applyFont="0" applyFill="0" applyBorder="0" applyAlignment="0" applyProtection="0"/>
    <xf numFmtId="218" fontId="29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2" fillId="28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2" borderId="0">
      <alignment horizontal="left" wrapText="1"/>
    </xf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7" fillId="14" borderId="0"/>
    <xf numFmtId="3" fontId="4" fillId="15" borderId="0">
      <alignment horizontal="left" vertical="center"/>
    </xf>
    <xf numFmtId="0" fontId="4" fillId="12" borderId="0">
      <alignment horizontal="left" wrapText="1"/>
    </xf>
    <xf numFmtId="0" fontId="4" fillId="12" borderId="0">
      <alignment horizontal="left" wrapText="1"/>
    </xf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7" fillId="25" borderId="0"/>
    <xf numFmtId="0" fontId="4" fillId="12" borderId="0">
      <alignment horizontal="left" wrapText="1"/>
    </xf>
    <xf numFmtId="0" fontId="7" fillId="14" borderId="0"/>
    <xf numFmtId="0" fontId="7" fillId="14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6" fillId="12" borderId="0"/>
    <xf numFmtId="0" fontId="6" fillId="12" borderId="0"/>
    <xf numFmtId="0" fontId="4" fillId="12" borderId="0">
      <alignment horizontal="left" wrapText="1"/>
    </xf>
    <xf numFmtId="0" fontId="6" fillId="29" borderId="0"/>
    <xf numFmtId="0" fontId="4" fillId="12" borderId="0">
      <alignment horizontal="left" wrapText="1"/>
    </xf>
    <xf numFmtId="0" fontId="4" fillId="15" borderId="0">
      <alignment horizontal="left"/>
    </xf>
    <xf numFmtId="0" fontId="4" fillId="15" borderId="0">
      <alignment horizontal="left"/>
    </xf>
    <xf numFmtId="0" fontId="7" fillId="10" borderId="0"/>
    <xf numFmtId="0" fontId="7" fillId="16" borderId="0"/>
    <xf numFmtId="0" fontId="4" fillId="15" borderId="0">
      <alignment horizontal="left"/>
    </xf>
    <xf numFmtId="0" fontId="4" fillId="15" borderId="0">
      <alignment horizontal="left"/>
    </xf>
    <xf numFmtId="0" fontId="7" fillId="16" borderId="0"/>
    <xf numFmtId="0" fontId="4" fillId="15" borderId="0">
      <alignment horizontal="left"/>
    </xf>
    <xf numFmtId="0" fontId="4" fillId="15" borderId="0">
      <alignment horizontal="left"/>
    </xf>
    <xf numFmtId="0" fontId="7" fillId="16" borderId="0"/>
    <xf numFmtId="0" fontId="7" fillId="16" borderId="0"/>
    <xf numFmtId="0" fontId="4" fillId="15" borderId="0">
      <alignment horizontal="left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5" borderId="0">
      <alignment horizontal="left"/>
    </xf>
    <xf numFmtId="0" fontId="4" fillId="15" borderId="0">
      <alignment horizontal="left"/>
    </xf>
    <xf numFmtId="0" fontId="7" fillId="17" borderId="0"/>
    <xf numFmtId="0" fontId="4" fillId="15" borderId="0">
      <alignment horizontal="left"/>
    </xf>
    <xf numFmtId="0" fontId="4" fillId="15" borderId="0">
      <alignment horizontal="left"/>
    </xf>
    <xf numFmtId="0" fontId="7" fillId="17" borderId="0"/>
    <xf numFmtId="0" fontId="4" fillId="15" borderId="0">
      <alignment horizontal="left"/>
    </xf>
    <xf numFmtId="0" fontId="4" fillId="15" borderId="0">
      <alignment horizontal="left"/>
    </xf>
    <xf numFmtId="0" fontId="7" fillId="17" borderId="0"/>
    <xf numFmtId="0" fontId="7" fillId="17" borderId="0"/>
    <xf numFmtId="0" fontId="4" fillId="15" borderId="0">
      <alignment horizontal="left"/>
    </xf>
    <xf numFmtId="0" fontId="4" fillId="12" borderId="0">
      <alignment horizontal="left" wrapText="1"/>
    </xf>
    <xf numFmtId="0" fontId="4" fillId="12" borderId="0">
      <alignment horizontal="left" wrapText="1"/>
    </xf>
    <xf numFmtId="0" fontId="4" fillId="12" borderId="0">
      <alignment horizontal="left"/>
    </xf>
    <xf numFmtId="0" fontId="7" fillId="19" borderId="0"/>
    <xf numFmtId="0" fontId="4" fillId="15" borderId="0">
      <alignment horizontal="left"/>
    </xf>
    <xf numFmtId="0" fontId="4" fillId="15" borderId="0">
      <alignment horizontal="left"/>
    </xf>
    <xf numFmtId="0" fontId="4" fillId="15" borderId="0">
      <alignment horizontal="left"/>
    </xf>
    <xf numFmtId="0" fontId="4" fillId="15" borderId="0">
      <alignment horizontal="left"/>
    </xf>
    <xf numFmtId="0" fontId="7" fillId="18" borderId="0"/>
    <xf numFmtId="0" fontId="4" fillId="15" borderId="0">
      <alignment horizontal="left"/>
    </xf>
    <xf numFmtId="0" fontId="4" fillId="15" borderId="0">
      <alignment horizontal="left"/>
    </xf>
    <xf numFmtId="0" fontId="7" fillId="19" borderId="0"/>
    <xf numFmtId="0" fontId="7" fillId="18" borderId="0"/>
    <xf numFmtId="0" fontId="7" fillId="18" borderId="0"/>
    <xf numFmtId="0" fontId="4" fillId="15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7" fillId="20" borderId="0"/>
    <xf numFmtId="0" fontId="4" fillId="15" borderId="0">
      <alignment horizontal="left"/>
    </xf>
    <xf numFmtId="0" fontId="4" fillId="15" borderId="0">
      <alignment horizontal="left"/>
    </xf>
    <xf numFmtId="0" fontId="7" fillId="19" borderId="0"/>
    <xf numFmtId="0" fontId="4" fillId="15" borderId="0">
      <alignment horizontal="left"/>
    </xf>
    <xf numFmtId="0" fontId="4" fillId="15" borderId="0">
      <alignment horizontal="left"/>
    </xf>
    <xf numFmtId="0" fontId="7" fillId="19" borderId="0"/>
    <xf numFmtId="0" fontId="4" fillId="15" borderId="0">
      <alignment horizontal="left"/>
    </xf>
    <xf numFmtId="0" fontId="4" fillId="15" borderId="0">
      <alignment horizontal="left"/>
    </xf>
    <xf numFmtId="0" fontId="7" fillId="19" borderId="0"/>
    <xf numFmtId="0" fontId="7" fillId="19" borderId="0"/>
    <xf numFmtId="0" fontId="4" fillId="15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7" fillId="30" borderId="0"/>
    <xf numFmtId="0" fontId="4" fillId="15" borderId="0">
      <alignment horizontal="left"/>
    </xf>
    <xf numFmtId="0" fontId="4" fillId="15" borderId="0">
      <alignment horizontal="left"/>
    </xf>
    <xf numFmtId="0" fontId="12" fillId="20" borderId="0"/>
    <xf numFmtId="0" fontId="4" fillId="15" borderId="0">
      <alignment horizontal="left"/>
    </xf>
    <xf numFmtId="0" fontId="4" fillId="15" borderId="0">
      <alignment horizontal="left"/>
    </xf>
    <xf numFmtId="0" fontId="12" fillId="20" borderId="0"/>
    <xf numFmtId="0" fontId="4" fillId="15" borderId="0">
      <alignment horizontal="left"/>
    </xf>
    <xf numFmtId="0" fontId="4" fillId="15" borderId="0">
      <alignment horizontal="left"/>
    </xf>
    <xf numFmtId="0" fontId="12" fillId="20" borderId="0"/>
    <xf numFmtId="0" fontId="12" fillId="20" borderId="0"/>
    <xf numFmtId="0" fontId="4" fillId="15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12" fillId="22" borderId="0"/>
    <xf numFmtId="0" fontId="4" fillId="15" borderId="0">
      <alignment horizontal="left"/>
    </xf>
    <xf numFmtId="0" fontId="4" fillId="15" borderId="0">
      <alignment horizontal="left"/>
    </xf>
    <xf numFmtId="0" fontId="37" fillId="21" borderId="0"/>
    <xf numFmtId="0" fontId="4" fillId="15" borderId="0">
      <alignment horizontal="left"/>
    </xf>
    <xf numFmtId="0" fontId="4" fillId="15" borderId="0">
      <alignment horizontal="left"/>
    </xf>
    <xf numFmtId="0" fontId="37" fillId="21" borderId="0"/>
    <xf numFmtId="0" fontId="4" fillId="15" borderId="0">
      <alignment horizontal="left"/>
    </xf>
    <xf numFmtId="0" fontId="4" fillId="15" borderId="0">
      <alignment horizontal="left"/>
    </xf>
    <xf numFmtId="0" fontId="12" fillId="22" borderId="0"/>
    <xf numFmtId="0" fontId="37" fillId="21" borderId="0"/>
    <xf numFmtId="0" fontId="37" fillId="21" borderId="0"/>
    <xf numFmtId="0" fontId="4" fillId="15" borderId="0">
      <alignment horizontal="left"/>
    </xf>
    <xf numFmtId="0" fontId="4" fillId="12" borderId="0">
      <alignment horizontal="left"/>
    </xf>
    <xf numFmtId="0" fontId="4" fillId="12" borderId="0">
      <alignment horizontal="left"/>
    </xf>
    <xf numFmtId="0" fontId="12" fillId="22" borderId="0" applyNumberFormat="0" applyProtection="0"/>
    <xf numFmtId="0" fontId="12" fillId="23" borderId="0" applyNumberFormat="0" applyProtection="0"/>
    <xf numFmtId="0" fontId="12" fillId="22" borderId="0" applyNumberFormat="0" applyProtection="0"/>
    <xf numFmtId="0" fontId="12" fillId="23" borderId="0" applyNumberFormat="0" applyProtection="0"/>
    <xf numFmtId="0" fontId="30" fillId="0" borderId="0" applyNumberFormat="0" applyFill="0" applyBorder="0" applyAlignment="0" applyProtection="0"/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centerContinuous"/>
    </xf>
    <xf numFmtId="0" fontId="46" fillId="0" borderId="0" applyNumberFormat="0" applyFill="0" applyBorder="0" applyProtection="0">
      <alignment horizontal="centerContinuous"/>
    </xf>
    <xf numFmtId="0" fontId="46" fillId="0" borderId="0" applyNumberFormat="0" applyFill="0" applyBorder="0" applyProtection="0">
      <alignment horizontal="centerContinuous"/>
    </xf>
    <xf numFmtId="0" fontId="46" fillId="0" borderId="0" applyNumberFormat="0" applyFill="0" applyBorder="0" applyProtection="0">
      <alignment horizontal="centerContinuous"/>
    </xf>
    <xf numFmtId="0" fontId="46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0" fillId="0" borderId="0" applyNumberFormat="0" applyFont="0" applyFill="0" applyBorder="0" applyAlignment="0" applyProtection="0"/>
    <xf numFmtId="202" fontId="29" fillId="0" borderId="0" applyFont="0" applyFill="0" applyBorder="0" applyAlignment="0" applyProtection="0"/>
    <xf numFmtId="223" fontId="29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27" fillId="0" borderId="0" applyFont="0" applyFill="0" applyBorder="0" applyAlignment="0" applyProtection="0"/>
    <xf numFmtId="22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225" fontId="32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29" fillId="0" borderId="0"/>
    <xf numFmtId="232" fontId="29" fillId="0" borderId="0"/>
    <xf numFmtId="195" fontId="29" fillId="0" borderId="0"/>
    <xf numFmtId="233" fontId="47" fillId="0" borderId="0" applyFont="0" applyFill="0" applyBorder="0" applyAlignment="0" applyProtection="0"/>
    <xf numFmtId="234" fontId="47" fillId="0" borderId="0" applyFont="0" applyFill="0" applyBorder="0" applyAlignment="0" applyProtection="0"/>
    <xf numFmtId="235" fontId="47" fillId="0" borderId="0" applyFont="0" applyFill="0" applyBorder="0" applyAlignment="0" applyProtection="0"/>
    <xf numFmtId="236" fontId="47" fillId="0" borderId="0" applyFont="0" applyFill="0" applyBorder="0" applyAlignment="0" applyProtection="0"/>
    <xf numFmtId="237" fontId="47" fillId="0" borderId="0" applyFont="0" applyFill="0" applyBorder="0" applyAlignment="0" applyProtection="0"/>
    <xf numFmtId="238" fontId="48" fillId="0" borderId="0" applyFont="0" applyFill="0" applyBorder="0" applyAlignment="0" applyProtection="0"/>
    <xf numFmtId="226" fontId="32" fillId="0" borderId="0" applyFont="0" applyFill="0" applyBorder="0" applyAlignment="0" applyProtection="0"/>
    <xf numFmtId="0" fontId="29" fillId="0" borderId="0"/>
    <xf numFmtId="0" fontId="29" fillId="0" borderId="0"/>
    <xf numFmtId="0" fontId="6" fillId="0" borderId="0"/>
    <xf numFmtId="0" fontId="49" fillId="0" borderId="0"/>
    <xf numFmtId="9" fontId="6" fillId="0" borderId="0"/>
    <xf numFmtId="0" fontId="32" fillId="0" borderId="0"/>
    <xf numFmtId="203" fontId="50" fillId="0" borderId="0"/>
    <xf numFmtId="223" fontId="4" fillId="0" borderId="0">
      <alignment horizontal="left"/>
      <protection locked="0"/>
    </xf>
    <xf numFmtId="181" fontId="50" fillId="0" borderId="0"/>
    <xf numFmtId="183" fontId="50" fillId="0" borderId="0"/>
    <xf numFmtId="2" fontId="50" fillId="0" borderId="0"/>
    <xf numFmtId="10" fontId="50" fillId="0" borderId="0"/>
    <xf numFmtId="0" fontId="51" fillId="0" borderId="25" applyFont="0" applyFill="0" applyBorder="0" applyAlignment="0" applyProtection="0"/>
    <xf numFmtId="183" fontId="50" fillId="0" borderId="0"/>
    <xf numFmtId="182" fontId="32" fillId="0" borderId="0"/>
    <xf numFmtId="182" fontId="32" fillId="0" borderId="0"/>
    <xf numFmtId="239" fontId="32" fillId="0" borderId="0">
      <alignment horizontal="center"/>
    </xf>
    <xf numFmtId="240" fontId="27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2" fillId="0" borderId="0">
      <alignment horizontal="center"/>
    </xf>
    <xf numFmtId="173" fontId="53" fillId="0" borderId="0">
      <alignment horizontal="center"/>
    </xf>
    <xf numFmtId="168" fontId="54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26">
      <alignment horizontal="center" vertical="center"/>
    </xf>
    <xf numFmtId="0" fontId="55" fillId="0" borderId="0"/>
    <xf numFmtId="0" fontId="53" fillId="0" borderId="0" applyFont="0">
      <alignment horizontal="centerContinuous"/>
    </xf>
    <xf numFmtId="0" fontId="6" fillId="0" borderId="0">
      <alignment horizontal="right"/>
    </xf>
    <xf numFmtId="0" fontId="18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27" applyNumberFormat="0" applyFill="0" applyAlignment="0" applyProtection="0"/>
    <xf numFmtId="173" fontId="56" fillId="3" borderId="13" applyAlignment="0"/>
    <xf numFmtId="174" fontId="56" fillId="3" borderId="13" applyAlignment="0"/>
    <xf numFmtId="181" fontId="56" fillId="3" borderId="13"/>
    <xf numFmtId="168" fontId="54" fillId="3" borderId="20"/>
    <xf numFmtId="241" fontId="4" fillId="3" borderId="20"/>
    <xf numFmtId="181" fontId="54" fillId="3" borderId="20"/>
    <xf numFmtId="0" fontId="57" fillId="0" borderId="28" applyNumberFormat="0" applyFill="0" applyAlignment="0" applyProtection="0"/>
    <xf numFmtId="182" fontId="58" fillId="13" borderId="0" applyNumberFormat="0" applyFill="0" applyBorder="0" applyAlignment="0" applyProtection="0">
      <alignment horizontal="right"/>
    </xf>
    <xf numFmtId="0" fontId="4" fillId="31" borderId="13" applyProtection="0">
      <alignment horizontal="right"/>
    </xf>
    <xf numFmtId="223" fontId="4" fillId="31" borderId="13" applyProtection="0">
      <alignment horizontal="right"/>
      <protection locked="0"/>
    </xf>
    <xf numFmtId="240" fontId="6" fillId="31" borderId="13" applyProtection="0">
      <alignment horizontal="right"/>
      <protection locked="0"/>
    </xf>
    <xf numFmtId="185" fontId="4" fillId="31" borderId="13" applyProtection="0">
      <alignment horizontal="right"/>
      <protection locked="0"/>
    </xf>
    <xf numFmtId="244" fontId="4" fillId="31" borderId="13" applyProtection="0">
      <alignment horizontal="right"/>
    </xf>
    <xf numFmtId="245" fontId="4" fillId="31" borderId="13" applyProtection="0">
      <alignment horizontal="right"/>
    </xf>
    <xf numFmtId="246" fontId="4" fillId="31" borderId="13" applyProtection="0">
      <alignment horizontal="right"/>
    </xf>
    <xf numFmtId="247" fontId="4" fillId="31" borderId="13" applyProtection="0">
      <alignment horizontal="right"/>
    </xf>
    <xf numFmtId="198" fontId="4" fillId="31" borderId="13" applyProtection="0">
      <alignment horizontal="right"/>
    </xf>
    <xf numFmtId="207" fontId="4" fillId="31" borderId="13" applyProtection="0">
      <alignment horizontal="right"/>
    </xf>
    <xf numFmtId="0" fontId="29" fillId="0" borderId="0">
      <alignment horizontal="centerContinuous"/>
    </xf>
    <xf numFmtId="0" fontId="53" fillId="0" borderId="10">
      <alignment horizontal="centerContinuous"/>
    </xf>
    <xf numFmtId="0" fontId="59" fillId="32" borderId="29" applyNumberFormat="0" applyAlignment="0">
      <alignment horizontal="right"/>
    </xf>
    <xf numFmtId="0" fontId="31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29" fillId="0" borderId="0"/>
    <xf numFmtId="9" fontId="31" fillId="0" borderId="0"/>
    <xf numFmtId="181" fontId="31" fillId="0" borderId="0"/>
    <xf numFmtId="10" fontId="31" fillId="0" borderId="0"/>
    <xf numFmtId="0" fontId="3" fillId="0" borderId="0" applyNumberFormat="0" applyFill="0" applyBorder="0" applyAlignment="0" applyProtection="0"/>
    <xf numFmtId="0" fontId="25" fillId="0" borderId="0"/>
    <xf numFmtId="248" fontId="3" fillId="3" borderId="16" applyFill="0" applyBorder="0" applyAlignment="0" applyProtection="0"/>
    <xf numFmtId="178" fontId="60" fillId="0" borderId="0"/>
    <xf numFmtId="0" fontId="25" fillId="0" borderId="0"/>
    <xf numFmtId="0" fontId="25" fillId="0" borderId="0"/>
    <xf numFmtId="178" fontId="60" fillId="0" borderId="0"/>
    <xf numFmtId="194" fontId="29" fillId="0" borderId="0"/>
    <xf numFmtId="232" fontId="29" fillId="0" borderId="0"/>
    <xf numFmtId="195" fontId="29" fillId="0" borderId="0"/>
    <xf numFmtId="249" fontId="31" fillId="0" borderId="0"/>
    <xf numFmtId="0" fontId="31" fillId="0" borderId="0"/>
    <xf numFmtId="185" fontId="31" fillId="0" borderId="0"/>
    <xf numFmtId="170" fontId="31" fillId="0" borderId="0"/>
    <xf numFmtId="228" fontId="26" fillId="0" borderId="0" applyFont="0" applyFill="0" applyBorder="0" applyAlignment="0" applyProtection="0"/>
    <xf numFmtId="0" fontId="54" fillId="0" borderId="0"/>
    <xf numFmtId="211" fontId="4" fillId="0" borderId="0" applyFont="0" applyFill="0" applyBorder="0" applyAlignment="0" applyProtection="0">
      <alignment vertical="top"/>
    </xf>
    <xf numFmtId="0" fontId="61" fillId="0" borderId="0" applyNumberFormat="0" applyFill="0" applyBorder="0" applyAlignment="0" applyProtection="0">
      <alignment vertical="top"/>
      <protection locked="0"/>
    </xf>
    <xf numFmtId="219" fontId="4" fillId="31" borderId="13" applyFont="0" applyFill="0" applyBorder="0" applyAlignment="0" applyProtection="0"/>
    <xf numFmtId="248" fontId="6" fillId="0" borderId="0"/>
    <xf numFmtId="0" fontId="25" fillId="0" borderId="0" applyNumberFormat="0" applyBorder="0" applyAlignment="0"/>
    <xf numFmtId="248" fontId="21" fillId="0" borderId="0" applyFont="0" applyFill="0" applyBorder="0" applyAlignment="0" applyProtection="0"/>
    <xf numFmtId="10" fontId="6" fillId="33" borderId="10" applyNumberFormat="0" applyAlignment="0">
      <alignment horizontal="right"/>
    </xf>
    <xf numFmtId="1" fontId="62" fillId="0" borderId="0" applyFill="0" applyBorder="0" applyProtection="0">
      <alignment horizontal="right" wrapText="1"/>
      <protection locked="0"/>
    </xf>
    <xf numFmtId="250" fontId="63" fillId="0" borderId="0" applyFill="0" applyBorder="0" applyProtection="0">
      <alignment horizontal="right"/>
      <protection locked="0"/>
    </xf>
    <xf numFmtId="38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13" borderId="0" applyNumberFormat="0" applyFill="0" applyBorder="0" applyAlignment="0" applyProtection="0">
      <protection locked="0"/>
    </xf>
    <xf numFmtId="0" fontId="67" fillId="33" borderId="0"/>
    <xf numFmtId="173" fontId="29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68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69" fillId="34" borderId="0" applyNumberFormat="0" applyBorder="0">
      <alignment horizontal="center" vertical="center"/>
    </xf>
    <xf numFmtId="173" fontId="6" fillId="0" borderId="0"/>
    <xf numFmtId="0" fontId="70" fillId="0" borderId="0" applyNumberFormat="0" applyFill="0" applyBorder="0" applyAlignment="0" applyProtection="0"/>
    <xf numFmtId="0" fontId="1" fillId="34" borderId="30">
      <alignment horizontal="center" vertical="center"/>
    </xf>
    <xf numFmtId="0" fontId="71" fillId="0" borderId="0" applyNumberFormat="0" applyFill="0" applyBorder="0" applyProtection="0">
      <protection locked="0"/>
    </xf>
    <xf numFmtId="250" fontId="15" fillId="0" borderId="0">
      <protection locked="0"/>
    </xf>
    <xf numFmtId="1" fontId="72" fillId="34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2" fillId="0" borderId="0"/>
    <xf numFmtId="264" fontId="73" fillId="0" borderId="0" applyFont="0" applyAlignment="0" applyProtection="0"/>
    <xf numFmtId="0" fontId="29" fillId="0" borderId="0"/>
    <xf numFmtId="0" fontId="74" fillId="0" borderId="0" applyNumberFormat="0" applyFill="0" applyBorder="0" applyAlignment="0" applyProtection="0"/>
    <xf numFmtId="0" fontId="53" fillId="0" borderId="10" applyNumberFormat="0" applyFill="0" applyAlignment="0" applyProtection="0"/>
    <xf numFmtId="0" fontId="75" fillId="13" borderId="12" applyNumberFormat="0" applyFill="0" applyBorder="0" applyAlignment="0" applyProtection="0">
      <protection locked="0"/>
    </xf>
    <xf numFmtId="37" fontId="27" fillId="0" borderId="10" applyNumberFormat="0" applyFont="0" applyFill="0" applyAlignment="0" applyProtection="0"/>
    <xf numFmtId="0" fontId="26" fillId="0" borderId="3" applyNumberFormat="0" applyFont="0" applyFill="0" applyAlignment="0" applyProtection="0"/>
    <xf numFmtId="265" fontId="68" fillId="0" borderId="17" applyNumberFormat="0" applyFont="0" applyFill="0" applyAlignment="0" applyProtection="0"/>
    <xf numFmtId="0" fontId="6" fillId="0" borderId="3" applyNumberFormat="0" applyFont="0" applyFill="0" applyAlignment="0" applyProtection="0"/>
    <xf numFmtId="0" fontId="26" fillId="0" borderId="10" applyNumberFormat="0" applyFont="0" applyFill="0" applyAlignment="0" applyProtection="0"/>
    <xf numFmtId="265" fontId="68" fillId="0" borderId="8" applyNumberFormat="0" applyFont="0" applyFill="0" applyAlignment="0" applyProtection="0"/>
    <xf numFmtId="0" fontId="54" fillId="0" borderId="31" applyNumberFormat="0" applyFill="0" applyProtection="0"/>
    <xf numFmtId="0" fontId="28" fillId="0" borderId="10" applyNumberFormat="0" applyFont="0" applyFill="0" applyAlignment="0" applyProtection="0"/>
    <xf numFmtId="0" fontId="28" fillId="0" borderId="11" applyNumberFormat="0" applyFont="0" applyFill="0" applyAlignment="0" applyProtection="0"/>
    <xf numFmtId="0" fontId="28" fillId="0" borderId="12" applyNumberFormat="0" applyFont="0" applyFill="0" applyAlignment="0" applyProtection="0"/>
    <xf numFmtId="0" fontId="28" fillId="0" borderId="8" applyNumberFormat="0" applyFont="0" applyFill="0" applyAlignment="0" applyProtection="0"/>
    <xf numFmtId="0" fontId="64" fillId="0" borderId="10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76" fillId="0" borderId="32" applyFill="0" applyProtection="0">
      <alignment horizontal="right"/>
    </xf>
    <xf numFmtId="266" fontId="4" fillId="0" borderId="10" applyFill="0" applyAlignment="0" applyProtection="0">
      <alignment horizontal="center"/>
    </xf>
    <xf numFmtId="0" fontId="25" fillId="0" borderId="8"/>
    <xf numFmtId="173" fontId="77" fillId="0" borderId="33" applyBorder="0"/>
    <xf numFmtId="267" fontId="78" fillId="2" borderId="0" applyFont="0" applyFill="0" applyBorder="0" applyAlignment="0" applyProtection="0"/>
    <xf numFmtId="49" fontId="79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0" fillId="0" borderId="34" applyNumberFormat="0" applyAlignment="0" applyProtection="0">
      <alignment horizontal="left" wrapText="1"/>
    </xf>
    <xf numFmtId="49" fontId="80" fillId="0" borderId="0" applyNumberFormat="0" applyAlignment="0" applyProtection="0">
      <alignment horizontal="left" wrapText="1"/>
    </xf>
    <xf numFmtId="49" fontId="81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1" fillId="0" borderId="8"/>
    <xf numFmtId="170" fontId="31" fillId="0" borderId="8"/>
    <xf numFmtId="0" fontId="32" fillId="0" borderId="10">
      <alignment horizontal="centerContinuous"/>
    </xf>
    <xf numFmtId="0" fontId="6" fillId="0" borderId="3" applyBorder="0">
      <alignment horizontal="centerContinuous"/>
    </xf>
    <xf numFmtId="229" fontId="32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5" borderId="0" applyFont="0" applyFill="0" applyBorder="0" applyAlignment="0" applyProtection="0">
      <alignment horizontal="center" vertical="top"/>
    </xf>
    <xf numFmtId="192" fontId="6" fillId="0" borderId="0"/>
    <xf numFmtId="205" fontId="29" fillId="0" borderId="0"/>
    <xf numFmtId="272" fontId="29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1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25" fillId="0" borderId="0">
      <alignment horizontal="right"/>
    </xf>
    <xf numFmtId="0" fontId="25" fillId="0" borderId="0">
      <alignment horizontal="right"/>
    </xf>
    <xf numFmtId="0" fontId="25" fillId="0" borderId="0">
      <alignment horizontal="right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 applyNumberFormat="0" applyFont="0" applyFill="0" applyBorder="0" applyProtection="0">
      <alignment horizontal="centerContinuous"/>
    </xf>
    <xf numFmtId="0" fontId="82" fillId="0" borderId="0"/>
    <xf numFmtId="0" fontId="82" fillId="0" borderId="0"/>
    <xf numFmtId="0" fontId="82" fillId="0" borderId="0"/>
    <xf numFmtId="170" fontId="25" fillId="0" borderId="0">
      <alignment horizontal="right"/>
    </xf>
    <xf numFmtId="170" fontId="25" fillId="0" borderId="0">
      <alignment horizontal="right"/>
    </xf>
    <xf numFmtId="170" fontId="25" fillId="0" borderId="0">
      <alignment horizontal="right"/>
    </xf>
    <xf numFmtId="170" fontId="25" fillId="0" borderId="0">
      <alignment horizontal="right"/>
    </xf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37" fontId="32" fillId="0" borderId="0">
      <alignment horizontal="center"/>
    </xf>
    <xf numFmtId="0" fontId="32" fillId="0" borderId="0"/>
    <xf numFmtId="0" fontId="53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6" borderId="0" applyNumberFormat="0" applyFont="0" applyBorder="0" applyAlignment="0"/>
    <xf numFmtId="0" fontId="62" fillId="0" borderId="0" applyFont="0" applyFill="0" applyBorder="0" applyAlignment="0" applyProtection="0"/>
    <xf numFmtId="275" fontId="4" fillId="0" borderId="35"/>
    <xf numFmtId="0" fontId="10" fillId="0" borderId="0" applyNumberFormat="0" applyBorder="0" applyAlignment="0" applyProtection="0"/>
    <xf numFmtId="266" fontId="4" fillId="0" borderId="0"/>
    <xf numFmtId="166" fontId="6" fillId="0" borderId="25" applyFont="0" applyFill="0" applyBorder="0" applyProtection="0">
      <alignment horizontal="right"/>
    </xf>
    <xf numFmtId="0" fontId="13" fillId="0" borderId="0">
      <alignment horizontal="center" wrapText="1"/>
    </xf>
    <xf numFmtId="0" fontId="84" fillId="0" borderId="0"/>
    <xf numFmtId="1" fontId="85" fillId="0" borderId="0"/>
    <xf numFmtId="266" fontId="86" fillId="0" borderId="0" applyFill="0" applyBorder="0">
      <alignment horizontal="right"/>
    </xf>
    <xf numFmtId="0" fontId="3" fillId="0" borderId="13" applyNumberFormat="0"/>
    <xf numFmtId="0" fontId="87" fillId="2" borderId="13" applyNumberFormat="0" applyAlignment="0"/>
    <xf numFmtId="1" fontId="47" fillId="0" borderId="0">
      <protection locked="0"/>
    </xf>
    <xf numFmtId="0" fontId="88" fillId="0" borderId="0" applyProtection="0"/>
    <xf numFmtId="0" fontId="32" fillId="0" borderId="0"/>
    <xf numFmtId="0" fontId="89" fillId="0" borderId="10" applyNumberFormat="0" applyFill="0" applyBorder="0" applyAlignment="0" applyProtection="0">
      <alignment horizontal="center"/>
    </xf>
    <xf numFmtId="0" fontId="90" fillId="0" borderId="10" applyNumberFormat="0" applyFill="0" applyProtection="0">
      <alignment horizontal="left" vertical="center"/>
    </xf>
    <xf numFmtId="0" fontId="50" fillId="0" borderId="0">
      <alignment horizontal="center" wrapText="1"/>
      <protection hidden="1"/>
    </xf>
    <xf numFmtId="0" fontId="91" fillId="0" borderId="33" applyNumberFormat="0" applyFill="0" applyProtection="0">
      <alignment horizontal="center" vertical="center"/>
    </xf>
    <xf numFmtId="0" fontId="92" fillId="0" borderId="10" applyNumberFormat="0" applyFill="0" applyBorder="0" applyProtection="0">
      <alignment horizontal="right" vertical="center"/>
    </xf>
    <xf numFmtId="0" fontId="93" fillId="37" borderId="13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94" fillId="0" borderId="0">
      <alignment horizontal="right"/>
    </xf>
    <xf numFmtId="0" fontId="21" fillId="38" borderId="36" applyNumberFormat="0" applyFont="0" applyProtection="0">
      <alignment horizontal="right"/>
    </xf>
    <xf numFmtId="173" fontId="95" fillId="0" borderId="10" applyBorder="0">
      <alignment horizontal="center"/>
    </xf>
    <xf numFmtId="0" fontId="50" fillId="0" borderId="0" applyFont="0">
      <alignment horizontal="right" vertical="top"/>
    </xf>
    <xf numFmtId="1" fontId="96" fillId="0" borderId="37">
      <alignment vertical="top"/>
    </xf>
    <xf numFmtId="231" fontId="97" fillId="0" borderId="0"/>
    <xf numFmtId="231" fontId="97" fillId="0" borderId="0"/>
    <xf numFmtId="231" fontId="97" fillId="0" borderId="0"/>
    <xf numFmtId="231" fontId="97" fillId="0" borderId="0"/>
    <xf numFmtId="231" fontId="97" fillId="0" borderId="0"/>
    <xf numFmtId="231" fontId="97" fillId="0" borderId="0"/>
    <xf numFmtId="231" fontId="97" fillId="0" borderId="0"/>
    <xf numFmtId="231" fontId="97" fillId="0" borderId="0"/>
    <xf numFmtId="276" fontId="98" fillId="31" borderId="0" applyFont="0" applyFill="0" applyBorder="0" applyAlignment="0" applyProtection="0"/>
    <xf numFmtId="37" fontId="4" fillId="0" borderId="0"/>
    <xf numFmtId="173" fontId="4" fillId="0" borderId="0"/>
    <xf numFmtId="277" fontId="98" fillId="0" borderId="0" applyFont="0" applyFill="0" applyBorder="0" applyAlignment="0" applyProtection="0">
      <alignment horizontal="left" indent="1"/>
    </xf>
    <xf numFmtId="39" fontId="4" fillId="13" borderId="0"/>
    <xf numFmtId="168" fontId="99" fillId="0" borderId="0" applyFont="0" applyBorder="0">
      <alignment horizontal="right"/>
    </xf>
    <xf numFmtId="168" fontId="13" fillId="0" borderId="8"/>
    <xf numFmtId="273" fontId="4" fillId="0" borderId="0" applyFont="0" applyFill="0" applyBorder="0" applyAlignment="0" applyProtection="0"/>
    <xf numFmtId="185" fontId="100" fillId="0" borderId="0" applyFont="0" applyFill="0" applyBorder="0" applyAlignment="0" applyProtection="0"/>
    <xf numFmtId="185" fontId="13" fillId="0" borderId="8"/>
    <xf numFmtId="173" fontId="29" fillId="0" borderId="0" applyFont="0" applyFill="0" applyBorder="0" applyAlignment="0" applyProtection="0"/>
    <xf numFmtId="39" fontId="29" fillId="0" borderId="0" applyFont="0" applyFill="0" applyBorder="0" applyAlignment="0" applyProtection="0"/>
    <xf numFmtId="181" fontId="4" fillId="0" borderId="8"/>
    <xf numFmtId="170" fontId="5" fillId="0" borderId="0"/>
    <xf numFmtId="178" fontId="29" fillId="0" borderId="0" applyFont="0" applyFill="0" applyBorder="0" applyAlignment="0" applyProtection="0"/>
    <xf numFmtId="278" fontId="4" fillId="0" borderId="0" applyFill="0" applyBorder="0" applyAlignment="0" applyProtection="0"/>
    <xf numFmtId="0" fontId="101" fillId="0" borderId="0" applyFont="0" applyFill="0" applyBorder="0" applyAlignment="0" applyProtection="0">
      <alignment horizontal="right"/>
    </xf>
    <xf numFmtId="0" fontId="101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1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3" fillId="0" borderId="0" applyFont="0" applyFill="0" applyBorder="0" applyAlignment="0" applyProtection="0"/>
    <xf numFmtId="255" fontId="102" fillId="0" borderId="0"/>
    <xf numFmtId="0" fontId="103" fillId="0" borderId="0"/>
    <xf numFmtId="280" fontId="102" fillId="0" borderId="0"/>
    <xf numFmtId="260" fontId="104" fillId="0" borderId="0" applyFill="0" applyBorder="0" applyAlignment="0" applyProtection="0">
      <alignment horizontal="right"/>
      <protection locked="0"/>
    </xf>
    <xf numFmtId="0" fontId="6" fillId="39" borderId="0">
      <alignment horizontal="center" vertical="center" wrapText="1"/>
    </xf>
    <xf numFmtId="173" fontId="105" fillId="0" borderId="0"/>
    <xf numFmtId="281" fontId="88" fillId="0" borderId="0" applyFill="0" applyBorder="0">
      <alignment horizontal="left"/>
    </xf>
    <xf numFmtId="282" fontId="106" fillId="0" borderId="0"/>
    <xf numFmtId="0" fontId="107" fillId="0" borderId="0">
      <alignment horizontal="left"/>
    </xf>
    <xf numFmtId="0" fontId="108" fillId="0" borderId="0"/>
    <xf numFmtId="0" fontId="109" fillId="0" borderId="0">
      <alignment horizontal="left"/>
    </xf>
    <xf numFmtId="0" fontId="32" fillId="0" borderId="10" applyNumberFormat="0" applyFont="0" applyFill="0" applyProtection="0">
      <alignment horizontal="centerContinuous"/>
    </xf>
    <xf numFmtId="0" fontId="32" fillId="0" borderId="0" applyFill="0" applyBorder="0">
      <alignment horizontal="right"/>
      <protection locked="0"/>
    </xf>
    <xf numFmtId="283" fontId="4" fillId="0" borderId="38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0" fillId="0" borderId="0" applyFont="0" applyBorder="0"/>
    <xf numFmtId="169" fontId="13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1" fillId="0" borderId="0"/>
    <xf numFmtId="0" fontId="101" fillId="0" borderId="0" applyFont="0" applyFill="0" applyBorder="0" applyAlignment="0" applyProtection="0">
      <alignment horizontal="right"/>
    </xf>
    <xf numFmtId="0" fontId="101" fillId="0" borderId="0" applyFont="0" applyFill="0" applyBorder="0" applyAlignment="0" applyProtection="0">
      <alignment horizontal="right"/>
    </xf>
    <xf numFmtId="165" fontId="13" fillId="0" borderId="8"/>
    <xf numFmtId="183" fontId="4" fillId="0" borderId="0" applyFont="0" applyFill="0" applyBorder="0" applyAlignment="0" applyProtection="0"/>
    <xf numFmtId="0" fontId="101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0" fillId="13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1" fillId="0" borderId="0" applyFont="0" applyFill="0" applyBorder="0" applyAlignment="0" applyProtection="0"/>
    <xf numFmtId="230" fontId="32" fillId="0" borderId="0" applyFont="0" applyFill="0" applyBorder="0" applyAlignment="0" applyProtection="0"/>
    <xf numFmtId="182" fontId="4" fillId="0" borderId="0" applyProtection="0">
      <alignment horizontal="right"/>
    </xf>
    <xf numFmtId="182" fontId="19" fillId="0" borderId="0" applyProtection="0"/>
    <xf numFmtId="15" fontId="112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19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39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19" fillId="0" borderId="0" applyFill="0" applyBorder="0">
      <alignment horizontal="right"/>
    </xf>
    <xf numFmtId="297" fontId="19" fillId="0" borderId="10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1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2" fillId="0" borderId="0" applyFill="0" applyBorder="0" applyAlignment="0"/>
    <xf numFmtId="14" fontId="19" fillId="2" borderId="5" applyFill="0" applyBorder="0">
      <alignment horizontal="right"/>
    </xf>
    <xf numFmtId="228" fontId="4" fillId="0" borderId="0" applyFill="0" applyBorder="0">
      <alignment horizontal="right"/>
    </xf>
    <xf numFmtId="15" fontId="26" fillId="0" borderId="0" applyFont="0" applyFill="0" applyBorder="0" applyAlignment="0" applyProtection="0">
      <alignment horizontal="center"/>
    </xf>
    <xf numFmtId="14" fontId="62" fillId="0" borderId="0" applyFont="0" applyFill="0" applyBorder="0" applyAlignment="0" applyProtection="0">
      <alignment horizontal="center"/>
    </xf>
    <xf numFmtId="0" fontId="62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3" fillId="0" borderId="0">
      <protection locked="0"/>
    </xf>
    <xf numFmtId="15" fontId="4" fillId="0" borderId="0"/>
    <xf numFmtId="304" fontId="84" fillId="0" borderId="0"/>
    <xf numFmtId="165" fontId="4" fillId="0" borderId="0"/>
    <xf numFmtId="305" fontId="68" fillId="0" borderId="0" applyFont="0" applyFill="0" applyBorder="0" applyAlignment="0" applyProtection="0"/>
    <xf numFmtId="306" fontId="11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101" fillId="0" borderId="40" applyNumberFormat="0" applyFont="0" applyFill="0" applyAlignment="0" applyProtection="0"/>
    <xf numFmtId="167" fontId="115" fillId="0" borderId="0" applyFill="0" applyBorder="0" applyAlignment="0" applyProtection="0"/>
    <xf numFmtId="261" fontId="4" fillId="0" borderId="15" applyNumberFormat="0" applyFill="0" applyAlignment="0" applyProtection="0"/>
    <xf numFmtId="38" fontId="4" fillId="12" borderId="0" applyNumberFormat="0" applyFont="0" applyBorder="0" applyAlignment="0" applyProtection="0"/>
    <xf numFmtId="181" fontId="116" fillId="0" borderId="41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17" fillId="0" borderId="42" applyNumberFormat="0" applyAlignment="0" applyProtection="0">
      <alignment vertical="top"/>
    </xf>
    <xf numFmtId="213" fontId="118" fillId="0" borderId="0">
      <protection locked="0"/>
    </xf>
    <xf numFmtId="213" fontId="118" fillId="0" borderId="0">
      <protection locked="0"/>
    </xf>
    <xf numFmtId="282" fontId="21" fillId="0" borderId="43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26" fillId="0" borderId="0" applyFont="0" applyFill="0" applyBorder="0" applyAlignment="0" applyProtection="0">
      <alignment horizontal="right"/>
    </xf>
    <xf numFmtId="244" fontId="29" fillId="0" borderId="0" applyFont="0" applyFill="0" applyBorder="0" applyProtection="0">
      <alignment horizontal="left"/>
      <protection locked="0"/>
    </xf>
    <xf numFmtId="245" fontId="29" fillId="0" borderId="0" applyFont="0" applyFill="0" applyBorder="0" applyProtection="0">
      <alignment horizontal="left"/>
      <protection locked="0"/>
    </xf>
    <xf numFmtId="260" fontId="119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2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0" fillId="0" borderId="0">
      <alignment horizontal="center" wrapText="1"/>
    </xf>
    <xf numFmtId="221" fontId="88" fillId="0" borderId="0" applyFill="0" applyBorder="0">
      <alignment vertical="top"/>
    </xf>
    <xf numFmtId="221" fontId="93" fillId="0" borderId="0" applyFill="0" applyBorder="0" applyProtection="0">
      <alignment vertical="top"/>
    </xf>
    <xf numFmtId="221" fontId="121" fillId="0" borderId="0">
      <alignment vertical="top"/>
    </xf>
    <xf numFmtId="168" fontId="122" fillId="0" borderId="0" applyFill="0" applyBorder="0" applyAlignment="0" applyProtection="0">
      <alignment horizontal="right" vertical="top"/>
    </xf>
    <xf numFmtId="221" fontId="24" fillId="0" borderId="0"/>
    <xf numFmtId="0" fontId="122" fillId="0" borderId="0" applyFill="0" applyBorder="0">
      <alignment horizontal="left" vertical="top"/>
    </xf>
    <xf numFmtId="275" fontId="68" fillId="40" borderId="11">
      <alignment horizontal="left"/>
    </xf>
    <xf numFmtId="309" fontId="113" fillId="0" borderId="0">
      <protection locked="0"/>
    </xf>
    <xf numFmtId="190" fontId="113" fillId="0" borderId="0">
      <protection locked="0"/>
    </xf>
    <xf numFmtId="250" fontId="84" fillId="0" borderId="0"/>
    <xf numFmtId="256" fontId="6" fillId="3" borderId="0" applyFont="0" applyFill="0" applyBorder="0" applyAlignment="0"/>
    <xf numFmtId="2" fontId="23" fillId="0" borderId="0" applyFont="0" applyFill="0" applyBorder="0" applyAlignment="0" applyProtection="0"/>
    <xf numFmtId="0" fontId="123" fillId="0" borderId="0">
      <alignment horizontal="left"/>
    </xf>
    <xf numFmtId="0" fontId="124" fillId="0" borderId="0">
      <alignment horizontal="left"/>
    </xf>
    <xf numFmtId="0" fontId="125" fillId="0" borderId="0" applyFill="0" applyBorder="0" applyProtection="0">
      <alignment horizontal="left"/>
    </xf>
    <xf numFmtId="0" fontId="125" fillId="0" borderId="0" applyNumberFormat="0" applyFill="0" applyBorder="0" applyProtection="0">
      <alignment horizontal="left"/>
    </xf>
    <xf numFmtId="0" fontId="26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26" fillId="0" borderId="0" applyFill="0" applyBorder="0" applyAlignment="0" applyProtection="0">
      <protection locked="0"/>
    </xf>
    <xf numFmtId="0" fontId="126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2" borderId="0" applyNumberFormat="0" applyFont="0" applyBorder="0" applyAlignment="0">
      <protection hidden="1"/>
    </xf>
    <xf numFmtId="0" fontId="127" fillId="0" borderId="0" applyFill="0" applyBorder="0" applyAlignment="0" applyProtection="0"/>
    <xf numFmtId="287" fontId="128" fillId="0" borderId="0" applyAlignment="0">
      <alignment horizontal="left"/>
      <protection locked="0"/>
    </xf>
    <xf numFmtId="241" fontId="4" fillId="0" borderId="0"/>
    <xf numFmtId="242" fontId="4" fillId="0" borderId="0"/>
    <xf numFmtId="0" fontId="29" fillId="0" borderId="0"/>
    <xf numFmtId="313" fontId="4" fillId="0" borderId="0">
      <alignment horizontal="right"/>
    </xf>
    <xf numFmtId="0" fontId="6" fillId="0" borderId="0">
      <alignment horizontal="right"/>
    </xf>
    <xf numFmtId="9" fontId="100" fillId="0" borderId="0">
      <alignment horizontal="right"/>
    </xf>
    <xf numFmtId="0" fontId="6" fillId="0" borderId="0">
      <alignment horizontal="right"/>
    </xf>
    <xf numFmtId="274" fontId="129" fillId="0" borderId="0" applyFill="0" applyBorder="0" applyAlignment="0" applyProtection="0"/>
    <xf numFmtId="0" fontId="4" fillId="0" borderId="0"/>
    <xf numFmtId="177" fontId="19" fillId="3" borderId="13" applyNumberFormat="0" applyFont="0" applyAlignment="0"/>
    <xf numFmtId="0" fontId="101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0" fillId="41" borderId="0" applyNumberFormat="0" applyBorder="0" applyProtection="0">
      <alignment horizontal="left" vertical="center"/>
    </xf>
    <xf numFmtId="0" fontId="131" fillId="1" borderId="0" applyNumberFormat="0" applyBorder="0" applyProtection="0">
      <alignment horizontal="left" vertical="center"/>
    </xf>
    <xf numFmtId="0" fontId="132" fillId="0" borderId="0" applyProtection="0">
      <alignment horizontal="right"/>
    </xf>
    <xf numFmtId="0" fontId="133" fillId="0" borderId="0">
      <alignment horizontal="left"/>
    </xf>
    <xf numFmtId="0" fontId="133" fillId="0" borderId="0">
      <alignment horizontal="left"/>
    </xf>
    <xf numFmtId="0" fontId="13" fillId="0" borderId="19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35" fillId="0" borderId="0" applyFill="0" applyBorder="0" applyProtection="0">
      <alignment horizontal="right"/>
    </xf>
    <xf numFmtId="0" fontId="134" fillId="0" borderId="0">
      <alignment horizontal="left"/>
    </xf>
    <xf numFmtId="0" fontId="135" fillId="0" borderId="11">
      <alignment horizontal="left" vertical="top"/>
    </xf>
    <xf numFmtId="0" fontId="136" fillId="0" borderId="0">
      <alignment horizontal="left"/>
    </xf>
    <xf numFmtId="0" fontId="137" fillId="0" borderId="11">
      <alignment horizontal="left" vertical="top"/>
    </xf>
    <xf numFmtId="0" fontId="138" fillId="0" borderId="0">
      <alignment horizontal="left"/>
    </xf>
    <xf numFmtId="0" fontId="139" fillId="0" borderId="0"/>
    <xf numFmtId="253" fontId="140" fillId="8" borderId="0"/>
    <xf numFmtId="253" fontId="140" fillId="15" borderId="0"/>
    <xf numFmtId="253" fontId="140" fillId="2" borderId="0"/>
    <xf numFmtId="192" fontId="29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1" fillId="42" borderId="0" applyNumberFormat="0" applyBorder="0" applyAlignment="0"/>
    <xf numFmtId="181" fontId="142" fillId="0" borderId="0" applyAlignment="0" applyProtection="0"/>
    <xf numFmtId="173" fontId="143" fillId="0" borderId="0" applyProtection="0">
      <alignment horizontal="right"/>
    </xf>
    <xf numFmtId="173" fontId="8" fillId="0" borderId="0" applyFill="0" applyBorder="0" applyAlignment="0" applyProtection="0"/>
    <xf numFmtId="262" fontId="142" fillId="0" borderId="0" applyFill="0" applyBorder="0" applyAlignment="0" applyProtection="0"/>
    <xf numFmtId="0" fontId="53" fillId="0" borderId="0">
      <alignment horizontal="center"/>
    </xf>
    <xf numFmtId="166" fontId="4" fillId="27" borderId="0" applyNumberFormat="0" applyFont="0" applyAlignment="0" applyProtection="0">
      <alignment horizontal="right"/>
      <protection locked="0"/>
    </xf>
    <xf numFmtId="282" fontId="8" fillId="0" borderId="0"/>
    <xf numFmtId="38" fontId="26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1" fillId="0" borderId="0"/>
    <xf numFmtId="181" fontId="144" fillId="12" borderId="0">
      <protection locked="0"/>
    </xf>
    <xf numFmtId="174" fontId="143" fillId="3" borderId="0"/>
    <xf numFmtId="10" fontId="4" fillId="3" borderId="13" applyNumberFormat="0" applyBorder="0" applyAlignment="0" applyProtection="0"/>
    <xf numFmtId="3" fontId="145" fillId="12" borderId="0">
      <alignment horizontal="right"/>
      <protection locked="0"/>
    </xf>
    <xf numFmtId="282" fontId="144" fillId="12" borderId="0" applyBorder="0">
      <alignment horizontal="right"/>
      <protection locked="0"/>
    </xf>
    <xf numFmtId="183" fontId="143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46" fillId="0" borderId="0" applyNumberFormat="0" applyFill="0" applyBorder="0" applyAlignment="0" applyProtection="0"/>
    <xf numFmtId="259" fontId="143" fillId="3" borderId="0"/>
    <xf numFmtId="228" fontId="4" fillId="3" borderId="0">
      <protection locked="0"/>
    </xf>
    <xf numFmtId="37" fontId="143" fillId="3" borderId="0"/>
    <xf numFmtId="173" fontId="143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87" fillId="3" borderId="0" applyNumberFormat="0" applyBorder="0" applyAlignment="0">
      <protection locked="0"/>
    </xf>
    <xf numFmtId="315" fontId="143" fillId="0" borderId="0" applyProtection="0">
      <alignment horizontal="right"/>
    </xf>
    <xf numFmtId="313" fontId="147" fillId="3" borderId="13"/>
    <xf numFmtId="38" fontId="147" fillId="3" borderId="13"/>
    <xf numFmtId="40" fontId="147" fillId="3" borderId="13"/>
    <xf numFmtId="0" fontId="143" fillId="0" borderId="0" applyNumberFormat="0" applyFill="0" applyBorder="0" applyAlignment="0">
      <protection locked="0"/>
    </xf>
    <xf numFmtId="0" fontId="148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3" fillId="3" borderId="16" applyProtection="0">
      <alignment horizontal="right"/>
    </xf>
    <xf numFmtId="0" fontId="149" fillId="0" borderId="0" applyProtection="0"/>
    <xf numFmtId="317" fontId="4" fillId="0" borderId="0" applyFill="0" applyBorder="0" applyProtection="0">
      <alignment vertical="center"/>
    </xf>
    <xf numFmtId="318" fontId="143" fillId="3" borderId="44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84" fillId="0" borderId="0"/>
    <xf numFmtId="0" fontId="32" fillId="0" borderId="0" applyFill="0" applyBorder="0">
      <alignment horizontal="right"/>
      <protection locked="0"/>
    </xf>
    <xf numFmtId="0" fontId="6" fillId="19" borderId="45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0" fillId="0" borderId="0"/>
    <xf numFmtId="38" fontId="151" fillId="0" borderId="0"/>
    <xf numFmtId="38" fontId="76" fillId="0" borderId="0"/>
    <xf numFmtId="38" fontId="152" fillId="0" borderId="0"/>
    <xf numFmtId="0" fontId="49" fillId="0" borderId="0"/>
    <xf numFmtId="0" fontId="49" fillId="0" borderId="0"/>
    <xf numFmtId="0" fontId="29" fillId="43" borderId="0" applyNumberFormat="0" applyFont="0" applyBorder="0" applyProtection="0"/>
    <xf numFmtId="182" fontId="6" fillId="0" borderId="0" applyFont="0" applyFill="0" applyAlignment="0" applyProtection="0"/>
    <xf numFmtId="260" fontId="127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3" fillId="0" borderId="0" applyNumberFormat="0" applyFont="0" applyFill="0" applyBorder="0" applyAlignment="0">
      <protection hidden="1"/>
    </xf>
    <xf numFmtId="0" fontId="154" fillId="0" borderId="3">
      <alignment horizontal="left"/>
    </xf>
    <xf numFmtId="0" fontId="155" fillId="0" borderId="0">
      <alignment horizontal="left"/>
    </xf>
    <xf numFmtId="321" fontId="6" fillId="0" borderId="0" applyFont="0" applyFill="0" applyBorder="0" applyAlignment="0" applyProtection="0"/>
    <xf numFmtId="14" fontId="19" fillId="0" borderId="10" applyFont="0" applyFill="0" applyBorder="0" applyAlignment="0" applyProtection="0"/>
    <xf numFmtId="3" fontId="6" fillId="0" borderId="0"/>
    <xf numFmtId="0" fontId="156" fillId="0" borderId="10" applyFill="0" applyAlignment="0"/>
    <xf numFmtId="0" fontId="157" fillId="0" borderId="0" applyNumberFormat="0" applyFill="0" applyBorder="0" applyProtection="0">
      <alignment horizontal="left" vertical="center"/>
    </xf>
    <xf numFmtId="0" fontId="158" fillId="0" borderId="0" applyFill="0" applyBorder="0" applyAlignment="0" applyProtection="0"/>
    <xf numFmtId="217" fontId="50" fillId="0" borderId="0" applyFont="0" applyFill="0" applyBorder="0" applyAlignment="0" applyProtection="0"/>
    <xf numFmtId="322" fontId="32" fillId="0" borderId="0" applyFont="0" applyFill="0" applyBorder="0" applyAlignment="0" applyProtection="0"/>
    <xf numFmtId="38" fontId="50" fillId="0" borderId="0" applyFont="0" applyFill="0" applyBorder="0" applyAlignment="0" applyProtection="0"/>
    <xf numFmtId="40" fontId="50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46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66" fillId="0" borderId="0" applyFont="0" applyFill="0" applyBorder="0" applyAlignment="0" applyProtection="0"/>
    <xf numFmtId="323" fontId="60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66" fillId="0" borderId="0" applyFont="0" applyFill="0" applyBorder="0" applyAlignment="0" applyProtection="0"/>
    <xf numFmtId="326" fontId="66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2" fillId="0" borderId="0"/>
    <xf numFmtId="241" fontId="4" fillId="44" borderId="0" applyFill="0" applyBorder="0" applyAlignment="0" applyProtection="0">
      <alignment horizontal="center"/>
      <protection locked="0"/>
    </xf>
    <xf numFmtId="3" fontId="32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3" fillId="0" borderId="0">
      <protection locked="0"/>
    </xf>
    <xf numFmtId="3" fontId="50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1" fillId="0" borderId="0" applyFont="0" applyFill="0" applyBorder="0" applyAlignment="0" applyProtection="0">
      <alignment horizontal="right"/>
    </xf>
    <xf numFmtId="328" fontId="26" fillId="0" borderId="0" applyFont="0" applyFill="0" applyBorder="0" applyAlignment="0" applyProtection="0"/>
    <xf numFmtId="0" fontId="32" fillId="0" borderId="0" applyFont="0" applyFill="0" applyBorder="0" applyAlignment="0" applyProtection="0"/>
    <xf numFmtId="325" fontId="26" fillId="0" borderId="0" applyFont="0" applyFill="0" applyBorder="0" applyAlignment="0" applyProtection="0"/>
    <xf numFmtId="288" fontId="4" fillId="0" borderId="0"/>
    <xf numFmtId="0" fontId="66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3" borderId="0"/>
    <xf numFmtId="249" fontId="32" fillId="0" borderId="0"/>
    <xf numFmtId="185" fontId="32" fillId="0" borderId="0"/>
    <xf numFmtId="170" fontId="32" fillId="0" borderId="0"/>
    <xf numFmtId="203" fontId="6" fillId="12" borderId="0" applyFont="0" applyBorder="0" applyAlignment="0" applyProtection="0">
      <alignment horizontal="right"/>
      <protection hidden="1"/>
    </xf>
    <xf numFmtId="0" fontId="159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49" fillId="0" borderId="0" applyNumberFormat="0" applyFill="0" applyAlignment="0" applyProtection="0"/>
    <xf numFmtId="37" fontId="160" fillId="0" borderId="0"/>
    <xf numFmtId="321" fontId="4" fillId="0" borderId="0" applyFont="0" applyFill="0" applyBorder="0" applyAlignment="0" applyProtection="0"/>
    <xf numFmtId="0" fontId="50" fillId="0" borderId="0"/>
    <xf numFmtId="1" fontId="32" fillId="0" borderId="0"/>
    <xf numFmtId="183" fontId="142" fillId="0" borderId="0" applyFill="0" applyBorder="0" applyAlignment="0" applyProtection="0"/>
    <xf numFmtId="173" fontId="143" fillId="3" borderId="16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1" fillId="0" borderId="0" applyFill="0" applyBorder="0"/>
    <xf numFmtId="38" fontId="4" fillId="0" borderId="13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19" fillId="0" borderId="0" applyNumberFormat="0" applyFill="0" applyBorder="0" applyAlignment="0" applyProtection="0"/>
    <xf numFmtId="3" fontId="162" fillId="0" borderId="0">
      <alignment horizontal="left"/>
    </xf>
    <xf numFmtId="250" fontId="6" fillId="0" borderId="0" applyFont="0" applyFill="0" applyBorder="0" applyAlignment="0" applyProtection="0"/>
    <xf numFmtId="181" fontId="163" fillId="0" borderId="0"/>
    <xf numFmtId="173" fontId="143" fillId="3" borderId="16">
      <alignment horizontal="right"/>
    </xf>
    <xf numFmtId="321" fontId="4" fillId="0" borderId="0" applyFill="0" applyBorder="0" applyProtection="0">
      <alignment vertical="center"/>
    </xf>
    <xf numFmtId="40" fontId="19" fillId="0" borderId="0">
      <alignment horizontal="left"/>
    </xf>
    <xf numFmtId="183" fontId="29" fillId="0" borderId="0" applyFill="0" applyBorder="0" applyAlignment="0" applyProtection="0"/>
    <xf numFmtId="0" fontId="6" fillId="0" borderId="0"/>
    <xf numFmtId="228" fontId="4" fillId="0" borderId="0"/>
    <xf numFmtId="0" fontId="21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64" fillId="0" borderId="47"/>
    <xf numFmtId="228" fontId="6" fillId="0" borderId="0" applyFont="0" applyFill="0" applyBorder="0" applyAlignment="0" applyProtection="0"/>
    <xf numFmtId="199" fontId="29" fillId="0" borderId="12" applyFont="0" applyFill="0" applyBorder="0" applyAlignment="0" applyProtection="0"/>
    <xf numFmtId="168" fontId="100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0" fillId="0" borderId="40"/>
    <xf numFmtId="0" fontId="6" fillId="0" borderId="0">
      <alignment horizontal="left"/>
    </xf>
    <xf numFmtId="182" fontId="165" fillId="45" borderId="0">
      <alignment horizontal="right"/>
    </xf>
    <xf numFmtId="318" fontId="4" fillId="45" borderId="0">
      <alignment horizontal="right"/>
    </xf>
    <xf numFmtId="183" fontId="165" fillId="46" borderId="0">
      <alignment horizontal="right"/>
    </xf>
    <xf numFmtId="220" fontId="4" fillId="45" borderId="0">
      <alignment horizontal="right"/>
    </xf>
    <xf numFmtId="324" fontId="4" fillId="45" borderId="0">
      <alignment horizontal="right"/>
    </xf>
    <xf numFmtId="263" fontId="4" fillId="45" borderId="0">
      <alignment horizontal="right"/>
    </xf>
    <xf numFmtId="0" fontId="29" fillId="0" borderId="0" applyProtection="0"/>
    <xf numFmtId="9" fontId="29" fillId="0" borderId="0" applyProtection="0">
      <alignment horizontal="right"/>
    </xf>
    <xf numFmtId="0" fontId="6" fillId="0" borderId="0" applyNumberFormat="0" applyFont="0" applyBorder="0" applyAlignment="0"/>
    <xf numFmtId="173" fontId="101" fillId="0" borderId="0" applyNumberFormat="0" applyFill="0" applyBorder="0" applyAlignment="0" applyProtection="0"/>
    <xf numFmtId="181" fontId="152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2" fillId="0" borderId="12"/>
    <xf numFmtId="10" fontId="32" fillId="0" borderId="12"/>
    <xf numFmtId="308" fontId="4" fillId="0" borderId="0"/>
    <xf numFmtId="270" fontId="4" fillId="0" borderId="0"/>
    <xf numFmtId="165" fontId="29" fillId="0" borderId="0"/>
    <xf numFmtId="0" fontId="4" fillId="0" borderId="0"/>
    <xf numFmtId="227" fontId="29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66" fillId="0" borderId="0" applyFont="0" applyFill="0" applyBorder="0" applyAlignment="0" applyProtection="0"/>
    <xf numFmtId="0" fontId="167" fillId="0" borderId="0"/>
    <xf numFmtId="0" fontId="168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27" fillId="47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54" fillId="0" borderId="0"/>
    <xf numFmtId="249" fontId="4" fillId="0" borderId="0" applyFont="0" applyFill="0" applyBorder="0" applyAlignment="0" applyProtection="0"/>
    <xf numFmtId="181" fontId="169" fillId="0" borderId="47" applyBorder="0"/>
    <xf numFmtId="181" fontId="170" fillId="0" borderId="0">
      <alignment horizontal="right"/>
    </xf>
    <xf numFmtId="0" fontId="25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1" fillId="0" borderId="0"/>
    <xf numFmtId="318" fontId="78" fillId="3" borderId="16">
      <alignment horizontal="right"/>
    </xf>
    <xf numFmtId="181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274" fontId="21" fillId="0" borderId="0" applyFont="0" applyFill="0" applyBorder="0" applyAlignment="0" applyProtection="0">
      <alignment horizontal="right"/>
    </xf>
    <xf numFmtId="0" fontId="147" fillId="0" borderId="0" applyFill="0" applyBorder="0" applyAlignment="0" applyProtection="0"/>
    <xf numFmtId="9" fontId="13" fillId="0" borderId="8"/>
    <xf numFmtId="9" fontId="64" fillId="0" borderId="0" applyFont="0" applyFill="0" applyBorder="0" applyAlignment="0" applyProtection="0"/>
    <xf numFmtId="188" fontId="6" fillId="13" borderId="12" applyFill="0" applyBorder="0" applyAlignment="0" applyProtection="0"/>
    <xf numFmtId="313" fontId="147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47" fillId="0" borderId="0" applyFill="0" applyBorder="0" applyAlignment="0" applyProtection="0"/>
    <xf numFmtId="181" fontId="13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3" fillId="0" borderId="8"/>
    <xf numFmtId="0" fontId="6" fillId="0" borderId="0" applyFont="0" applyFill="0" applyBorder="0" applyAlignment="0"/>
    <xf numFmtId="204" fontId="147" fillId="0" borderId="0" applyFill="0" applyBorder="0" applyAlignment="0" applyProtection="0"/>
    <xf numFmtId="206" fontId="147" fillId="15" borderId="0" applyFont="0" applyFill="0" applyBorder="0" applyAlignment="0" applyProtection="0"/>
    <xf numFmtId="228" fontId="6" fillId="3" borderId="0" applyFont="0" applyFill="0" applyBorder="0" applyAlignment="0" applyProtection="0"/>
    <xf numFmtId="9" fontId="29" fillId="0" borderId="0"/>
    <xf numFmtId="10" fontId="29" fillId="0" borderId="0"/>
    <xf numFmtId="177" fontId="6" fillId="0" borderId="0" applyFont="0" applyFill="0" applyBorder="0" applyProtection="0">
      <alignment horizontal="right"/>
    </xf>
    <xf numFmtId="319" fontId="4" fillId="48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47" fillId="0" borderId="0" applyFill="0" applyBorder="0" applyProtection="0">
      <alignment horizontal="right"/>
    </xf>
    <xf numFmtId="181" fontId="78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2" fillId="0" borderId="0">
      <alignment horizontal="right"/>
    </xf>
    <xf numFmtId="181" fontId="100" fillId="0" borderId="0"/>
    <xf numFmtId="314" fontId="6" fillId="0" borderId="0"/>
    <xf numFmtId="10" fontId="100" fillId="0" borderId="0">
      <protection locked="0"/>
    </xf>
    <xf numFmtId="261" fontId="21" fillId="0" borderId="0" applyFont="0" applyFill="0" applyBorder="0">
      <alignment horizontal="right"/>
    </xf>
    <xf numFmtId="0" fontId="32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26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78" fillId="3" borderId="16">
      <alignment horizontal="right"/>
    </xf>
    <xf numFmtId="0" fontId="4" fillId="0" borderId="0">
      <alignment horizontal="right"/>
    </xf>
    <xf numFmtId="0" fontId="50" fillId="0" borderId="0" applyFont="0">
      <alignment horizontal="centerContinuous"/>
    </xf>
    <xf numFmtId="232" fontId="172" fillId="0" borderId="0" applyFill="0" applyBorder="0" applyProtection="0"/>
    <xf numFmtId="166" fontId="26" fillId="0" borderId="0" applyFont="0" applyFill="0" applyBorder="0" applyAlignment="0" applyProtection="0"/>
    <xf numFmtId="181" fontId="173" fillId="0" borderId="0">
      <alignment horizontal="right"/>
    </xf>
    <xf numFmtId="1" fontId="32" fillId="0" borderId="0"/>
    <xf numFmtId="0" fontId="26" fillId="0" borderId="0" applyFont="0" applyFill="0" applyBorder="0" applyAlignment="0" applyProtection="0">
      <protection locked="0"/>
    </xf>
    <xf numFmtId="209" fontId="113" fillId="0" borderId="0">
      <protection locked="0"/>
    </xf>
    <xf numFmtId="9" fontId="6" fillId="0" borderId="0" applyFont="0" applyFill="0" applyBorder="0" applyAlignment="0" applyProtection="0"/>
    <xf numFmtId="0" fontId="174" fillId="0" borderId="0" applyFont="0" applyFill="0" applyBorder="0" applyAlignment="0" applyProtection="0">
      <alignment horizontal="center"/>
    </xf>
    <xf numFmtId="0" fontId="174" fillId="0" borderId="0" applyFont="0" applyFill="0" applyBorder="0" applyAlignment="0" applyProtection="0">
      <alignment horizontal="center"/>
    </xf>
    <xf numFmtId="0" fontId="174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1" fillId="0" borderId="0"/>
    <xf numFmtId="9" fontId="31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26" fillId="0" borderId="0" applyFill="0" applyBorder="0" applyAlignment="0" applyProtection="0"/>
    <xf numFmtId="38" fontId="26" fillId="0" borderId="0" applyFont="0" applyFill="0" applyBorder="0" applyAlignment="0" applyProtection="0"/>
    <xf numFmtId="0" fontId="175" fillId="0" borderId="17">
      <alignment horizontal="right"/>
    </xf>
    <xf numFmtId="0" fontId="19" fillId="12" borderId="13" applyNumberFormat="0" applyFont="0" applyAlignment="0" applyProtection="0"/>
    <xf numFmtId="316" fontId="6" fillId="12" borderId="0" applyNumberFormat="0" applyFont="0" applyBorder="0" applyAlignment="0" applyProtection="0">
      <alignment horizontal="center"/>
      <protection locked="0"/>
    </xf>
    <xf numFmtId="203" fontId="12" fillId="0" borderId="0"/>
    <xf numFmtId="271" fontId="19" fillId="0" borderId="0" applyFill="0" applyBorder="0" applyProtection="0">
      <alignment horizontal="right"/>
    </xf>
    <xf numFmtId="0" fontId="154" fillId="0" borderId="3">
      <alignment horizontal="centerContinuous"/>
    </xf>
    <xf numFmtId="0" fontId="176" fillId="0" borderId="10"/>
    <xf numFmtId="185" fontId="177" fillId="0" borderId="0">
      <alignment horizontal="right"/>
    </xf>
    <xf numFmtId="0" fontId="178" fillId="0" borderId="0" applyProtection="0"/>
    <xf numFmtId="10" fontId="25" fillId="0" borderId="13"/>
    <xf numFmtId="281" fontId="111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48" applyNumberFormat="0" applyFont="0" applyFill="0" applyAlignment="0" applyProtection="0"/>
    <xf numFmtId="228" fontId="179" fillId="0" borderId="0" applyNumberFormat="0" applyFill="0" applyBorder="0" applyAlignment="0" applyProtection="0">
      <alignment horizontal="left"/>
    </xf>
    <xf numFmtId="0" fontId="180" fillId="0" borderId="0" applyNumberFormat="0" applyFill="0" applyBorder="0" applyProtection="0">
      <protection locked="0"/>
    </xf>
    <xf numFmtId="228" fontId="62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1" fillId="0" borderId="0" applyNumberFormat="0" applyFill="0" applyBorder="0" applyProtection="0">
      <alignment horizontal="right" vertical="center"/>
    </xf>
    <xf numFmtId="275" fontId="4" fillId="0" borderId="0" applyProtection="0"/>
    <xf numFmtId="0" fontId="93" fillId="37" borderId="39" applyNumberFormat="0" applyBorder="0" applyProtection="0">
      <alignment horizontal="left" wrapText="1"/>
    </xf>
    <xf numFmtId="0" fontId="19" fillId="0" borderId="0" applyNumberFormat="0" applyFill="0" applyBorder="0"/>
    <xf numFmtId="1" fontId="182" fillId="23" borderId="0" applyNumberFormat="0" applyFont="0" applyFill="0" applyBorder="0" applyAlignment="0" applyProtection="0"/>
    <xf numFmtId="1" fontId="182" fillId="23" borderId="0" applyNumberFormat="0" applyFont="0" applyFill="0" applyBorder="0" applyAlignment="0" applyProtection="0"/>
    <xf numFmtId="1" fontId="182" fillId="23" borderId="0" applyNumberFormat="0" applyFont="0" applyFill="0" applyBorder="0" applyAlignment="0" applyProtection="0"/>
    <xf numFmtId="1" fontId="182" fillId="23" borderId="0" applyNumberFormat="0" applyFont="0" applyFill="0" applyBorder="0" applyAlignment="0" applyProtection="0"/>
    <xf numFmtId="0" fontId="183" fillId="0" borderId="0" applyNumberFormat="0" applyBorder="0"/>
    <xf numFmtId="318" fontId="6" fillId="0" borderId="0"/>
    <xf numFmtId="0" fontId="68" fillId="0" borderId="25">
      <protection locked="0"/>
    </xf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0" fontId="68" fillId="0" borderId="25">
      <alignment horizontal="centerContinuous"/>
    </xf>
    <xf numFmtId="173" fontId="68" fillId="0" borderId="0"/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173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alignment horizontal="centerContinuous"/>
    </xf>
    <xf numFmtId="173" fontId="68" fillId="0" borderId="0"/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protection locked="0"/>
    </xf>
    <xf numFmtId="0" fontId="68" fillId="0" borderId="0"/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39" fillId="0" borderId="25">
      <alignment horizontal="centerContinuous"/>
    </xf>
    <xf numFmtId="0" fontId="68" fillId="0" borderId="25">
      <alignment horizontal="centerContinuous"/>
    </xf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protection locked="0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173" fontId="68" fillId="0" borderId="0"/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protection locked="0"/>
    </xf>
    <xf numFmtId="0" fontId="29" fillId="0" borderId="0">
      <alignment horizontal="center"/>
    </xf>
    <xf numFmtId="0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0" fontId="68" fillId="0" borderId="25">
      <protection locked="0"/>
    </xf>
    <xf numFmtId="173" fontId="68" fillId="0" borderId="0"/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173" fontId="68" fillId="0" borderId="0"/>
    <xf numFmtId="0" fontId="68" fillId="0" borderId="25">
      <protection locked="0"/>
    </xf>
    <xf numFmtId="0" fontId="68" fillId="0" borderId="25">
      <protection locked="0"/>
    </xf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173" fontId="68" fillId="0" borderId="0"/>
    <xf numFmtId="0" fontId="68" fillId="0" borderId="25">
      <protection locked="0"/>
    </xf>
    <xf numFmtId="173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0"/>
    <xf numFmtId="0" fontId="68" fillId="0" borderId="25">
      <alignment horizontal="centerContinuous"/>
    </xf>
    <xf numFmtId="0" fontId="68" fillId="0" borderId="25">
      <alignment horizontal="centerContinuous"/>
    </xf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protection locked="0"/>
    </xf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alignment horizontal="centerContinuous"/>
    </xf>
    <xf numFmtId="0" fontId="68" fillId="0" borderId="0"/>
    <xf numFmtId="0" fontId="68" fillId="0" borderId="25">
      <protection locked="0"/>
    </xf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0"/>
    <xf numFmtId="0" fontId="68" fillId="0" borderId="25">
      <alignment horizontal="centerContinuous"/>
    </xf>
    <xf numFmtId="185" fontId="25" fillId="0" borderId="8">
      <alignment horizontal="right"/>
    </xf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173" fontId="68" fillId="0" borderId="0"/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protection locked="0"/>
    </xf>
    <xf numFmtId="173" fontId="68" fillId="0" borderId="0"/>
    <xf numFmtId="173" fontId="68" fillId="0" borderId="0"/>
    <xf numFmtId="173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alignment horizontal="centerContinuous"/>
    </xf>
    <xf numFmtId="0" fontId="68" fillId="0" borderId="25">
      <protection locked="0"/>
    </xf>
    <xf numFmtId="0" fontId="68" fillId="0" borderId="25">
      <protection locked="0"/>
    </xf>
    <xf numFmtId="173" fontId="68" fillId="0" borderId="0"/>
    <xf numFmtId="0" fontId="68" fillId="0" borderId="25">
      <alignment horizontal="centerContinuous"/>
    </xf>
    <xf numFmtId="0" fontId="68" fillId="0" borderId="25">
      <protection locked="0"/>
    </xf>
    <xf numFmtId="0" fontId="6" fillId="0" borderId="49">
      <alignment vertical="center"/>
    </xf>
    <xf numFmtId="273" fontId="4" fillId="12" borderId="39" applyFont="0" applyFill="0" applyBorder="0" applyAlignment="0" applyProtection="0">
      <alignment horizontal="center"/>
    </xf>
    <xf numFmtId="4" fontId="184" fillId="23" borderId="50" applyNumberFormat="0" applyProtection="0">
      <alignment vertical="center"/>
    </xf>
    <xf numFmtId="4" fontId="185" fillId="2" borderId="50" applyNumberFormat="0" applyProtection="0">
      <alignment vertical="center"/>
    </xf>
    <xf numFmtId="4" fontId="186" fillId="32" borderId="50" applyNumberFormat="0" applyProtection="0">
      <alignment vertical="center"/>
    </xf>
    <xf numFmtId="4" fontId="187" fillId="32" borderId="50" applyNumberFormat="0" applyProtection="0">
      <alignment vertical="center"/>
    </xf>
    <xf numFmtId="4" fontId="186" fillId="44" borderId="50" applyNumberFormat="0" applyProtection="0">
      <alignment vertical="center"/>
    </xf>
    <xf numFmtId="4" fontId="187" fillId="44" borderId="50" applyNumberFormat="0" applyProtection="0">
      <alignment vertical="center"/>
    </xf>
    <xf numFmtId="4" fontId="188" fillId="2" borderId="50" applyNumberFormat="0" applyProtection="0">
      <alignment horizontal="left" vertical="center" indent="1"/>
    </xf>
    <xf numFmtId="4" fontId="189" fillId="49" borderId="50" applyNumberFormat="0" applyProtection="0">
      <alignment horizontal="left" vertical="center" indent="1"/>
    </xf>
    <xf numFmtId="4" fontId="190" fillId="50" borderId="50" applyNumberFormat="0" applyProtection="0">
      <alignment horizontal="left" vertical="center" indent="1"/>
    </xf>
    <xf numFmtId="4" fontId="190" fillId="51" borderId="50" applyNumberFormat="0" applyProtection="0">
      <alignment horizontal="left" vertical="center" indent="1"/>
    </xf>
    <xf numFmtId="4" fontId="191" fillId="49" borderId="50" applyNumberFormat="0" applyProtection="0">
      <alignment horizontal="left" vertical="center" indent="1"/>
    </xf>
    <xf numFmtId="4" fontId="192" fillId="4" borderId="50" applyNumberFormat="0" applyProtection="0">
      <alignment vertical="center"/>
    </xf>
    <xf numFmtId="4" fontId="193" fillId="13" borderId="50" applyNumberFormat="0" applyProtection="0">
      <alignment horizontal="left" vertical="center" indent="1"/>
    </xf>
    <xf numFmtId="4" fontId="194" fillId="0" borderId="0" applyNumberFormat="0" applyProtection="0">
      <alignment horizontal="left" vertical="center" indent="1"/>
    </xf>
    <xf numFmtId="4" fontId="189" fillId="49" borderId="50" applyNumberFormat="0" applyProtection="0">
      <alignment horizontal="left" vertical="center" indent="1"/>
    </xf>
    <xf numFmtId="4" fontId="195" fillId="13" borderId="50" applyNumberFormat="0" applyProtection="0">
      <alignment vertical="center"/>
    </xf>
    <xf numFmtId="4" fontId="196" fillId="13" borderId="50" applyNumberFormat="0" applyProtection="0">
      <alignment vertical="center"/>
    </xf>
    <xf numFmtId="4" fontId="197" fillId="32" borderId="50" applyNumberFormat="0" applyProtection="0">
      <alignment vertical="center"/>
    </xf>
    <xf numFmtId="4" fontId="198" fillId="32" borderId="50" applyNumberFormat="0" applyProtection="0">
      <alignment vertical="center"/>
    </xf>
    <xf numFmtId="4" fontId="197" fillId="44" borderId="50" applyNumberFormat="0" applyProtection="0">
      <alignment vertical="center"/>
    </xf>
    <xf numFmtId="4" fontId="198" fillId="44" borderId="50" applyNumberFormat="0" applyProtection="0">
      <alignment vertical="center"/>
    </xf>
    <xf numFmtId="4" fontId="190" fillId="42" borderId="50" applyNumberFormat="0" applyProtection="0">
      <alignment horizontal="left" vertical="center" indent="1"/>
    </xf>
    <xf numFmtId="4" fontId="199" fillId="13" borderId="50" applyNumberFormat="0" applyProtection="0">
      <alignment vertical="center"/>
    </xf>
    <xf numFmtId="4" fontId="200" fillId="13" borderId="50" applyNumberFormat="0" applyProtection="0">
      <alignment vertical="center"/>
    </xf>
    <xf numFmtId="4" fontId="201" fillId="32" borderId="50" applyNumberFormat="0" applyProtection="0">
      <alignment vertical="center"/>
    </xf>
    <xf numFmtId="4" fontId="202" fillId="32" borderId="50" applyNumberFormat="0" applyProtection="0">
      <alignment vertical="center"/>
    </xf>
    <xf numFmtId="4" fontId="201" fillId="44" borderId="50" applyNumberFormat="0" applyProtection="0">
      <alignment vertical="center"/>
    </xf>
    <xf numFmtId="4" fontId="202" fillId="44" borderId="50" applyNumberFormat="0" applyProtection="0">
      <alignment vertical="center"/>
    </xf>
    <xf numFmtId="4" fontId="184" fillId="52" borderId="51" applyNumberFormat="0" applyProtection="0">
      <alignment horizontal="left" vertical="center" indent="1"/>
    </xf>
    <xf numFmtId="4" fontId="203" fillId="13" borderId="50" applyNumberFormat="0" applyProtection="0">
      <alignment vertical="center"/>
    </xf>
    <xf numFmtId="4" fontId="204" fillId="13" borderId="50" applyNumberFormat="0" applyProtection="0">
      <alignment vertical="center"/>
    </xf>
    <xf numFmtId="4" fontId="186" fillId="32" borderId="50" applyNumberFormat="0" applyProtection="0">
      <alignment vertical="center"/>
    </xf>
    <xf numFmtId="4" fontId="187" fillId="32" borderId="50" applyNumberFormat="0" applyProtection="0">
      <alignment vertical="center"/>
    </xf>
    <xf numFmtId="4" fontId="186" fillId="44" borderId="50" applyNumberFormat="0" applyProtection="0">
      <alignment vertical="center"/>
    </xf>
    <xf numFmtId="4" fontId="187" fillId="44" borderId="50" applyNumberFormat="0" applyProtection="0">
      <alignment vertical="center"/>
    </xf>
    <xf numFmtId="4" fontId="190" fillId="3" borderId="50" applyNumberFormat="0" applyProtection="0">
      <alignment horizontal="left" vertical="center" indent="1"/>
    </xf>
    <xf numFmtId="4" fontId="205" fillId="53" borderId="50" applyNumberFormat="0" applyProtection="0">
      <alignment horizontal="left" indent="1"/>
    </xf>
    <xf numFmtId="4" fontId="206" fillId="13" borderId="50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2" fillId="0" borderId="0" applyFill="0" applyBorder="0">
      <alignment horizontal="right"/>
      <protection hidden="1"/>
    </xf>
    <xf numFmtId="173" fontId="207" fillId="0" borderId="0">
      <protection locked="0"/>
    </xf>
    <xf numFmtId="0" fontId="13" fillId="0" borderId="0" applyFill="0" applyBorder="0" applyProtection="0">
      <alignment horizontal="left"/>
    </xf>
    <xf numFmtId="173" fontId="208" fillId="0" borderId="0">
      <alignment horizontal="left"/>
    </xf>
    <xf numFmtId="0" fontId="209" fillId="0" borderId="0" applyNumberFormat="0" applyFill="0" applyBorder="0" applyProtection="0">
      <alignment horizontal="left" vertical="center"/>
    </xf>
    <xf numFmtId="0" fontId="210" fillId="0" borderId="52"/>
    <xf numFmtId="0" fontId="6" fillId="39" borderId="13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1" fillId="0" borderId="0"/>
    <xf numFmtId="37" fontId="211" fillId="0" borderId="0"/>
    <xf numFmtId="0" fontId="29" fillId="48" borderId="0" applyNumberFormat="0" applyFont="0" applyBorder="0" applyAlignment="0" applyProtection="0"/>
    <xf numFmtId="0" fontId="146" fillId="47" borderId="0" applyNumberFormat="0" applyFont="0" applyBorder="0" applyAlignment="0" applyProtection="0"/>
    <xf numFmtId="0" fontId="26" fillId="0" borderId="0" applyFont="0" applyFill="0" applyBorder="0" applyAlignment="0" applyProtection="0"/>
    <xf numFmtId="190" fontId="4" fillId="0" borderId="0">
      <alignment horizontal="center"/>
    </xf>
    <xf numFmtId="14" fontId="38" fillId="15" borderId="0" applyBorder="0" applyAlignment="0" applyProtection="0"/>
    <xf numFmtId="319" fontId="6" fillId="15" borderId="0" applyBorder="0" applyAlignment="0" applyProtection="0"/>
    <xf numFmtId="320" fontId="6" fillId="0" borderId="0">
      <alignment horizontal="center"/>
    </xf>
    <xf numFmtId="167" fontId="212" fillId="0" borderId="0" applyFill="0" applyBorder="0" applyAlignment="0" applyProtection="0"/>
    <xf numFmtId="0" fontId="49" fillId="0" borderId="10" applyNumberFormat="0" applyFill="0" applyAlignment="0" applyProtection="0"/>
    <xf numFmtId="166" fontId="213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0" fontId="214" fillId="0" borderId="0" applyNumberFormat="0">
      <alignment horizontal="left"/>
    </xf>
    <xf numFmtId="200" fontId="29" fillId="0" borderId="0" applyFont="0" applyFill="0" applyBorder="0" applyAlignment="0" applyProtection="0"/>
    <xf numFmtId="173" fontId="215" fillId="0" borderId="0">
      <alignment horizontal="left"/>
    </xf>
    <xf numFmtId="0" fontId="155" fillId="0" borderId="0" applyFont="0">
      <alignment horizontal="centerContinuous"/>
    </xf>
    <xf numFmtId="185" fontId="176" fillId="0" borderId="53">
      <alignment horizontal="right"/>
    </xf>
    <xf numFmtId="249" fontId="32" fillId="0" borderId="8"/>
    <xf numFmtId="185" fontId="32" fillId="0" borderId="8"/>
    <xf numFmtId="170" fontId="32" fillId="0" borderId="8"/>
    <xf numFmtId="0" fontId="216" fillId="0" borderId="25"/>
    <xf numFmtId="0" fontId="29" fillId="0" borderId="0">
      <alignment horizontal="center"/>
    </xf>
    <xf numFmtId="266" fontId="4" fillId="23" borderId="0"/>
    <xf numFmtId="266" fontId="4" fillId="0" borderId="0">
      <protection locked="0"/>
    </xf>
    <xf numFmtId="180" fontId="6" fillId="34" borderId="0" applyNumberFormat="0" applyBorder="0" applyAlignment="0" applyProtection="0"/>
    <xf numFmtId="0" fontId="6" fillId="0" borderId="0"/>
    <xf numFmtId="187" fontId="54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4" borderId="0" applyFont="0" applyFill="0" applyBorder="0" applyProtection="0">
      <alignment horizontal="right"/>
    </xf>
    <xf numFmtId="228" fontId="4" fillId="31" borderId="0" applyNumberFormat="0" applyFont="0" applyBorder="0" applyAlignment="0">
      <protection hidden="1"/>
    </xf>
    <xf numFmtId="0" fontId="2" fillId="0" borderId="8">
      <alignment horizontal="right"/>
    </xf>
    <xf numFmtId="0" fontId="36" fillId="0" borderId="0"/>
    <xf numFmtId="0" fontId="39" fillId="0" borderId="0">
      <alignment vertical="center"/>
    </xf>
    <xf numFmtId="0" fontId="55" fillId="0" borderId="0"/>
    <xf numFmtId="0" fontId="54" fillId="0" borderId="0">
      <alignment vertical="top"/>
    </xf>
    <xf numFmtId="0" fontId="217" fillId="0" borderId="0" applyNumberFormat="0" applyFill="0" applyBorder="0" applyProtection="0">
      <alignment horizontal="left" vertical="center"/>
    </xf>
    <xf numFmtId="282" fontId="218" fillId="0" borderId="47" applyBorder="0"/>
    <xf numFmtId="318" fontId="6" fillId="0" borderId="0"/>
    <xf numFmtId="0" fontId="219" fillId="0" borderId="0"/>
    <xf numFmtId="0" fontId="183" fillId="0" borderId="0"/>
    <xf numFmtId="0" fontId="220" fillId="0" borderId="0"/>
    <xf numFmtId="282" fontId="13" fillId="0" borderId="0"/>
    <xf numFmtId="0" fontId="19" fillId="0" borderId="0"/>
    <xf numFmtId="284" fontId="4" fillId="0" borderId="0" applyNumberFormat="0" applyFill="0" applyBorder="0" applyProtection="0">
      <alignment horizontal="centerContinuous"/>
    </xf>
    <xf numFmtId="3" fontId="221" fillId="0" borderId="0"/>
    <xf numFmtId="3" fontId="222" fillId="0" borderId="0"/>
    <xf numFmtId="3" fontId="44" fillId="0" borderId="8"/>
    <xf numFmtId="249" fontId="2" fillId="0" borderId="14"/>
    <xf numFmtId="0" fontId="217" fillId="0" borderId="2" applyNumberFormat="0" applyFill="0" applyProtection="0">
      <alignment horizontal="left" vertical="center"/>
    </xf>
    <xf numFmtId="0" fontId="19" fillId="12" borderId="0" applyNumberFormat="0" applyFont="0" applyBorder="0" applyAlignment="0" applyProtection="0"/>
    <xf numFmtId="317" fontId="6" fillId="0" borderId="53">
      <protection locked="0"/>
    </xf>
    <xf numFmtId="228" fontId="4" fillId="0" borderId="0" applyFill="0" applyBorder="0" applyProtection="0"/>
    <xf numFmtId="251" fontId="4" fillId="31" borderId="13">
      <alignment horizontal="center"/>
    </xf>
    <xf numFmtId="251" fontId="4" fillId="0" borderId="0">
      <alignment horizontal="center"/>
    </xf>
    <xf numFmtId="0" fontId="53" fillId="0" borderId="10">
      <alignment horizontal="center"/>
    </xf>
    <xf numFmtId="0" fontId="25" fillId="0" borderId="0"/>
    <xf numFmtId="0" fontId="223" fillId="1" borderId="53" applyNumberFormat="0" applyBorder="0" applyAlignment="0"/>
    <xf numFmtId="0" fontId="122" fillId="0" borderId="0"/>
    <xf numFmtId="0" fontId="53" fillId="0" borderId="10">
      <alignment horizontal="centerContinuous"/>
    </xf>
    <xf numFmtId="0" fontId="53" fillId="0" borderId="25">
      <alignment horizontal="centerContinuous"/>
    </xf>
    <xf numFmtId="0" fontId="53" fillId="0" borderId="25">
      <alignment horizontal="centerContinuous"/>
    </xf>
    <xf numFmtId="9" fontId="53" fillId="0" borderId="0">
      <alignment horizontal="centerContinuous"/>
    </xf>
    <xf numFmtId="0" fontId="26" fillId="0" borderId="0"/>
    <xf numFmtId="0" fontId="35" fillId="0" borderId="0" applyFill="0" applyBorder="0" applyProtection="0">
      <alignment horizontal="center" vertical="center"/>
    </xf>
    <xf numFmtId="3" fontId="224" fillId="0" borderId="0" applyFont="0" applyBorder="0" applyAlignment="0"/>
    <xf numFmtId="0" fontId="6" fillId="0" borderId="0" applyBorder="0" applyProtection="0">
      <alignment vertical="center"/>
    </xf>
    <xf numFmtId="0" fontId="6" fillId="0" borderId="10" applyBorder="0" applyProtection="0">
      <alignment horizontal="right" vertical="center"/>
    </xf>
    <xf numFmtId="0" fontId="6" fillId="55" borderId="0" applyBorder="0" applyProtection="0">
      <alignment horizontal="centerContinuous" vertical="center"/>
    </xf>
    <xf numFmtId="0" fontId="6" fillId="33" borderId="10" applyBorder="0" applyProtection="0">
      <alignment horizontal="centerContinuous" vertical="center"/>
    </xf>
    <xf numFmtId="0" fontId="225" fillId="0" borderId="0" applyFill="0" applyBorder="0" applyProtection="0">
      <alignment horizontal="center" vertical="center"/>
    </xf>
    <xf numFmtId="0" fontId="19" fillId="0" borderId="0" applyBorder="0" applyProtection="0">
      <alignment horizontal="left"/>
    </xf>
    <xf numFmtId="0" fontId="125" fillId="0" borderId="0" applyNumberFormat="0" applyFill="0" applyBorder="0" applyProtection="0">
      <alignment horizontal="left"/>
    </xf>
    <xf numFmtId="0" fontId="226" fillId="0" borderId="0" applyFill="0" applyBorder="0" applyProtection="0"/>
    <xf numFmtId="0" fontId="227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25" fillId="0" borderId="11" applyFill="0" applyBorder="0" applyProtection="0">
      <alignment horizontal="left" vertical="top"/>
    </xf>
    <xf numFmtId="0" fontId="93" fillId="0" borderId="0">
      <alignment horizontal="centerContinuous"/>
    </xf>
    <xf numFmtId="0" fontId="66" fillId="13" borderId="8" applyNumberFormat="0" applyFont="0" applyFill="0" applyAlignment="0" applyProtection="0">
      <protection locked="0"/>
    </xf>
    <xf numFmtId="0" fontId="228" fillId="0" borderId="0" applyFill="0" applyBorder="0" applyProtection="0">
      <alignment horizontal="center" vertical="center"/>
    </xf>
    <xf numFmtId="0" fontId="26" fillId="0" borderId="0"/>
    <xf numFmtId="0" fontId="66" fillId="13" borderId="54" applyNumberFormat="0" applyFont="0" applyFill="0" applyAlignment="0" applyProtection="0">
      <protection locked="0"/>
    </xf>
    <xf numFmtId="38" fontId="229" fillId="0" borderId="0" applyNumberFormat="0" applyBorder="0">
      <alignment horizontal="left"/>
    </xf>
    <xf numFmtId="0" fontId="230" fillId="0" borderId="0" applyFill="0" applyBorder="0" applyProtection="0">
      <alignment vertical="top"/>
    </xf>
    <xf numFmtId="0" fontId="231" fillId="0" borderId="0" applyFill="0" applyBorder="0" applyProtection="0">
      <alignment vertical="center"/>
    </xf>
    <xf numFmtId="0" fontId="53" fillId="0" borderId="0" applyFill="0" applyBorder="0" applyProtection="0"/>
    <xf numFmtId="0" fontId="232" fillId="0" borderId="0">
      <alignment horizontal="centerContinuous"/>
    </xf>
    <xf numFmtId="1" fontId="6" fillId="0" borderId="0"/>
    <xf numFmtId="0" fontId="4" fillId="0" borderId="0"/>
    <xf numFmtId="228" fontId="6" fillId="56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3" fillId="0" borderId="0" applyNumberFormat="0" applyFill="0" applyBorder="0" applyProtection="0"/>
    <xf numFmtId="0" fontId="234" fillId="0" borderId="0" applyFill="0" applyBorder="0" applyProtection="0"/>
    <xf numFmtId="0" fontId="6" fillId="0" borderId="0"/>
    <xf numFmtId="0" fontId="234" fillId="0" borderId="0" applyNumberFormat="0" applyFill="0" applyBorder="0" applyProtection="0"/>
    <xf numFmtId="0" fontId="233" fillId="0" borderId="0" applyNumberFormat="0" applyFill="0" applyBorder="0" applyProtection="0"/>
    <xf numFmtId="0" fontId="233" fillId="0" borderId="0"/>
    <xf numFmtId="49" fontId="12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28" fillId="0" borderId="0" applyNumberFormat="0" applyFont="0" applyFill="0" applyBorder="0" applyProtection="0">
      <alignment horizontal="left" vertical="top" wrapText="1"/>
    </xf>
    <xf numFmtId="0" fontId="19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35" fillId="31" borderId="13" applyProtection="0">
      <alignment horizontal="center"/>
      <protection locked="0"/>
    </xf>
    <xf numFmtId="20" fontId="6" fillId="0" borderId="0" applyFont="0" applyFill="0" applyBorder="0" applyAlignment="0" applyProtection="0"/>
    <xf numFmtId="1" fontId="62" fillId="0" borderId="2" applyFill="0" applyBorder="0" applyProtection="0">
      <alignment horizontal="right"/>
    </xf>
    <xf numFmtId="18" fontId="66" fillId="13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40" fontId="88" fillId="0" borderId="0"/>
    <xf numFmtId="279" fontId="6" fillId="0" borderId="0" applyFont="0" applyFill="0" applyBorder="0" applyAlignment="0" applyProtection="0"/>
    <xf numFmtId="0" fontId="236" fillId="0" borderId="0"/>
    <xf numFmtId="0" fontId="93" fillId="37" borderId="18" applyNumberFormat="0" applyBorder="0" applyProtection="0">
      <alignment horizontal="left" vertical="center"/>
    </xf>
    <xf numFmtId="0" fontId="62" fillId="0" borderId="0" applyFill="0" applyBorder="0" applyProtection="0"/>
    <xf numFmtId="0" fontId="237" fillId="11" borderId="0" applyNumberFormat="0" applyBorder="0" applyAlignment="0">
      <alignment vertical="center"/>
    </xf>
    <xf numFmtId="0" fontId="237" fillId="57" borderId="0" applyNumberFormat="0" applyBorder="0">
      <alignment vertical="center"/>
    </xf>
    <xf numFmtId="0" fontId="175" fillId="0" borderId="0" applyNumberFormat="0" applyFill="0" applyBorder="0" applyAlignment="0" applyProtection="0"/>
    <xf numFmtId="298" fontId="63" fillId="0" borderId="0" applyFill="0" applyBorder="0" applyAlignment="0" applyProtection="0"/>
    <xf numFmtId="258" fontId="238" fillId="33" borderId="0" applyBorder="0" applyAlignment="0" applyProtection="0">
      <alignment horizontal="left"/>
    </xf>
    <xf numFmtId="0" fontId="239" fillId="0" borderId="10" applyProtection="0"/>
    <xf numFmtId="1" fontId="29" fillId="58" borderId="0" applyNumberFormat="0" applyFont="0" applyBorder="0" applyProtection="0">
      <alignment horizontal="left"/>
    </xf>
    <xf numFmtId="0" fontId="2" fillId="0" borderId="0"/>
    <xf numFmtId="0" fontId="240" fillId="0" borderId="0" applyNumberFormat="0" applyFont="0" applyFill="0" applyBorder="0" applyAlignment="0">
      <alignment horizontal="left" vertical="center"/>
    </xf>
    <xf numFmtId="0" fontId="173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55" applyAlignment="0">
      <alignment horizontal="right"/>
    </xf>
    <xf numFmtId="228" fontId="96" fillId="0" borderId="55" applyAlignment="0"/>
    <xf numFmtId="321" fontId="6" fillId="0" borderId="55" applyAlignment="0"/>
    <xf numFmtId="0" fontId="96" fillId="0" borderId="55" applyAlignment="0">
      <alignment horizontal="right"/>
    </xf>
    <xf numFmtId="308" fontId="6" fillId="0" borderId="0" applyFont="0" applyFill="0" applyBorder="0" applyAlignment="0" applyProtection="0"/>
    <xf numFmtId="249" fontId="32" fillId="0" borderId="14"/>
    <xf numFmtId="185" fontId="32" fillId="0" borderId="14"/>
    <xf numFmtId="170" fontId="32" fillId="0" borderId="14"/>
    <xf numFmtId="320" fontId="6" fillId="0" borderId="0" applyFont="0" applyFill="0" applyBorder="0" applyAlignment="0" applyProtection="0"/>
    <xf numFmtId="181" fontId="32" fillId="0" borderId="10" applyNumberFormat="0" applyFont="0" applyFill="0" applyAlignment="0" applyProtection="0"/>
    <xf numFmtId="281" fontId="241" fillId="0" borderId="0">
      <alignment horizontal="left"/>
      <protection locked="0"/>
    </xf>
    <xf numFmtId="0" fontId="39" fillId="0" borderId="0"/>
    <xf numFmtId="0" fontId="142" fillId="13" borderId="10" applyNumberFormat="0" applyFont="0" applyFill="0" applyAlignment="0" applyProtection="0"/>
    <xf numFmtId="0" fontId="29" fillId="0" borderId="8" applyProtection="0">
      <alignment vertical="top"/>
    </xf>
    <xf numFmtId="0" fontId="242" fillId="0" borderId="0"/>
    <xf numFmtId="37" fontId="4" fillId="2" borderId="0" applyNumberFormat="0" applyBorder="0" applyAlignment="0" applyProtection="0"/>
    <xf numFmtId="37" fontId="4" fillId="0" borderId="0"/>
    <xf numFmtId="3" fontId="143" fillId="0" borderId="56" applyProtection="0"/>
    <xf numFmtId="0" fontId="243" fillId="0" borderId="0"/>
    <xf numFmtId="172" fontId="6" fillId="0" borderId="0" applyFont="0" applyFill="0" applyBorder="0" applyAlignment="0" applyProtection="0"/>
    <xf numFmtId="0" fontId="32" fillId="0" borderId="0" applyFont="0" applyFill="0" applyBorder="0" applyAlignment="0" applyProtection="0"/>
    <xf numFmtId="169" fontId="174" fillId="0" borderId="0" applyFont="0" applyFill="0" applyBorder="0" applyAlignment="0" applyProtection="0"/>
    <xf numFmtId="0" fontId="50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2" fillId="0" borderId="0" applyNumberFormat="0" applyFill="0" applyBorder="0" applyAlignment="0" applyProtection="0"/>
    <xf numFmtId="1" fontId="26" fillId="0" borderId="0" applyFont="0" applyFill="0" applyBorder="0" applyAlignment="0" applyProtection="0"/>
    <xf numFmtId="0" fontId="29" fillId="37" borderId="0" applyNumberFormat="0" applyBorder="0" applyProtection="0">
      <alignment horizontal="left"/>
    </xf>
    <xf numFmtId="40" fontId="19" fillId="0" borderId="0">
      <alignment horizontal="left" wrapText="1"/>
    </xf>
    <xf numFmtId="192" fontId="6" fillId="0" borderId="0"/>
    <xf numFmtId="205" fontId="29" fillId="0" borderId="0"/>
    <xf numFmtId="272" fontId="29" fillId="0" borderId="0"/>
    <xf numFmtId="0" fontId="6" fillId="0" borderId="10" applyBorder="0" applyProtection="0">
      <alignment horizontal="right"/>
    </xf>
    <xf numFmtId="292" fontId="21" fillId="0" borderId="0" applyFont="0" applyFill="0" applyBorder="0" applyAlignment="0"/>
    <xf numFmtId="228" fontId="21" fillId="0" borderId="0" applyFont="0" applyFill="0" applyBorder="0" applyAlignment="0"/>
    <xf numFmtId="0" fontId="142" fillId="0" borderId="0">
      <alignment horizontal="right"/>
    </xf>
    <xf numFmtId="228" fontId="4" fillId="0" borderId="0"/>
    <xf numFmtId="228" fontId="143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16"/>
    <xf numFmtId="173" fontId="8" fillId="3" borderId="20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46" fillId="0" borderId="0" applyFont="0" applyFill="0" applyBorder="0" applyAlignment="0" applyProtection="0"/>
    <xf numFmtId="174" fontId="246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47" fillId="34" borderId="0"/>
    <xf numFmtId="173" fontId="3" fillId="3" borderId="16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16"/>
    <xf numFmtId="173" fontId="3" fillId="3" borderId="16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16"/>
    <xf numFmtId="170" fontId="6" fillId="0" borderId="0" applyFont="0" applyFill="0" applyBorder="0" applyAlignment="0" applyProtection="0"/>
    <xf numFmtId="173" fontId="3" fillId="3" borderId="16"/>
    <xf numFmtId="173" fontId="3" fillId="3" borderId="16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16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16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16"/>
    <xf numFmtId="173" fontId="3" fillId="3" borderId="16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16"/>
    <xf numFmtId="173" fontId="3" fillId="3" borderId="16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6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3" fillId="30" borderId="0"/>
    <xf numFmtId="14" fontId="26" fillId="0" borderId="0">
      <alignment horizontal="center" wrapText="1"/>
      <protection locked="0"/>
    </xf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26" fillId="13" borderId="0"/>
    <xf numFmtId="0" fontId="28" fillId="0" borderId="0" applyFont="0" applyFill="0" applyBorder="0" applyAlignment="0" applyProtection="0"/>
    <xf numFmtId="0" fontId="25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183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25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2" fillId="0" borderId="0" applyNumberFormat="0" applyFill="0" applyBorder="0" applyAlignment="0" applyProtection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6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4" fillId="12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58" fillId="0" borderId="0"/>
    <xf numFmtId="0" fontId="258" fillId="0" borderId="0"/>
    <xf numFmtId="0" fontId="258" fillId="0" borderId="0"/>
    <xf numFmtId="0" fontId="25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 applyNumberFormat="0" applyFill="0" applyBorder="0" applyProtection="0">
      <alignment vertical="top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30" fillId="0" borderId="0" applyNumberFormat="0" applyFont="0" applyFill="0" applyBorder="0" applyAlignment="0" applyProtection="0"/>
    <xf numFmtId="0" fontId="258" fillId="0" borderId="0"/>
    <xf numFmtId="0" fontId="258" fillId="0" borderId="0"/>
    <xf numFmtId="0" fontId="260" fillId="0" borderId="0" applyFont="0" applyFill="0" applyBorder="0" applyAlignment="0" applyProtection="0"/>
    <xf numFmtId="0" fontId="260" fillId="0" borderId="0" applyFont="0" applyFill="0" applyBorder="0" applyAlignment="0" applyProtection="0"/>
    <xf numFmtId="221" fontId="261" fillId="0" borderId="59">
      <alignment horizontal="left" vertical="center"/>
    </xf>
    <xf numFmtId="221" fontId="261" fillId="0" borderId="59">
      <alignment horizontal="left" vertical="center"/>
    </xf>
    <xf numFmtId="221" fontId="261" fillId="0" borderId="59">
      <alignment horizontal="left" vertical="center"/>
    </xf>
    <xf numFmtId="221" fontId="261" fillId="0" borderId="59">
      <alignment horizontal="left" vertical="center"/>
    </xf>
    <xf numFmtId="221" fontId="261" fillId="0" borderId="59">
      <alignment horizontal="left" vertical="center"/>
    </xf>
    <xf numFmtId="221" fontId="261" fillId="0" borderId="59">
      <alignment horizontal="left" vertical="center"/>
    </xf>
    <xf numFmtId="0" fontId="8" fillId="3" borderId="20"/>
    <xf numFmtId="37" fontId="27" fillId="0" borderId="10" applyNumberFormat="0" applyFont="0" applyFill="0" applyAlignment="0" applyProtection="0"/>
    <xf numFmtId="0" fontId="54" fillId="0" borderId="0"/>
    <xf numFmtId="0" fontId="54" fillId="0" borderId="8"/>
    <xf numFmtId="0" fontId="21" fillId="0" borderId="0" applyFont="0" applyFill="0" applyBorder="0" applyAlignment="0" applyProtection="0"/>
    <xf numFmtId="0" fontId="136" fillId="0" borderId="0" applyFont="0" applyFill="0" applyBorder="0" applyAlignment="0" applyProtection="0"/>
    <xf numFmtId="0" fontId="262" fillId="0" borderId="57" applyFill="0" applyBorder="0" applyAlignment="0" applyProtection="0">
      <alignment horizontal="right"/>
    </xf>
    <xf numFmtId="0" fontId="172" fillId="0" borderId="0" applyFill="0" applyBorder="0" applyProtection="0"/>
    <xf numFmtId="0" fontId="158" fillId="0" borderId="0" applyNumberFormat="0" applyFill="0" applyBorder="0" applyAlignment="0"/>
    <xf numFmtId="16" fontId="12" fillId="0" borderId="0" applyFont="0" applyFill="0" applyBorder="0" applyAlignment="0" applyProtection="0"/>
    <xf numFmtId="15" fontId="12" fillId="0" borderId="0" applyFont="0" applyFill="0" applyBorder="0" applyAlignment="0" applyProtection="0"/>
    <xf numFmtId="17" fontId="12" fillId="0" borderId="0" applyFont="0" applyFill="0" applyBorder="0" applyAlignment="0" applyProtection="0"/>
    <xf numFmtId="0" fontId="263" fillId="0" borderId="0" applyFill="0" applyBorder="0" applyProtection="0"/>
    <xf numFmtId="14" fontId="263" fillId="0" borderId="0" applyFill="0" applyBorder="0" applyProtection="0"/>
    <xf numFmtId="14" fontId="264" fillId="0" borderId="0">
      <alignment horizontal="right"/>
      <protection locked="0"/>
    </xf>
    <xf numFmtId="0" fontId="265" fillId="0" borderId="0">
      <protection locked="0"/>
    </xf>
    <xf numFmtId="0" fontId="266" fillId="0" borderId="0"/>
    <xf numFmtId="0" fontId="4" fillId="0" borderId="0"/>
    <xf numFmtId="39" fontId="267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38" fillId="65" borderId="0" applyNumberFormat="0" applyFont="0" applyBorder="0" applyAlignment="0" applyProtection="0"/>
    <xf numFmtId="0" fontId="26" fillId="0" borderId="0"/>
    <xf numFmtId="0" fontId="100" fillId="0" borderId="0">
      <protection locked="0"/>
    </xf>
    <xf numFmtId="0" fontId="26" fillId="0" borderId="0"/>
    <xf numFmtId="0" fontId="29" fillId="0" borderId="0"/>
    <xf numFmtId="49" fontId="268" fillId="0" borderId="0" applyNumberFormat="0" applyFill="0" applyBorder="0" applyProtection="0">
      <alignment horizontal="center" vertical="top"/>
    </xf>
    <xf numFmtId="0" fontId="269" fillId="0" borderId="0">
      <alignment horizontal="left"/>
    </xf>
    <xf numFmtId="221" fontId="261" fillId="0" borderId="59">
      <alignment horizontal="left"/>
    </xf>
    <xf numFmtId="0" fontId="270" fillId="0" borderId="0">
      <alignment vertical="center"/>
    </xf>
    <xf numFmtId="0" fontId="270" fillId="0" borderId="0">
      <alignment horizontal="left" vertical="center"/>
    </xf>
    <xf numFmtId="0" fontId="271" fillId="0" borderId="0">
      <alignment vertical="center"/>
    </xf>
    <xf numFmtId="0" fontId="272" fillId="0" borderId="0">
      <alignment vertical="center"/>
    </xf>
    <xf numFmtId="221" fontId="261" fillId="0" borderId="59">
      <alignment horizontal="left"/>
    </xf>
    <xf numFmtId="221" fontId="268" fillId="0" borderId="0">
      <alignment horizontal="center"/>
    </xf>
    <xf numFmtId="221" fontId="273" fillId="0" borderId="59">
      <alignment horizontal="center"/>
    </xf>
    <xf numFmtId="221" fontId="5" fillId="0" borderId="0"/>
    <xf numFmtId="221" fontId="274" fillId="0" borderId="0"/>
    <xf numFmtId="221" fontId="6" fillId="0" borderId="0"/>
    <xf numFmtId="221" fontId="275" fillId="0" borderId="0">
      <alignment horizontal="left" vertical="top"/>
    </xf>
    <xf numFmtId="0" fontId="276" fillId="0" borderId="0">
      <alignment horizontal="left" vertical="top" wrapText="1"/>
    </xf>
    <xf numFmtId="0" fontId="277" fillId="0" borderId="0">
      <alignment horizontal="left" vertical="top" wrapText="1"/>
    </xf>
    <xf numFmtId="0" fontId="278" fillId="0" borderId="0">
      <alignment horizontal="left" vertical="top" wrapText="1"/>
    </xf>
    <xf numFmtId="0" fontId="265" fillId="0" borderId="0">
      <protection locked="0"/>
    </xf>
    <xf numFmtId="178" fontId="172" fillId="0" borderId="0" applyFill="0" applyBorder="0" applyProtection="0"/>
    <xf numFmtId="228" fontId="4" fillId="13" borderId="13" applyFont="0" applyBorder="0" applyAlignment="0" applyProtection="0">
      <alignment vertical="top"/>
    </xf>
    <xf numFmtId="0" fontId="279" fillId="0" borderId="60" applyFont="0" applyBorder="0"/>
    <xf numFmtId="37" fontId="280" fillId="0" borderId="0" applyNumberFormat="0" applyFill="0" applyBorder="0" applyAlignment="0">
      <alignment horizontal="right"/>
    </xf>
    <xf numFmtId="37" fontId="281" fillId="0" borderId="0" applyNumberFormat="0" applyFill="0" applyBorder="0" applyAlignment="0">
      <alignment horizontal="right"/>
    </xf>
    <xf numFmtId="37" fontId="281" fillId="0" borderId="0" applyNumberFormat="0" applyFill="0" applyBorder="0" applyAlignment="0">
      <alignment horizontal="left"/>
    </xf>
    <xf numFmtId="37" fontId="280" fillId="0" borderId="0" applyNumberFormat="0" applyFill="0" applyBorder="0" applyAlignment="0">
      <alignment horizontal="left"/>
    </xf>
    <xf numFmtId="37" fontId="282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83" fillId="31" borderId="0" applyNumberFormat="0" applyFont="0" applyAlignment="0"/>
    <xf numFmtId="0" fontId="284" fillId="33" borderId="0"/>
    <xf numFmtId="0" fontId="268" fillId="0" borderId="0"/>
    <xf numFmtId="9" fontId="285" fillId="0" borderId="0" applyFont="0" applyFill="0" applyBorder="0" applyAlignment="0" applyProtection="0"/>
    <xf numFmtId="0" fontId="286" fillId="0" borderId="0">
      <alignment vertical="center"/>
    </xf>
    <xf numFmtId="0" fontId="21" fillId="0" borderId="0"/>
    <xf numFmtId="173" fontId="6" fillId="0" borderId="0" applyFont="0" applyFill="0" applyBorder="0" applyAlignment="0" applyProtection="0"/>
    <xf numFmtId="197" fontId="54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1" fontId="29" fillId="0" borderId="0" applyFont="0" applyFill="0" applyBorder="0" applyAlignment="0" applyProtection="0"/>
    <xf numFmtId="332" fontId="54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29" fillId="0" borderId="0" applyFont="0" applyFill="0" applyBorder="0" applyAlignment="0" applyProtection="0"/>
    <xf numFmtId="37" fontId="29" fillId="0" borderId="0" applyFont="0" applyFill="0" applyBorder="0" applyAlignment="0" applyProtection="0"/>
    <xf numFmtId="333" fontId="29" fillId="0" borderId="0" applyFont="0" applyFill="0" applyBorder="0" applyAlignment="0" applyProtection="0"/>
    <xf numFmtId="37" fontId="29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54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39" fillId="0" borderId="0"/>
    <xf numFmtId="336" fontId="39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336" fontId="39" fillId="0" borderId="0"/>
    <xf numFmtId="336" fontId="39" fillId="0" borderId="0"/>
    <xf numFmtId="0" fontId="54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142" fillId="0" borderId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262" fontId="42" fillId="0" borderId="0" applyNumberFormat="0" applyFill="0" applyBorder="0" applyAlignment="0" applyProtection="0"/>
    <xf numFmtId="262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262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38" fontId="5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339" fontId="29" fillId="0" borderId="0" applyFont="0" applyFill="0" applyBorder="0" applyAlignment="0" applyProtection="0"/>
    <xf numFmtId="208" fontId="54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0" fontId="29" fillId="0" borderId="0" applyFont="0" applyFill="0" applyBorder="0" applyAlignment="0" applyProtection="0"/>
    <xf numFmtId="341" fontId="29" fillId="0" borderId="0" applyFont="0" applyFill="0" applyBorder="0" applyAlignment="0" applyProtection="0"/>
    <xf numFmtId="342" fontId="29" fillId="0" borderId="0" applyFont="0" applyFill="0" applyBorder="0" applyAlignment="0" applyProtection="0"/>
    <xf numFmtId="342" fontId="29" fillId="0" borderId="0" applyFont="0" applyFill="0" applyBorder="0" applyAlignment="0" applyProtection="0"/>
    <xf numFmtId="207" fontId="6" fillId="0" borderId="0" applyFont="0" applyFill="0" applyBorder="0" applyAlignment="0" applyProtection="0"/>
    <xf numFmtId="343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12" fontId="54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4" fontId="29" fillId="0" borderId="0" applyFont="0" applyFill="0" applyBorder="0" applyAlignment="0" applyProtection="0"/>
    <xf numFmtId="345" fontId="29" fillId="0" borderId="0" applyFont="0" applyFill="0" applyBorder="0" applyAlignment="0" applyProtection="0"/>
    <xf numFmtId="346" fontId="29" fillId="0" borderId="0" applyFont="0" applyFill="0" applyBorder="0" applyAlignment="0" applyProtection="0"/>
    <xf numFmtId="346" fontId="2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29" fillId="0" borderId="0" applyFont="0" applyFill="0" applyBorder="0" applyAlignment="0" applyProtection="0"/>
    <xf numFmtId="348" fontId="29" fillId="0" borderId="0" applyFont="0" applyFill="0" applyBorder="0" applyAlignment="0" applyProtection="0"/>
    <xf numFmtId="349" fontId="29" fillId="0" borderId="0" applyFont="0" applyFill="0" applyBorder="0" applyAlignment="0" applyProtection="0"/>
    <xf numFmtId="349" fontId="29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0" fontId="29" fillId="0" borderId="0" applyFont="0" applyFill="0" applyBorder="0" applyAlignment="0" applyProtection="0"/>
    <xf numFmtId="37" fontId="29" fillId="0" borderId="0" applyFont="0" applyFill="0" applyBorder="0" applyAlignment="0" applyProtection="0"/>
    <xf numFmtId="351" fontId="29" fillId="0" borderId="0" applyFont="0" applyFill="0" applyBorder="0" applyAlignment="0" applyProtection="0"/>
    <xf numFmtId="249" fontId="29" fillId="0" borderId="0" applyFont="0" applyFill="0" applyBorder="0" applyAlignment="0" applyProtection="0"/>
    <xf numFmtId="249" fontId="29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262" fontId="43" fillId="0" borderId="0" applyNumberFormat="0" applyFill="0" applyBorder="0" applyProtection="0">
      <alignment vertical="top"/>
    </xf>
    <xf numFmtId="262" fontId="43" fillId="0" borderId="0" applyNumberFormat="0" applyFill="0" applyBorder="0" applyProtection="0">
      <alignment vertical="top"/>
    </xf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0" fontId="43" fillId="0" borderId="0" applyNumberFormat="0" applyFill="0" applyBorder="0" applyProtection="0">
      <alignment vertical="top"/>
    </xf>
    <xf numFmtId="262" fontId="43" fillId="0" borderId="0" applyNumberFormat="0" applyFill="0" applyBorder="0" applyProtection="0">
      <alignment vertical="top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</xf>
    <xf numFmtId="0" fontId="43" fillId="0" borderId="0" applyNumberFormat="0" applyFill="0" applyBorder="0" applyProtection="0">
      <alignment vertical="top"/>
    </xf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262" fontId="44" fillId="0" borderId="23" applyNumberFormat="0" applyFill="0" applyAlignment="0" applyProtection="0"/>
    <xf numFmtId="0" fontId="44" fillId="0" borderId="65" applyNumberFormat="0" applyFill="0" applyAlignment="0" applyProtection="0"/>
    <xf numFmtId="262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65" applyNumberFormat="0" applyFill="0" applyAlignment="0" applyProtection="0"/>
    <xf numFmtId="0" fontId="44" fillId="0" borderId="65" applyNumberFormat="0" applyFill="0" applyAlignment="0" applyProtection="0"/>
    <xf numFmtId="262" fontId="44" fillId="0" borderId="23" applyNumberFormat="0" applyFill="0" applyAlignment="0" applyProtection="0"/>
    <xf numFmtId="0" fontId="44" fillId="0" borderId="23" applyNumberFormat="0" applyFill="0" applyAlignment="0" applyProtection="0"/>
    <xf numFmtId="173" fontId="44" fillId="0" borderId="65" applyNumberFormat="0" applyFill="0" applyAlignment="0" applyProtection="0"/>
    <xf numFmtId="173" fontId="44" fillId="0" borderId="65" applyNumberFormat="0" applyFill="0" applyAlignment="0" applyProtection="0"/>
    <xf numFmtId="0" fontId="44" fillId="0" borderId="23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4" fillId="0" borderId="23" applyNumberFormat="0" applyFill="0" applyAlignment="0" applyProtection="0"/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262" fontId="45" fillId="0" borderId="24" applyNumberFormat="0" applyFill="0" applyProtection="0">
      <alignment horizontal="center"/>
    </xf>
    <xf numFmtId="262" fontId="45" fillId="0" borderId="24" applyNumberFormat="0" applyFill="0" applyProtection="0">
      <alignment horizontal="center"/>
    </xf>
    <xf numFmtId="262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45" fillId="0" borderId="24" applyNumberFormat="0" applyFill="0" applyProtection="0">
      <alignment horizontal="center"/>
    </xf>
    <xf numFmtId="0" fontId="6" fillId="0" borderId="25" applyNumberFormat="0" applyFont="0" applyFill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262" fontId="45" fillId="0" borderId="0" applyNumberFormat="0" applyFill="0" applyBorder="0" applyProtection="0">
      <alignment horizontal="left"/>
    </xf>
    <xf numFmtId="262" fontId="45" fillId="0" borderId="0" applyNumberFormat="0" applyFill="0" applyBorder="0" applyProtection="0">
      <alignment horizontal="left"/>
    </xf>
    <xf numFmtId="262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vertical="top"/>
    </xf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centerContinuous"/>
    </xf>
    <xf numFmtId="0" fontId="46" fillId="0" borderId="0" applyNumberFormat="0" applyFill="0" applyBorder="0" applyProtection="0">
      <alignment horizontal="centerContinuous"/>
    </xf>
    <xf numFmtId="262" fontId="46" fillId="0" borderId="0" applyNumberFormat="0" applyFill="0" applyBorder="0" applyProtection="0">
      <alignment horizontal="centerContinuous"/>
    </xf>
    <xf numFmtId="262" fontId="46" fillId="0" borderId="0" applyNumberFormat="0" applyFill="0" applyBorder="0" applyProtection="0">
      <alignment horizontal="centerContinuous"/>
    </xf>
    <xf numFmtId="0" fontId="46" fillId="0" borderId="0" applyNumberFormat="0" applyFill="0" applyBorder="0" applyProtection="0">
      <alignment horizontal="centerContinuous"/>
    </xf>
    <xf numFmtId="0" fontId="44" fillId="0" borderId="0" applyNumberFormat="0" applyFill="0" applyBorder="0" applyAlignment="0" applyProtection="0"/>
    <xf numFmtId="1" fontId="291" fillId="0" borderId="0"/>
    <xf numFmtId="0" fontId="258" fillId="0" borderId="0"/>
    <xf numFmtId="3" fontId="142" fillId="0" borderId="0"/>
    <xf numFmtId="177" fontId="39" fillId="0" borderId="0" applyBorder="0"/>
    <xf numFmtId="2" fontId="258" fillId="0" borderId="0"/>
    <xf numFmtId="39" fontId="39" fillId="0" borderId="0" applyFont="0" applyFill="0" applyBorder="0" applyAlignment="0" applyProtection="0"/>
    <xf numFmtId="0" fontId="292" fillId="80" borderId="0" applyNumberFormat="0" applyBorder="0" applyAlignment="0" applyProtection="0"/>
    <xf numFmtId="0" fontId="292" fillId="80" borderId="0" applyNumberFormat="0" applyBorder="0" applyAlignment="0" applyProtection="0"/>
    <xf numFmtId="0" fontId="293" fillId="66" borderId="0" applyNumberFormat="0" applyBorder="0" applyAlignment="0" applyProtection="0"/>
    <xf numFmtId="0" fontId="293" fillId="66" borderId="0" applyNumberFormat="0" applyBorder="0" applyAlignment="0" applyProtection="0"/>
    <xf numFmtId="0" fontId="293" fillId="66" borderId="0" applyNumberFormat="0" applyBorder="0" applyAlignment="0" applyProtection="0"/>
    <xf numFmtId="0" fontId="292" fillId="81" borderId="0" applyNumberFormat="0" applyBorder="0" applyAlignment="0" applyProtection="0"/>
    <xf numFmtId="0" fontId="292" fillId="81" borderId="0" applyNumberFormat="0" applyBorder="0" applyAlignment="0" applyProtection="0"/>
    <xf numFmtId="0" fontId="293" fillId="68" borderId="0" applyNumberFormat="0" applyBorder="0" applyAlignment="0" applyProtection="0"/>
    <xf numFmtId="0" fontId="293" fillId="68" borderId="0" applyNumberFormat="0" applyBorder="0" applyAlignment="0" applyProtection="0"/>
    <xf numFmtId="0" fontId="293" fillId="68" borderId="0" applyNumberFormat="0" applyBorder="0" applyAlignment="0" applyProtection="0"/>
    <xf numFmtId="0" fontId="292" fillId="52" borderId="0" applyNumberFormat="0" applyBorder="0" applyAlignment="0" applyProtection="0"/>
    <xf numFmtId="0" fontId="292" fillId="52" borderId="0" applyNumberFormat="0" applyBorder="0" applyAlignment="0" applyProtection="0"/>
    <xf numFmtId="0" fontId="293" fillId="71" borderId="0" applyNumberFormat="0" applyBorder="0" applyAlignment="0" applyProtection="0"/>
    <xf numFmtId="0" fontId="293" fillId="71" borderId="0" applyNumberFormat="0" applyBorder="0" applyAlignment="0" applyProtection="0"/>
    <xf numFmtId="0" fontId="293" fillId="71" borderId="0" applyNumberFormat="0" applyBorder="0" applyAlignment="0" applyProtection="0"/>
    <xf numFmtId="0" fontId="292" fillId="82" borderId="0" applyNumberFormat="0" applyBorder="0" applyAlignment="0" applyProtection="0"/>
    <xf numFmtId="0" fontId="292" fillId="82" borderId="0" applyNumberFormat="0" applyBorder="0" applyAlignment="0" applyProtection="0"/>
    <xf numFmtId="0" fontId="293" fillId="73" borderId="0" applyNumberFormat="0" applyBorder="0" applyAlignment="0" applyProtection="0"/>
    <xf numFmtId="0" fontId="293" fillId="73" borderId="0" applyNumberFormat="0" applyBorder="0" applyAlignment="0" applyProtection="0"/>
    <xf numFmtId="0" fontId="293" fillId="73" borderId="0" applyNumberFormat="0" applyBorder="0" applyAlignment="0" applyProtection="0"/>
    <xf numFmtId="0" fontId="292" fillId="83" borderId="0" applyNumberFormat="0" applyBorder="0" applyAlignment="0" applyProtection="0"/>
    <xf numFmtId="0" fontId="292" fillId="83" borderId="0" applyNumberFormat="0" applyBorder="0" applyAlignment="0" applyProtection="0"/>
    <xf numFmtId="0" fontId="293" fillId="75" borderId="0" applyNumberFormat="0" applyBorder="0" applyAlignment="0" applyProtection="0"/>
    <xf numFmtId="0" fontId="293" fillId="75" borderId="0" applyNumberFormat="0" applyBorder="0" applyAlignment="0" applyProtection="0"/>
    <xf numFmtId="0" fontId="293" fillId="75" borderId="0" applyNumberFormat="0" applyBorder="0" applyAlignment="0" applyProtection="0"/>
    <xf numFmtId="0" fontId="292" fillId="28" borderId="0" applyNumberFormat="0" applyBorder="0" applyAlignment="0" applyProtection="0"/>
    <xf numFmtId="0" fontId="292" fillId="28" borderId="0" applyNumberFormat="0" applyBorder="0" applyAlignment="0" applyProtection="0"/>
    <xf numFmtId="0" fontId="293" fillId="77" borderId="0" applyNumberFormat="0" applyBorder="0" applyAlignment="0" applyProtection="0"/>
    <xf numFmtId="0" fontId="293" fillId="77" borderId="0" applyNumberFormat="0" applyBorder="0" applyAlignment="0" applyProtection="0"/>
    <xf numFmtId="0" fontId="293" fillId="77" borderId="0" applyNumberFormat="0" applyBorder="0" applyAlignment="0" applyProtection="0"/>
    <xf numFmtId="174" fontId="39" fillId="0" borderId="0" applyFont="0" applyFill="0" applyBorder="0" applyAlignment="0" applyProtection="0"/>
    <xf numFmtId="0" fontId="292" fillId="84" borderId="0" applyNumberFormat="0" applyBorder="0" applyAlignment="0" applyProtection="0"/>
    <xf numFmtId="0" fontId="292" fillId="84" borderId="0" applyNumberFormat="0" applyBorder="0" applyAlignment="0" applyProtection="0"/>
    <xf numFmtId="0" fontId="293" fillId="67" borderId="0" applyNumberFormat="0" applyBorder="0" applyAlignment="0" applyProtection="0"/>
    <xf numFmtId="0" fontId="293" fillId="67" borderId="0" applyNumberFormat="0" applyBorder="0" applyAlignment="0" applyProtection="0"/>
    <xf numFmtId="0" fontId="293" fillId="67" borderId="0" applyNumberFormat="0" applyBorder="0" applyAlignment="0" applyProtection="0"/>
    <xf numFmtId="0" fontId="292" fillId="85" borderId="0" applyNumberFormat="0" applyBorder="0" applyAlignment="0" applyProtection="0"/>
    <xf numFmtId="0" fontId="292" fillId="85" borderId="0" applyNumberFormat="0" applyBorder="0" applyAlignment="0" applyProtection="0"/>
    <xf numFmtId="0" fontId="293" fillId="69" borderId="0" applyNumberFormat="0" applyBorder="0" applyAlignment="0" applyProtection="0"/>
    <xf numFmtId="0" fontId="293" fillId="69" borderId="0" applyNumberFormat="0" applyBorder="0" applyAlignment="0" applyProtection="0"/>
    <xf numFmtId="0" fontId="293" fillId="69" borderId="0" applyNumberFormat="0" applyBorder="0" applyAlignment="0" applyProtection="0"/>
    <xf numFmtId="0" fontId="292" fillId="18" borderId="0" applyNumberFormat="0" applyBorder="0" applyAlignment="0" applyProtection="0"/>
    <xf numFmtId="0" fontId="292" fillId="18" borderId="0" applyNumberFormat="0" applyBorder="0" applyAlignment="0" applyProtection="0"/>
    <xf numFmtId="0" fontId="293" fillId="72" borderId="0" applyNumberFormat="0" applyBorder="0" applyAlignment="0" applyProtection="0"/>
    <xf numFmtId="0" fontId="293" fillId="72" borderId="0" applyNumberFormat="0" applyBorder="0" applyAlignment="0" applyProtection="0"/>
    <xf numFmtId="0" fontId="293" fillId="72" borderId="0" applyNumberFormat="0" applyBorder="0" applyAlignment="0" applyProtection="0"/>
    <xf numFmtId="0" fontId="292" fillId="82" borderId="0" applyNumberFormat="0" applyBorder="0" applyAlignment="0" applyProtection="0"/>
    <xf numFmtId="0" fontId="292" fillId="82" borderId="0" applyNumberFormat="0" applyBorder="0" applyAlignment="0" applyProtection="0"/>
    <xf numFmtId="0" fontId="293" fillId="74" borderId="0" applyNumberFormat="0" applyBorder="0" applyAlignment="0" applyProtection="0"/>
    <xf numFmtId="0" fontId="293" fillId="74" borderId="0" applyNumberFormat="0" applyBorder="0" applyAlignment="0" applyProtection="0"/>
    <xf numFmtId="0" fontId="293" fillId="74" borderId="0" applyNumberFormat="0" applyBorder="0" applyAlignment="0" applyProtection="0"/>
    <xf numFmtId="0" fontId="292" fillId="84" borderId="0" applyNumberFormat="0" applyBorder="0" applyAlignment="0" applyProtection="0"/>
    <xf numFmtId="0" fontId="292" fillId="84" borderId="0" applyNumberFormat="0" applyBorder="0" applyAlignment="0" applyProtection="0"/>
    <xf numFmtId="0" fontId="293" fillId="76" borderId="0" applyNumberFormat="0" applyBorder="0" applyAlignment="0" applyProtection="0"/>
    <xf numFmtId="0" fontId="293" fillId="76" borderId="0" applyNumberFormat="0" applyBorder="0" applyAlignment="0" applyProtection="0"/>
    <xf numFmtId="0" fontId="293" fillId="76" borderId="0" applyNumberFormat="0" applyBorder="0" applyAlignment="0" applyProtection="0"/>
    <xf numFmtId="0" fontId="292" fillId="86" borderId="0" applyNumberFormat="0" applyBorder="0" applyAlignment="0" applyProtection="0"/>
    <xf numFmtId="0" fontId="292" fillId="86" borderId="0" applyNumberFormat="0" applyBorder="0" applyAlignment="0" applyProtection="0"/>
    <xf numFmtId="0" fontId="293" fillId="78" borderId="0" applyNumberFormat="0" applyBorder="0" applyAlignment="0" applyProtection="0"/>
    <xf numFmtId="0" fontId="293" fillId="78" borderId="0" applyNumberFormat="0" applyBorder="0" applyAlignment="0" applyProtection="0"/>
    <xf numFmtId="0" fontId="293" fillId="78" borderId="0" applyNumberFormat="0" applyBorder="0" applyAlignment="0" applyProtection="0"/>
    <xf numFmtId="0" fontId="294" fillId="87" borderId="0" applyNumberFormat="0" applyBorder="0" applyAlignment="0" applyProtection="0"/>
    <xf numFmtId="0" fontId="294" fillId="87" borderId="0" applyNumberFormat="0" applyBorder="0" applyAlignment="0" applyProtection="0"/>
    <xf numFmtId="0" fontId="294" fillId="85" borderId="0" applyNumberFormat="0" applyBorder="0" applyAlignment="0" applyProtection="0"/>
    <xf numFmtId="0" fontId="294" fillId="85" borderId="0" applyNumberFormat="0" applyBorder="0" applyAlignment="0" applyProtection="0"/>
    <xf numFmtId="0" fontId="294" fillId="18" borderId="0" applyNumberFormat="0" applyBorder="0" applyAlignment="0" applyProtection="0"/>
    <xf numFmtId="0" fontId="294" fillId="18" borderId="0" applyNumberFormat="0" applyBorder="0" applyAlignment="0" applyProtection="0"/>
    <xf numFmtId="0" fontId="294" fillId="88" borderId="0" applyNumberFormat="0" applyBorder="0" applyAlignment="0" applyProtection="0"/>
    <xf numFmtId="0" fontId="294" fillId="88" borderId="0" applyNumberFormat="0" applyBorder="0" applyAlignment="0" applyProtection="0"/>
    <xf numFmtId="0" fontId="294" fillId="89" borderId="0" applyNumberFormat="0" applyBorder="0" applyAlignment="0" applyProtection="0"/>
    <xf numFmtId="0" fontId="294" fillId="89" borderId="0" applyNumberFormat="0" applyBorder="0" applyAlignment="0" applyProtection="0"/>
    <xf numFmtId="0" fontId="294" fillId="90" borderId="0" applyNumberFormat="0" applyBorder="0" applyAlignment="0" applyProtection="0"/>
    <xf numFmtId="0" fontId="294" fillId="90" borderId="0" applyNumberFormat="0" applyBorder="0" applyAlignment="0" applyProtection="0"/>
    <xf numFmtId="0" fontId="294" fillId="53" borderId="0" applyNumberFormat="0" applyBorder="0" applyAlignment="0" applyProtection="0"/>
    <xf numFmtId="0" fontId="294" fillId="53" borderId="0" applyNumberFormat="0" applyBorder="0" applyAlignment="0" applyProtection="0"/>
    <xf numFmtId="0" fontId="294" fillId="17" borderId="0" applyNumberFormat="0" applyBorder="0" applyAlignment="0" applyProtection="0"/>
    <xf numFmtId="0" fontId="294" fillId="17" borderId="0" applyNumberFormat="0" applyBorder="0" applyAlignment="0" applyProtection="0"/>
    <xf numFmtId="0" fontId="294" fillId="91" borderId="0" applyNumberFormat="0" applyBorder="0" applyAlignment="0" applyProtection="0"/>
    <xf numFmtId="0" fontId="294" fillId="91" borderId="0" applyNumberFormat="0" applyBorder="0" applyAlignment="0" applyProtection="0"/>
    <xf numFmtId="0" fontId="294" fillId="88" borderId="0" applyNumberFormat="0" applyBorder="0" applyAlignment="0" applyProtection="0"/>
    <xf numFmtId="0" fontId="294" fillId="88" borderId="0" applyNumberFormat="0" applyBorder="0" applyAlignment="0" applyProtection="0"/>
    <xf numFmtId="0" fontId="294" fillId="89" borderId="0" applyNumberFormat="0" applyBorder="0" applyAlignment="0" applyProtection="0"/>
    <xf numFmtId="0" fontId="294" fillId="89" borderId="0" applyNumberFormat="0" applyBorder="0" applyAlignment="0" applyProtection="0"/>
    <xf numFmtId="0" fontId="294" fillId="92" borderId="0" applyNumberFormat="0" applyBorder="0" applyAlignment="0" applyProtection="0"/>
    <xf numFmtId="0" fontId="294" fillId="92" borderId="0" applyNumberFormat="0" applyBorder="0" applyAlignment="0" applyProtection="0"/>
    <xf numFmtId="249" fontId="6" fillId="0" borderId="0" applyFont="0" applyFill="0" applyBorder="0" applyProtection="0"/>
    <xf numFmtId="352" fontId="54" fillId="0" borderId="0" applyFont="0" applyFill="0" applyBorder="0" applyAlignment="0">
      <alignment vertical="center"/>
    </xf>
    <xf numFmtId="182" fontId="295" fillId="93" borderId="0" applyNumberFormat="0" applyFont="0" applyBorder="0" applyAlignment="0">
      <alignment horizontal="right"/>
    </xf>
    <xf numFmtId="353" fontId="82" fillId="93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296" fillId="0" borderId="27" applyNumberFormat="0" applyFill="0" applyBorder="0" applyAlignment="0" applyProtection="0"/>
    <xf numFmtId="0" fontId="19" fillId="0" borderId="27" applyNumberFormat="0" applyFill="0" applyBorder="0" applyAlignment="0" applyProtection="0"/>
    <xf numFmtId="0" fontId="147" fillId="0" borderId="27" applyNumberFormat="0" applyFill="0" applyBorder="0" applyAlignment="0" applyProtection="0"/>
    <xf numFmtId="0" fontId="297" fillId="0" borderId="0" applyNumberFormat="0" applyFill="0" applyBorder="0" applyAlignment="0" applyProtection="0"/>
    <xf numFmtId="0" fontId="298" fillId="70" borderId="0" applyBorder="0" applyProtection="0">
      <alignment vertical="center"/>
    </xf>
    <xf numFmtId="0" fontId="299" fillId="81" borderId="0" applyNumberFormat="0" applyBorder="0" applyAlignment="0" applyProtection="0"/>
    <xf numFmtId="0" fontId="299" fillId="81" borderId="0" applyNumberFormat="0" applyBorder="0" applyAlignment="0" applyProtection="0"/>
    <xf numFmtId="0" fontId="1" fillId="34" borderId="66" applyNumberFormat="0" applyAlignment="0" applyProtection="0"/>
    <xf numFmtId="355" fontId="300" fillId="34" borderId="0" applyNumberFormat="0" applyBorder="0">
      <alignment horizontal="center" vertical="center"/>
    </xf>
    <xf numFmtId="0" fontId="93" fillId="47" borderId="7" applyFill="0" applyBorder="0" applyProtection="0">
      <alignment horizontal="left"/>
    </xf>
    <xf numFmtId="0" fontId="7" fillId="34" borderId="66"/>
    <xf numFmtId="0" fontId="1" fillId="34" borderId="67">
      <alignment horizontal="center"/>
    </xf>
    <xf numFmtId="165" fontId="146" fillId="0" borderId="0">
      <alignment horizontal="right"/>
      <protection locked="0"/>
    </xf>
    <xf numFmtId="0" fontId="54" fillId="0" borderId="0" applyNumberFormat="0" applyFill="0" applyBorder="0" applyAlignment="0" applyProtection="0"/>
    <xf numFmtId="252" fontId="54" fillId="0" borderId="66" applyNumberFormat="0" applyFont="0" applyFill="0" applyAlignment="0">
      <alignment vertical="center"/>
    </xf>
    <xf numFmtId="0" fontId="35" fillId="0" borderId="33">
      <alignment horizontal="right"/>
    </xf>
    <xf numFmtId="0" fontId="82" fillId="0" borderId="0"/>
    <xf numFmtId="0" fontId="82" fillId="0" borderId="0"/>
    <xf numFmtId="0" fontId="82" fillId="0" borderId="0"/>
    <xf numFmtId="0" fontId="30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2" fontId="4" fillId="94" borderId="0" applyNumberFormat="0" applyFont="0" applyBorder="0" applyAlignment="0" applyProtection="0"/>
    <xf numFmtId="0" fontId="302" fillId="51" borderId="68" applyNumberFormat="0" applyAlignment="0" applyProtection="0"/>
    <xf numFmtId="0" fontId="302" fillId="51" borderId="68" applyNumberFormat="0" applyAlignment="0" applyProtection="0"/>
    <xf numFmtId="0" fontId="303" fillId="95" borderId="69" applyNumberFormat="0" applyAlignment="0" applyProtection="0"/>
    <xf numFmtId="0" fontId="303" fillId="95" borderId="69" applyNumberFormat="0" applyAlignment="0" applyProtection="0"/>
    <xf numFmtId="356" fontId="6" fillId="0" borderId="0"/>
    <xf numFmtId="0" fontId="304" fillId="0" borderId="0" applyNumberFormat="0" applyFill="0" applyBorder="0" applyAlignment="0" applyProtection="0">
      <alignment vertical="top"/>
      <protection locked="0"/>
    </xf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0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5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306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2" fillId="0" borderId="0" applyFont="0" applyFill="0" applyBorder="0" applyAlignment="0" applyProtection="0"/>
    <xf numFmtId="171" fontId="293" fillId="0" borderId="0" applyFont="0" applyFill="0" applyBorder="0" applyAlignment="0" applyProtection="0"/>
    <xf numFmtId="357" fontId="39" fillId="0" borderId="0"/>
    <xf numFmtId="37" fontId="307" fillId="0" borderId="0" applyFont="0" applyFill="0" applyBorder="0" applyAlignment="0" applyProtection="0"/>
    <xf numFmtId="0" fontId="308" fillId="39" borderId="0">
      <alignment horizontal="center" vertical="center" wrapText="1"/>
    </xf>
    <xf numFmtId="3" fontId="6" fillId="12" borderId="0">
      <protection hidden="1"/>
    </xf>
    <xf numFmtId="0" fontId="6" fillId="12" borderId="0">
      <protection hidden="1"/>
    </xf>
    <xf numFmtId="0" fontId="309" fillId="12" borderId="0">
      <protection hidden="1"/>
    </xf>
    <xf numFmtId="358" fontId="32" fillId="12" borderId="0">
      <protection hidden="1"/>
    </xf>
    <xf numFmtId="299" fontId="6" fillId="0" borderId="70" applyFont="0" applyFill="0" applyBorder="0" applyAlignment="0" applyProtection="0"/>
    <xf numFmtId="219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0" fillId="0" borderId="0" applyFont="0" applyFill="0" applyBorder="0" applyAlignment="0" applyProtection="0"/>
    <xf numFmtId="15" fontId="310" fillId="0" borderId="0" applyFont="0" applyFill="0" applyBorder="0" applyAlignment="0" applyProtection="0"/>
    <xf numFmtId="17" fontId="310" fillId="0" borderId="0" applyFont="0" applyFill="0" applyBorder="0" applyAlignment="0" applyProtection="0"/>
    <xf numFmtId="360" fontId="6" fillId="0" borderId="25"/>
    <xf numFmtId="182" fontId="6" fillId="0" borderId="0"/>
    <xf numFmtId="0" fontId="309" fillId="0" borderId="0">
      <protection hidden="1"/>
    </xf>
    <xf numFmtId="0" fontId="6" fillId="0" borderId="0">
      <protection hidden="1"/>
    </xf>
    <xf numFmtId="0" fontId="28" fillId="0" borderId="0">
      <protection hidden="1"/>
    </xf>
    <xf numFmtId="361" fontId="54" fillId="0" borderId="0"/>
    <xf numFmtId="3" fontId="309" fillId="0" borderId="71"/>
    <xf numFmtId="0" fontId="50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85" fillId="0" borderId="0"/>
    <xf numFmtId="364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285" fillId="0" borderId="0"/>
    <xf numFmtId="0" fontId="6" fillId="0" borderId="0"/>
    <xf numFmtId="0" fontId="3" fillId="3" borderId="76"/>
    <xf numFmtId="0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4" fillId="0" borderId="0" applyNumberFormat="0" applyFill="0" applyBorder="0" applyAlignment="0"/>
    <xf numFmtId="0" fontId="252" fillId="0" borderId="0" applyNumberFormat="0" applyFill="0" applyBorder="0" applyAlignment="0"/>
    <xf numFmtId="0" fontId="285" fillId="0" borderId="0" applyFont="0" applyFill="0" applyBorder="0" applyAlignment="0" applyProtection="0"/>
    <xf numFmtId="0" fontId="303" fillId="98" borderId="0"/>
    <xf numFmtId="0" fontId="101" fillId="0" borderId="0" applyFont="0" applyFill="0" applyBorder="0" applyAlignment="0" applyProtection="0">
      <alignment horizontal="right"/>
    </xf>
    <xf numFmtId="170" fontId="285" fillId="0" borderId="0" applyFont="0" applyFill="0" applyBorder="0" applyAlignment="0" applyProtection="0"/>
    <xf numFmtId="173" fontId="300" fillId="99" borderId="0" applyNumberFormat="0" applyBorder="0" applyProtection="0">
      <alignment vertical="center"/>
    </xf>
    <xf numFmtId="0" fontId="314" fillId="0" borderId="75" applyNumberFormat="0" applyFill="0" applyAlignment="0" applyProtection="0"/>
    <xf numFmtId="173" fontId="315" fillId="0" borderId="0" applyFill="0" applyBorder="0" applyAlignment="0" applyProtection="0"/>
    <xf numFmtId="0" fontId="316" fillId="100" borderId="0" applyProtection="0">
      <alignment vertical="center"/>
    </xf>
    <xf numFmtId="173" fontId="8" fillId="3" borderId="8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168" fontId="54" fillId="3" borderId="80"/>
    <xf numFmtId="241" fontId="4" fillId="3" borderId="80"/>
    <xf numFmtId="181" fontId="54" fillId="3" borderId="80"/>
    <xf numFmtId="248" fontId="3" fillId="3" borderId="79" applyFill="0" applyBorder="0" applyAlignment="0" applyProtection="0"/>
    <xf numFmtId="0" fontId="75" fillId="13" borderId="62" applyNumberFormat="0" applyFill="0" applyBorder="0" applyAlignment="0" applyProtection="0">
      <protection locked="0"/>
    </xf>
    <xf numFmtId="265" fontId="68" fillId="0" borderId="72" applyNumberFormat="0" applyFont="0" applyFill="0" applyAlignment="0" applyProtection="0"/>
    <xf numFmtId="0" fontId="28" fillId="0" borderId="62" applyNumberFormat="0" applyFont="0" applyFill="0" applyAlignment="0" applyProtection="0"/>
    <xf numFmtId="0" fontId="28" fillId="0" borderId="72" applyNumberFormat="0" applyFont="0" applyFill="0" applyAlignment="0" applyProtection="0"/>
    <xf numFmtId="0" fontId="25" fillId="0" borderId="72"/>
    <xf numFmtId="249" fontId="31" fillId="0" borderId="72"/>
    <xf numFmtId="170" fontId="31" fillId="0" borderId="72"/>
    <xf numFmtId="168" fontId="13" fillId="0" borderId="72"/>
    <xf numFmtId="185" fontId="13" fillId="0" borderId="72"/>
    <xf numFmtId="181" fontId="4" fillId="0" borderId="72"/>
    <xf numFmtId="228" fontId="4" fillId="0" borderId="72"/>
    <xf numFmtId="196" fontId="4" fillId="0" borderId="72"/>
    <xf numFmtId="169" fontId="13" fillId="0" borderId="72"/>
    <xf numFmtId="165" fontId="13" fillId="0" borderId="72"/>
    <xf numFmtId="15" fontId="112" fillId="0" borderId="72" applyBorder="0">
      <alignment horizontal="center"/>
    </xf>
    <xf numFmtId="14" fontId="143" fillId="3" borderId="79" applyProtection="0">
      <alignment horizontal="right"/>
    </xf>
    <xf numFmtId="181" fontId="6" fillId="3" borderId="78" applyProtection="0">
      <alignment horizontal="right"/>
    </xf>
    <xf numFmtId="173" fontId="143" fillId="3" borderId="79">
      <alignment horizontal="right"/>
    </xf>
    <xf numFmtId="173" fontId="143" fillId="3" borderId="79">
      <alignment horizontal="right"/>
    </xf>
    <xf numFmtId="199" fontId="29" fillId="0" borderId="62" applyFont="0" applyFill="0" applyBorder="0" applyAlignment="0" applyProtection="0"/>
    <xf numFmtId="10" fontId="32" fillId="0" borderId="62"/>
    <xf numFmtId="10" fontId="32" fillId="0" borderId="62"/>
    <xf numFmtId="318" fontId="78" fillId="3" borderId="79">
      <alignment horizontal="right"/>
    </xf>
    <xf numFmtId="9" fontId="13" fillId="0" borderId="72"/>
    <xf numFmtId="188" fontId="6" fillId="13" borderId="62" applyFill="0" applyBorder="0" applyAlignment="0" applyProtection="0"/>
    <xf numFmtId="181" fontId="13" fillId="0" borderId="72"/>
    <xf numFmtId="10" fontId="13" fillId="0" borderId="72"/>
    <xf numFmtId="318" fontId="78" fillId="3" borderId="79">
      <alignment horizontal="right"/>
    </xf>
    <xf numFmtId="0" fontId="4" fillId="0" borderId="72"/>
    <xf numFmtId="185" fontId="25" fillId="0" borderId="72">
      <alignment horizontal="right"/>
    </xf>
    <xf numFmtId="249" fontId="32" fillId="0" borderId="72"/>
    <xf numFmtId="185" fontId="32" fillId="0" borderId="72"/>
    <xf numFmtId="170" fontId="32" fillId="0" borderId="72"/>
    <xf numFmtId="0" fontId="2" fillId="0" borderId="72">
      <alignment horizontal="right"/>
    </xf>
    <xf numFmtId="3" fontId="44" fillId="0" borderId="72"/>
    <xf numFmtId="0" fontId="66" fillId="13" borderId="72" applyNumberFormat="0" applyFont="0" applyFill="0" applyAlignment="0" applyProtection="0">
      <protection locked="0"/>
    </xf>
    <xf numFmtId="258" fontId="4" fillId="0" borderId="72"/>
    <xf numFmtId="257" fontId="4" fillId="0" borderId="72"/>
    <xf numFmtId="173" fontId="6" fillId="0" borderId="72" applyNumberFormat="0" applyFont="0" applyFill="0" applyAlignment="0"/>
    <xf numFmtId="0" fontId="29" fillId="0" borderId="72" applyProtection="0">
      <alignment vertical="top"/>
    </xf>
    <xf numFmtId="173" fontId="3" fillId="3" borderId="79"/>
    <xf numFmtId="173" fontId="8" fillId="3" borderId="80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173" fontId="3" fillId="3" borderId="79"/>
    <xf numFmtId="0" fontId="8" fillId="3" borderId="80"/>
    <xf numFmtId="0" fontId="54" fillId="0" borderId="72"/>
    <xf numFmtId="0" fontId="6" fillId="0" borderId="0">
      <alignment vertical="center"/>
    </xf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262" fontId="44" fillId="0" borderId="81" applyNumberFormat="0" applyFill="0" applyAlignment="0" applyProtection="0"/>
    <xf numFmtId="262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262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44" fillId="0" borderId="81" applyNumberFormat="0" applyFill="0" applyAlignment="0" applyProtection="0"/>
    <xf numFmtId="0" fontId="93" fillId="47" borderId="73" applyFill="0" applyBorder="0" applyProtection="0">
      <alignment horizontal="left"/>
    </xf>
  </cellStyleXfs>
  <cellXfs count="257">
    <xf numFmtId="0" fontId="0" fillId="0" borderId="0" xfId="0"/>
    <xf numFmtId="173" fontId="0" fillId="0" borderId="0" xfId="0" applyNumberFormat="1"/>
    <xf numFmtId="173" fontId="12" fillId="0" borderId="0" xfId="0" applyNumberFormat="1" applyFont="1"/>
    <xf numFmtId="174" fontId="9" fillId="0" borderId="0" xfId="0" applyNumberFormat="1" applyFont="1" applyAlignment="1">
      <alignment horizontal="right"/>
    </xf>
    <xf numFmtId="0" fontId="12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2" fillId="0" borderId="0" xfId="0" applyNumberFormat="1" applyFont="1"/>
    <xf numFmtId="173" fontId="12" fillId="0" borderId="0" xfId="0" applyNumberFormat="1" applyFont="1" applyAlignment="1">
      <alignment horizontal="right"/>
    </xf>
    <xf numFmtId="176" fontId="12" fillId="0" borderId="0" xfId="0" applyNumberFormat="1" applyFont="1" applyAlignment="1">
      <alignment horizontal="right"/>
    </xf>
    <xf numFmtId="173" fontId="9" fillId="0" borderId="0" xfId="0" applyNumberFormat="1" applyFont="1"/>
    <xf numFmtId="173" fontId="17" fillId="6" borderId="4" xfId="0" applyNumberFormat="1" applyFont="1" applyFill="1" applyBorder="1" applyAlignment="1">
      <alignment horizontal="left"/>
    </xf>
    <xf numFmtId="173" fontId="15" fillId="6" borderId="2" xfId="0" applyNumberFormat="1" applyFont="1" applyFill="1" applyBorder="1" applyAlignment="1">
      <alignment horizontal="left"/>
    </xf>
    <xf numFmtId="15" fontId="8" fillId="6" borderId="2" xfId="0" applyNumberFormat="1" applyFont="1" applyFill="1" applyBorder="1" applyAlignment="1">
      <alignment horizontal="left"/>
    </xf>
    <xf numFmtId="173" fontId="8" fillId="6" borderId="2" xfId="0" applyNumberFormat="1" applyFont="1" applyFill="1" applyBorder="1"/>
    <xf numFmtId="173" fontId="12" fillId="6" borderId="2" xfId="0" applyNumberFormat="1" applyFont="1" applyFill="1" applyBorder="1"/>
    <xf numFmtId="174" fontId="12" fillId="6" borderId="2" xfId="0" applyNumberFormat="1" applyFont="1" applyFill="1" applyBorder="1"/>
    <xf numFmtId="173" fontId="20" fillId="0" borderId="0" xfId="0" applyNumberFormat="1" applyFont="1"/>
    <xf numFmtId="0" fontId="16" fillId="0" borderId="2" xfId="0" applyFont="1" applyBorder="1"/>
    <xf numFmtId="173" fontId="2" fillId="6" borderId="2" xfId="0" applyNumberFormat="1" applyFont="1" applyFill="1" applyBorder="1"/>
    <xf numFmtId="0" fontId="16" fillId="0" borderId="0" xfId="0" applyFont="1"/>
    <xf numFmtId="174" fontId="0" fillId="7" borderId="11" xfId="0" applyNumberFormat="1" applyFill="1" applyBorder="1"/>
    <xf numFmtId="0" fontId="6" fillId="0" borderId="0" xfId="1686"/>
    <xf numFmtId="0" fontId="16" fillId="7" borderId="11" xfId="0" applyFont="1" applyFill="1" applyBorder="1" applyAlignment="1">
      <alignment horizontal="center"/>
    </xf>
    <xf numFmtId="173" fontId="12" fillId="0" borderId="0" xfId="0" applyNumberFormat="1" applyFont="1" applyAlignment="1">
      <alignment horizontal="left"/>
    </xf>
    <xf numFmtId="173" fontId="251" fillId="0" borderId="0" xfId="0" applyNumberFormat="1" applyFont="1"/>
    <xf numFmtId="173" fontId="6" fillId="0" borderId="2" xfId="0" applyNumberFormat="1" applyFont="1" applyBorder="1"/>
    <xf numFmtId="0" fontId="251" fillId="0" borderId="0" xfId="0" applyFont="1"/>
    <xf numFmtId="0" fontId="20" fillId="0" borderId="0" xfId="0" applyFont="1"/>
    <xf numFmtId="176" fontId="253" fillId="59" borderId="58" xfId="0" applyNumberFormat="1" applyFont="1" applyFill="1" applyBorder="1" applyAlignment="1">
      <alignment horizontal="right"/>
    </xf>
    <xf numFmtId="0" fontId="253" fillId="0" borderId="0" xfId="0" applyFont="1"/>
    <xf numFmtId="0" fontId="254" fillId="0" borderId="0" xfId="0" applyFont="1" applyAlignment="1">
      <alignment horizontal="left" indent="1"/>
    </xf>
    <xf numFmtId="173" fontId="253" fillId="0" borderId="0" xfId="0" applyNumberFormat="1" applyFont="1"/>
    <xf numFmtId="0" fontId="0" fillId="0" borderId="10" xfId="0" applyBorder="1"/>
    <xf numFmtId="0" fontId="255" fillId="60" borderId="0" xfId="0" applyFont="1" applyFill="1" applyAlignment="1">
      <alignment horizontal="left"/>
    </xf>
    <xf numFmtId="0" fontId="253" fillId="59" borderId="58" xfId="0" applyFont="1" applyFill="1" applyBorder="1"/>
    <xf numFmtId="175" fontId="253" fillId="59" borderId="58" xfId="0" applyNumberFormat="1" applyFont="1" applyFill="1" applyBorder="1" applyAlignment="1">
      <alignment horizontal="right"/>
    </xf>
    <xf numFmtId="0" fontId="256" fillId="0" borderId="0" xfId="0" applyFont="1"/>
    <xf numFmtId="0" fontId="255" fillId="61" borderId="0" xfId="0" applyFont="1" applyFill="1"/>
    <xf numFmtId="173" fontId="255" fillId="61" borderId="0" xfId="0" applyNumberFormat="1" applyFont="1" applyFill="1"/>
    <xf numFmtId="173" fontId="16" fillId="0" borderId="2" xfId="0" applyNumberFormat="1" applyFont="1" applyBorder="1"/>
    <xf numFmtId="174" fontId="0" fillId="0" borderId="0" xfId="0" applyNumberFormat="1"/>
    <xf numFmtId="0" fontId="244" fillId="0" borderId="0" xfId="0" applyFont="1"/>
    <xf numFmtId="174" fontId="244" fillId="0" borderId="0" xfId="0" applyNumberFormat="1" applyFont="1"/>
    <xf numFmtId="0" fontId="0" fillId="0" borderId="2" xfId="0" applyBorder="1"/>
    <xf numFmtId="174" fontId="16" fillId="0" borderId="2" xfId="0" applyNumberFormat="1" applyFont="1" applyBorder="1"/>
    <xf numFmtId="0" fontId="245" fillId="7" borderId="11" xfId="0" applyFont="1" applyFill="1" applyBorder="1"/>
    <xf numFmtId="10" fontId="0" fillId="7" borderId="0" xfId="0" applyNumberFormat="1" applyFill="1"/>
    <xf numFmtId="37" fontId="0" fillId="0" borderId="11" xfId="0" applyNumberFormat="1" applyBorder="1"/>
    <xf numFmtId="37" fontId="0" fillId="7" borderId="0" xfId="0" applyNumberFormat="1" applyFill="1"/>
    <xf numFmtId="37" fontId="0" fillId="0" borderId="0" xfId="0" applyNumberFormat="1"/>
    <xf numFmtId="37" fontId="0" fillId="0" borderId="9" xfId="0" applyNumberFormat="1" applyBorder="1"/>
    <xf numFmtId="37" fontId="0" fillId="0" borderId="10" xfId="0" applyNumberFormat="1" applyBorder="1"/>
    <xf numFmtId="0" fontId="253" fillId="59" borderId="0" xfId="0" applyFont="1" applyFill="1"/>
    <xf numFmtId="0" fontId="0" fillId="0" borderId="62" xfId="0" applyBorder="1"/>
    <xf numFmtId="174" fontId="244" fillId="0" borderId="62" xfId="0" applyNumberFormat="1" applyFont="1" applyBorder="1"/>
    <xf numFmtId="0" fontId="248" fillId="59" borderId="58" xfId="0" applyFont="1" applyFill="1" applyBorder="1"/>
    <xf numFmtId="0" fontId="255" fillId="62" borderId="0" xfId="0" applyFont="1" applyFill="1"/>
    <xf numFmtId="173" fontId="253" fillId="59" borderId="0" xfId="0" applyNumberFormat="1" applyFont="1" applyFill="1"/>
    <xf numFmtId="173" fontId="253" fillId="59" borderId="58" xfId="0" applyNumberFormat="1" applyFont="1" applyFill="1" applyBorder="1"/>
    <xf numFmtId="0" fontId="253" fillId="59" borderId="58" xfId="0" applyFont="1" applyFill="1" applyBorder="1" applyAlignment="1">
      <alignment horizontal="center"/>
    </xf>
    <xf numFmtId="0" fontId="16" fillId="7" borderId="0" xfId="0" applyFont="1" applyFill="1" applyAlignment="1">
      <alignment horizontal="left"/>
    </xf>
    <xf numFmtId="173" fontId="253" fillId="0" borderId="0" xfId="0" applyNumberFormat="1" applyFont="1" applyAlignment="1">
      <alignment horizontal="right"/>
    </xf>
    <xf numFmtId="174" fontId="16" fillId="0" borderId="0" xfId="0" applyNumberFormat="1" applyFont="1"/>
    <xf numFmtId="0" fontId="244" fillId="0" borderId="10" xfId="0" applyFont="1" applyBorder="1"/>
    <xf numFmtId="181" fontId="244" fillId="0" borderId="10" xfId="2309" applyNumberFormat="1" applyFont="1" applyBorder="1"/>
    <xf numFmtId="174" fontId="16" fillId="0" borderId="10" xfId="0" applyNumberFormat="1" applyFont="1" applyBorder="1"/>
    <xf numFmtId="0" fontId="16" fillId="7" borderId="0" xfId="0" applyFont="1" applyFill="1" applyAlignment="1">
      <alignment horizontal="center"/>
    </xf>
    <xf numFmtId="0" fontId="6" fillId="0" borderId="0" xfId="0" applyFont="1"/>
    <xf numFmtId="0" fontId="14" fillId="0" borderId="0" xfId="0" applyFont="1"/>
    <xf numFmtId="0" fontId="9" fillId="0" borderId="0" xfId="0" applyFont="1" applyAlignment="1">
      <alignment horizontal="right"/>
    </xf>
    <xf numFmtId="0" fontId="254" fillId="0" borderId="0" xfId="0" applyFont="1" applyAlignment="1">
      <alignment horizontal="right"/>
    </xf>
    <xf numFmtId="0" fontId="287" fillId="0" borderId="0" xfId="0" applyFont="1" applyAlignment="1">
      <alignment horizontal="right"/>
    </xf>
    <xf numFmtId="0" fontId="253" fillId="0" borderId="10" xfId="0" applyFont="1" applyBorder="1"/>
    <xf numFmtId="0" fontId="6" fillId="0" borderId="10" xfId="0" applyFont="1" applyBorder="1"/>
    <xf numFmtId="175" fontId="253" fillId="59" borderId="0" xfId="0" applyNumberFormat="1" applyFont="1" applyFill="1" applyAlignment="1">
      <alignment horizontal="right"/>
    </xf>
    <xf numFmtId="175" fontId="253" fillId="59" borderId="0" xfId="0" applyNumberFormat="1" applyFont="1" applyFill="1"/>
    <xf numFmtId="0" fontId="255" fillId="64" borderId="0" xfId="0" applyFont="1" applyFill="1"/>
    <xf numFmtId="175" fontId="255" fillId="64" borderId="0" xfId="0" applyNumberFormat="1" applyFont="1" applyFill="1" applyAlignment="1">
      <alignment horizontal="right"/>
    </xf>
    <xf numFmtId="174" fontId="254" fillId="0" borderId="0" xfId="0" applyNumberFormat="1" applyFont="1" applyAlignment="1">
      <alignment horizontal="right"/>
    </xf>
    <xf numFmtId="173" fontId="253" fillId="0" borderId="2" xfId="0" applyNumberFormat="1" applyFont="1" applyBorder="1"/>
    <xf numFmtId="0" fontId="253" fillId="0" borderId="0" xfId="1686" applyFont="1"/>
    <xf numFmtId="0" fontId="254" fillId="0" borderId="0" xfId="0" quotePrefix="1" applyFont="1" applyAlignment="1">
      <alignment horizontal="left" indent="1"/>
    </xf>
    <xf numFmtId="173" fontId="14" fillId="0" borderId="2" xfId="0" applyNumberFormat="1" applyFont="1" applyBorder="1"/>
    <xf numFmtId="10" fontId="12" fillId="0" borderId="0" xfId="0" applyNumberFormat="1" applyFont="1"/>
    <xf numFmtId="173" fontId="6" fillId="0" borderId="0" xfId="0" applyNumberFormat="1" applyFont="1"/>
    <xf numFmtId="173" fontId="288" fillId="0" borderId="2" xfId="0" applyNumberFormat="1" applyFont="1" applyBorder="1"/>
    <xf numFmtId="15" fontId="14" fillId="5" borderId="64" xfId="2" applyNumberFormat="1" applyFont="1" applyFill="1" applyBorder="1" applyAlignment="1">
      <alignment horizontal="right"/>
    </xf>
    <xf numFmtId="15" fontId="253" fillId="0" borderId="64" xfId="2" applyNumberFormat="1" applyFont="1" applyBorder="1" applyAlignment="1">
      <alignment horizontal="right"/>
    </xf>
    <xf numFmtId="181" fontId="290" fillId="0" borderId="0" xfId="2309" applyNumberFormat="1" applyFont="1" applyFill="1" applyBorder="1"/>
    <xf numFmtId="329" fontId="14" fillId="0" borderId="6" xfId="0" applyNumberFormat="1" applyFont="1" applyBorder="1"/>
    <xf numFmtId="197" fontId="253" fillId="0" borderId="0" xfId="0" applyNumberFormat="1" applyFont="1"/>
    <xf numFmtId="197" fontId="253" fillId="0" borderId="0" xfId="0" applyNumberFormat="1" applyFont="1" applyAlignment="1">
      <alignment horizontal="right"/>
    </xf>
    <xf numFmtId="329" fontId="254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173" fontId="8" fillId="79" borderId="6" xfId="0" applyNumberFormat="1" applyFont="1" applyFill="1" applyBorder="1" applyAlignment="1">
      <alignment horizontal="right"/>
    </xf>
    <xf numFmtId="256" fontId="6" fillId="0" borderId="0" xfId="1686" applyNumberFormat="1"/>
    <xf numFmtId="197" fontId="253" fillId="0" borderId="10" xfId="0" applyNumberFormat="1" applyFont="1" applyBorder="1"/>
    <xf numFmtId="330" fontId="0" fillId="0" borderId="0" xfId="0" applyNumberFormat="1"/>
    <xf numFmtId="0" fontId="253" fillId="59" borderId="58" xfId="0" applyFont="1" applyFill="1" applyBorder="1" applyAlignment="1">
      <alignment horizontal="right"/>
    </xf>
    <xf numFmtId="181" fontId="0" fillId="7" borderId="11" xfId="0" applyNumberFormat="1" applyFill="1" applyBorder="1"/>
    <xf numFmtId="181" fontId="0" fillId="7" borderId="9" xfId="0" applyNumberFormat="1" applyFill="1" applyBorder="1"/>
    <xf numFmtId="173" fontId="0" fillId="0" borderId="2" xfId="0" applyNumberFormat="1" applyBorder="1"/>
    <xf numFmtId="173" fontId="0" fillId="0" borderId="63" xfId="0" applyNumberFormat="1" applyBorder="1"/>
    <xf numFmtId="173" fontId="0" fillId="0" borderId="10" xfId="0" applyNumberFormat="1" applyBorder="1"/>
    <xf numFmtId="197" fontId="0" fillId="0" borderId="10" xfId="0" applyNumberFormat="1" applyBorder="1"/>
    <xf numFmtId="173" fontId="255" fillId="60" borderId="0" xfId="0" applyNumberFormat="1" applyFont="1" applyFill="1" applyAlignment="1">
      <alignment horizontal="right"/>
    </xf>
    <xf numFmtId="173" fontId="255" fillId="60" borderId="0" xfId="0" applyNumberFormat="1" applyFont="1" applyFill="1" applyAlignment="1">
      <alignment horizontal="left"/>
    </xf>
    <xf numFmtId="330" fontId="0" fillId="7" borderId="0" xfId="0" applyNumberFormat="1" applyFill="1"/>
    <xf numFmtId="176" fontId="253" fillId="59" borderId="0" xfId="0" applyNumberFormat="1" applyFont="1" applyFill="1" applyAlignment="1">
      <alignment horizontal="right"/>
    </xf>
    <xf numFmtId="175" fontId="14" fillId="59" borderId="58" xfId="0" applyNumberFormat="1" applyFont="1" applyFill="1" applyBorder="1" applyAlignment="1">
      <alignment horizontal="right"/>
    </xf>
    <xf numFmtId="329" fontId="0" fillId="0" borderId="0" xfId="0" applyNumberFormat="1"/>
    <xf numFmtId="173" fontId="311" fillId="0" borderId="0" xfId="0" applyNumberFormat="1" applyFont="1"/>
    <xf numFmtId="173" fontId="1" fillId="0" borderId="0" xfId="0" applyNumberFormat="1" applyFont="1"/>
    <xf numFmtId="0" fontId="311" fillId="0" borderId="0" xfId="0" applyFont="1"/>
    <xf numFmtId="0" fontId="1" fillId="0" borderId="0" xfId="0" applyFont="1"/>
    <xf numFmtId="173" fontId="14" fillId="0" borderId="0" xfId="0" applyNumberFormat="1" applyFont="1"/>
    <xf numFmtId="173" fontId="288" fillId="0" borderId="0" xfId="0" applyNumberFormat="1" applyFont="1"/>
    <xf numFmtId="173" fontId="245" fillId="7" borderId="11" xfId="0" applyNumberFormat="1" applyFont="1" applyFill="1" applyBorder="1"/>
    <xf numFmtId="256" fontId="0" fillId="0" borderId="0" xfId="0" applyNumberFormat="1"/>
    <xf numFmtId="0" fontId="312" fillId="0" borderId="0" xfId="0" applyFont="1" applyAlignment="1">
      <alignment vertical="center"/>
    </xf>
    <xf numFmtId="0" fontId="317" fillId="0" borderId="0" xfId="0" applyFont="1" applyAlignment="1">
      <alignment horizontal="left" vertical="center"/>
    </xf>
    <xf numFmtId="174" fontId="317" fillId="0" borderId="0" xfId="0" applyNumberFormat="1" applyFont="1" applyAlignment="1">
      <alignment horizontal="right" vertical="center"/>
    </xf>
    <xf numFmtId="0" fontId="317" fillId="0" borderId="0" xfId="0" applyFont="1" applyAlignment="1">
      <alignment horizontal="right" vertical="center"/>
    </xf>
    <xf numFmtId="0" fontId="313" fillId="0" borderId="0" xfId="0" applyFont="1" applyAlignment="1">
      <alignment vertical="center"/>
    </xf>
    <xf numFmtId="173" fontId="313" fillId="0" borderId="0" xfId="0" applyNumberFormat="1" applyFont="1" applyAlignment="1">
      <alignment vertical="center"/>
    </xf>
    <xf numFmtId="175" fontId="253" fillId="59" borderId="0" xfId="0" applyNumberFormat="1" applyFont="1" applyFill="1" applyAlignment="1">
      <alignment horizontal="center"/>
    </xf>
    <xf numFmtId="176" fontId="253" fillId="59" borderId="58" xfId="0" applyNumberFormat="1" applyFont="1" applyFill="1" applyBorder="1" applyAlignment="1">
      <alignment horizontal="center"/>
    </xf>
    <xf numFmtId="175" fontId="255" fillId="64" borderId="0" xfId="0" applyNumberFormat="1" applyFont="1" applyFill="1" applyAlignment="1">
      <alignment horizontal="center"/>
    </xf>
    <xf numFmtId="256" fontId="313" fillId="0" borderId="0" xfId="0" applyNumberFormat="1" applyFont="1" applyAlignment="1">
      <alignment horizontal="center" vertical="center"/>
    </xf>
    <xf numFmtId="174" fontId="317" fillId="0" borderId="0" xfId="0" applyNumberFormat="1" applyFont="1" applyAlignment="1">
      <alignment horizontal="center" vertical="center"/>
    </xf>
    <xf numFmtId="256" fontId="312" fillId="0" borderId="0" xfId="0" applyNumberFormat="1" applyFont="1" applyAlignment="1">
      <alignment horizontal="center" vertical="center"/>
    </xf>
    <xf numFmtId="329" fontId="317" fillId="0" borderId="0" xfId="0" applyNumberFormat="1" applyFont="1" applyAlignment="1">
      <alignment horizontal="center" vertical="center"/>
    </xf>
    <xf numFmtId="329" fontId="12" fillId="0" borderId="0" xfId="0" applyNumberFormat="1" applyFont="1"/>
    <xf numFmtId="173" fontId="15" fillId="6" borderId="0" xfId="0" applyNumberFormat="1" applyFont="1" applyFill="1" applyAlignment="1">
      <alignment horizontal="left"/>
    </xf>
    <xf numFmtId="0" fontId="255" fillId="63" borderId="0" xfId="0" applyFont="1" applyFill="1"/>
    <xf numFmtId="173" fontId="253" fillId="0" borderId="62" xfId="0" applyNumberFormat="1" applyFont="1" applyBorder="1"/>
    <xf numFmtId="173" fontId="0" fillId="0" borderId="62" xfId="0" applyNumberFormat="1" applyBorder="1"/>
    <xf numFmtId="181" fontId="290" fillId="0" borderId="62" xfId="2309" applyNumberFormat="1" applyFont="1" applyFill="1" applyBorder="1"/>
    <xf numFmtId="173" fontId="253" fillId="0" borderId="10" xfId="0" applyNumberFormat="1" applyFont="1" applyBorder="1"/>
    <xf numFmtId="175" fontId="253" fillId="59" borderId="77" xfId="0" applyNumberFormat="1" applyFont="1" applyFill="1" applyBorder="1" applyAlignment="1">
      <alignment horizontal="right"/>
    </xf>
    <xf numFmtId="0" fontId="0" fillId="0" borderId="63" xfId="0" applyBorder="1"/>
    <xf numFmtId="0" fontId="0" fillId="0" borderId="61" xfId="0" applyBorder="1"/>
    <xf numFmtId="329" fontId="244" fillId="0" borderId="0" xfId="0" applyNumberFormat="1" applyFont="1"/>
    <xf numFmtId="329" fontId="244" fillId="0" borderId="62" xfId="0" applyNumberFormat="1" applyFont="1" applyBorder="1"/>
    <xf numFmtId="37" fontId="253" fillId="0" borderId="73" xfId="0" applyNumberFormat="1" applyFont="1" applyBorder="1" applyAlignment="1">
      <alignment horizontal="center"/>
    </xf>
    <xf numFmtId="37" fontId="253" fillId="0" borderId="72" xfId="0" applyNumberFormat="1" applyFont="1" applyBorder="1" applyAlignment="1">
      <alignment horizontal="center"/>
    </xf>
    <xf numFmtId="37" fontId="253" fillId="0" borderId="0" xfId="0" applyNumberFormat="1" applyFont="1" applyAlignment="1">
      <alignment horizontal="center"/>
    </xf>
    <xf numFmtId="37" fontId="253" fillId="0" borderId="74" xfId="0" applyNumberFormat="1" applyFont="1" applyBorder="1" applyAlignment="1">
      <alignment horizontal="center"/>
    </xf>
    <xf numFmtId="37" fontId="253" fillId="0" borderId="11" xfId="0" applyNumberFormat="1" applyFont="1" applyBorder="1" applyAlignment="1">
      <alignment horizontal="center"/>
    </xf>
    <xf numFmtId="37" fontId="253" fillId="96" borderId="0" xfId="0" applyNumberFormat="1" applyFont="1" applyFill="1" applyAlignment="1">
      <alignment horizontal="center"/>
    </xf>
    <xf numFmtId="37" fontId="253" fillId="0" borderId="62" xfId="0" applyNumberFormat="1" applyFont="1" applyBorder="1" applyAlignment="1">
      <alignment horizontal="center"/>
    </xf>
    <xf numFmtId="37" fontId="253" fillId="0" borderId="9" xfId="0" applyNumberFormat="1" applyFont="1" applyBorder="1" applyAlignment="1">
      <alignment horizontal="center"/>
    </xf>
    <xf numFmtId="37" fontId="253" fillId="0" borderId="10" xfId="0" applyNumberFormat="1" applyFont="1" applyBorder="1" applyAlignment="1">
      <alignment horizontal="center"/>
    </xf>
    <xf numFmtId="37" fontId="253" fillId="0" borderId="61" xfId="0" applyNumberFormat="1" applyFon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7" borderId="0" xfId="0" applyNumberFormat="1" applyFill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10" fontId="0" fillId="7" borderId="0" xfId="0" applyNumberFormat="1" applyFill="1" applyAlignment="1">
      <alignment horizontal="center"/>
    </xf>
    <xf numFmtId="330" fontId="0" fillId="7" borderId="0" xfId="0" applyNumberFormat="1" applyFill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7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0" fontId="318" fillId="0" borderId="0" xfId="0" applyFont="1"/>
    <xf numFmtId="0" fontId="319" fillId="0" borderId="0" xfId="0" applyFont="1" applyAlignment="1">
      <alignment horizontal="center"/>
    </xf>
    <xf numFmtId="0" fontId="320" fillId="0" borderId="0" xfId="0" applyFont="1" applyAlignment="1">
      <alignment horizontal="center"/>
    </xf>
    <xf numFmtId="181" fontId="321" fillId="0" borderId="0" xfId="2309" applyNumberFormat="1" applyFont="1" applyAlignment="1">
      <alignment horizontal="center"/>
    </xf>
    <xf numFmtId="0" fontId="322" fillId="0" borderId="0" xfId="0" applyFont="1" applyAlignment="1">
      <alignment horizontal="left" indent="1"/>
    </xf>
    <xf numFmtId="0" fontId="319" fillId="0" borderId="0" xfId="0" applyFont="1"/>
    <xf numFmtId="0" fontId="0" fillId="0" borderId="0" xfId="0" applyAlignment="1">
      <alignment horizontal="left" indent="1"/>
    </xf>
    <xf numFmtId="0" fontId="322" fillId="0" borderId="0" xfId="0" applyFont="1"/>
    <xf numFmtId="173" fontId="255" fillId="63" borderId="0" xfId="0" applyNumberFormat="1" applyFont="1" applyFill="1" applyAlignment="1">
      <alignment horizontal="centerContinuous"/>
    </xf>
    <xf numFmtId="173" fontId="255" fillId="64" borderId="0" xfId="0" applyNumberFormat="1" applyFont="1" applyFill="1" applyAlignment="1">
      <alignment horizontal="centerContinuous"/>
    </xf>
    <xf numFmtId="173" fontId="255" fillId="97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20" fillId="0" borderId="0" xfId="0" applyNumberFormat="1" applyFont="1" applyAlignment="1">
      <alignment horizontal="center"/>
    </xf>
    <xf numFmtId="256" fontId="323" fillId="0" borderId="72" xfId="0" applyNumberFormat="1" applyFont="1" applyBorder="1" applyAlignment="1">
      <alignment horizontal="center"/>
    </xf>
    <xf numFmtId="330" fontId="323" fillId="0" borderId="72" xfId="0" applyNumberFormat="1" applyFont="1" applyBorder="1" applyAlignment="1">
      <alignment horizontal="center"/>
    </xf>
    <xf numFmtId="0" fontId="312" fillId="0" borderId="0" xfId="0" applyFont="1" applyAlignment="1">
      <alignment horizontal="left" vertical="center"/>
    </xf>
    <xf numFmtId="256" fontId="253" fillId="0" borderId="0" xfId="1686" applyNumberFormat="1" applyFont="1"/>
    <xf numFmtId="37" fontId="253" fillId="0" borderId="0" xfId="0" applyNumberFormat="1" applyFont="1"/>
    <xf numFmtId="37" fontId="16" fillId="0" borderId="2" xfId="0" applyNumberFormat="1" applyFont="1" applyBorder="1"/>
    <xf numFmtId="329" fontId="244" fillId="0" borderId="10" xfId="2309" applyNumberFormat="1" applyFont="1" applyBorder="1"/>
    <xf numFmtId="329" fontId="317" fillId="0" borderId="10" xfId="0" applyNumberFormat="1" applyFont="1" applyBorder="1" applyAlignment="1">
      <alignment horizontal="center" vertical="center"/>
    </xf>
    <xf numFmtId="0" fontId="317" fillId="0" borderId="10" xfId="0" applyFont="1" applyBorder="1" applyAlignment="1">
      <alignment horizontal="left" vertical="center"/>
    </xf>
    <xf numFmtId="0" fontId="312" fillId="0" borderId="10" xfId="0" applyFont="1" applyBorder="1" applyAlignment="1">
      <alignment vertical="center"/>
    </xf>
    <xf numFmtId="174" fontId="317" fillId="0" borderId="10" xfId="0" applyNumberFormat="1" applyFont="1" applyBorder="1" applyAlignment="1">
      <alignment horizontal="right" vertical="center"/>
    </xf>
    <xf numFmtId="174" fontId="317" fillId="0" borderId="10" xfId="0" applyNumberFormat="1" applyFont="1" applyBorder="1" applyAlignment="1">
      <alignment horizontal="center" vertical="center"/>
    </xf>
    <xf numFmtId="174" fontId="244" fillId="0" borderId="0" xfId="0" applyNumberFormat="1" applyFont="1" applyAlignment="1">
      <alignment horizontal="right"/>
    </xf>
    <xf numFmtId="10" fontId="0" fillId="0" borderId="0" xfId="0" applyNumberFormat="1"/>
    <xf numFmtId="0" fontId="0" fillId="79" borderId="0" xfId="0" applyFill="1"/>
    <xf numFmtId="329" fontId="9" fillId="0" borderId="0" xfId="2311" applyNumberFormat="1" applyFont="1"/>
    <xf numFmtId="329" fontId="289" fillId="0" borderId="0" xfId="2311" applyNumberFormat="1" applyFont="1"/>
    <xf numFmtId="39" fontId="12" fillId="0" borderId="0" xfId="0" applyNumberFormat="1" applyFont="1"/>
    <xf numFmtId="173" fontId="253" fillId="101" borderId="2" xfId="0" applyNumberFormat="1" applyFont="1" applyFill="1" applyBorder="1"/>
    <xf numFmtId="181" fontId="14" fillId="101" borderId="64" xfId="0" applyNumberFormat="1" applyFont="1" applyFill="1" applyBorder="1"/>
    <xf numFmtId="330" fontId="14" fillId="101" borderId="64" xfId="2" applyNumberFormat="1" applyFont="1" applyFill="1" applyBorder="1" applyAlignment="1">
      <alignment horizontal="right"/>
    </xf>
    <xf numFmtId="173" fontId="288" fillId="101" borderId="0" xfId="0" applyNumberFormat="1" applyFont="1" applyFill="1"/>
    <xf numFmtId="181" fontId="290" fillId="101" borderId="0" xfId="2309" applyNumberFormat="1" applyFont="1" applyFill="1" applyBorder="1"/>
    <xf numFmtId="15" fontId="14" fillId="79" borderId="78" xfId="2" applyNumberFormat="1" applyFont="1" applyFill="1" applyBorder="1" applyAlignment="1">
      <alignment horizontal="right"/>
    </xf>
    <xf numFmtId="282" fontId="14" fillId="79" borderId="78" xfId="2" applyNumberFormat="1" applyFont="1" applyFill="1" applyBorder="1" applyAlignment="1">
      <alignment horizontal="right"/>
    </xf>
    <xf numFmtId="173" fontId="324" fillId="79" borderId="78" xfId="0" applyNumberFormat="1" applyFont="1" applyFill="1" applyBorder="1" applyAlignment="1">
      <alignment horizontal="right"/>
    </xf>
    <xf numFmtId="173" fontId="12" fillId="6" borderId="63" xfId="0" applyNumberFormat="1" applyFont="1" applyFill="1" applyBorder="1"/>
    <xf numFmtId="329" fontId="289" fillId="3" borderId="78" xfId="2311" applyNumberFormat="1" applyFont="1" applyFill="1" applyBorder="1"/>
    <xf numFmtId="329" fontId="325" fillId="101" borderId="78" xfId="2311" applyNumberFormat="1" applyFont="1" applyFill="1" applyBorder="1"/>
    <xf numFmtId="329" fontId="254" fillId="3" borderId="78" xfId="2311" applyNumberFormat="1" applyFont="1" applyFill="1" applyBorder="1"/>
    <xf numFmtId="329" fontId="9" fillId="101" borderId="78" xfId="2311" applyNumberFormat="1" applyFont="1" applyFill="1" applyBorder="1"/>
    <xf numFmtId="173" fontId="255" fillId="6" borderId="72" xfId="0" applyNumberFormat="1" applyFont="1" applyFill="1" applyBorder="1" applyAlignment="1">
      <alignment horizontal="left"/>
    </xf>
    <xf numFmtId="173" fontId="15" fillId="6" borderId="72" xfId="0" applyNumberFormat="1" applyFont="1" applyFill="1" applyBorder="1" applyAlignment="1">
      <alignment horizontal="left"/>
    </xf>
    <xf numFmtId="15" fontId="8" fillId="6" borderId="72" xfId="0" applyNumberFormat="1" applyFont="1" applyFill="1" applyBorder="1" applyAlignment="1">
      <alignment horizontal="left"/>
    </xf>
    <xf numFmtId="173" fontId="17" fillId="6" borderId="72" xfId="0" applyNumberFormat="1" applyFont="1" applyFill="1" applyBorder="1" applyAlignment="1">
      <alignment horizontal="left"/>
    </xf>
    <xf numFmtId="0" fontId="0" fillId="0" borderId="72" xfId="0" applyBorder="1"/>
    <xf numFmtId="0" fontId="0" fillId="0" borderId="74" xfId="0" applyBorder="1"/>
    <xf numFmtId="256" fontId="253" fillId="0" borderId="72" xfId="0" applyNumberFormat="1" applyFont="1" applyBorder="1"/>
    <xf numFmtId="256" fontId="0" fillId="0" borderId="72" xfId="0" applyNumberFormat="1" applyBorder="1"/>
    <xf numFmtId="37" fontId="0" fillId="0" borderId="72" xfId="0" applyNumberFormat="1" applyBorder="1"/>
    <xf numFmtId="174" fontId="16" fillId="0" borderId="72" xfId="0" applyNumberFormat="1" applyFont="1" applyBorder="1"/>
    <xf numFmtId="173" fontId="0" fillId="0" borderId="72" xfId="0" applyNumberFormat="1" applyBorder="1"/>
    <xf numFmtId="0" fontId="16" fillId="7" borderId="62" xfId="0" applyFont="1" applyFill="1" applyBorder="1" applyAlignment="1">
      <alignment horizontal="center"/>
    </xf>
    <xf numFmtId="10" fontId="288" fillId="0" borderId="82" xfId="0" applyNumberFormat="1" applyFont="1" applyBorder="1"/>
    <xf numFmtId="10" fontId="0" fillId="7" borderId="62" xfId="0" applyNumberFormat="1" applyFill="1" applyBorder="1"/>
    <xf numFmtId="330" fontId="288" fillId="0" borderId="83" xfId="0" applyNumberFormat="1" applyFont="1" applyBorder="1" applyAlignment="1">
      <alignment horizontal="center"/>
    </xf>
    <xf numFmtId="330" fontId="0" fillId="7" borderId="62" xfId="0" applyNumberFormat="1" applyFill="1" applyBorder="1" applyAlignment="1">
      <alignment horizontal="center"/>
    </xf>
    <xf numFmtId="37" fontId="0" fillId="0" borderId="73" xfId="0" applyNumberFormat="1" applyBorder="1" applyAlignment="1">
      <alignment horizontal="center"/>
    </xf>
    <xf numFmtId="37" fontId="0" fillId="0" borderId="72" xfId="0" applyNumberFormat="1" applyBorder="1" applyAlignment="1">
      <alignment horizontal="center"/>
    </xf>
    <xf numFmtId="37" fontId="0" fillId="0" borderId="74" xfId="0" applyNumberFormat="1" applyBorder="1" applyAlignment="1">
      <alignment horizontal="center"/>
    </xf>
    <xf numFmtId="37" fontId="0" fillId="0" borderId="62" xfId="0" applyNumberFormat="1" applyBorder="1" applyAlignment="1">
      <alignment horizontal="center"/>
    </xf>
    <xf numFmtId="174" fontId="288" fillId="0" borderId="84" xfId="0" applyNumberFormat="1" applyFont="1" applyBorder="1"/>
    <xf numFmtId="37" fontId="0" fillId="0" borderId="61" xfId="0" applyNumberFormat="1" applyBorder="1" applyAlignment="1">
      <alignment horizontal="center"/>
    </xf>
    <xf numFmtId="10" fontId="288" fillId="0" borderId="82" xfId="0" applyNumberFormat="1" applyFont="1" applyBorder="1" applyAlignment="1">
      <alignment horizontal="center"/>
    </xf>
    <xf numFmtId="10" fontId="0" fillId="7" borderId="62" xfId="0" applyNumberFormat="1" applyFill="1" applyBorder="1" applyAlignment="1">
      <alignment horizontal="center"/>
    </xf>
    <xf numFmtId="330" fontId="288" fillId="0" borderId="82" xfId="0" applyNumberFormat="1" applyFont="1" applyBorder="1"/>
    <xf numFmtId="330" fontId="0" fillId="7" borderId="62" xfId="0" applyNumberFormat="1" applyFill="1" applyBorder="1"/>
    <xf numFmtId="256" fontId="0" fillId="0" borderId="73" xfId="0" applyNumberFormat="1" applyBorder="1" applyAlignment="1">
      <alignment horizontal="center"/>
    </xf>
    <xf numFmtId="256" fontId="0" fillId="0" borderId="72" xfId="0" applyNumberFormat="1" applyBorder="1" applyAlignment="1">
      <alignment horizontal="center"/>
    </xf>
    <xf numFmtId="256" fontId="0" fillId="0" borderId="74" xfId="0" applyNumberFormat="1" applyBorder="1" applyAlignment="1">
      <alignment horizontal="center"/>
    </xf>
    <xf numFmtId="37" fontId="0" fillId="0" borderId="73" xfId="0" applyNumberFormat="1" applyBorder="1"/>
    <xf numFmtId="37" fontId="0" fillId="0" borderId="74" xfId="0" applyNumberFormat="1" applyBorder="1"/>
    <xf numFmtId="256" fontId="0" fillId="0" borderId="62" xfId="0" applyNumberFormat="1" applyBorder="1" applyAlignment="1">
      <alignment horizontal="center"/>
    </xf>
    <xf numFmtId="37" fontId="0" fillId="0" borderId="62" xfId="0" applyNumberFormat="1" applyBorder="1"/>
    <xf numFmtId="256" fontId="0" fillId="0" borderId="61" xfId="0" applyNumberFormat="1" applyBorder="1" applyAlignment="1">
      <alignment horizontal="center"/>
    </xf>
    <xf numFmtId="37" fontId="0" fillId="0" borderId="61" xfId="0" applyNumberFormat="1" applyBorder="1"/>
    <xf numFmtId="177" fontId="14" fillId="101" borderId="1" xfId="0" applyNumberFormat="1" applyFont="1" applyFill="1" applyBorder="1"/>
    <xf numFmtId="10" fontId="8" fillId="101" borderId="1" xfId="0" applyNumberFormat="1" applyFont="1" applyFill="1" applyBorder="1"/>
    <xf numFmtId="330" fontId="14" fillId="101" borderId="1" xfId="0" applyNumberFormat="1" applyFont="1" applyFill="1" applyBorder="1"/>
    <xf numFmtId="174" fontId="8" fillId="101" borderId="1" xfId="0" applyNumberFormat="1" applyFont="1" applyFill="1" applyBorder="1"/>
    <xf numFmtId="174" fontId="14" fillId="0" borderId="1" xfId="0" applyNumberFormat="1" applyFont="1" applyBorder="1"/>
    <xf numFmtId="0" fontId="255" fillId="0" borderId="0" xfId="0" applyFont="1"/>
    <xf numFmtId="0" fontId="255" fillId="0" borderId="0" xfId="0" applyFont="1" applyAlignment="1">
      <alignment horizontal="left"/>
    </xf>
    <xf numFmtId="0" fontId="255" fillId="0" borderId="0" xfId="0" applyFont="1" applyAlignment="1">
      <alignment horizontal="center"/>
    </xf>
    <xf numFmtId="176" fontId="253" fillId="0" borderId="0" xfId="0" applyNumberFormat="1" applyFont="1" applyAlignment="1">
      <alignment horizontal="right"/>
    </xf>
    <xf numFmtId="0" fontId="0" fillId="9" borderId="10" xfId="0" applyFill="1" applyBorder="1" applyAlignment="1">
      <alignment horizontal="center"/>
    </xf>
  </cellXfs>
  <cellStyles count="3808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8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29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0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4" xr:uid="{00000000-0005-0000-0000-0000A2060000}"/>
    <cellStyle name="_Table_01 Capital Structure" xfId="3104" xr:uid="{00000000-0005-0000-0000-0000A3060000}"/>
    <cellStyle name="_Table_01 Capital Structure 2" xfId="3715" xr:uid="{00000000-0005-0000-0000-0000A4060000}"/>
    <cellStyle name="_Table_01 Capital Structure_03_ Clean LBO Model" xfId="3105" xr:uid="{00000000-0005-0000-0000-0000A5060000}"/>
    <cellStyle name="_Table_01 Capital Structure_03_ Clean LBO Model 2" xfId="3716" xr:uid="{00000000-0005-0000-0000-0000A6060000}"/>
    <cellStyle name="_Table_01 Capital Structure_05_ Clean LBO Model" xfId="3106" xr:uid="{00000000-0005-0000-0000-0000A7060000}"/>
    <cellStyle name="_Table_01 Capital Structure_05_ Clean LBO Model 2" xfId="3717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8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19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0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1" xr:uid="{00000000-0005-0000-0000-0000B0060000}"/>
    <cellStyle name="_Table_01 Capital Structure_15_ Clean LBO Model" xfId="3111" xr:uid="{00000000-0005-0000-0000-0000B1060000}"/>
    <cellStyle name="_Table_01 Capital Structure_15_ Clean LBO Model 2" xfId="3722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3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4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5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6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7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8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29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0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1" xr:uid="{00000000-0005-0000-0000-0000C4060000}"/>
    <cellStyle name="_Table_01 Offering Breakdown" xfId="3121" xr:uid="{00000000-0005-0000-0000-0000C5060000}"/>
    <cellStyle name="_Table_01 Offering Breakdown 2" xfId="3732" xr:uid="{00000000-0005-0000-0000-0000C6060000}"/>
    <cellStyle name="_Table_02 DCF" xfId="3122" xr:uid="{00000000-0005-0000-0000-0000C7060000}"/>
    <cellStyle name="_Table_02 DCF 2" xfId="3733" xr:uid="{00000000-0005-0000-0000-0000C8060000}"/>
    <cellStyle name="_Table_02 Enersys Merger Plan" xfId="3123" xr:uid="{00000000-0005-0000-0000-0000C9060000}"/>
    <cellStyle name="_Table_02 Enersys Merger Plan 2" xfId="3734" xr:uid="{00000000-0005-0000-0000-0000CA060000}"/>
    <cellStyle name="_Table_02 Enersys Merger Plan_03_ Clean LBO Model" xfId="3124" xr:uid="{00000000-0005-0000-0000-0000CB060000}"/>
    <cellStyle name="_Table_02 Enersys Merger Plan_03_ Clean LBO Model 2" xfId="3735" xr:uid="{00000000-0005-0000-0000-0000CC060000}"/>
    <cellStyle name="_Table_02 Enersys Merger Plan_05_ Clean LBO Model" xfId="3125" xr:uid="{00000000-0005-0000-0000-0000CD060000}"/>
    <cellStyle name="_Table_02 Enersys Merger Plan_05_ Clean LBO Model 2" xfId="3736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7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8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39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0" xr:uid="{00000000-0005-0000-0000-0000D6060000}"/>
    <cellStyle name="_Table_02 Enersys Merger Plan_15_ Clean LBO Model" xfId="3130" xr:uid="{00000000-0005-0000-0000-0000D7060000}"/>
    <cellStyle name="_Table_02 Enersys Merger Plan_15_ Clean LBO Model 2" xfId="3741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2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3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4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5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6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7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8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49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0" xr:uid="{00000000-0005-0000-0000-0000EA060000}"/>
    <cellStyle name="_Table_02 Mobile CSC" xfId="3140" xr:uid="{00000000-0005-0000-0000-0000EB060000}"/>
    <cellStyle name="_Table_02 Mobile CSC 2" xfId="3751" xr:uid="{00000000-0005-0000-0000-0000EC060000}"/>
    <cellStyle name="_Table_02 TDC Merger Plan" xfId="3141" xr:uid="{00000000-0005-0000-0000-0000ED060000}"/>
    <cellStyle name="_Table_02 TDC Merger Plan 2" xfId="3752" xr:uid="{00000000-0005-0000-0000-0000EE060000}"/>
    <cellStyle name="_Table_02 TDC Merger Plan_03_ Clean LBO Model" xfId="3142" xr:uid="{00000000-0005-0000-0000-0000EF060000}"/>
    <cellStyle name="_Table_02 TDC Merger Plan_03_ Clean LBO Model 2" xfId="3753" xr:uid="{00000000-0005-0000-0000-0000F0060000}"/>
    <cellStyle name="_Table_02 TDC Merger Plan_05_ Clean LBO Model" xfId="3143" xr:uid="{00000000-0005-0000-0000-0000F1060000}"/>
    <cellStyle name="_Table_02 TDC Merger Plan_05_ Clean LBO Model 2" xfId="3754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5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6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7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8" xr:uid="{00000000-0005-0000-0000-0000FA060000}"/>
    <cellStyle name="_Table_02 TDC Merger Plan_15_ Clean LBO Model" xfId="3148" xr:uid="{00000000-0005-0000-0000-0000FB060000}"/>
    <cellStyle name="_Table_02 TDC Merger Plan_15_ Clean LBO Model 2" xfId="3759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0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1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2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3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4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5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6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7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8" xr:uid="{00000000-0005-0000-0000-00000E070000}"/>
    <cellStyle name="_Table_02 WACC Analysis" xfId="420" xr:uid="{00000000-0005-0000-0000-00000F070000}"/>
    <cellStyle name="_Table_02 WACC Analysis 2" xfId="3645" xr:uid="{00000000-0005-0000-0000-000010070000}"/>
    <cellStyle name="_Table_03 Total Expenses" xfId="3158" xr:uid="{00000000-0005-0000-0000-000011070000}"/>
    <cellStyle name="_Table_03 Total Expenses 2" xfId="3769" xr:uid="{00000000-0005-0000-0000-000012070000}"/>
    <cellStyle name="_Table_04 Volatility" xfId="3159" xr:uid="{00000000-0005-0000-0000-000013070000}"/>
    <cellStyle name="_Table_04 Volatility 2" xfId="3770" xr:uid="{00000000-0005-0000-0000-000014070000}"/>
    <cellStyle name="_Table_07 Model Alcatel OFD Sept-03" xfId="3160" xr:uid="{00000000-0005-0000-0000-000015070000}"/>
    <cellStyle name="_Table_07 Model Alcatel OFD Sept-03 2" xfId="3771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2" xr:uid="{00000000-0005-0000-0000-00001A070000}"/>
    <cellStyle name="_Table_19 Valuation of Cegetel_03_ Clean LBO Model" xfId="3164" xr:uid="{00000000-0005-0000-0000-00001B070000}"/>
    <cellStyle name="_Table_19 Valuation of Cegetel_03_ Clean LBO Model 2" xfId="3773" xr:uid="{00000000-0005-0000-0000-00001C070000}"/>
    <cellStyle name="_Table_19 Valuation of Cegetel_05_ Clean LBO Model" xfId="3165" xr:uid="{00000000-0005-0000-0000-00001D070000}"/>
    <cellStyle name="_Table_19 Valuation of Cegetel_05_ Clean LBO Model 2" xfId="3774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5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6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7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8" xr:uid="{00000000-0005-0000-0000-000026070000}"/>
    <cellStyle name="_Table_19 Valuation of Cegetel_15_ Clean LBO Model" xfId="3170" xr:uid="{00000000-0005-0000-0000-000027070000}"/>
    <cellStyle name="_Table_19 Valuation of Cegetel_15_ Clean LBO Model 2" xfId="3779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0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1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2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3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4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5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6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7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8" xr:uid="{00000000-0005-0000-0000-00003A070000}"/>
    <cellStyle name="_Table_190503 Model2" xfId="3180" xr:uid="{00000000-0005-0000-0000-00003B070000}"/>
    <cellStyle name="_Table_190503 Model2 2" xfId="3789" xr:uid="{00000000-0005-0000-0000-00003C070000}"/>
    <cellStyle name="_Table_20 Operational Model" xfId="3181" xr:uid="{00000000-0005-0000-0000-00003D070000}"/>
    <cellStyle name="_Table_20 Operational Model 2" xfId="3790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1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2" xr:uid="{00000000-0005-0000-0000-000047070000}"/>
    <cellStyle name="_Table_Betas" xfId="421" xr:uid="{00000000-0005-0000-0000-000048070000}"/>
    <cellStyle name="_Table_Betas 2" xfId="3646" xr:uid="{00000000-0005-0000-0000-000049070000}"/>
    <cellStyle name="_Table_Bottom-Up Site Analysis (220801)" xfId="3189" xr:uid="{00000000-0005-0000-0000-00004A070000}"/>
    <cellStyle name="_Table_Bottom-Up Site Analysis (220801) 2" xfId="3793" xr:uid="{00000000-0005-0000-0000-00004B070000}"/>
    <cellStyle name="_Table_Bottom-Up Site Analysis v2" xfId="3190" xr:uid="{00000000-0005-0000-0000-00004C070000}"/>
    <cellStyle name="_Table_Bottom-Up Site Analysis v2 2" xfId="3794" xr:uid="{00000000-0005-0000-0000-00004D070000}"/>
    <cellStyle name="_Table_Cairo LBO model - Sept 06" xfId="422" xr:uid="{00000000-0005-0000-0000-00004E070000}"/>
    <cellStyle name="_Table_Cairo LBO model - Sept 06 2" xfId="3647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5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6" xr:uid="{00000000-0005-0000-0000-000058070000}"/>
    <cellStyle name="_Table_Feeder" xfId="423" xr:uid="{00000000-0005-0000-0000-000059070000}"/>
    <cellStyle name="_Table_Feeder 2" xfId="3648" xr:uid="{00000000-0005-0000-0000-00005A070000}"/>
    <cellStyle name="_Table_Financial and Credit Impact" xfId="3198" xr:uid="{00000000-0005-0000-0000-00005B070000}"/>
    <cellStyle name="_Table_Financial and Credit Impact 2" xfId="3797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8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49" xr:uid="{00000000-0005-0000-0000-000063070000}"/>
    <cellStyle name="_Table_M&amp;A projections" xfId="425" xr:uid="{00000000-0005-0000-0000-000064070000}"/>
    <cellStyle name="_Table_M&amp;A projections 2" xfId="3650" xr:uid="{00000000-0005-0000-0000-000065070000}"/>
    <cellStyle name="_Table_Marionnaud DCF Sept-03" xfId="3203" xr:uid="{00000000-0005-0000-0000-000066070000}"/>
    <cellStyle name="_Table_Marionnaud DCF Sept-03 2" xfId="3799" xr:uid="{00000000-0005-0000-0000-000067070000}"/>
    <cellStyle name="_Table_Marionnaud Model_15April" xfId="3204" xr:uid="{00000000-0005-0000-0000-000068070000}"/>
    <cellStyle name="_Table_Marionnaud Model_15April 2" xfId="3800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1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1" xr:uid="{00000000-0005-0000-0000-00006F070000}"/>
    <cellStyle name="_Table_Options_Converts" xfId="3208" xr:uid="{00000000-0005-0000-0000-000070070000}"/>
    <cellStyle name="_Table_Options_Converts 2" xfId="3802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3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2" xr:uid="{00000000-0005-0000-0000-000078070000}"/>
    <cellStyle name="_Table_underwrite table" xfId="428" xr:uid="{00000000-0005-0000-0000-000079070000}"/>
    <cellStyle name="_Table_underwrite table 2" xfId="3653" xr:uid="{00000000-0005-0000-0000-00007A070000}"/>
    <cellStyle name="_Table_Unibase Preliminary Valuations" xfId="3213" xr:uid="{00000000-0005-0000-0000-00007B070000}"/>
    <cellStyle name="_Table_Unibase Preliminary Valuations 2" xfId="3804" xr:uid="{00000000-0005-0000-0000-00007C070000}"/>
    <cellStyle name="_Table_Volatility" xfId="3214" xr:uid="{00000000-0005-0000-0000-00007D070000}"/>
    <cellStyle name="_Table_Volatility 2" xfId="3805" xr:uid="{00000000-0005-0000-0000-00007E070000}"/>
    <cellStyle name="_Table_Working Capital Swings" xfId="3215" xr:uid="{00000000-0005-0000-0000-00007F070000}"/>
    <cellStyle name="_Table_Working Capital Swings 2" xfId="3806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1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2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3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4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5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4" xr:uid="{00000000-0005-0000-0000-0000F9080000}"/>
    <cellStyle name="Assum 1,$" xfId="516" xr:uid="{00000000-0005-0000-0000-0000FA080000}"/>
    <cellStyle name="Assum 1,$ 2" xfId="3655" xr:uid="{00000000-0005-0000-0000-0000FB080000}"/>
    <cellStyle name="Assum 1,%" xfId="517" xr:uid="{00000000-0005-0000-0000-0000FC080000}"/>
    <cellStyle name="Assum 1,% 2" xfId="3656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7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2" xr:uid="{00000000-0005-0000-0000-00001F090000}"/>
    <cellStyle name="b_Project Lucy model v40 160305 3" xfId="3643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699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7" xr:uid="{00000000-0005-0000-0000-00004D090000}"/>
    <cellStyle name="blp_column_header" xfId="3636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8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59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0" xr:uid="{00000000-0005-0000-0000-000070090000}"/>
    <cellStyle name="Border, Top" xfId="609" xr:uid="{00000000-0005-0000-0000-000071090000}"/>
    <cellStyle name="Border, Top 2" xfId="3661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2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3" xr:uid="{00000000-0005-0000-0000-000086090000}"/>
    <cellStyle name="bss2" xfId="627" xr:uid="{00000000-0005-0000-0000-000087090000}"/>
    <cellStyle name="bss2 2" xfId="3664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3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5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6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7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7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8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8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69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0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1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2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39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 Above" xfId="947" xr:uid="{00000000-0005-0000-0000-0000A10B0000}"/>
    <cellStyle name="Heading 1+" xfId="948" xr:uid="{00000000-0005-0000-0000-0000A20B0000}"/>
    <cellStyle name="Heading 2 2" xfId="3640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1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%" xfId="972" xr:uid="{00000000-0005-0000-0000-0000BF0B0000}"/>
    <cellStyle name="Input % (1dp)" xfId="973" xr:uid="{00000000-0005-0000-0000-0000C00B0000}"/>
    <cellStyle name="Input [yellow]" xfId="974" xr:uid="{00000000-0005-0000-0000-0000C1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3" xr:uid="{00000000-0005-0000-0000-0000C50B0000}"/>
    <cellStyle name="Input 11" xfId="1730" xr:uid="{00000000-0005-0000-0000-0000C60B0000}"/>
    <cellStyle name="Input 11 2" xfId="3708" xr:uid="{00000000-0005-0000-0000-0000C70B0000}"/>
    <cellStyle name="Input 12" xfId="1731" xr:uid="{00000000-0005-0000-0000-0000C80B0000}"/>
    <cellStyle name="Input 12 2" xfId="3709" xr:uid="{00000000-0005-0000-0000-0000C90B0000}"/>
    <cellStyle name="Input 13" xfId="1738" xr:uid="{00000000-0005-0000-0000-0000CA0B0000}"/>
    <cellStyle name="Input 13 2" xfId="3710" xr:uid="{00000000-0005-0000-0000-0000CB0B0000}"/>
    <cellStyle name="Input 14" xfId="1739" xr:uid="{00000000-0005-0000-0000-0000CC0B0000}"/>
    <cellStyle name="Input 14 2" xfId="3711" xr:uid="{00000000-0005-0000-0000-0000CD0B0000}"/>
    <cellStyle name="Input 2" xfId="1687" xr:uid="{00000000-0005-0000-0000-0000CE0B0000}"/>
    <cellStyle name="Input 2 2" xfId="3698" xr:uid="{00000000-0005-0000-0000-0000CF0B0000}"/>
    <cellStyle name="Input 3" xfId="1698" xr:uid="{00000000-0005-0000-0000-0000D00B0000}"/>
    <cellStyle name="Input 3 2" xfId="3700" xr:uid="{00000000-0005-0000-0000-0000D10B0000}"/>
    <cellStyle name="Input 4" xfId="1702" xr:uid="{00000000-0005-0000-0000-0000D20B0000}"/>
    <cellStyle name="Input 4 2" xfId="3701" xr:uid="{00000000-0005-0000-0000-0000D30B0000}"/>
    <cellStyle name="Input 5" xfId="1703" xr:uid="{00000000-0005-0000-0000-0000D40B0000}"/>
    <cellStyle name="Input 5 2" xfId="3702" xr:uid="{00000000-0005-0000-0000-0000D50B0000}"/>
    <cellStyle name="Input 6" xfId="1719" xr:uid="{00000000-0005-0000-0000-0000D60B0000}"/>
    <cellStyle name="Input 6 2" xfId="3706" xr:uid="{00000000-0005-0000-0000-0000D70B0000}"/>
    <cellStyle name="Input 7" xfId="1725" xr:uid="{00000000-0005-0000-0000-0000D80B0000}"/>
    <cellStyle name="Input 7 2" xfId="3707" xr:uid="{00000000-0005-0000-0000-0000D90B0000}"/>
    <cellStyle name="Input 8" xfId="1712" xr:uid="{00000000-0005-0000-0000-0000DA0B0000}"/>
    <cellStyle name="Input 8 2" xfId="3704" xr:uid="{00000000-0005-0000-0000-0000DB0B0000}"/>
    <cellStyle name="Input 9" xfId="1713" xr:uid="{00000000-0005-0000-0000-0000DC0B0000}"/>
    <cellStyle name="Input 9 2" xfId="3705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2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$" xfId="991" xr:uid="{00000000-0005-0000-0000-0000EE0B0000}"/>
    <cellStyle name="Input%" xfId="992" xr:uid="{00000000-0005-0000-0000-0000EF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3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4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5" xr:uid="{00000000-0005-0000-0000-00004E0C0000}"/>
    <cellStyle name="Normal" xfId="0" builtinId="0"/>
    <cellStyle name="Normal--" xfId="1080" xr:uid="{00000000-0005-0000-0000-0000500C0000}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4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%Input" xfId="1091" xr:uid="{00000000-0005-0000-0000-00006E0C0000}"/>
    <cellStyle name="normal;" xfId="1092" xr:uid="{00000000-0005-0000-0000-00006F0C0000}"/>
    <cellStyle name="normal; 2" xfId="3676" xr:uid="{00000000-0005-0000-0000-0000700C0000}"/>
    <cellStyle name="Normal_Copy of Rank Model - 230108 VB" xfId="2311" xr:uid="{00000000-0005-0000-0000-0000710C0000}"/>
    <cellStyle name="Normal_Southern Cross LBO v9" xfId="2" xr:uid="{00000000-0005-0000-0000-000072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7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&amp;L Numbers" xfId="1126" xr:uid="{00000000-0005-0000-0000-000095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8" xr:uid="{00000000-0005-0000-0000-00009D0C0000}"/>
    <cellStyle name="p_M&amp;A projections" xfId="1134" xr:uid="{00000000-0005-0000-0000-00009E0C0000}"/>
    <cellStyle name="p_M&amp;A projections 2" xfId="3679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.style" xfId="1748" xr:uid="{00000000-0005-0000-0000-0000BD0C0000}"/>
    <cellStyle name="percemt" xfId="1164" xr:uid="{00000000-0005-0000-0000-0000BE0C0000}"/>
    <cellStyle name="percemt 2" xfId="3680" xr:uid="{00000000-0005-0000-0000-0000BF0C0000}"/>
    <cellStyle name="Percent" xfId="2309" builtinId="5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1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2" xr:uid="{00000000-0005-0000-0000-0000C90C0000}"/>
    <cellStyle name="Percent [1]" xfId="1172" xr:uid="{00000000-0005-0000-0000-0000CA0C0000}"/>
    <cellStyle name="percent [1-]" xfId="1173" xr:uid="{00000000-0005-0000-0000-0000CB0C0000}"/>
    <cellStyle name="Percent [1] --" xfId="1174" xr:uid="{00000000-0005-0000-0000-0000CC0C0000}"/>
    <cellStyle name="Percent [1] Total" xfId="1175" xr:uid="{00000000-0005-0000-0000-0000CD0C0000}"/>
    <cellStyle name="Percent [1] Total 2" xfId="3683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4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5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6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arn-out (2)" xfId="1334" xr:uid="{00000000-0005-0000-0000-00007F0D0000}"/>
    <cellStyle name="s_Earn-out (2)_1" xfId="1335" xr:uid="{00000000-0005-0000-0000-000080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7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8" xr:uid="{00000000-0005-0000-0000-00003D0E0000}"/>
    <cellStyle name="ss1" xfId="1523" xr:uid="{00000000-0005-0000-0000-00003E0E0000}"/>
    <cellStyle name="ss1 2" xfId="3689" xr:uid="{00000000-0005-0000-0000-00003F0E0000}"/>
    <cellStyle name="ss2" xfId="1524" xr:uid="{00000000-0005-0000-0000-0000400E0000}"/>
    <cellStyle name="ss2 2" xfId="3690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1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-titulo" xfId="1549" xr:uid="{00000000-0005-0000-0000-00005B0E0000}"/>
    <cellStyle name="Sub-titulo 2" xfId="1550" xr:uid="{00000000-0005-0000-0000-00005C0E0000}"/>
    <cellStyle name="Subtotal" xfId="1551" xr:uid="{00000000-0005-0000-0000-00005D0E0000}"/>
    <cellStyle name="Sub-total" xfId="1552" xr:uid="{00000000-0005-0000-0000-00005E0E0000}"/>
    <cellStyle name="Subtotal 2" xfId="3692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#" xfId="1560" xr:uid="{00000000-0005-0000-0000-0000670E0000}"/>
    <cellStyle name="t%" xfId="1561" xr:uid="{00000000-0005-0000-0000-000068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3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4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5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6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7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26" Type="http://schemas.openxmlformats.org/officeDocument/2006/relationships/externalLink" Target="externalLinks/externalLink2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externalLink" Target="externalLinks/externalLink18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31" Type="http://schemas.openxmlformats.org/officeDocument/2006/relationships/externalLink" Target="externalLinks/externalLink2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4.xml"/><Relationship Id="rId35" Type="http://schemas.microsoft.com/office/2017/10/relationships/person" Target="persons/person.xml"/><Relationship Id="rId8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put financials"/>
      <sheetName val="Financial impact"/>
      <sheetName val="SynergyDisposal"/>
      <sheetName val="DCF - TANGO combined"/>
      <sheetName val="BOCbrokerModel"/>
      <sheetName val="BOC broker assumptions"/>
      <sheetName val="BOC_Strat_plan"/>
      <sheetName val="LindebrokerModel"/>
      <sheetName val="Linde broker assumptions"/>
      <sheetName val="Linde comparison"/>
      <sheetName val="LindeGE"/>
      <sheetName val="Linde Gases"/>
      <sheetName val="Linde Engineering"/>
      <sheetName val="Linde MH"/>
      <sheetName val="MH assumptions"/>
      <sheetName val="Praxair"/>
      <sheetName val="AirProducts"/>
      <sheetName val="BOCE &gt;&gt;&gt;"/>
      <sheetName val="BOCE_assumptions_evolution"/>
      <sheetName val="BOCE model -Mkt Growth"/>
      <sheetName val="BOCE model -Base conservative"/>
      <sheetName val="BOCE LBO Assumptions"/>
      <sheetName val="LBO Input"/>
      <sheetName val="BOCE LBO"/>
      <sheetName val="BOCE mgmt assumptions"/>
      <sheetName val="BOCE assumptions"/>
      <sheetName val="PPS"/>
      <sheetName val="BOCE Benchmarking"/>
      <sheetName val="Wafer_Fab_Region"/>
      <sheetName val="MykrolisbrokerModel"/>
      <sheetName val="Mykrolis assumptions "/>
      <sheetName val="LeyboldModel"/>
      <sheetName val="Unaxis assumptions"/>
      <sheetName val="BASF Model"/>
      <sheetName val="BASF Broker assumptions"/>
      <sheetName val="Pro-forma"/>
      <sheetName val="BASF Assumptions"/>
      <sheetName val="Analysis &gt;&gt;&gt;"/>
      <sheetName val="Combination Analysis"/>
      <sheetName val="DebtCap BASF acq BOC"/>
      <sheetName val="LBO &gt;&gt;&gt;"/>
      <sheetName val="MAIN"/>
      <sheetName val="DIV INC"/>
      <sheetName val="EQ. IRR"/>
      <sheetName val="Comparables"/>
      <sheetName val="AVP Analysis"/>
      <sheetName val="BOC minorities value"/>
      <sheetName val="Sheet1"/>
      <sheetName val="Acc - dilution"/>
      <sheetName val="GE acc -dil"/>
      <sheetName val="Siemens acc-dil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Combined"/>
      <sheetName val="Consultancy"/>
      <sheetName val="Defence Systems"/>
      <sheetName val="DCF"/>
      <sheetName val="SOTP"/>
      <sheetName val="LBO"/>
      <sheetName val="Ships"/>
      <sheetName val="Submarine"/>
      <sheetName val="Debt"/>
      <sheetName val="Babcock synergies"/>
      <sheetName val="Valuation"/>
      <sheetName val="VT DCF"/>
      <sheetName val="WSMI"/>
      <sheetName val="Operational"/>
      <sheetName val="F"/>
      <sheetName val="NPV"/>
      <sheetName val="Relative"/>
      <sheetName val="US&amp;EuroEarnings"/>
      <sheetName val="Toggles"/>
      <sheetName val="Shr_Graphs"/>
      <sheetName val="Hays_VED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3.2"/>
  <sheetData>
    <row r="1" spans="1:2">
      <c r="B1" t="s">
        <v>0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topLeftCell="A2" zoomScale="85" zoomScaleNormal="85" zoomScaleSheetLayoutView="100" workbookViewId="0">
      <selection activeCell="C25" sqref="C25"/>
    </sheetView>
  </sheetViews>
  <sheetFormatPr defaultColWidth="8.88671875" defaultRowHeight="13.2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1">
      <c r="C3" s="113" t="s">
        <v>1</v>
      </c>
      <c r="D3" s="114"/>
      <c r="E3" s="114"/>
      <c r="F3" s="114"/>
      <c r="G3" s="114"/>
      <c r="H3" s="114"/>
      <c r="I3" s="114"/>
      <c r="J3" s="114"/>
      <c r="K3" s="114"/>
    </row>
    <row r="4" spans="3:11" ht="4.5" customHeight="1"/>
    <row r="5" spans="3:11">
      <c r="C5" s="39" t="s">
        <v>2</v>
      </c>
      <c r="D5" s="39"/>
      <c r="E5" s="39"/>
      <c r="F5" s="39"/>
      <c r="G5" s="39"/>
      <c r="H5" s="39"/>
      <c r="I5" s="39"/>
      <c r="J5" s="39"/>
      <c r="K5" s="39"/>
    </row>
    <row r="6" spans="3:11" ht="12.75" customHeight="1"/>
    <row r="7" spans="3:11">
      <c r="C7" t="s">
        <v>3</v>
      </c>
      <c r="D7" s="195">
        <v>1</v>
      </c>
    </row>
    <row r="9" spans="3:11">
      <c r="C9" s="39" t="s">
        <v>4</v>
      </c>
      <c r="D9" s="39"/>
      <c r="E9" s="39"/>
      <c r="F9" s="39"/>
      <c r="G9" s="39"/>
      <c r="H9" s="39"/>
      <c r="I9" s="39"/>
      <c r="J9" s="39"/>
      <c r="K9" s="39"/>
    </row>
    <row r="11" spans="3:11">
      <c r="C11" t="s">
        <v>5</v>
      </c>
      <c r="D11" s="204">
        <v>43554</v>
      </c>
    </row>
    <row r="12" spans="3:11">
      <c r="C12" t="s">
        <v>6</v>
      </c>
      <c r="D12" s="204">
        <v>43921</v>
      </c>
    </row>
    <row r="14" spans="3:11">
      <c r="C14" s="40" t="s">
        <v>7</v>
      </c>
      <c r="D14" s="40"/>
      <c r="E14" s="40"/>
      <c r="F14" s="39"/>
      <c r="G14" s="39"/>
      <c r="H14" s="39"/>
      <c r="I14" s="39"/>
      <c r="J14" s="39"/>
      <c r="K14" s="39"/>
    </row>
    <row r="15" spans="3:11">
      <c r="C15" s="2"/>
      <c r="D15" s="2"/>
      <c r="E15" s="1"/>
    </row>
    <row r="16" spans="3:11">
      <c r="C16" s="2" t="s">
        <v>8</v>
      </c>
      <c r="D16" s="205">
        <v>165</v>
      </c>
      <c r="E16" s="18" t="s">
        <v>9</v>
      </c>
    </row>
    <row r="17" spans="3:7">
      <c r="C17" s="33" t="s">
        <v>10</v>
      </c>
      <c r="D17" s="205">
        <v>199</v>
      </c>
    </row>
    <row r="18" spans="3:7">
      <c r="C18" s="2" t="s">
        <v>11</v>
      </c>
      <c r="D18" s="63">
        <f>(D16*D17)/100</f>
        <v>328.35</v>
      </c>
      <c r="E18" s="1"/>
    </row>
    <row r="19" spans="3:7">
      <c r="C19" s="2" t="s">
        <v>12</v>
      </c>
      <c r="D19" s="206">
        <f>-'Targets''s 5 yr Plan '!B35</f>
        <v>84.616813539584982</v>
      </c>
      <c r="E19" s="1"/>
      <c r="G19" s="38"/>
    </row>
    <row r="20" spans="3:7">
      <c r="C20" s="2" t="s">
        <v>13</v>
      </c>
      <c r="D20" s="96">
        <v>0</v>
      </c>
      <c r="E20" s="1"/>
    </row>
    <row r="21" spans="3:7">
      <c r="C21" s="2" t="s">
        <v>14</v>
      </c>
      <c r="D21" s="96">
        <v>0</v>
      </c>
      <c r="E21" s="1"/>
    </row>
    <row r="22" spans="3:7">
      <c r="C22" s="2" t="s">
        <v>15</v>
      </c>
      <c r="D22" s="96">
        <v>0</v>
      </c>
      <c r="E22" s="26"/>
    </row>
    <row r="23" spans="3:7">
      <c r="C23" s="2"/>
      <c r="D23" s="9"/>
      <c r="E23" s="2"/>
    </row>
    <row r="24" spans="3:7">
      <c r="C24" s="108" t="s">
        <v>16</v>
      </c>
      <c r="D24" s="107">
        <f>D18+D19+D20+D21+D22</f>
        <v>412.96681353958502</v>
      </c>
      <c r="E24" s="2"/>
      <c r="F24" s="99"/>
      <c r="G24" s="99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>
      <selection activeCell="K15" sqref="K15"/>
    </sheetView>
  </sheetViews>
  <sheetFormatPr defaultColWidth="9.109375" defaultRowHeight="13.2"/>
  <cols>
    <col min="1" max="1" width="30.6640625" customWidth="1"/>
    <col min="2" max="2" width="9.88671875" customWidth="1"/>
    <col min="3" max="6" width="9.44140625" bestFit="1" customWidth="1"/>
  </cols>
  <sheetData>
    <row r="1" spans="1:12" ht="21">
      <c r="A1" s="168" t="s">
        <v>17</v>
      </c>
    </row>
    <row r="2" spans="1:12" ht="21">
      <c r="A2" s="168"/>
    </row>
    <row r="3" spans="1:12">
      <c r="B3" s="256" t="s">
        <v>18</v>
      </c>
      <c r="C3" s="256"/>
      <c r="D3" s="256"/>
      <c r="E3" s="256"/>
      <c r="F3" s="256"/>
    </row>
    <row r="4" spans="1:12" ht="14.4">
      <c r="B4" s="169" t="s">
        <v>19</v>
      </c>
      <c r="C4" s="169" t="s">
        <v>20</v>
      </c>
      <c r="D4" s="169" t="s">
        <v>21</v>
      </c>
      <c r="E4" s="169" t="s">
        <v>22</v>
      </c>
      <c r="F4" s="169" t="s">
        <v>23</v>
      </c>
    </row>
    <row r="5" spans="1:12" ht="14.4">
      <c r="A5" t="s">
        <v>24</v>
      </c>
      <c r="B5" s="180">
        <v>1149.2312142121568</v>
      </c>
      <c r="C5" s="180">
        <v>1255.6304578332745</v>
      </c>
      <c r="D5" s="180">
        <v>1353.8373857301615</v>
      </c>
      <c r="E5" s="180">
        <v>1446.9754795854417</v>
      </c>
      <c r="F5" s="180">
        <v>1442.6203434361955</v>
      </c>
      <c r="L5" s="194"/>
    </row>
    <row r="6" spans="1:12" ht="14.4">
      <c r="A6" t="s">
        <v>25</v>
      </c>
      <c r="B6" s="170"/>
      <c r="C6" s="171">
        <f>C5/B5-1</f>
        <v>9.2582973996280238E-2</v>
      </c>
      <c r="D6" s="171">
        <f t="shared" ref="D6:F6" si="0">D5/C5-1</f>
        <v>7.8213241232100827E-2</v>
      </c>
      <c r="E6" s="171">
        <f t="shared" si="0"/>
        <v>6.879562851268739E-2</v>
      </c>
      <c r="F6" s="171">
        <f t="shared" si="0"/>
        <v>-3.0098202842344657E-3</v>
      </c>
    </row>
    <row r="7" spans="1:12" ht="14.4">
      <c r="A7" t="s">
        <v>26</v>
      </c>
      <c r="B7" s="180">
        <v>583.04965087049129</v>
      </c>
      <c r="C7" s="180">
        <v>634.42290081513784</v>
      </c>
      <c r="D7" s="180">
        <v>689.15767217994426</v>
      </c>
      <c r="E7" s="180">
        <v>736.80093729452119</v>
      </c>
      <c r="F7" s="180">
        <v>753.12425648235262</v>
      </c>
    </row>
    <row r="8" spans="1:12" ht="14.4">
      <c r="A8" s="172" t="s">
        <v>27</v>
      </c>
      <c r="B8" s="171">
        <f>B7/B5</f>
        <v>0.50733885719436778</v>
      </c>
      <c r="C8" s="171">
        <f t="shared" ref="C8:F8" si="1">C7/C5</f>
        <v>0.50526243359045531</v>
      </c>
      <c r="D8" s="171">
        <f t="shared" si="1"/>
        <v>0.50904021372423747</v>
      </c>
      <c r="E8" s="171">
        <f t="shared" si="1"/>
        <v>0.5092007070538711</v>
      </c>
      <c r="F8" s="171">
        <f t="shared" si="1"/>
        <v>0.52205298497903929</v>
      </c>
    </row>
    <row r="9" spans="1:12" ht="14.4">
      <c r="A9" t="s">
        <v>28</v>
      </c>
      <c r="B9" s="180">
        <v>-522.72817715549786</v>
      </c>
      <c r="C9" s="180">
        <v>-580.01288924996788</v>
      </c>
      <c r="D9" s="180">
        <v>-622.42079355856106</v>
      </c>
      <c r="E9" s="180">
        <v>-662.10013986288277</v>
      </c>
      <c r="F9" s="180">
        <v>-678.11530593625469</v>
      </c>
    </row>
    <row r="10" spans="1:12" ht="14.4">
      <c r="A10" s="173" t="s">
        <v>29</v>
      </c>
      <c r="B10" s="181">
        <f>SUM(B9,B7)</f>
        <v>60.321473714993431</v>
      </c>
      <c r="C10" s="181">
        <f t="shared" ref="C10:F10" si="2">SUM(C9,C7)</f>
        <v>54.410011565169953</v>
      </c>
      <c r="D10" s="181">
        <f t="shared" si="2"/>
        <v>66.736878621383198</v>
      </c>
      <c r="E10" s="181">
        <f t="shared" si="2"/>
        <v>74.700797431638421</v>
      </c>
      <c r="F10" s="181">
        <f t="shared" si="2"/>
        <v>75.008950546097935</v>
      </c>
    </row>
    <row r="11" spans="1:12" ht="14.4">
      <c r="A11" s="172" t="s">
        <v>30</v>
      </c>
      <c r="B11" s="171">
        <f>B10/B5</f>
        <v>5.2488544488713852E-2</v>
      </c>
      <c r="C11" s="171">
        <f t="shared" ref="C11:F11" si="3">C10/C5</f>
        <v>4.3332822348910109E-2</v>
      </c>
      <c r="D11" s="171">
        <f t="shared" si="3"/>
        <v>4.9294604599347931E-2</v>
      </c>
      <c r="E11" s="171">
        <f t="shared" si="3"/>
        <v>5.162547568051408E-2</v>
      </c>
      <c r="F11" s="171">
        <f t="shared" si="3"/>
        <v>5.1994934694621853E-2</v>
      </c>
    </row>
    <row r="12" spans="1:12" ht="14.4">
      <c r="A12" t="s">
        <v>31</v>
      </c>
      <c r="B12" s="180">
        <v>-5.4034794520547944</v>
      </c>
      <c r="C12" s="180">
        <v>-6.34</v>
      </c>
      <c r="D12" s="180">
        <v>-6.2353999999999994</v>
      </c>
      <c r="E12" s="180">
        <v>-6.2353999999999994</v>
      </c>
      <c r="F12" s="180">
        <v>-6.3407333333333327</v>
      </c>
    </row>
    <row r="13" spans="1:12" ht="14.4">
      <c r="A13" s="173" t="s">
        <v>32</v>
      </c>
      <c r="B13" s="181">
        <f>B12+B10</f>
        <v>54.917994262938635</v>
      </c>
      <c r="C13" s="181">
        <f t="shared" ref="C13:F13" si="4">C12+C10</f>
        <v>48.070011565169949</v>
      </c>
      <c r="D13" s="181">
        <f t="shared" si="4"/>
        <v>60.5014786213832</v>
      </c>
      <c r="E13" s="181">
        <f t="shared" si="4"/>
        <v>68.465397431638422</v>
      </c>
      <c r="F13" s="181">
        <f t="shared" si="4"/>
        <v>68.668217212764603</v>
      </c>
    </row>
    <row r="14" spans="1:12" ht="14.4">
      <c r="B14" s="170"/>
      <c r="C14" s="170"/>
      <c r="D14" s="170"/>
      <c r="E14" s="170"/>
      <c r="F14" s="170"/>
      <c r="G14" s="120"/>
    </row>
    <row r="15" spans="1:12" ht="14.4">
      <c r="A15" t="s">
        <v>33</v>
      </c>
      <c r="B15" s="180"/>
      <c r="C15" s="180">
        <v>-18.004468664734777</v>
      </c>
      <c r="D15" s="180">
        <v>-6.7527180429793674</v>
      </c>
      <c r="E15" s="180">
        <v>1.1384540263188825</v>
      </c>
      <c r="F15" s="180">
        <v>-4.8650405710493061</v>
      </c>
    </row>
    <row r="16" spans="1:12" ht="14.4">
      <c r="A16" s="173" t="s">
        <v>34</v>
      </c>
      <c r="B16" s="181">
        <f>B15+B13</f>
        <v>54.917994262938635</v>
      </c>
      <c r="C16" s="181">
        <f>C15+C13</f>
        <v>30.065542900435172</v>
      </c>
      <c r="D16" s="181">
        <f>D15+D13</f>
        <v>53.748760578403832</v>
      </c>
      <c r="E16" s="181">
        <f>E15+E13</f>
        <v>69.603851457957305</v>
      </c>
      <c r="F16" s="181">
        <f>F15+F13</f>
        <v>63.803176641715297</v>
      </c>
    </row>
    <row r="17" spans="1:6" ht="14.4">
      <c r="A17" s="174" t="s">
        <v>35</v>
      </c>
      <c r="B17" s="180">
        <v>3.1</v>
      </c>
      <c r="C17" s="180">
        <v>4.0999999999999996</v>
      </c>
      <c r="D17" s="180">
        <v>4.0999999999999996</v>
      </c>
      <c r="E17" s="180">
        <v>4.0999999999999996</v>
      </c>
      <c r="F17" s="180">
        <v>4.0999999999999996</v>
      </c>
    </row>
    <row r="18" spans="1:6" ht="14.4">
      <c r="A18" s="174" t="s">
        <v>36</v>
      </c>
      <c r="B18" s="180">
        <v>2.1</v>
      </c>
      <c r="C18" s="180">
        <v>2.0132666666666665</v>
      </c>
      <c r="D18" s="180">
        <v>1.9086666666666665</v>
      </c>
      <c r="E18" s="180">
        <v>1.9086666666666665</v>
      </c>
      <c r="F18" s="180">
        <v>1.9086666666666665</v>
      </c>
    </row>
    <row r="19" spans="1:6" ht="14.4">
      <c r="A19" s="174" t="s">
        <v>37</v>
      </c>
      <c r="B19" s="180">
        <v>34.029215400000027</v>
      </c>
      <c r="C19" s="180">
        <v>38.442026856682347</v>
      </c>
      <c r="D19" s="180">
        <v>45.286590949142067</v>
      </c>
      <c r="E19" s="180">
        <v>49.920876920897499</v>
      </c>
      <c r="F19" s="180">
        <v>52.891245475492525</v>
      </c>
    </row>
    <row r="20" spans="1:6" ht="14.4">
      <c r="A20" s="173" t="s">
        <v>38</v>
      </c>
      <c r="B20" s="181">
        <f>SUM(B16:B19)</f>
        <v>94.147209662938664</v>
      </c>
      <c r="C20" s="181">
        <f t="shared" ref="C20:F20" si="5">SUM(C16:C19)</f>
        <v>74.620836423784183</v>
      </c>
      <c r="D20" s="181">
        <f t="shared" si="5"/>
        <v>105.04401819421257</v>
      </c>
      <c r="E20" s="181">
        <f t="shared" si="5"/>
        <v>125.53339504552146</v>
      </c>
      <c r="F20" s="181">
        <f t="shared" si="5"/>
        <v>122.70308878387448</v>
      </c>
    </row>
    <row r="21" spans="1:6" ht="14.4">
      <c r="B21" s="180"/>
      <c r="C21" s="180"/>
      <c r="D21" s="170"/>
      <c r="E21" s="170"/>
      <c r="F21" s="170"/>
    </row>
    <row r="22" spans="1:6" ht="14.4">
      <c r="A22" t="s">
        <v>39</v>
      </c>
      <c r="B22" s="180">
        <v>0</v>
      </c>
      <c r="C22" s="180">
        <v>0</v>
      </c>
      <c r="D22" s="180">
        <v>0</v>
      </c>
      <c r="E22" s="180">
        <v>24</v>
      </c>
      <c r="F22" s="180">
        <v>0</v>
      </c>
    </row>
    <row r="23" spans="1:6" ht="14.4">
      <c r="A23" t="s">
        <v>40</v>
      </c>
      <c r="B23" s="180">
        <v>-36</v>
      </c>
      <c r="C23" s="180">
        <v>-51</v>
      </c>
      <c r="D23" s="180">
        <v>-50</v>
      </c>
      <c r="E23" s="180">
        <v>-50</v>
      </c>
      <c r="F23" s="180">
        <v>-50</v>
      </c>
    </row>
    <row r="24" spans="1:6" ht="14.4">
      <c r="A24" t="s">
        <v>41</v>
      </c>
      <c r="B24" s="180">
        <v>-9.1999999999999993</v>
      </c>
      <c r="C24" s="180">
        <v>-9.1999999999999993</v>
      </c>
      <c r="D24" s="180">
        <v>0</v>
      </c>
      <c r="E24" s="180">
        <v>0</v>
      </c>
      <c r="F24" s="180">
        <v>0</v>
      </c>
    </row>
    <row r="25" spans="1:6" ht="14.4">
      <c r="A25" t="s">
        <v>42</v>
      </c>
      <c r="B25" s="180">
        <v>-18.06402320252365</v>
      </c>
      <c r="C25" s="180">
        <v>-8.693414081730614</v>
      </c>
      <c r="D25" s="180">
        <v>-10.93107815184899</v>
      </c>
      <c r="E25" s="180">
        <v>-12.364583537694871</v>
      </c>
      <c r="F25" s="180">
        <v>-12.420051098297566</v>
      </c>
    </row>
    <row r="26" spans="1:6" ht="14.4">
      <c r="A26" t="s">
        <v>43</v>
      </c>
      <c r="B26" s="180">
        <v>-3.1</v>
      </c>
      <c r="C26" s="180">
        <v>-4.0999999999999996</v>
      </c>
      <c r="D26" s="180">
        <v>-4.0999999999999996</v>
      </c>
      <c r="E26" s="180">
        <v>-4.0999999999999996</v>
      </c>
      <c r="F26" s="180">
        <v>-4.0999999999999996</v>
      </c>
    </row>
    <row r="27" spans="1:6" ht="14.4">
      <c r="A27" t="s">
        <v>44</v>
      </c>
      <c r="B27" s="180">
        <v>6</v>
      </c>
      <c r="C27" s="180">
        <v>16.111954440903407</v>
      </c>
      <c r="D27" s="180">
        <v>15.168892666804709</v>
      </c>
      <c r="E27" s="180">
        <v>11.110216900668604</v>
      </c>
      <c r="F27" s="180">
        <v>3.9548595532390358</v>
      </c>
    </row>
    <row r="28" spans="1:6" ht="14.4">
      <c r="A28" t="s">
        <v>45</v>
      </c>
      <c r="B28" s="180">
        <v>-36.599999999999994</v>
      </c>
      <c r="C28" s="180">
        <v>-24</v>
      </c>
      <c r="D28" s="180">
        <v>-24</v>
      </c>
      <c r="E28" s="180">
        <v>-24</v>
      </c>
      <c r="F28" s="180">
        <v>-24</v>
      </c>
    </row>
    <row r="29" spans="1:6" ht="14.4">
      <c r="A29" t="s">
        <v>46</v>
      </c>
      <c r="B29" s="180">
        <v>0</v>
      </c>
      <c r="C29" s="180"/>
      <c r="D29" s="180">
        <v>-5</v>
      </c>
      <c r="E29" s="180">
        <v>-5</v>
      </c>
      <c r="F29" s="180">
        <v>-5</v>
      </c>
    </row>
    <row r="30" spans="1:6" ht="14.4">
      <c r="B30" s="170"/>
      <c r="C30" s="170"/>
      <c r="D30" s="170"/>
      <c r="E30" s="170"/>
      <c r="F30" s="170"/>
    </row>
    <row r="31" spans="1:6" ht="14.4">
      <c r="A31" t="s">
        <v>47</v>
      </c>
      <c r="B31" s="181">
        <f>SUM(B20:B30)</f>
        <v>-2.8168135395849845</v>
      </c>
      <c r="C31" s="181">
        <f t="shared" ref="C31:F31" si="6">SUM(C20:C30)</f>
        <v>-6.2606232170430225</v>
      </c>
      <c r="D31" s="181">
        <f t="shared" si="6"/>
        <v>26.181832709168283</v>
      </c>
      <c r="E31" s="181">
        <f t="shared" si="6"/>
        <v>65.179028408495185</v>
      </c>
      <c r="F31" s="181">
        <f t="shared" si="6"/>
        <v>31.137897238815953</v>
      </c>
    </row>
    <row r="32" spans="1:6" ht="14.4">
      <c r="A32" s="175" t="s">
        <v>48</v>
      </c>
      <c r="B32" s="181">
        <f>B31-B28-B24</f>
        <v>42.983186460415013</v>
      </c>
      <c r="C32" s="181">
        <f t="shared" ref="C32:F32" si="7">C31-C28-C24</f>
        <v>26.939376782956977</v>
      </c>
      <c r="D32" s="181">
        <f t="shared" si="7"/>
        <v>50.181832709168283</v>
      </c>
      <c r="E32" s="181">
        <f t="shared" si="7"/>
        <v>89.179028408495185</v>
      </c>
      <c r="F32" s="181">
        <f t="shared" si="7"/>
        <v>55.137897238815953</v>
      </c>
    </row>
    <row r="33" spans="1:6" ht="14.4">
      <c r="B33" s="170"/>
      <c r="C33" s="170"/>
      <c r="D33" s="170"/>
      <c r="E33" s="170"/>
      <c r="F33" s="170"/>
    </row>
    <row r="34" spans="1:6" ht="14.4">
      <c r="A34" t="s">
        <v>49</v>
      </c>
      <c r="B34" s="180">
        <v>-81.8</v>
      </c>
      <c r="C34" s="180">
        <f>B35</f>
        <v>-84.616813539584982</v>
      </c>
      <c r="D34" s="180">
        <f t="shared" ref="D34:F34" si="8">C35</f>
        <v>-90.877436756628001</v>
      </c>
      <c r="E34" s="180">
        <f t="shared" si="8"/>
        <v>-64.69560404745971</v>
      </c>
      <c r="F34" s="180">
        <f t="shared" si="8"/>
        <v>0.4834243610354747</v>
      </c>
    </row>
    <row r="35" spans="1:6" ht="14.4">
      <c r="A35" t="s">
        <v>50</v>
      </c>
      <c r="B35" s="180">
        <f>B34+B31</f>
        <v>-84.616813539584982</v>
      </c>
      <c r="C35" s="180">
        <f t="shared" ref="C35:F35" si="9">C34+C31</f>
        <v>-90.877436756628001</v>
      </c>
      <c r="D35" s="180">
        <f t="shared" si="9"/>
        <v>-64.69560404745971</v>
      </c>
      <c r="E35" s="180">
        <f t="shared" si="9"/>
        <v>0.4834243610354747</v>
      </c>
      <c r="F35" s="180">
        <f t="shared" si="9"/>
        <v>31.621321599851427</v>
      </c>
    </row>
    <row r="36" spans="1:6" ht="14.4">
      <c r="A36" s="173" t="s">
        <v>51</v>
      </c>
      <c r="B36" s="182">
        <f>-B35/(B20-B15)</f>
        <v>0.89877133738244663</v>
      </c>
      <c r="C36" s="182">
        <f t="shared" ref="C36:F36" si="10">-C35/(C20-C15)</f>
        <v>0.98112968880134244</v>
      </c>
      <c r="D36" s="182">
        <f t="shared" si="10"/>
        <v>0.57868955950734746</v>
      </c>
      <c r="E36" s="182">
        <f t="shared" si="10"/>
        <v>-3.8862059588166816E-3</v>
      </c>
      <c r="F36" s="182">
        <f t="shared" si="10"/>
        <v>-0.24787791245157842</v>
      </c>
    </row>
    <row r="37" spans="1:6" ht="14.4">
      <c r="B37" s="170"/>
      <c r="C37" s="170"/>
      <c r="D37" s="170"/>
      <c r="E37" s="170"/>
      <c r="F37" s="170"/>
    </row>
    <row r="38" spans="1:6" ht="14.4">
      <c r="B38" s="180"/>
      <c r="C38" s="180"/>
      <c r="D38" s="180"/>
      <c r="E38" s="180"/>
      <c r="F38" s="180"/>
    </row>
    <row r="39" spans="1:6" ht="14.4">
      <c r="B39" s="180"/>
      <c r="C39" s="180"/>
      <c r="D39" s="180"/>
      <c r="E39" s="180"/>
      <c r="F39" s="180"/>
    </row>
    <row r="40" spans="1:6" ht="14.4">
      <c r="B40" s="180"/>
      <c r="C40" s="180"/>
      <c r="D40" s="180"/>
      <c r="E40" s="180"/>
      <c r="F40" s="180"/>
    </row>
    <row r="41" spans="1:6" ht="14.4">
      <c r="B41" s="180"/>
      <c r="C41" s="180"/>
      <c r="D41" s="180"/>
      <c r="E41" s="180"/>
      <c r="F41" s="180"/>
    </row>
    <row r="42" spans="1:6" ht="14.4">
      <c r="B42" s="180"/>
      <c r="C42" s="180"/>
      <c r="D42" s="180"/>
      <c r="E42" s="180"/>
      <c r="F42" s="180"/>
    </row>
    <row r="43" spans="1:6" ht="14.4">
      <c r="B43" s="180"/>
      <c r="C43" s="180"/>
      <c r="D43" s="180"/>
      <c r="E43" s="180"/>
      <c r="F43" s="180"/>
    </row>
    <row r="44" spans="1:6" ht="14.4">
      <c r="B44" s="180"/>
      <c r="C44" s="180"/>
      <c r="D44" s="180"/>
      <c r="E44" s="180"/>
      <c r="F44" s="180"/>
    </row>
    <row r="45" spans="1:6" ht="14.4">
      <c r="B45" s="180"/>
      <c r="C45" s="180"/>
      <c r="D45" s="180"/>
      <c r="E45" s="180"/>
      <c r="F45" s="180"/>
    </row>
    <row r="46" spans="1:6" ht="14.4">
      <c r="B46" s="180"/>
      <c r="C46" s="180"/>
      <c r="D46" s="180"/>
      <c r="E46" s="180"/>
      <c r="F46" s="180"/>
    </row>
    <row r="47" spans="1:6" ht="14.4">
      <c r="B47" s="180"/>
      <c r="C47" s="180"/>
      <c r="D47" s="180"/>
      <c r="E47" s="180"/>
      <c r="F47" s="180"/>
    </row>
    <row r="48" spans="1:6" ht="14.4">
      <c r="B48" s="180"/>
      <c r="C48" s="180"/>
      <c r="D48" s="180"/>
      <c r="E48" s="180"/>
      <c r="F48" s="180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Y12" sqref="Y12:AE53"/>
    </sheetView>
  </sheetViews>
  <sheetFormatPr defaultColWidth="9.109375" defaultRowHeight="13.2" outlineLevelRow="1"/>
  <cols>
    <col min="1" max="1" width="3" style="4" customWidth="1"/>
    <col min="2" max="2" width="2.88671875" style="4" customWidth="1"/>
    <col min="3" max="3" width="27.6640625" style="4" customWidth="1"/>
    <col min="4" max="5" width="3.44140625" style="4" customWidth="1"/>
    <col min="6" max="22" width="12.6640625" style="4" customWidth="1"/>
    <col min="23" max="23" width="3.44140625" style="4" customWidth="1"/>
    <col min="24" max="16384" width="9.109375" style="4"/>
  </cols>
  <sheetData>
    <row r="2" spans="2:22" ht="12" customHeight="1">
      <c r="B2" s="38"/>
      <c r="E2" s="25"/>
      <c r="O2" s="28"/>
      <c r="R2" s="29"/>
    </row>
    <row r="3" spans="2:22" ht="12" customHeight="1">
      <c r="B3" s="38"/>
      <c r="E3" s="25"/>
      <c r="O3" s="28"/>
      <c r="R3" s="29"/>
    </row>
    <row r="4" spans="2:22" ht="4.5" customHeight="1">
      <c r="B4" s="2"/>
      <c r="C4" s="5"/>
      <c r="D4" s="5"/>
      <c r="E4" s="6"/>
      <c r="F4" s="7"/>
      <c r="G4" s="7"/>
      <c r="H4" s="7"/>
      <c r="I4" s="7"/>
      <c r="J4" s="7"/>
      <c r="K4" s="7"/>
      <c r="L4" s="2"/>
      <c r="M4" s="2"/>
      <c r="N4" s="8"/>
      <c r="O4" s="2"/>
      <c r="P4" s="2"/>
      <c r="Q4" s="2"/>
      <c r="R4" s="2"/>
      <c r="S4" s="2"/>
      <c r="T4" s="2"/>
      <c r="U4" s="2"/>
      <c r="V4" s="2"/>
    </row>
    <row r="5" spans="2:22" ht="12.75" customHeight="1">
      <c r="B5" s="2"/>
      <c r="C5" s="12" t="s">
        <v>52</v>
      </c>
      <c r="D5" s="13"/>
      <c r="E5" s="14"/>
      <c r="F5" s="15"/>
      <c r="G5" s="15"/>
      <c r="H5" s="15"/>
      <c r="I5" s="15"/>
      <c r="J5" s="15"/>
      <c r="K5" s="15"/>
      <c r="L5" s="16"/>
      <c r="M5" s="16"/>
      <c r="N5" s="17"/>
      <c r="O5" s="16"/>
      <c r="P5" s="16"/>
      <c r="Q5" s="16"/>
      <c r="R5" s="16"/>
      <c r="S5" s="16"/>
      <c r="T5" s="16"/>
      <c r="U5" s="16"/>
      <c r="V5" s="207"/>
    </row>
    <row r="6" spans="2:22" ht="4.5" customHeight="1">
      <c r="B6" s="2"/>
      <c r="C6" s="2"/>
      <c r="D6" s="2"/>
      <c r="E6" s="9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</row>
    <row r="7" spans="2:22">
      <c r="B7" s="2"/>
      <c r="D7" s="18"/>
      <c r="F7" s="176" t="s">
        <v>53</v>
      </c>
      <c r="G7" s="176"/>
      <c r="H7" s="176"/>
      <c r="I7" s="176"/>
      <c r="J7" s="176"/>
      <c r="K7" s="176"/>
      <c r="L7" s="177" t="s">
        <v>54</v>
      </c>
      <c r="M7" s="177"/>
      <c r="N7" s="177"/>
      <c r="O7" s="177"/>
      <c r="P7" s="177"/>
      <c r="Q7" s="178" t="s">
        <v>55</v>
      </c>
      <c r="R7" s="178"/>
      <c r="S7" s="178"/>
      <c r="T7" s="178"/>
      <c r="U7" s="178"/>
      <c r="V7" s="178"/>
    </row>
    <row r="8" spans="2:22" ht="12.75" customHeight="1">
      <c r="B8" s="2"/>
      <c r="D8" s="2"/>
      <c r="E8" s="9"/>
      <c r="F8" s="2"/>
      <c r="G8" s="2"/>
      <c r="H8" s="2"/>
      <c r="I8" s="2"/>
      <c r="J8" s="2"/>
      <c r="K8" s="2"/>
      <c r="L8" s="2"/>
      <c r="M8" s="134"/>
      <c r="N8" s="8"/>
      <c r="O8" s="2"/>
      <c r="P8" s="2"/>
      <c r="Q8" s="2"/>
      <c r="R8" s="2"/>
      <c r="S8" s="2"/>
    </row>
    <row r="9" spans="2:22" ht="12.75" customHeight="1">
      <c r="B9" s="2"/>
      <c r="C9" s="36" t="str">
        <f>TEXT(Assumptions!$D$11,"mmmm")&amp;" YE ($mm)"</f>
        <v>March YE ($mm)</v>
      </c>
      <c r="D9" s="36"/>
      <c r="E9" s="37"/>
      <c r="F9" s="111">
        <v>41729</v>
      </c>
      <c r="G9" s="111">
        <f>+EDATE(F9,12)</f>
        <v>42094</v>
      </c>
      <c r="H9" s="111">
        <f t="shared" ref="H9:V9" si="0">+EDATE(G9,12)</f>
        <v>42460</v>
      </c>
      <c r="I9" s="111">
        <f t="shared" si="0"/>
        <v>42825</v>
      </c>
      <c r="J9" s="111">
        <f t="shared" si="0"/>
        <v>43190</v>
      </c>
      <c r="K9" s="111">
        <f t="shared" si="0"/>
        <v>43555</v>
      </c>
      <c r="L9" s="30">
        <f t="shared" si="0"/>
        <v>43921</v>
      </c>
      <c r="M9" s="30">
        <f t="shared" si="0"/>
        <v>44286</v>
      </c>
      <c r="N9" s="30">
        <f t="shared" si="0"/>
        <v>44651</v>
      </c>
      <c r="O9" s="30">
        <f t="shared" si="0"/>
        <v>45016</v>
      </c>
      <c r="P9" s="30">
        <f t="shared" si="0"/>
        <v>45382</v>
      </c>
      <c r="Q9" s="30">
        <f t="shared" si="0"/>
        <v>45747</v>
      </c>
      <c r="R9" s="30">
        <f t="shared" si="0"/>
        <v>46112</v>
      </c>
      <c r="S9" s="30">
        <f t="shared" si="0"/>
        <v>46477</v>
      </c>
      <c r="T9" s="30">
        <f t="shared" si="0"/>
        <v>46843</v>
      </c>
      <c r="U9" s="30">
        <f t="shared" si="0"/>
        <v>47208</v>
      </c>
      <c r="V9" s="30">
        <f t="shared" si="0"/>
        <v>47573</v>
      </c>
    </row>
    <row r="10" spans="2:22" ht="12.75" customHeigh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34"/>
      <c r="Q10" s="2"/>
      <c r="R10" s="2"/>
      <c r="S10" s="2"/>
      <c r="U10" s="2"/>
      <c r="V10" s="2"/>
    </row>
    <row r="11" spans="2:22">
      <c r="B11" s="2"/>
      <c r="C11" s="27" t="s">
        <v>56</v>
      </c>
      <c r="D11" s="27"/>
      <c r="E11" s="27"/>
      <c r="F11" s="84">
        <v>939.7</v>
      </c>
      <c r="G11" s="84">
        <v>1004.9</v>
      </c>
      <c r="H11" s="84">
        <v>1021.5</v>
      </c>
      <c r="I11" s="84">
        <v>1095</v>
      </c>
      <c r="J11" s="84">
        <v>1135.0999999999999</v>
      </c>
      <c r="K11" s="84">
        <v>1138.5999999999999</v>
      </c>
      <c r="L11" s="81">
        <f>K11*(1+L13)</f>
        <v>1149.2312142121568</v>
      </c>
      <c r="M11" s="81">
        <f t="shared" ref="M11:V11" si="1">L11*(1+M13)</f>
        <v>1255.6304578332745</v>
      </c>
      <c r="N11" s="81">
        <f t="shared" si="1"/>
        <v>1353.8373857301615</v>
      </c>
      <c r="O11" s="81">
        <f t="shared" si="1"/>
        <v>1446.9754795854415</v>
      </c>
      <c r="P11" s="81">
        <f t="shared" si="1"/>
        <v>1442.6203434361953</v>
      </c>
      <c r="Q11" s="81">
        <f t="shared" si="1"/>
        <v>1471.4727503049191</v>
      </c>
      <c r="R11" s="81">
        <f t="shared" si="1"/>
        <v>1497.9592598104077</v>
      </c>
      <c r="S11" s="81">
        <f t="shared" si="1"/>
        <v>1521.9266079673744</v>
      </c>
      <c r="T11" s="81">
        <f t="shared" si="1"/>
        <v>1543.2335804789177</v>
      </c>
      <c r="U11" s="81">
        <f t="shared" si="1"/>
        <v>1561.7523834446647</v>
      </c>
      <c r="V11" s="81">
        <f t="shared" si="1"/>
        <v>1577.3699072791114</v>
      </c>
    </row>
    <row r="12" spans="2:22" outlineLevel="1">
      <c r="B12" s="2"/>
      <c r="C12" s="86" t="s">
        <v>57</v>
      </c>
      <c r="D12" s="86"/>
      <c r="E12" s="86"/>
      <c r="F12" s="117"/>
      <c r="G12" s="117"/>
      <c r="H12" s="117"/>
      <c r="I12" s="117"/>
      <c r="J12" s="117"/>
      <c r="K12" s="117"/>
      <c r="L12" s="118">
        <f>+'Targets''s 5 yr Plan '!B5</f>
        <v>1149.2312142121568</v>
      </c>
      <c r="M12" s="118">
        <f>+'Targets''s 5 yr Plan '!C5</f>
        <v>1255.6304578332745</v>
      </c>
      <c r="N12" s="118">
        <f>+'Targets''s 5 yr Plan '!D5</f>
        <v>1353.8373857301615</v>
      </c>
      <c r="O12" s="118">
        <f>+'Targets''s 5 yr Plan '!E5</f>
        <v>1446.9754795854417</v>
      </c>
      <c r="P12" s="118">
        <f>+'Targets''s 5 yr Plan '!F5</f>
        <v>1442.6203434361955</v>
      </c>
      <c r="Q12" s="33"/>
      <c r="R12" s="33"/>
      <c r="S12" s="33"/>
      <c r="T12" s="33"/>
      <c r="U12" s="33"/>
      <c r="V12" s="33"/>
    </row>
    <row r="13" spans="2:22">
      <c r="B13" s="11"/>
      <c r="C13" s="11" t="s">
        <v>58</v>
      </c>
      <c r="D13" s="11"/>
      <c r="E13" s="3"/>
      <c r="L13" s="95">
        <f>IF(ISERROR(L12/K11-1),"n.a.",L12/K11-1)</f>
        <v>9.3370931074625574E-3</v>
      </c>
      <c r="M13" s="95">
        <f>IF(ISERROR(M12/L12-1),"n.a.",M12/L12-1)</f>
        <v>9.2582973996280238E-2</v>
      </c>
      <c r="N13" s="95">
        <f>IF(ISERROR(N12/M12-1),"n.a.",N12/M12-1)</f>
        <v>7.8213241232100827E-2</v>
      </c>
      <c r="O13" s="95">
        <f>IF(ISERROR(O12/N12-1),"n.a.",O12/N12-1)</f>
        <v>6.879562851268739E-2</v>
      </c>
      <c r="P13" s="95">
        <f>IF(ISERROR(P12/O12-1),"n.a.",P12/O12-1)</f>
        <v>-3.0098202842344657E-3</v>
      </c>
      <c r="Q13" s="208">
        <v>0.02</v>
      </c>
      <c r="R13" s="209">
        <v>1.7999999999999999E-2</v>
      </c>
      <c r="S13" s="209">
        <v>1.6E-2</v>
      </c>
      <c r="T13" s="209">
        <v>1.4E-2</v>
      </c>
      <c r="U13" s="209">
        <v>1.2E-2</v>
      </c>
      <c r="V13" s="208">
        <v>0.01</v>
      </c>
    </row>
    <row r="14" spans="2:22">
      <c r="B14" s="11"/>
      <c r="C14" s="11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2:22">
      <c r="B15" s="2"/>
      <c r="C15" s="27" t="s">
        <v>59</v>
      </c>
      <c r="D15" s="27"/>
      <c r="E15" s="27"/>
      <c r="F15" s="84">
        <v>101.1</v>
      </c>
      <c r="G15" s="84">
        <v>109.9</v>
      </c>
      <c r="H15" s="84">
        <v>114.6</v>
      </c>
      <c r="I15" s="84">
        <v>108.7</v>
      </c>
      <c r="J15" s="84">
        <v>109.5</v>
      </c>
      <c r="K15" s="84">
        <v>98.2</v>
      </c>
      <c r="L15" s="81">
        <f>L11*L18</f>
        <v>94.147209662938664</v>
      </c>
      <c r="M15" s="81">
        <f t="shared" ref="M15:V15" si="2">M11*M18</f>
        <v>92.625305088518957</v>
      </c>
      <c r="N15" s="81">
        <f t="shared" si="2"/>
        <v>111.79673623719195</v>
      </c>
      <c r="O15" s="81">
        <f t="shared" si="2"/>
        <v>124.39494101920255</v>
      </c>
      <c r="P15" s="81">
        <f t="shared" si="2"/>
        <v>127.56812935492377</v>
      </c>
      <c r="Q15" s="81">
        <f t="shared" si="2"/>
        <v>129.48960202683287</v>
      </c>
      <c r="R15" s="81">
        <f t="shared" si="2"/>
        <v>131.82041486331588</v>
      </c>
      <c r="S15" s="81">
        <f t="shared" si="2"/>
        <v>135.45146810909631</v>
      </c>
      <c r="T15" s="81">
        <f t="shared" si="2"/>
        <v>137.34778866262366</v>
      </c>
      <c r="U15" s="81">
        <f t="shared" si="2"/>
        <v>140.55771451001982</v>
      </c>
      <c r="V15" s="81">
        <f t="shared" si="2"/>
        <v>141.96329165512003</v>
      </c>
    </row>
    <row r="16" spans="2:22" ht="12.75" customHeight="1" outlineLevel="1">
      <c r="B16" s="2"/>
      <c r="C16" s="86" t="str">
        <f>+$C$12</f>
        <v>Management case</v>
      </c>
      <c r="D16" s="86"/>
      <c r="E16" s="86"/>
      <c r="F16" s="33"/>
      <c r="G16" s="33"/>
      <c r="H16" s="33"/>
      <c r="I16" s="33"/>
      <c r="J16" s="33"/>
      <c r="K16" s="33"/>
      <c r="L16" s="118">
        <f>+('Targets''s 5 yr Plan '!B20-'Targets''s 5 yr Plan '!B15)</f>
        <v>94.147209662938664</v>
      </c>
      <c r="M16" s="118">
        <f>+('Targets''s 5 yr Plan '!C20-'Targets''s 5 yr Plan '!C15)</f>
        <v>92.625305088518957</v>
      </c>
      <c r="N16" s="118">
        <f>+('Targets''s 5 yr Plan '!D20-'Targets''s 5 yr Plan '!D15)</f>
        <v>111.79673623719194</v>
      </c>
      <c r="O16" s="118">
        <f>+('Targets''s 5 yr Plan '!E20-'Targets''s 5 yr Plan '!E15)</f>
        <v>124.39494101920258</v>
      </c>
      <c r="P16" s="118">
        <f>+('Targets''s 5 yr Plan '!F20-'Targets''s 5 yr Plan '!F15)</f>
        <v>127.56812935492378</v>
      </c>
      <c r="Q16" s="33"/>
      <c r="R16" s="33"/>
      <c r="S16" s="33"/>
      <c r="T16" s="33"/>
      <c r="U16" s="33"/>
      <c r="V16" s="33"/>
    </row>
    <row r="17" spans="2:24">
      <c r="B17" s="2"/>
      <c r="C17" s="11" t="s">
        <v>60</v>
      </c>
      <c r="D17" s="11"/>
      <c r="E17" s="3"/>
      <c r="F17" s="95" t="str">
        <f>IF(ISERROR(F15/E15-1),"n.a.",F15/E15-1)</f>
        <v>n.a.</v>
      </c>
      <c r="G17" s="3">
        <f>IF(ISERROR(G15/F15-1),"n.a.",G15/F15-1)</f>
        <v>8.7042532146389906E-2</v>
      </c>
      <c r="H17" s="3">
        <f t="shared" ref="H17:K17" si="3">IF(ISERROR(H15/G15-1),"n.a.",H15/G15-1)</f>
        <v>4.2766151046405687E-2</v>
      </c>
      <c r="I17" s="3">
        <f t="shared" si="3"/>
        <v>-5.148342059336819E-2</v>
      </c>
      <c r="J17" s="3">
        <f t="shared" si="3"/>
        <v>7.3597056117755688E-3</v>
      </c>
      <c r="K17" s="3">
        <f t="shared" si="3"/>
        <v>-0.10319634703196345</v>
      </c>
      <c r="L17" s="3">
        <f>IF(ISERROR(L15/K15-1),"n.a.",L15/K15-1)</f>
        <v>-4.1270777363150102E-2</v>
      </c>
      <c r="M17" s="3">
        <f t="shared" ref="M17:V17" si="4">IF(ISERROR(M15/L15-1),"n.a.",M15/L15-1)</f>
        <v>-1.6165158583757888E-2</v>
      </c>
      <c r="N17" s="3">
        <f t="shared" si="4"/>
        <v>0.20697833200496873</v>
      </c>
      <c r="O17" s="3">
        <f t="shared" si="4"/>
        <v>0.1126884845303695</v>
      </c>
      <c r="P17" s="3">
        <f t="shared" si="4"/>
        <v>2.5508982195918906E-2</v>
      </c>
      <c r="Q17" s="3">
        <f t="shared" si="4"/>
        <v>1.5062325375667429E-2</v>
      </c>
      <c r="R17" s="3">
        <f t="shared" si="4"/>
        <v>1.8000000000000016E-2</v>
      </c>
      <c r="S17" s="3">
        <f t="shared" si="4"/>
        <v>2.754545454545454E-2</v>
      </c>
      <c r="T17" s="3">
        <f t="shared" si="4"/>
        <v>1.4000000000000012E-2</v>
      </c>
      <c r="U17" s="3">
        <f t="shared" si="4"/>
        <v>2.3370786516853981E-2</v>
      </c>
      <c r="V17" s="3">
        <f t="shared" si="4"/>
        <v>1.0000000000000009E-2</v>
      </c>
    </row>
    <row r="18" spans="2:24">
      <c r="B18" s="2"/>
      <c r="C18" s="11" t="s">
        <v>61</v>
      </c>
      <c r="D18" s="11"/>
      <c r="E18" s="3"/>
      <c r="L18" s="95">
        <f>IF(ISERROR(L16/L$12),"n.a.",L16/L$12)</f>
        <v>8.1921904398916168E-2</v>
      </c>
      <c r="M18" s="95">
        <f>IF(ISERROR(M16/M$12),"n.a.",M16/M$12)</f>
        <v>7.3767966132610302E-2</v>
      </c>
      <c r="N18" s="95">
        <f>IF(ISERROR(N16/N$12),"n.a.",N16/N$12)</f>
        <v>8.2577669530744205E-2</v>
      </c>
      <c r="O18" s="95">
        <f>IF(ISERROR(O16/O$12),"n.a.",O16/O$12)</f>
        <v>8.5968935047082973E-2</v>
      </c>
      <c r="P18" s="210">
        <f>IF(ISERROR(P16/P$12),"n.a.",P16/P$12)</f>
        <v>8.8428067672377098E-2</v>
      </c>
      <c r="Q18" s="211">
        <v>8.7999999999999995E-2</v>
      </c>
      <c r="R18" s="211">
        <v>8.7999999999999995E-2</v>
      </c>
      <c r="S18" s="211">
        <v>8.8999999999999996E-2</v>
      </c>
      <c r="T18" s="211">
        <v>8.8999999999999996E-2</v>
      </c>
      <c r="U18" s="211">
        <v>0.09</v>
      </c>
      <c r="V18" s="208">
        <v>0.09</v>
      </c>
    </row>
    <row r="19" spans="2:24"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4">
      <c r="B20" s="11"/>
      <c r="C20" s="27" t="s">
        <v>62</v>
      </c>
      <c r="D20" s="27"/>
      <c r="E20" s="27"/>
      <c r="F20" s="27">
        <f t="shared" ref="F20:K20" si="5">-F15+F25</f>
        <v>-23.299999999999997</v>
      </c>
      <c r="G20" s="27">
        <f t="shared" si="5"/>
        <v>-25.300000000000011</v>
      </c>
      <c r="H20" s="27">
        <f t="shared" si="5"/>
        <v>-30.099999999999994</v>
      </c>
      <c r="I20" s="27">
        <f t="shared" si="5"/>
        <v>-31.600000000000009</v>
      </c>
      <c r="J20" s="27">
        <f t="shared" si="5"/>
        <v>-34.900000000000006</v>
      </c>
      <c r="K20" s="27">
        <f t="shared" si="5"/>
        <v>-36</v>
      </c>
      <c r="L20" s="87">
        <f>+(('Targets''s 5 yr Plan '!B18+'Targets''s 5 yr Plan '!B19))*-1</f>
        <v>-36.129215400000028</v>
      </c>
      <c r="M20" s="87">
        <f>+(('Targets''s 5 yr Plan '!C18+'Targets''s 5 yr Plan '!C19))*-1</f>
        <v>-40.455293523349013</v>
      </c>
      <c r="N20" s="87">
        <f>+(('Targets''s 5 yr Plan '!D18+'Targets''s 5 yr Plan '!D19))*-1</f>
        <v>-47.195257615808735</v>
      </c>
      <c r="O20" s="87">
        <f>+(('Targets''s 5 yr Plan '!E18+'Targets''s 5 yr Plan '!E19))*-1</f>
        <v>-51.829543587564167</v>
      </c>
      <c r="P20" s="87">
        <f>+(('Targets''s 5 yr Plan '!F18+'Targets''s 5 yr Plan '!F19))*-1</f>
        <v>-54.799912142159194</v>
      </c>
      <c r="Q20" s="81">
        <f t="shared" ref="Q20:V20" si="6">Q22*Q40</f>
        <v>-53</v>
      </c>
      <c r="R20" s="81">
        <f t="shared" si="6"/>
        <v>-51.5</v>
      </c>
      <c r="S20" s="81">
        <f t="shared" si="6"/>
        <v>-50</v>
      </c>
      <c r="T20" s="81">
        <f t="shared" si="6"/>
        <v>-48.5</v>
      </c>
      <c r="U20" s="81">
        <f t="shared" si="6"/>
        <v>-48</v>
      </c>
      <c r="V20" s="81">
        <f t="shared" si="6"/>
        <v>-47.5</v>
      </c>
    </row>
    <row r="21" spans="2:24">
      <c r="B21" s="11"/>
      <c r="C21" s="11" t="s">
        <v>60</v>
      </c>
      <c r="D21" s="11"/>
      <c r="E21" s="3"/>
      <c r="F21" s="3" t="str">
        <f t="shared" ref="F21:V21" si="7">IF(ISERROR(F20/E20-1),"n.a.",F20/E20-1)</f>
        <v>n.a.</v>
      </c>
      <c r="G21" s="3">
        <f t="shared" si="7"/>
        <v>8.5836909871245259E-2</v>
      </c>
      <c r="H21" s="3">
        <f t="shared" si="7"/>
        <v>0.18972332015810212</v>
      </c>
      <c r="I21" s="3">
        <f t="shared" si="7"/>
        <v>4.9833887043189806E-2</v>
      </c>
      <c r="J21" s="3">
        <f t="shared" si="7"/>
        <v>0.10443037974683533</v>
      </c>
      <c r="K21" s="3">
        <f t="shared" si="7"/>
        <v>3.1518624641833748E-2</v>
      </c>
      <c r="L21" s="3">
        <f t="shared" si="7"/>
        <v>3.589316666667397E-3</v>
      </c>
      <c r="M21" s="3">
        <f t="shared" si="7"/>
        <v>0.11973905537259411</v>
      </c>
      <c r="N21" s="3">
        <f t="shared" si="7"/>
        <v>0.16660277322100536</v>
      </c>
      <c r="O21" s="3">
        <f t="shared" si="7"/>
        <v>9.8193890782007465E-2</v>
      </c>
      <c r="P21" s="3">
        <f t="shared" si="7"/>
        <v>5.7310335939514845E-2</v>
      </c>
      <c r="Q21" s="3">
        <f t="shared" si="7"/>
        <v>-3.2845164742052013E-2</v>
      </c>
      <c r="R21" s="3">
        <f t="shared" si="7"/>
        <v>-2.8301886792452824E-2</v>
      </c>
      <c r="S21" s="3">
        <f t="shared" si="7"/>
        <v>-2.9126213592232997E-2</v>
      </c>
      <c r="T21" s="3">
        <f t="shared" si="7"/>
        <v>-3.0000000000000027E-2</v>
      </c>
      <c r="U21" s="3">
        <f t="shared" si="7"/>
        <v>-1.0309278350515427E-2</v>
      </c>
      <c r="V21" s="3">
        <f t="shared" si="7"/>
        <v>-1.041666666666663E-2</v>
      </c>
    </row>
    <row r="22" spans="2:24">
      <c r="B22" s="11"/>
      <c r="C22" s="11" t="s">
        <v>63</v>
      </c>
      <c r="D22" s="11"/>
      <c r="E22" s="3"/>
      <c r="F22" s="95">
        <f t="shared" ref="F22:P22" si="8">IF(ISERROR(F20/F$40),"n.a.",F20/F$40)</f>
        <v>0.76644736842105254</v>
      </c>
      <c r="G22" s="95">
        <f t="shared" si="8"/>
        <v>0.67466666666666697</v>
      </c>
      <c r="H22" s="95">
        <f t="shared" si="8"/>
        <v>0.74689826302729523</v>
      </c>
      <c r="I22" s="95">
        <f t="shared" si="8"/>
        <v>0.87534626038781183</v>
      </c>
      <c r="J22" s="95">
        <f t="shared" si="8"/>
        <v>0.93565683646112618</v>
      </c>
      <c r="K22" s="95">
        <f t="shared" si="8"/>
        <v>1.1612903225806452</v>
      </c>
      <c r="L22" s="95">
        <f t="shared" si="8"/>
        <v>1.0035893166666674</v>
      </c>
      <c r="M22" s="95">
        <f t="shared" si="8"/>
        <v>0.79324104947743168</v>
      </c>
      <c r="N22" s="95">
        <f t="shared" si="8"/>
        <v>0.94390515231617467</v>
      </c>
      <c r="O22" s="95">
        <f t="shared" si="8"/>
        <v>1.0365908717512833</v>
      </c>
      <c r="P22" s="95">
        <f t="shared" si="8"/>
        <v>1.0959982428431838</v>
      </c>
      <c r="Q22" s="211">
        <v>1.06</v>
      </c>
      <c r="R22" s="211">
        <v>1.03</v>
      </c>
      <c r="S22" s="211">
        <v>1</v>
      </c>
      <c r="T22" s="211">
        <v>0.97</v>
      </c>
      <c r="U22" s="211">
        <v>0.96</v>
      </c>
      <c r="V22" s="208">
        <v>0.95</v>
      </c>
      <c r="X22" s="134"/>
    </row>
    <row r="23" spans="2:24">
      <c r="B23" s="11"/>
      <c r="C23" s="11" t="s">
        <v>64</v>
      </c>
      <c r="D23" s="11"/>
      <c r="E23" s="3"/>
      <c r="F23" s="95">
        <f t="shared" ref="F23:V23" si="9">F20/F11*-1</f>
        <v>2.4795147387464082E-2</v>
      </c>
      <c r="G23" s="95">
        <f t="shared" si="9"/>
        <v>2.5176634490994141E-2</v>
      </c>
      <c r="H23" s="95">
        <f t="shared" si="9"/>
        <v>2.9466470876162502E-2</v>
      </c>
      <c r="I23" s="95">
        <f t="shared" si="9"/>
        <v>2.8858447488584484E-2</v>
      </c>
      <c r="J23" s="95">
        <f t="shared" si="9"/>
        <v>3.0746189763016483E-2</v>
      </c>
      <c r="K23" s="95">
        <f t="shared" si="9"/>
        <v>3.1617776216406115E-2</v>
      </c>
      <c r="L23" s="95">
        <f t="shared" si="9"/>
        <v>3.1437725457855774E-2</v>
      </c>
      <c r="M23" s="95">
        <f t="shared" si="9"/>
        <v>3.2219108154766314E-2</v>
      </c>
      <c r="N23" s="95">
        <f t="shared" si="9"/>
        <v>3.4860359237571983E-2</v>
      </c>
      <c r="O23" s="95">
        <f t="shared" si="9"/>
        <v>3.581922729085453E-2</v>
      </c>
      <c r="P23" s="95">
        <f t="shared" si="9"/>
        <v>3.7986371391124714E-2</v>
      </c>
      <c r="Q23" s="95">
        <f t="shared" si="9"/>
        <v>3.6018336043951424E-2</v>
      </c>
      <c r="R23" s="95">
        <f t="shared" si="9"/>
        <v>3.4380107244384069E-2</v>
      </c>
      <c r="S23" s="95">
        <f t="shared" si="9"/>
        <v>3.2853095371516004E-2</v>
      </c>
      <c r="T23" s="95">
        <f t="shared" si="9"/>
        <v>3.1427517268609984E-2</v>
      </c>
      <c r="U23" s="95">
        <f t="shared" si="9"/>
        <v>3.0734705775911315E-2</v>
      </c>
      <c r="V23" s="95">
        <f t="shared" si="9"/>
        <v>3.0113418406678784E-2</v>
      </c>
    </row>
    <row r="24" spans="2: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4">
      <c r="B25" s="2"/>
      <c r="C25" s="27" t="s">
        <v>65</v>
      </c>
      <c r="D25" s="27"/>
      <c r="E25" s="27"/>
      <c r="F25" s="84">
        <v>77.8</v>
      </c>
      <c r="G25" s="84">
        <v>84.6</v>
      </c>
      <c r="H25" s="84">
        <v>84.5</v>
      </c>
      <c r="I25" s="84">
        <v>77.099999999999994</v>
      </c>
      <c r="J25" s="84">
        <v>74.599999999999994</v>
      </c>
      <c r="K25" s="84">
        <v>62.2</v>
      </c>
      <c r="L25" s="81">
        <f>+L15+L20</f>
        <v>58.017994262938636</v>
      </c>
      <c r="M25" s="81">
        <f>+M15+M20</f>
        <v>52.170011565169943</v>
      </c>
      <c r="N25" s="81">
        <f>+N15+N20</f>
        <v>64.601478621383222</v>
      </c>
      <c r="O25" s="81">
        <f>+O15+O20</f>
        <v>72.565397431638388</v>
      </c>
      <c r="P25" s="81">
        <f>+P15+P20</f>
        <v>72.768217212764569</v>
      </c>
      <c r="Q25" s="81">
        <f t="shared" ref="Q25:V25" si="10">Q15+Q20</f>
        <v>76.48960202683287</v>
      </c>
      <c r="R25" s="81">
        <f t="shared" si="10"/>
        <v>80.320414863315875</v>
      </c>
      <c r="S25" s="81">
        <f t="shared" si="10"/>
        <v>85.451468109096311</v>
      </c>
      <c r="T25" s="81">
        <f t="shared" si="10"/>
        <v>88.847788662623657</v>
      </c>
      <c r="U25" s="81">
        <f t="shared" si="10"/>
        <v>92.557714510019821</v>
      </c>
      <c r="V25" s="81">
        <f t="shared" si="10"/>
        <v>94.463291655120031</v>
      </c>
    </row>
    <row r="26" spans="2:24">
      <c r="B26" s="2"/>
      <c r="C26" s="11" t="s">
        <v>60</v>
      </c>
      <c r="D26" s="11"/>
      <c r="E26" s="3"/>
      <c r="F26" s="3" t="str">
        <f t="shared" ref="F26:V26" si="11">IF(ISERROR(F25/E25-1),"n.a.",F25/E25-1)</f>
        <v>n.a.</v>
      </c>
      <c r="G26" s="3">
        <f t="shared" si="11"/>
        <v>8.740359897172234E-2</v>
      </c>
      <c r="H26" s="3">
        <f t="shared" si="11"/>
        <v>-1.1820330969266601E-3</v>
      </c>
      <c r="I26" s="3">
        <f t="shared" si="11"/>
        <v>-8.7573964497041468E-2</v>
      </c>
      <c r="J26" s="3">
        <f t="shared" si="11"/>
        <v>-3.2425421530479892E-2</v>
      </c>
      <c r="K26" s="3">
        <f t="shared" si="11"/>
        <v>-0.16621983914209104</v>
      </c>
      <c r="L26" s="3">
        <f t="shared" si="11"/>
        <v>-6.723481892381622E-2</v>
      </c>
      <c r="M26" s="3">
        <f t="shared" si="11"/>
        <v>-0.10079601634047408</v>
      </c>
      <c r="N26" s="3">
        <f t="shared" si="11"/>
        <v>0.23828760399418525</v>
      </c>
      <c r="O26" s="3">
        <f t="shared" si="11"/>
        <v>0.12327765525198209</v>
      </c>
      <c r="P26" s="3">
        <f t="shared" si="11"/>
        <v>2.7949930449600036E-3</v>
      </c>
      <c r="Q26" s="3">
        <f t="shared" si="11"/>
        <v>5.1140249914155111E-2</v>
      </c>
      <c r="R26" s="3">
        <f t="shared" si="11"/>
        <v>5.0082792104724883E-2</v>
      </c>
      <c r="S26" s="3">
        <f t="shared" si="11"/>
        <v>6.3882305071657486E-2</v>
      </c>
      <c r="T26" s="3">
        <f t="shared" si="11"/>
        <v>3.9745607988750375E-2</v>
      </c>
      <c r="U26" s="3">
        <f t="shared" si="11"/>
        <v>4.1755972807422825E-2</v>
      </c>
      <c r="V26" s="3">
        <f t="shared" si="11"/>
        <v>2.0587988318293338E-2</v>
      </c>
    </row>
    <row r="27" spans="2:24">
      <c r="B27" s="2"/>
      <c r="C27" s="11" t="s">
        <v>64</v>
      </c>
      <c r="D27" s="11"/>
      <c r="E27" s="3"/>
      <c r="F27" s="3">
        <f t="shared" ref="F27:Q27" si="12">IF(ISERROR(F25/F$11),"n.a.",F25/F$11)</f>
        <v>8.2792380546983069E-2</v>
      </c>
      <c r="G27" s="3">
        <f t="shared" si="12"/>
        <v>8.4187481341427006E-2</v>
      </c>
      <c r="H27" s="3">
        <f t="shared" si="12"/>
        <v>8.272148800783162E-2</v>
      </c>
      <c r="I27" s="3">
        <f t="shared" si="12"/>
        <v>7.0410958904109588E-2</v>
      </c>
      <c r="J27" s="3">
        <f t="shared" si="12"/>
        <v>6.5721081843009427E-2</v>
      </c>
      <c r="K27" s="3">
        <f t="shared" si="12"/>
        <v>5.4628491129457238E-2</v>
      </c>
      <c r="L27" s="3">
        <f t="shared" si="12"/>
        <v>5.0484178941060394E-2</v>
      </c>
      <c r="M27" s="3">
        <f t="shared" si="12"/>
        <v>4.1548857977843988E-2</v>
      </c>
      <c r="N27" s="3">
        <f t="shared" si="12"/>
        <v>4.7717310293172235E-2</v>
      </c>
      <c r="O27" s="3">
        <f t="shared" si="12"/>
        <v>5.0149707756228443E-2</v>
      </c>
      <c r="P27" s="3">
        <f t="shared" si="12"/>
        <v>5.0441696281252384E-2</v>
      </c>
      <c r="Q27" s="3">
        <f t="shared" si="12"/>
        <v>5.1981663956048571E-2</v>
      </c>
      <c r="R27" s="3">
        <f>IF(ISERROR(R25/R$11),"n.a.",R25/R$11)</f>
        <v>5.3619892755615926E-2</v>
      </c>
      <c r="S27" s="3">
        <f>IF(ISERROR(S25/S$11),"n.a.",S25/S$11)</f>
        <v>5.6146904628483991E-2</v>
      </c>
      <c r="T27" s="3">
        <f>IF(ISERROR(T25/T$11),"n.a.",T25/T$11)</f>
        <v>5.7572482731390005E-2</v>
      </c>
      <c r="U27" s="3">
        <f>IF(ISERROR(U25/U$11),"n.a.",U25/U$11)</f>
        <v>5.9265294224088681E-2</v>
      </c>
      <c r="V27" s="3">
        <f>IF(ISERROR(V25/V$11),"n.a.",V25/V$11)</f>
        <v>5.988658159332122E-2</v>
      </c>
    </row>
    <row r="28" spans="2:24"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4" ht="12.75" customHeight="1">
      <c r="B29" s="2"/>
      <c r="C29" s="11" t="s">
        <v>66</v>
      </c>
      <c r="D29" s="11"/>
      <c r="E29" s="3"/>
      <c r="F29" s="80"/>
      <c r="G29" s="80"/>
      <c r="H29" s="80"/>
      <c r="I29" s="80"/>
      <c r="J29" s="80"/>
      <c r="K29" s="208">
        <v>0.19</v>
      </c>
      <c r="L29" s="208">
        <v>0.19</v>
      </c>
      <c r="M29" s="208">
        <v>0.17</v>
      </c>
      <c r="N29" s="211">
        <f>$M$29</f>
        <v>0.17</v>
      </c>
      <c r="O29" s="211">
        <f t="shared" ref="O29:V29" si="13">$M$29</f>
        <v>0.17</v>
      </c>
      <c r="P29" s="211">
        <f t="shared" si="13"/>
        <v>0.17</v>
      </c>
      <c r="Q29" s="211">
        <f t="shared" si="13"/>
        <v>0.17</v>
      </c>
      <c r="R29" s="211">
        <f t="shared" si="13"/>
        <v>0.17</v>
      </c>
      <c r="S29" s="211">
        <f t="shared" si="13"/>
        <v>0.17</v>
      </c>
      <c r="T29" s="211">
        <f t="shared" si="13"/>
        <v>0.17</v>
      </c>
      <c r="U29" s="211">
        <f t="shared" si="13"/>
        <v>0.17</v>
      </c>
      <c r="V29" s="211">
        <f t="shared" si="13"/>
        <v>0.17</v>
      </c>
    </row>
    <row r="30" spans="2:24" ht="12.75" customHeight="1">
      <c r="B30" s="2"/>
      <c r="C30" s="11"/>
      <c r="D30" s="11"/>
      <c r="E30" s="3"/>
      <c r="F30" s="80"/>
      <c r="G30" s="80"/>
      <c r="H30" s="80"/>
      <c r="I30" s="80"/>
      <c r="J30" s="80"/>
      <c r="K30" s="197"/>
      <c r="L30" s="197"/>
      <c r="M30" s="197"/>
      <c r="N30" s="196"/>
      <c r="O30" s="196"/>
      <c r="P30" s="196"/>
      <c r="Q30" s="196"/>
      <c r="R30" s="196"/>
      <c r="S30" s="196"/>
      <c r="T30" s="196"/>
      <c r="U30" s="196"/>
      <c r="V30" s="196"/>
    </row>
    <row r="31" spans="2:24">
      <c r="B31" s="2" t="s">
        <v>67</v>
      </c>
      <c r="C31" s="27" t="s">
        <v>68</v>
      </c>
      <c r="D31" s="27"/>
      <c r="E31" s="27"/>
      <c r="F31" s="84">
        <v>55.5</v>
      </c>
      <c r="G31" s="84">
        <v>65.8</v>
      </c>
      <c r="H31" s="84">
        <v>64.900000000000006</v>
      </c>
      <c r="I31" s="84">
        <v>59.5</v>
      </c>
      <c r="J31" s="84">
        <v>58.4</v>
      </c>
      <c r="K31" s="84">
        <v>48.3</v>
      </c>
      <c r="L31" s="87">
        <f>+('Targets''s 5 yr Plan '!B13+'Targets''s 5 yr Plan '!I13)*(1-L29)</f>
        <v>44.483575352980296</v>
      </c>
      <c r="M31" s="87">
        <f>+('Targets''s 5 yr Plan '!C13+'Targets''s 5 yr Plan '!J13)*(1-M29)</f>
        <v>39.898109599091057</v>
      </c>
      <c r="N31" s="87">
        <f>+('Targets''s 5 yr Plan '!D13+'Targets''s 5 yr Plan '!K13)*(1-N29)</f>
        <v>50.216227255748052</v>
      </c>
      <c r="O31" s="87">
        <f>+('Targets''s 5 yr Plan '!E13+'Targets''s 5 yr Plan '!L13)*(1-O29)</f>
        <v>56.826279868259888</v>
      </c>
      <c r="P31" s="87">
        <f>+('Targets''s 5 yr Plan '!F13+'Targets''s 5 yr Plan '!M13)*(1-P29)</f>
        <v>56.994620286594618</v>
      </c>
      <c r="Q31" s="2"/>
      <c r="R31" s="2"/>
      <c r="S31" s="2"/>
      <c r="T31" s="2"/>
      <c r="U31" s="2"/>
      <c r="V31" s="2"/>
    </row>
    <row r="32" spans="2:24">
      <c r="B32" s="2"/>
      <c r="C32" s="11" t="s">
        <v>60</v>
      </c>
      <c r="D32" s="11"/>
      <c r="E32" s="3"/>
      <c r="F32" s="3" t="str">
        <f t="shared" ref="F32:P32" si="14">IF(ISERROR(F31/E31-1),"n.a.",F31/E31-1)</f>
        <v>n.a.</v>
      </c>
      <c r="G32" s="3">
        <f t="shared" si="14"/>
        <v>0.18558558558558547</v>
      </c>
      <c r="H32" s="3">
        <f t="shared" si="14"/>
        <v>-1.3677811550151797E-2</v>
      </c>
      <c r="I32" s="3">
        <f t="shared" si="14"/>
        <v>-8.3204930662557852E-2</v>
      </c>
      <c r="J32" s="3">
        <f t="shared" si="14"/>
        <v>-1.8487394957983239E-2</v>
      </c>
      <c r="K32" s="3">
        <f t="shared" si="14"/>
        <v>-0.17294520547945214</v>
      </c>
      <c r="L32" s="3">
        <f t="shared" si="14"/>
        <v>-7.9015003043886201E-2</v>
      </c>
      <c r="M32" s="3">
        <f t="shared" si="14"/>
        <v>-0.10308222119070343</v>
      </c>
      <c r="N32" s="3">
        <f t="shared" si="14"/>
        <v>0.25861169264250194</v>
      </c>
      <c r="O32" s="3">
        <f t="shared" si="14"/>
        <v>0.13163180457279799</v>
      </c>
      <c r="P32" s="3">
        <f t="shared" si="14"/>
        <v>2.9623691490097137E-3</v>
      </c>
      <c r="Q32" s="198"/>
      <c r="R32" s="198"/>
      <c r="S32" s="198"/>
      <c r="T32" s="2"/>
      <c r="U32" s="2"/>
      <c r="V32" s="2"/>
    </row>
    <row r="33" spans="2:23">
      <c r="B33" s="2"/>
      <c r="C33" s="11" t="s">
        <v>64</v>
      </c>
      <c r="D33" s="11"/>
      <c r="E33" s="3"/>
      <c r="F33" s="3">
        <f t="shared" ref="F33:P33" si="15">IF(ISERROR(F31/F$11),"n.a.",F31/F$11)</f>
        <v>5.9061402575289981E-2</v>
      </c>
      <c r="G33" s="3">
        <f t="shared" si="15"/>
        <v>6.5479152154443221E-2</v>
      </c>
      <c r="H33" s="3">
        <f t="shared" si="15"/>
        <v>6.35340186000979E-2</v>
      </c>
      <c r="I33" s="3">
        <f t="shared" si="15"/>
        <v>5.4337899543378997E-2</v>
      </c>
      <c r="J33" s="3">
        <f t="shared" si="15"/>
        <v>5.1449211523213814E-2</v>
      </c>
      <c r="K33" s="3">
        <f>IF(ISERROR(K31/K$11),"n.a.",K31/K$11)</f>
        <v>4.2420516423678202E-2</v>
      </c>
      <c r="L33" s="3">
        <f t="shared" si="15"/>
        <v>3.8707246029229668E-2</v>
      </c>
      <c r="M33" s="3">
        <f t="shared" si="15"/>
        <v>3.1775359820388191E-2</v>
      </c>
      <c r="N33" s="3">
        <f t="shared" si="15"/>
        <v>3.709177171870244E-2</v>
      </c>
      <c r="O33" s="3">
        <f t="shared" si="15"/>
        <v>3.9272455317999319E-2</v>
      </c>
      <c r="P33" s="3">
        <f t="shared" si="15"/>
        <v>3.9507705922708969E-2</v>
      </c>
      <c r="Q33" s="2"/>
      <c r="R33" s="2"/>
      <c r="S33" s="2"/>
      <c r="T33" s="2"/>
      <c r="U33" s="2"/>
      <c r="V33" s="2"/>
    </row>
    <row r="34" spans="2:23">
      <c r="B34" s="2"/>
      <c r="C34" s="86"/>
      <c r="D34" s="86"/>
      <c r="E34" s="86"/>
      <c r="F34" s="117"/>
      <c r="G34" s="117"/>
      <c r="H34" s="117"/>
      <c r="I34" s="117"/>
      <c r="J34" s="117"/>
      <c r="K34" s="117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</row>
    <row r="35" spans="2:23">
      <c r="B35" s="2"/>
      <c r="C35" s="86"/>
      <c r="D35" s="86"/>
      <c r="E35" s="86"/>
      <c r="F35" s="117"/>
      <c r="G35" s="117"/>
      <c r="H35" s="117"/>
      <c r="I35" s="117"/>
      <c r="J35" s="117"/>
      <c r="K35" s="117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</row>
    <row r="36" spans="2:23">
      <c r="B36" s="2"/>
      <c r="C36" s="86"/>
      <c r="D36" s="86"/>
      <c r="E36" s="86"/>
      <c r="F36" s="117"/>
      <c r="G36" s="117"/>
      <c r="H36" s="117"/>
      <c r="I36" s="117"/>
      <c r="J36" s="117"/>
      <c r="K36" s="117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spans="2:23" ht="12.75" customHeight="1">
      <c r="B37" s="2"/>
      <c r="C37" s="2"/>
      <c r="D37" s="2"/>
      <c r="E37" s="2"/>
      <c r="F37" s="85"/>
      <c r="G37" s="85"/>
      <c r="H37" s="85"/>
      <c r="I37" s="85"/>
      <c r="J37" s="85"/>
      <c r="K37" s="85"/>
      <c r="L37" s="2"/>
      <c r="M37" s="2"/>
      <c r="N37" s="2"/>
      <c r="O37" s="2"/>
      <c r="P37" s="2"/>
      <c r="S37" s="2"/>
      <c r="T37" s="2"/>
      <c r="U37" s="2"/>
      <c r="V37" s="2"/>
    </row>
    <row r="38" spans="2:23">
      <c r="B38" s="2"/>
      <c r="C38" s="12" t="s">
        <v>69</v>
      </c>
      <c r="D38" s="13"/>
      <c r="E38" s="14"/>
      <c r="F38" s="15"/>
      <c r="G38" s="15"/>
      <c r="H38" s="15"/>
      <c r="I38" s="15"/>
      <c r="J38" s="15"/>
      <c r="K38" s="15"/>
      <c r="L38" s="16"/>
      <c r="M38" s="16"/>
      <c r="N38" s="17"/>
      <c r="O38" s="16"/>
      <c r="P38" s="16"/>
      <c r="Q38" s="16"/>
      <c r="R38" s="16"/>
      <c r="S38" s="20"/>
      <c r="T38" s="16"/>
      <c r="U38" s="16"/>
      <c r="V38" s="207"/>
      <c r="W38" s="3"/>
    </row>
    <row r="39" spans="2:2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2:23">
      <c r="B40" s="2"/>
      <c r="C40" s="27" t="s">
        <v>40</v>
      </c>
      <c r="D40" s="27"/>
      <c r="E40" s="27"/>
      <c r="F40" s="84">
        <v>-30.4</v>
      </c>
      <c r="G40" s="84">
        <v>-37.5</v>
      </c>
      <c r="H40" s="84">
        <v>-40.299999999999997</v>
      </c>
      <c r="I40" s="84">
        <v>-36.1</v>
      </c>
      <c r="J40" s="84">
        <v>-37.299999999999997</v>
      </c>
      <c r="K40" s="84">
        <v>-31</v>
      </c>
      <c r="L40" s="87">
        <f>+('Targets''s 5 yr Plan '!B23)</f>
        <v>-36</v>
      </c>
      <c r="M40" s="87">
        <f>+('Targets''s 5 yr Plan '!C23)</f>
        <v>-51</v>
      </c>
      <c r="N40" s="87">
        <f>+('Targets''s 5 yr Plan '!D23)</f>
        <v>-50</v>
      </c>
      <c r="O40" s="87">
        <f>+('Targets''s 5 yr Plan '!E23)</f>
        <v>-50</v>
      </c>
      <c r="P40" s="87">
        <f>+('Targets''s 5 yr Plan '!F23)</f>
        <v>-50</v>
      </c>
      <c r="Q40" s="199">
        <f>$P$40</f>
        <v>-50</v>
      </c>
      <c r="R40" s="199">
        <f t="shared" ref="R40:V40" si="16">$P$40</f>
        <v>-50</v>
      </c>
      <c r="S40" s="199">
        <f t="shared" si="16"/>
        <v>-50</v>
      </c>
      <c r="T40" s="199">
        <f t="shared" si="16"/>
        <v>-50</v>
      </c>
      <c r="U40" s="199">
        <f t="shared" si="16"/>
        <v>-50</v>
      </c>
      <c r="V40" s="199">
        <f t="shared" si="16"/>
        <v>-50</v>
      </c>
    </row>
    <row r="41" spans="2:23">
      <c r="B41" s="2"/>
      <c r="C41" s="11" t="s">
        <v>60</v>
      </c>
      <c r="D41" s="11"/>
      <c r="E41" s="3"/>
      <c r="F41" s="3" t="str">
        <f t="shared" ref="F41" si="17">IF(ISERROR(F40/E40-1),"n.a.",F40/E40-1)</f>
        <v>n.a.</v>
      </c>
      <c r="G41" s="3">
        <f>IF(ISERROR(G40/F40-1),"n.a.",G40/F40-1)</f>
        <v>0.23355263157894735</v>
      </c>
      <c r="H41" s="3">
        <f t="shared" ref="H41:V41" si="18">IF(ISERROR(H40/G40-1),"n.a.",H40/G40-1)</f>
        <v>7.4666666666666659E-2</v>
      </c>
      <c r="I41" s="3">
        <f t="shared" si="18"/>
        <v>-0.10421836228287829</v>
      </c>
      <c r="J41" s="3">
        <f t="shared" si="18"/>
        <v>3.3240997229916802E-2</v>
      </c>
      <c r="K41" s="3">
        <f t="shared" si="18"/>
        <v>-0.16890080428954413</v>
      </c>
      <c r="L41" s="3">
        <f t="shared" si="18"/>
        <v>0.16129032258064524</v>
      </c>
      <c r="M41" s="3">
        <f t="shared" si="18"/>
        <v>0.41666666666666674</v>
      </c>
      <c r="N41" s="3">
        <f t="shared" si="18"/>
        <v>-1.9607843137254943E-2</v>
      </c>
      <c r="O41" s="3">
        <f t="shared" si="18"/>
        <v>0</v>
      </c>
      <c r="P41" s="3">
        <f t="shared" si="18"/>
        <v>0</v>
      </c>
      <c r="Q41" s="3">
        <f t="shared" si="18"/>
        <v>0</v>
      </c>
      <c r="R41" s="3">
        <f t="shared" si="18"/>
        <v>0</v>
      </c>
      <c r="S41" s="3">
        <f t="shared" si="18"/>
        <v>0</v>
      </c>
      <c r="T41" s="3">
        <f t="shared" si="18"/>
        <v>0</v>
      </c>
      <c r="U41" s="3">
        <f t="shared" si="18"/>
        <v>0</v>
      </c>
      <c r="V41" s="3">
        <f t="shared" si="18"/>
        <v>0</v>
      </c>
    </row>
    <row r="42" spans="2:23" ht="12.75" customHeight="1">
      <c r="B42" s="11"/>
      <c r="C42" s="11" t="s">
        <v>70</v>
      </c>
      <c r="D42" s="11"/>
      <c r="E42" s="3"/>
      <c r="F42" s="95">
        <f t="shared" ref="F42:V42" si="19">IF(ISERROR(-F40/F$11),"n.a.",-F40/F$11)</f>
        <v>3.2350750239438113E-2</v>
      </c>
      <c r="G42" s="95">
        <f t="shared" si="19"/>
        <v>3.7317145984675094E-2</v>
      </c>
      <c r="H42" s="95">
        <f t="shared" si="19"/>
        <v>3.9451786588350461E-2</v>
      </c>
      <c r="I42" s="95">
        <f t="shared" si="19"/>
        <v>3.2968036529680368E-2</v>
      </c>
      <c r="J42" s="95">
        <f t="shared" si="19"/>
        <v>3.2860540921504713E-2</v>
      </c>
      <c r="K42" s="95">
        <f t="shared" si="19"/>
        <v>2.7226418408571932E-2</v>
      </c>
      <c r="L42" s="95">
        <f t="shared" si="19"/>
        <v>3.1325289075688233E-2</v>
      </c>
      <c r="M42" s="95">
        <f t="shared" si="19"/>
        <v>4.0617045948380379E-2</v>
      </c>
      <c r="N42" s="95">
        <f t="shared" si="19"/>
        <v>3.6932057370415751E-2</v>
      </c>
      <c r="O42" s="95">
        <f t="shared" si="19"/>
        <v>3.4554835728332456E-2</v>
      </c>
      <c r="P42" s="95">
        <f t="shared" si="19"/>
        <v>3.4659153551726836E-2</v>
      </c>
      <c r="Q42" s="95">
        <f t="shared" si="19"/>
        <v>3.3979562305614552E-2</v>
      </c>
      <c r="R42" s="95">
        <f t="shared" si="19"/>
        <v>3.3378744897460261E-2</v>
      </c>
      <c r="S42" s="95">
        <f t="shared" si="19"/>
        <v>3.2853095371516004E-2</v>
      </c>
      <c r="T42" s="95">
        <f t="shared" si="19"/>
        <v>3.239950233877318E-2</v>
      </c>
      <c r="U42" s="95">
        <f t="shared" si="19"/>
        <v>3.2015318516574284E-2</v>
      </c>
      <c r="V42" s="95">
        <f t="shared" si="19"/>
        <v>3.1698335164925033E-2</v>
      </c>
    </row>
    <row r="43" spans="2:23">
      <c r="B43" s="11"/>
      <c r="C43" s="11" t="s">
        <v>71</v>
      </c>
      <c r="D43" s="11"/>
      <c r="E43" s="3"/>
      <c r="F43" s="3">
        <f t="shared" ref="F43:V43" si="20">(F15+F40)/F15</f>
        <v>0.69930761622156279</v>
      </c>
      <c r="G43" s="3">
        <f t="shared" si="20"/>
        <v>0.65878070973612379</v>
      </c>
      <c r="H43" s="3">
        <f t="shared" si="20"/>
        <v>0.64834205933682376</v>
      </c>
      <c r="I43" s="3">
        <f t="shared" si="20"/>
        <v>0.66789328426862915</v>
      </c>
      <c r="J43" s="3">
        <f t="shared" si="20"/>
        <v>0.65936073059360734</v>
      </c>
      <c r="K43" s="3">
        <f t="shared" si="20"/>
        <v>0.68431771894093685</v>
      </c>
      <c r="L43" s="3">
        <f t="shared" si="20"/>
        <v>0.61762010654500032</v>
      </c>
      <c r="M43" s="3">
        <f t="shared" si="20"/>
        <v>0.44939452613666453</v>
      </c>
      <c r="N43" s="3">
        <f t="shared" si="20"/>
        <v>0.55275975236058583</v>
      </c>
      <c r="O43" s="3">
        <f t="shared" si="20"/>
        <v>0.59805439360848589</v>
      </c>
      <c r="P43" s="3">
        <f t="shared" si="20"/>
        <v>0.60805257353199449</v>
      </c>
      <c r="Q43" s="3">
        <f t="shared" si="20"/>
        <v>0.61386861016347094</v>
      </c>
      <c r="R43" s="3">
        <f t="shared" si="20"/>
        <v>0.62069608071067883</v>
      </c>
      <c r="S43" s="3">
        <f t="shared" si="20"/>
        <v>0.63086409694925838</v>
      </c>
      <c r="T43" s="3">
        <f t="shared" si="20"/>
        <v>0.63596064787895301</v>
      </c>
      <c r="U43" s="3">
        <f t="shared" si="20"/>
        <v>0.64427423870473011</v>
      </c>
      <c r="V43" s="3">
        <f t="shared" si="20"/>
        <v>0.64779627594527744</v>
      </c>
    </row>
    <row r="44" spans="2:2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3">
      <c r="C45" s="27" t="s">
        <v>72</v>
      </c>
      <c r="D45" s="27"/>
      <c r="E45" s="27"/>
      <c r="F45" s="84">
        <f>-17+1+10.7</f>
        <v>-5.3000000000000007</v>
      </c>
      <c r="G45" s="84">
        <f>0.9-3+27.2</f>
        <v>25.099999999999998</v>
      </c>
      <c r="H45" s="84">
        <f>-8.6-4.9+2.3</f>
        <v>-11.2</v>
      </c>
      <c r="I45" s="84">
        <f>-33.2+2.3+14.6</f>
        <v>-16.300000000000004</v>
      </c>
      <c r="J45" s="84">
        <f>-4.4+2.4-10.6</f>
        <v>-12.6</v>
      </c>
      <c r="K45" s="84">
        <f>11.9-3.1-19.2</f>
        <v>-10.399999999999999</v>
      </c>
      <c r="L45" s="87">
        <f>+('Targets''s 5 yr Plan '!B27)</f>
        <v>6</v>
      </c>
      <c r="M45" s="87">
        <f>+('Targets''s 5 yr Plan '!C27)</f>
        <v>16.111954440903407</v>
      </c>
      <c r="N45" s="87">
        <f>+('Targets''s 5 yr Plan '!D27)</f>
        <v>15.168892666804709</v>
      </c>
      <c r="O45" s="87">
        <f>+('Targets''s 5 yr Plan '!E27)</f>
        <v>11.110216900668604</v>
      </c>
      <c r="P45" s="87">
        <f>+('Targets''s 5 yr Plan '!F27)</f>
        <v>3.9548595532390358</v>
      </c>
      <c r="Q45" s="81">
        <f t="shared" ref="Q45:V45" si="21">Q47*Q11</f>
        <v>0</v>
      </c>
      <c r="R45" s="81">
        <f t="shared" si="21"/>
        <v>0</v>
      </c>
      <c r="S45" s="81">
        <f t="shared" si="21"/>
        <v>0</v>
      </c>
      <c r="T45" s="81">
        <f t="shared" si="21"/>
        <v>0</v>
      </c>
      <c r="U45" s="81">
        <f t="shared" si="21"/>
        <v>0</v>
      </c>
      <c r="V45" s="81">
        <f t="shared" si="21"/>
        <v>0</v>
      </c>
    </row>
    <row r="46" spans="2:23">
      <c r="C46" s="11" t="s">
        <v>60</v>
      </c>
      <c r="D46" s="86"/>
      <c r="E46" s="86"/>
      <c r="F46" s="3" t="str">
        <f t="shared" ref="F46:V46" si="22">IF(ISERROR(F45/E45-1),"n.a.",F45/E45-1)</f>
        <v>n.a.</v>
      </c>
      <c r="G46" s="3">
        <f t="shared" si="22"/>
        <v>-5.7358490566037723</v>
      </c>
      <c r="H46" s="3">
        <f t="shared" si="22"/>
        <v>-1.4462151394422311</v>
      </c>
      <c r="I46" s="3">
        <f t="shared" si="22"/>
        <v>0.45535714285714324</v>
      </c>
      <c r="J46" s="3">
        <f t="shared" si="22"/>
        <v>-0.22699386503067509</v>
      </c>
      <c r="K46" s="3">
        <f t="shared" si="22"/>
        <v>-0.17460317460317465</v>
      </c>
      <c r="L46" s="3">
        <f t="shared" si="22"/>
        <v>-1.5769230769230771</v>
      </c>
      <c r="M46" s="3">
        <f t="shared" si="22"/>
        <v>1.6853257401505677</v>
      </c>
      <c r="N46" s="3">
        <f t="shared" si="22"/>
        <v>-5.8531804912788754E-2</v>
      </c>
      <c r="O46" s="3">
        <f t="shared" si="22"/>
        <v>-0.26756572515131749</v>
      </c>
      <c r="P46" s="3">
        <f t="shared" si="22"/>
        <v>-0.64403399244158455</v>
      </c>
      <c r="Q46" s="3">
        <f t="shared" si="22"/>
        <v>-1</v>
      </c>
      <c r="R46" s="3" t="str">
        <f t="shared" si="22"/>
        <v>n.a.</v>
      </c>
      <c r="S46" s="3" t="str">
        <f t="shared" si="22"/>
        <v>n.a.</v>
      </c>
      <c r="T46" s="3" t="str">
        <f t="shared" si="22"/>
        <v>n.a.</v>
      </c>
      <c r="U46" s="3" t="str">
        <f t="shared" si="22"/>
        <v>n.a.</v>
      </c>
      <c r="V46" s="3" t="str">
        <f t="shared" si="22"/>
        <v>n.a.</v>
      </c>
    </row>
    <row r="47" spans="2:23">
      <c r="C47" s="11" t="s">
        <v>70</v>
      </c>
      <c r="D47" s="11"/>
      <c r="E47" s="3"/>
      <c r="F47" s="3">
        <f t="shared" ref="F47:P47" si="23">IF(ISERROR(F45/F$11),"n.a.",F45/F$11)</f>
        <v>-5.6400979035862511E-3</v>
      </c>
      <c r="G47" s="3">
        <f t="shared" si="23"/>
        <v>2.4977609712409192E-2</v>
      </c>
      <c r="H47" s="3">
        <f t="shared" si="23"/>
        <v>-1.0964268232990699E-2</v>
      </c>
      <c r="I47" s="3">
        <f t="shared" si="23"/>
        <v>-1.4885844748858451E-2</v>
      </c>
      <c r="J47" s="3">
        <f t="shared" si="23"/>
        <v>-1.1100343582063256E-2</v>
      </c>
      <c r="K47" s="3">
        <f t="shared" si="23"/>
        <v>-9.1340242402950991E-3</v>
      </c>
      <c r="L47" s="3">
        <f t="shared" si="23"/>
        <v>5.2208815126147052E-3</v>
      </c>
      <c r="M47" s="3">
        <f t="shared" si="23"/>
        <v>1.2831764585184018E-2</v>
      </c>
      <c r="N47" s="3">
        <f t="shared" si="23"/>
        <v>1.1204368284322206E-2</v>
      </c>
      <c r="O47" s="3">
        <f t="shared" si="23"/>
        <v>7.6782343981749305E-3</v>
      </c>
      <c r="P47" s="3">
        <f t="shared" si="23"/>
        <v>2.741441690624511E-3</v>
      </c>
      <c r="Q47" s="208">
        <v>0</v>
      </c>
      <c r="R47" s="3">
        <f t="shared" ref="R47:V47" si="24">Q47</f>
        <v>0</v>
      </c>
      <c r="S47" s="3">
        <f t="shared" si="24"/>
        <v>0</v>
      </c>
      <c r="T47" s="3">
        <f t="shared" si="24"/>
        <v>0</v>
      </c>
      <c r="U47" s="3">
        <f t="shared" si="24"/>
        <v>0</v>
      </c>
      <c r="V47" s="3">
        <f t="shared" si="24"/>
        <v>0</v>
      </c>
    </row>
    <row r="48" spans="2:23">
      <c r="C48" s="11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>
      <c r="B49" s="2"/>
      <c r="C49" s="27" t="s">
        <v>73</v>
      </c>
      <c r="D49" s="27"/>
      <c r="E49" s="27"/>
      <c r="F49" s="84"/>
      <c r="G49" s="84"/>
      <c r="H49" s="84"/>
      <c r="I49" s="84"/>
      <c r="J49" s="84">
        <v>-1.5</v>
      </c>
      <c r="K49" s="84">
        <v>0.74</v>
      </c>
      <c r="L49" s="87">
        <f>+('Targets''s 5 yr Plan '!B29)</f>
        <v>0</v>
      </c>
      <c r="M49" s="87">
        <f>+('Targets''s 5 yr Plan '!C29)</f>
        <v>0</v>
      </c>
      <c r="N49" s="87">
        <f>+('Targets''s 5 yr Plan '!D29)</f>
        <v>-5</v>
      </c>
      <c r="O49" s="87">
        <f>+('Targets''s 5 yr Plan '!E29)</f>
        <v>-5</v>
      </c>
      <c r="P49" s="87">
        <f>+('Targets''s 5 yr Plan '!F29)</f>
        <v>-5</v>
      </c>
      <c r="Q49" s="199">
        <f>$P$49</f>
        <v>-5</v>
      </c>
      <c r="R49" s="199">
        <f t="shared" ref="R49:V49" si="25">$P$49</f>
        <v>-5</v>
      </c>
      <c r="S49" s="199">
        <f t="shared" si="25"/>
        <v>-5</v>
      </c>
      <c r="T49" s="199">
        <f t="shared" si="25"/>
        <v>-5</v>
      </c>
      <c r="U49" s="199">
        <f t="shared" si="25"/>
        <v>-5</v>
      </c>
      <c r="V49" s="199">
        <f t="shared" si="25"/>
        <v>-5</v>
      </c>
    </row>
    <row r="50" spans="2:22">
      <c r="B50" s="2"/>
      <c r="C50" s="11" t="s">
        <v>60</v>
      </c>
      <c r="D50" s="11"/>
      <c r="E50" s="3"/>
      <c r="F50" s="3" t="str">
        <f t="shared" ref="F50" si="26">IF(ISERROR(F49/E49-1),"n.a.",F49/E49-1)</f>
        <v>n.a.</v>
      </c>
      <c r="G50" s="3" t="str">
        <f>IF(ISERROR(G49/F49-1),"n.a.",G49/F49-1)</f>
        <v>n.a.</v>
      </c>
      <c r="H50" s="3" t="str">
        <f t="shared" ref="H50" si="27">IF(ISERROR(H49/G49-1),"n.a.",H49/G49-1)</f>
        <v>n.a.</v>
      </c>
      <c r="I50" s="3" t="str">
        <f t="shared" ref="I50" si="28">IF(ISERROR(I49/H49-1),"n.a.",I49/H49-1)</f>
        <v>n.a.</v>
      </c>
      <c r="J50" s="3" t="str">
        <f t="shared" ref="J50" si="29">IF(ISERROR(J49/I49-1),"n.a.",J49/I49-1)</f>
        <v>n.a.</v>
      </c>
      <c r="K50" s="3">
        <f t="shared" ref="K50" si="30">IF(ISERROR(K49/J49-1),"n.a.",K49/J49-1)</f>
        <v>-1.4933333333333334</v>
      </c>
      <c r="L50" s="3">
        <f t="shared" ref="L50" si="31">IF(ISERROR(L49/K49-1),"n.a.",L49/K49-1)</f>
        <v>-1</v>
      </c>
      <c r="M50" s="3" t="str">
        <f t="shared" ref="M50" si="32">IF(ISERROR(M49/L49-1),"n.a.",M49/L49-1)</f>
        <v>n.a.</v>
      </c>
      <c r="N50" s="3" t="str">
        <f t="shared" ref="N50" si="33">IF(ISERROR(N49/M49-1),"n.a.",N49/M49-1)</f>
        <v>n.a.</v>
      </c>
      <c r="O50" s="3">
        <f t="shared" ref="O50" si="34">IF(ISERROR(O49/N49-1),"n.a.",O49/N49-1)</f>
        <v>0</v>
      </c>
      <c r="P50" s="3">
        <f t="shared" ref="P50" si="35">IF(ISERROR(P49/O49-1),"n.a.",P49/O49-1)</f>
        <v>0</v>
      </c>
      <c r="Q50" s="3">
        <f t="shared" ref="Q50" si="36">IF(ISERROR(Q49/P49-1),"n.a.",Q49/P49-1)</f>
        <v>0</v>
      </c>
      <c r="R50" s="3">
        <f t="shared" ref="R50" si="37">IF(ISERROR(R49/Q49-1),"n.a.",R49/Q49-1)</f>
        <v>0</v>
      </c>
      <c r="S50" s="3">
        <f t="shared" ref="S50" si="38">IF(ISERROR(S49/R49-1),"n.a.",S49/R49-1)</f>
        <v>0</v>
      </c>
      <c r="T50" s="3">
        <f t="shared" ref="T50" si="39">IF(ISERROR(T49/S49-1),"n.a.",T49/S49-1)</f>
        <v>0</v>
      </c>
      <c r="U50" s="3">
        <f t="shared" ref="U50" si="40">IF(ISERROR(U49/T49-1),"n.a.",U49/T49-1)</f>
        <v>0</v>
      </c>
      <c r="V50" s="3">
        <f t="shared" ref="V50" si="41">IF(ISERROR(V49/U49-1),"n.a.",V49/U49-1)</f>
        <v>0</v>
      </c>
    </row>
    <row r="51" spans="2:22" ht="12.75" customHeight="1">
      <c r="B51" s="11"/>
      <c r="C51" s="11" t="s">
        <v>70</v>
      </c>
      <c r="D51" s="11"/>
      <c r="E51" s="3"/>
      <c r="F51" s="95">
        <f t="shared" ref="F51:V51" si="42">IF(ISERROR(-F49/F$11),"n.a.",-F49/F$11)</f>
        <v>0</v>
      </c>
      <c r="G51" s="95">
        <f t="shared" si="42"/>
        <v>0</v>
      </c>
      <c r="H51" s="95">
        <f t="shared" si="42"/>
        <v>0</v>
      </c>
      <c r="I51" s="95">
        <f t="shared" si="42"/>
        <v>0</v>
      </c>
      <c r="J51" s="95">
        <f t="shared" si="42"/>
        <v>1.3214694740551493E-3</v>
      </c>
      <c r="K51" s="95">
        <f t="shared" si="42"/>
        <v>-6.4992095555945904E-4</v>
      </c>
      <c r="L51" s="95">
        <f t="shared" si="42"/>
        <v>0</v>
      </c>
      <c r="M51" s="95">
        <f t="shared" si="42"/>
        <v>0</v>
      </c>
      <c r="N51" s="95">
        <f t="shared" si="42"/>
        <v>3.6932057370415751E-3</v>
      </c>
      <c r="O51" s="95">
        <f t="shared" si="42"/>
        <v>3.4554835728332453E-3</v>
      </c>
      <c r="P51" s="95">
        <f t="shared" si="42"/>
        <v>3.4659153551726838E-3</v>
      </c>
      <c r="Q51" s="95">
        <f t="shared" si="42"/>
        <v>3.3979562305614551E-3</v>
      </c>
      <c r="R51" s="95">
        <f t="shared" si="42"/>
        <v>3.3378744897460265E-3</v>
      </c>
      <c r="S51" s="95">
        <f t="shared" si="42"/>
        <v>3.2853095371516007E-3</v>
      </c>
      <c r="T51" s="95">
        <f t="shared" si="42"/>
        <v>3.2399502338773178E-3</v>
      </c>
      <c r="U51" s="95">
        <f t="shared" si="42"/>
        <v>3.2015318516574287E-3</v>
      </c>
      <c r="V51" s="95">
        <f t="shared" si="42"/>
        <v>3.1698335164925037E-3</v>
      </c>
    </row>
    <row r="52" spans="2:22">
      <c r="C52" s="11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>
      <c r="B53" s="2"/>
      <c r="C53" s="27" t="s">
        <v>74</v>
      </c>
      <c r="D53" s="27"/>
      <c r="E53" s="27"/>
      <c r="F53" s="84"/>
      <c r="G53" s="84"/>
      <c r="H53" s="84"/>
      <c r="I53" s="84"/>
      <c r="J53" s="84">
        <v>0</v>
      </c>
      <c r="K53" s="84">
        <v>0</v>
      </c>
      <c r="L53" s="87">
        <f>+('Targets''s 5 yr Plan '!B15+'Targets''s 5 yr Plan '!B22)</f>
        <v>0</v>
      </c>
      <c r="M53" s="87">
        <f>+('Targets''s 5 yr Plan '!C15+'Targets''s 5 yr Plan '!C22)</f>
        <v>-18.004468664734777</v>
      </c>
      <c r="N53" s="87">
        <f>+('Targets''s 5 yr Plan '!D15+'Targets''s 5 yr Plan '!D22)</f>
        <v>-6.7527180429793674</v>
      </c>
      <c r="O53" s="87">
        <f>+('Targets''s 5 yr Plan '!E15+'Targets''s 5 yr Plan '!E22)</f>
        <v>25.138454026318882</v>
      </c>
      <c r="P53" s="87">
        <f>+('Targets''s 5 yr Plan '!F15+'Targets''s 5 yr Plan '!F22)</f>
        <v>-4.8650405710493061</v>
      </c>
      <c r="Q53" s="84">
        <v>0</v>
      </c>
      <c r="R53" s="84">
        <f t="shared" ref="R53:V53" si="43">+Q53</f>
        <v>0</v>
      </c>
      <c r="S53" s="84">
        <f t="shared" si="43"/>
        <v>0</v>
      </c>
      <c r="T53" s="84">
        <f t="shared" si="43"/>
        <v>0</v>
      </c>
      <c r="U53" s="84">
        <f t="shared" si="43"/>
        <v>0</v>
      </c>
      <c r="V53" s="84">
        <f t="shared" si="43"/>
        <v>0</v>
      </c>
    </row>
    <row r="54" spans="2:22">
      <c r="B54" s="2"/>
      <c r="C54" s="11" t="s">
        <v>60</v>
      </c>
      <c r="D54" s="11"/>
      <c r="E54" s="3"/>
      <c r="F54" s="3" t="str">
        <f t="shared" ref="F54" si="44">IF(ISERROR(F53/E53-1),"n.a.",F53/E53-1)</f>
        <v>n.a.</v>
      </c>
      <c r="G54" s="3" t="str">
        <f>IF(ISERROR(G53/F53-1),"n.a.",G53/F53-1)</f>
        <v>n.a.</v>
      </c>
      <c r="H54" s="3" t="str">
        <f t="shared" ref="H54" si="45">IF(ISERROR(H53/G53-1),"n.a.",H53/G53-1)</f>
        <v>n.a.</v>
      </c>
      <c r="I54" s="3" t="str">
        <f t="shared" ref="I54" si="46">IF(ISERROR(I53/H53-1),"n.a.",I53/H53-1)</f>
        <v>n.a.</v>
      </c>
      <c r="J54" s="3" t="str">
        <f t="shared" ref="J54" si="47">IF(ISERROR(J53/I53-1),"n.a.",J53/I53-1)</f>
        <v>n.a.</v>
      </c>
      <c r="K54" s="3" t="str">
        <f t="shared" ref="K54" si="48">IF(ISERROR(K53/J53-1),"n.a.",K53/J53-1)</f>
        <v>n.a.</v>
      </c>
      <c r="L54" s="3" t="str">
        <f t="shared" ref="L54" si="49">IF(ISERROR(L53/K53-1),"n.a.",L53/K53-1)</f>
        <v>n.a.</v>
      </c>
      <c r="M54" s="3" t="str">
        <f t="shared" ref="M54" si="50">IF(ISERROR(M53/L53-1),"n.a.",M53/L53-1)</f>
        <v>n.a.</v>
      </c>
      <c r="N54" s="3">
        <f t="shared" ref="N54" si="51">IF(ISERROR(N53/M53-1),"n.a.",N53/M53-1)</f>
        <v>-0.62494210916616122</v>
      </c>
      <c r="O54" s="3">
        <f t="shared" ref="O54" si="52">IF(ISERROR(O53/N53-1),"n.a.",O53/N53-1)</f>
        <v>-4.722716373809611</v>
      </c>
      <c r="P54" s="3">
        <f t="shared" ref="P54" si="53">IF(ISERROR(P53/O53-1),"n.a.",P53/O53-1)</f>
        <v>-1.1935298235108578</v>
      </c>
      <c r="Q54" s="3">
        <f t="shared" ref="Q54" si="54">IF(ISERROR(Q53/P53-1),"n.a.",Q53/P53-1)</f>
        <v>-1</v>
      </c>
      <c r="R54" s="3" t="str">
        <f t="shared" ref="R54" si="55">IF(ISERROR(R53/Q53-1),"n.a.",R53/Q53-1)</f>
        <v>n.a.</v>
      </c>
      <c r="S54" s="3" t="str">
        <f t="shared" ref="S54" si="56">IF(ISERROR(S53/R53-1),"n.a.",S53/R53-1)</f>
        <v>n.a.</v>
      </c>
      <c r="T54" s="3" t="str">
        <f t="shared" ref="T54" si="57">IF(ISERROR(T53/S53-1),"n.a.",T53/S53-1)</f>
        <v>n.a.</v>
      </c>
      <c r="U54" s="3" t="str">
        <f t="shared" ref="U54" si="58">IF(ISERROR(U53/T53-1),"n.a.",U53/T53-1)</f>
        <v>n.a.</v>
      </c>
      <c r="V54" s="3" t="str">
        <f t="shared" ref="V54" si="59">IF(ISERROR(V53/U53-1),"n.a.",V53/U53-1)</f>
        <v>n.a.</v>
      </c>
    </row>
    <row r="55" spans="2:22" ht="12.75" customHeight="1">
      <c r="B55" s="11"/>
      <c r="C55" s="11" t="s">
        <v>70</v>
      </c>
      <c r="D55" s="11"/>
      <c r="E55" s="3"/>
      <c r="F55" s="95">
        <f t="shared" ref="F55:V55" si="60">IF(ISERROR(-F53/F$11),"n.a.",-F53/F$11)</f>
        <v>0</v>
      </c>
      <c r="G55" s="95">
        <f t="shared" si="60"/>
        <v>0</v>
      </c>
      <c r="H55" s="95">
        <f t="shared" si="60"/>
        <v>0</v>
      </c>
      <c r="I55" s="95">
        <f t="shared" si="60"/>
        <v>0</v>
      </c>
      <c r="J55" s="95">
        <f t="shared" si="60"/>
        <v>0</v>
      </c>
      <c r="K55" s="95">
        <f t="shared" si="60"/>
        <v>0</v>
      </c>
      <c r="L55" s="95">
        <f t="shared" si="60"/>
        <v>0</v>
      </c>
      <c r="M55" s="95">
        <f t="shared" si="60"/>
        <v>1.433898688297465E-2</v>
      </c>
      <c r="N55" s="95">
        <f t="shared" si="60"/>
        <v>4.9878354033911108E-3</v>
      </c>
      <c r="O55" s="95">
        <f t="shared" si="60"/>
        <v>-1.737310298687373E-2</v>
      </c>
      <c r="P55" s="95">
        <f t="shared" si="60"/>
        <v>3.3723637637475745E-3</v>
      </c>
      <c r="Q55" s="95">
        <f t="shared" si="60"/>
        <v>0</v>
      </c>
      <c r="R55" s="95">
        <f t="shared" si="60"/>
        <v>0</v>
      </c>
      <c r="S55" s="95">
        <f t="shared" si="60"/>
        <v>0</v>
      </c>
      <c r="T55" s="95">
        <f t="shared" si="60"/>
        <v>0</v>
      </c>
      <c r="U55" s="95">
        <f t="shared" si="60"/>
        <v>0</v>
      </c>
      <c r="V55" s="95">
        <f t="shared" si="60"/>
        <v>0</v>
      </c>
    </row>
    <row r="56" spans="2:22">
      <c r="L56" s="134"/>
      <c r="M56" s="134"/>
    </row>
    <row r="57" spans="2:22">
      <c r="C57" s="212" t="s">
        <v>75</v>
      </c>
      <c r="D57" s="213"/>
      <c r="E57" s="214"/>
      <c r="F57" s="215"/>
      <c r="G57" s="215"/>
      <c r="H57" s="215"/>
      <c r="I57" s="215"/>
      <c r="J57" s="215"/>
      <c r="K57" s="215"/>
      <c r="L57" s="214"/>
      <c r="M57" s="215"/>
      <c r="N57" s="213"/>
      <c r="O57" s="213"/>
      <c r="P57" s="213"/>
      <c r="Q57" s="213"/>
      <c r="R57" s="213"/>
      <c r="S57" s="213"/>
      <c r="T57" s="213"/>
      <c r="U57" s="213"/>
      <c r="V57" s="213"/>
    </row>
    <row r="58" spans="2:22">
      <c r="C58" s="54" t="s">
        <v>76</v>
      </c>
      <c r="D58" s="54"/>
      <c r="E58" s="76"/>
      <c r="F58" s="127">
        <f t="shared" ref="F58:V58" si="61">F9</f>
        <v>41729</v>
      </c>
      <c r="G58" s="127">
        <f t="shared" si="61"/>
        <v>42094</v>
      </c>
      <c r="H58" s="127">
        <f t="shared" si="61"/>
        <v>42460</v>
      </c>
      <c r="I58" s="127">
        <f t="shared" si="61"/>
        <v>42825</v>
      </c>
      <c r="J58" s="127">
        <f t="shared" si="61"/>
        <v>43190</v>
      </c>
      <c r="K58" s="127">
        <f t="shared" si="61"/>
        <v>43555</v>
      </c>
      <c r="L58" s="128">
        <f t="shared" si="61"/>
        <v>43921</v>
      </c>
      <c r="M58" s="128">
        <f t="shared" si="61"/>
        <v>44286</v>
      </c>
      <c r="N58" s="128">
        <f t="shared" si="61"/>
        <v>44651</v>
      </c>
      <c r="O58" s="128">
        <f t="shared" si="61"/>
        <v>45016</v>
      </c>
      <c r="P58" s="128">
        <f t="shared" si="61"/>
        <v>45382</v>
      </c>
      <c r="Q58" s="128">
        <f t="shared" si="61"/>
        <v>45747</v>
      </c>
      <c r="R58" s="128">
        <f t="shared" si="61"/>
        <v>46112</v>
      </c>
      <c r="S58" s="128">
        <f t="shared" si="61"/>
        <v>46477</v>
      </c>
      <c r="T58" s="128">
        <f t="shared" si="61"/>
        <v>46843</v>
      </c>
      <c r="U58" s="128">
        <f t="shared" si="61"/>
        <v>47208</v>
      </c>
      <c r="V58" s="128">
        <f t="shared" si="61"/>
        <v>47573</v>
      </c>
    </row>
    <row r="59" spans="2:22">
      <c r="C59" s="78"/>
      <c r="D59" s="78"/>
      <c r="E59" s="7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</row>
    <row r="60" spans="2:22">
      <c r="C60" s="125" t="s">
        <v>24</v>
      </c>
      <c r="D60" s="125"/>
      <c r="E60" s="125"/>
      <c r="F60" s="130">
        <f t="shared" ref="F60:O60" si="62">F11</f>
        <v>939.7</v>
      </c>
      <c r="G60" s="130">
        <f t="shared" si="62"/>
        <v>1004.9</v>
      </c>
      <c r="H60" s="130">
        <f t="shared" si="62"/>
        <v>1021.5</v>
      </c>
      <c r="I60" s="130">
        <f t="shared" si="62"/>
        <v>1095</v>
      </c>
      <c r="J60" s="130">
        <f t="shared" si="62"/>
        <v>1135.0999999999999</v>
      </c>
      <c r="K60" s="130">
        <f t="shared" si="62"/>
        <v>1138.5999999999999</v>
      </c>
      <c r="L60" s="130">
        <f t="shared" si="62"/>
        <v>1149.2312142121568</v>
      </c>
      <c r="M60" s="130">
        <f t="shared" si="62"/>
        <v>1255.6304578332745</v>
      </c>
      <c r="N60" s="130">
        <f t="shared" si="62"/>
        <v>1353.8373857301615</v>
      </c>
      <c r="O60" s="130">
        <f t="shared" si="62"/>
        <v>1446.9754795854415</v>
      </c>
      <c r="P60" s="130">
        <f t="shared" ref="P60:V60" si="63">P11</f>
        <v>1442.6203434361953</v>
      </c>
      <c r="Q60" s="130">
        <f t="shared" si="63"/>
        <v>1471.4727503049191</v>
      </c>
      <c r="R60" s="130">
        <f t="shared" si="63"/>
        <v>1497.9592598104077</v>
      </c>
      <c r="S60" s="130">
        <f t="shared" si="63"/>
        <v>1521.9266079673744</v>
      </c>
      <c r="T60" s="130">
        <f t="shared" si="63"/>
        <v>1543.2335804789177</v>
      </c>
      <c r="U60" s="130">
        <f t="shared" si="63"/>
        <v>1561.7523834446647</v>
      </c>
      <c r="V60" s="130">
        <f t="shared" si="63"/>
        <v>1577.3699072791114</v>
      </c>
    </row>
    <row r="61" spans="2:22">
      <c r="C61" s="122" t="s">
        <v>60</v>
      </c>
      <c r="D61" s="121"/>
      <c r="E61" s="123"/>
      <c r="F61" s="131" t="str">
        <f>IF(ISERROR(F60/E60-1),"n.a.",F60/E60-1)</f>
        <v>n.a.</v>
      </c>
      <c r="G61" s="131">
        <f t="shared" ref="G61:V61" si="64">IF(ISERROR(G60/F60-1),"n.a.",G60/F60-1)</f>
        <v>6.9383845908268516E-2</v>
      </c>
      <c r="H61" s="131">
        <f t="shared" si="64"/>
        <v>1.6519056622549488E-2</v>
      </c>
      <c r="I61" s="131">
        <f t="shared" si="64"/>
        <v>7.1953010279001361E-2</v>
      </c>
      <c r="J61" s="131">
        <f t="shared" si="64"/>
        <v>3.6621004566209869E-2</v>
      </c>
      <c r="K61" s="131">
        <f t="shared" si="64"/>
        <v>3.0834287727954379E-3</v>
      </c>
      <c r="L61" s="131">
        <f t="shared" si="64"/>
        <v>9.3370931074625574E-3</v>
      </c>
      <c r="M61" s="131">
        <f t="shared" si="64"/>
        <v>9.2582973996280238E-2</v>
      </c>
      <c r="N61" s="131">
        <f t="shared" si="64"/>
        <v>7.8213241232100827E-2</v>
      </c>
      <c r="O61" s="131">
        <f t="shared" si="64"/>
        <v>6.879562851268739E-2</v>
      </c>
      <c r="P61" s="131">
        <f t="shared" si="64"/>
        <v>-3.0098202842344657E-3</v>
      </c>
      <c r="Q61" s="131">
        <f t="shared" si="64"/>
        <v>2.0000000000000018E-2</v>
      </c>
      <c r="R61" s="131">
        <f t="shared" si="64"/>
        <v>1.8000000000000016E-2</v>
      </c>
      <c r="S61" s="131">
        <f t="shared" si="64"/>
        <v>1.6000000000000014E-2</v>
      </c>
      <c r="T61" s="131">
        <f t="shared" si="64"/>
        <v>1.4000000000000012E-2</v>
      </c>
      <c r="U61" s="131">
        <f t="shared" si="64"/>
        <v>1.2000000000000011E-2</v>
      </c>
      <c r="V61" s="131">
        <f t="shared" si="64"/>
        <v>1.0000000000000009E-2</v>
      </c>
    </row>
    <row r="62" spans="2:22">
      <c r="C62" s="125" t="s">
        <v>59</v>
      </c>
      <c r="D62" s="125"/>
      <c r="E62" s="125"/>
      <c r="F62" s="130">
        <f t="shared" ref="F62:P62" si="65">F15</f>
        <v>101.1</v>
      </c>
      <c r="G62" s="130">
        <f t="shared" si="65"/>
        <v>109.9</v>
      </c>
      <c r="H62" s="130">
        <f t="shared" si="65"/>
        <v>114.6</v>
      </c>
      <c r="I62" s="130">
        <f t="shared" si="65"/>
        <v>108.7</v>
      </c>
      <c r="J62" s="130">
        <f t="shared" si="65"/>
        <v>109.5</v>
      </c>
      <c r="K62" s="130">
        <f t="shared" si="65"/>
        <v>98.2</v>
      </c>
      <c r="L62" s="130">
        <f t="shared" si="65"/>
        <v>94.147209662938664</v>
      </c>
      <c r="M62" s="130">
        <f t="shared" si="65"/>
        <v>92.625305088518957</v>
      </c>
      <c r="N62" s="130">
        <f t="shared" si="65"/>
        <v>111.79673623719195</v>
      </c>
      <c r="O62" s="130">
        <f t="shared" si="65"/>
        <v>124.39494101920255</v>
      </c>
      <c r="P62" s="130">
        <f t="shared" si="65"/>
        <v>127.56812935492377</v>
      </c>
      <c r="Q62" s="130">
        <f t="shared" ref="Q62:V62" si="66">Q15</f>
        <v>129.48960202683287</v>
      </c>
      <c r="R62" s="130">
        <f t="shared" si="66"/>
        <v>131.82041486331588</v>
      </c>
      <c r="S62" s="130">
        <f t="shared" si="66"/>
        <v>135.45146810909631</v>
      </c>
      <c r="T62" s="130">
        <f t="shared" si="66"/>
        <v>137.34778866262366</v>
      </c>
      <c r="U62" s="130">
        <f t="shared" si="66"/>
        <v>140.55771451001982</v>
      </c>
      <c r="V62" s="130">
        <f t="shared" si="66"/>
        <v>141.96329165512003</v>
      </c>
    </row>
    <row r="63" spans="2:22">
      <c r="C63" s="122" t="s">
        <v>60</v>
      </c>
      <c r="D63" s="121"/>
      <c r="E63" s="123"/>
      <c r="F63" s="131" t="str">
        <f>IF(ISERROR(F62/E62-1),"n.a.",F62/E62-1)</f>
        <v>n.a.</v>
      </c>
      <c r="G63" s="131">
        <f t="shared" ref="G63:V63" si="67">IF(ISERROR(G62/F62-1),"n.a.",G62/F62-1)</f>
        <v>8.7042532146389906E-2</v>
      </c>
      <c r="H63" s="131">
        <f t="shared" si="67"/>
        <v>4.2766151046405687E-2</v>
      </c>
      <c r="I63" s="131">
        <f t="shared" si="67"/>
        <v>-5.148342059336819E-2</v>
      </c>
      <c r="J63" s="131">
        <f t="shared" si="67"/>
        <v>7.3597056117755688E-3</v>
      </c>
      <c r="K63" s="131">
        <f t="shared" si="67"/>
        <v>-0.10319634703196345</v>
      </c>
      <c r="L63" s="131">
        <f t="shared" si="67"/>
        <v>-4.1270777363150102E-2</v>
      </c>
      <c r="M63" s="131">
        <f t="shared" si="67"/>
        <v>-1.6165158583757888E-2</v>
      </c>
      <c r="N63" s="131">
        <f t="shared" si="67"/>
        <v>0.20697833200496873</v>
      </c>
      <c r="O63" s="131">
        <f t="shared" si="67"/>
        <v>0.1126884845303695</v>
      </c>
      <c r="P63" s="131">
        <f t="shared" si="67"/>
        <v>2.5508982195918906E-2</v>
      </c>
      <c r="Q63" s="131">
        <f t="shared" si="67"/>
        <v>1.5062325375667429E-2</v>
      </c>
      <c r="R63" s="131">
        <f t="shared" si="67"/>
        <v>1.8000000000000016E-2</v>
      </c>
      <c r="S63" s="131">
        <f t="shared" si="67"/>
        <v>2.754545454545454E-2</v>
      </c>
      <c r="T63" s="131">
        <f t="shared" si="67"/>
        <v>1.4000000000000012E-2</v>
      </c>
      <c r="U63" s="131">
        <f t="shared" si="67"/>
        <v>2.3370786516853981E-2</v>
      </c>
      <c r="V63" s="131">
        <f t="shared" si="67"/>
        <v>1.0000000000000009E-2</v>
      </c>
    </row>
    <row r="64" spans="2:22">
      <c r="C64" s="122" t="s">
        <v>64</v>
      </c>
      <c r="D64" s="121"/>
      <c r="E64" s="124"/>
      <c r="F64" s="133">
        <f>F62/F$60</f>
        <v>0.10758752793444715</v>
      </c>
      <c r="G64" s="133">
        <f t="shared" ref="G64" si="68">G62/G$60</f>
        <v>0.10936411583242114</v>
      </c>
      <c r="H64" s="133">
        <f>H62/H$60</f>
        <v>0.11218795888399412</v>
      </c>
      <c r="I64" s="133">
        <f t="shared" ref="I64" si="69">I62/I$60</f>
        <v>9.9269406392694062E-2</v>
      </c>
      <c r="J64" s="133">
        <f t="shared" ref="J64:V64" si="70">J62/J$60</f>
        <v>9.6467271606025903E-2</v>
      </c>
      <c r="K64" s="133">
        <f t="shared" si="70"/>
        <v>8.6246267345863353E-2</v>
      </c>
      <c r="L64" s="133">
        <f t="shared" si="70"/>
        <v>8.1921904398916168E-2</v>
      </c>
      <c r="M64" s="133">
        <f t="shared" si="70"/>
        <v>7.3767966132610302E-2</v>
      </c>
      <c r="N64" s="133">
        <f t="shared" si="70"/>
        <v>8.2577669530744205E-2</v>
      </c>
      <c r="O64" s="133">
        <f t="shared" si="70"/>
        <v>8.5968935047082973E-2</v>
      </c>
      <c r="P64" s="133">
        <f t="shared" si="70"/>
        <v>8.8428067672377098E-2</v>
      </c>
      <c r="Q64" s="133">
        <f t="shared" si="70"/>
        <v>8.7999999999999995E-2</v>
      </c>
      <c r="R64" s="133">
        <f t="shared" si="70"/>
        <v>8.7999999999999995E-2</v>
      </c>
      <c r="S64" s="133">
        <f t="shared" si="70"/>
        <v>8.8999999999999996E-2</v>
      </c>
      <c r="T64" s="133">
        <f t="shared" si="70"/>
        <v>8.8999999999999982E-2</v>
      </c>
      <c r="U64" s="133">
        <f t="shared" si="70"/>
        <v>0.09</v>
      </c>
      <c r="V64" s="133">
        <f t="shared" si="70"/>
        <v>0.09</v>
      </c>
    </row>
    <row r="65" spans="3:22">
      <c r="C65" s="121" t="s">
        <v>77</v>
      </c>
      <c r="D65" s="121"/>
      <c r="E65" s="124"/>
      <c r="F65" s="132">
        <f>+F68-F62</f>
        <v>-23.299999999999997</v>
      </c>
      <c r="G65" s="132">
        <f t="shared" ref="G65:V65" si="71">+G68-G62</f>
        <v>-25.300000000000011</v>
      </c>
      <c r="H65" s="132">
        <f t="shared" si="71"/>
        <v>-30.099999999999994</v>
      </c>
      <c r="I65" s="132">
        <f t="shared" si="71"/>
        <v>-31.600000000000009</v>
      </c>
      <c r="J65" s="132">
        <f t="shared" si="71"/>
        <v>-34.900000000000006</v>
      </c>
      <c r="K65" s="132">
        <f t="shared" si="71"/>
        <v>-36</v>
      </c>
      <c r="L65" s="132">
        <f t="shared" si="71"/>
        <v>-36.129215400000028</v>
      </c>
      <c r="M65" s="132">
        <f t="shared" si="71"/>
        <v>-40.455293523349013</v>
      </c>
      <c r="N65" s="132">
        <f t="shared" si="71"/>
        <v>-47.195257615808728</v>
      </c>
      <c r="O65" s="132">
        <f t="shared" si="71"/>
        <v>-51.82954358756416</v>
      </c>
      <c r="P65" s="132">
        <f t="shared" si="71"/>
        <v>-54.799912142159201</v>
      </c>
      <c r="Q65" s="132">
        <f t="shared" si="71"/>
        <v>-53</v>
      </c>
      <c r="R65" s="132">
        <f t="shared" si="71"/>
        <v>-51.5</v>
      </c>
      <c r="S65" s="132">
        <f t="shared" si="71"/>
        <v>-50</v>
      </c>
      <c r="T65" s="132">
        <f t="shared" si="71"/>
        <v>-48.5</v>
      </c>
      <c r="U65" s="132">
        <f t="shared" si="71"/>
        <v>-48</v>
      </c>
      <c r="V65" s="132">
        <f t="shared" si="71"/>
        <v>-47.5</v>
      </c>
    </row>
    <row r="66" spans="3:22">
      <c r="C66" s="122" t="s">
        <v>78</v>
      </c>
      <c r="D66" s="121"/>
      <c r="E66" s="124"/>
      <c r="F66" s="133">
        <f t="shared" ref="F66:V66" si="72">+F65/F60</f>
        <v>-2.4795147387464082E-2</v>
      </c>
      <c r="G66" s="133">
        <f t="shared" si="72"/>
        <v>-2.5176634490994141E-2</v>
      </c>
      <c r="H66" s="133">
        <f t="shared" si="72"/>
        <v>-2.9466470876162502E-2</v>
      </c>
      <c r="I66" s="133">
        <f t="shared" si="72"/>
        <v>-2.8858447488584484E-2</v>
      </c>
      <c r="J66" s="133">
        <f t="shared" si="72"/>
        <v>-3.0746189763016483E-2</v>
      </c>
      <c r="K66" s="133">
        <f t="shared" si="72"/>
        <v>-3.1617776216406115E-2</v>
      </c>
      <c r="L66" s="133">
        <f t="shared" si="72"/>
        <v>-3.1437725457855774E-2</v>
      </c>
      <c r="M66" s="133">
        <f t="shared" si="72"/>
        <v>-3.2219108154766314E-2</v>
      </c>
      <c r="N66" s="133">
        <f t="shared" si="72"/>
        <v>-3.4860359237571976E-2</v>
      </c>
      <c r="O66" s="133">
        <f t="shared" si="72"/>
        <v>-3.5819227290854523E-2</v>
      </c>
      <c r="P66" s="133">
        <f t="shared" si="72"/>
        <v>-3.7986371391124714E-2</v>
      </c>
      <c r="Q66" s="133">
        <f t="shared" si="72"/>
        <v>-3.6018336043951424E-2</v>
      </c>
      <c r="R66" s="133">
        <f t="shared" si="72"/>
        <v>-3.4380107244384069E-2</v>
      </c>
      <c r="S66" s="133">
        <f t="shared" si="72"/>
        <v>-3.2853095371516004E-2</v>
      </c>
      <c r="T66" s="133">
        <f t="shared" si="72"/>
        <v>-3.1427517268609984E-2</v>
      </c>
      <c r="U66" s="133">
        <f t="shared" si="72"/>
        <v>-3.0734705775911315E-2</v>
      </c>
      <c r="V66" s="133">
        <f t="shared" si="72"/>
        <v>-3.0113418406678784E-2</v>
      </c>
    </row>
    <row r="67" spans="3:22">
      <c r="C67" s="122" t="s">
        <v>79</v>
      </c>
      <c r="D67" s="121"/>
      <c r="E67" s="124"/>
      <c r="F67" s="133">
        <f t="shared" ref="F67:V67" si="73">+F65/F72</f>
        <v>0.76644736842105254</v>
      </c>
      <c r="G67" s="133">
        <f t="shared" si="73"/>
        <v>0.67466666666666697</v>
      </c>
      <c r="H67" s="133">
        <f t="shared" si="73"/>
        <v>0.74689826302729523</v>
      </c>
      <c r="I67" s="133">
        <f t="shared" si="73"/>
        <v>0.87534626038781183</v>
      </c>
      <c r="J67" s="133">
        <f t="shared" si="73"/>
        <v>0.93565683646112618</v>
      </c>
      <c r="K67" s="133">
        <f t="shared" si="73"/>
        <v>1.1612903225806452</v>
      </c>
      <c r="L67" s="133">
        <f t="shared" si="73"/>
        <v>1.0035893166666674</v>
      </c>
      <c r="M67" s="133">
        <f t="shared" si="73"/>
        <v>0.79324104947743168</v>
      </c>
      <c r="N67" s="133">
        <f t="shared" si="73"/>
        <v>0.94390515231617456</v>
      </c>
      <c r="O67" s="133">
        <f t="shared" si="73"/>
        <v>1.0365908717512833</v>
      </c>
      <c r="P67" s="133">
        <f t="shared" si="73"/>
        <v>1.095998242843184</v>
      </c>
      <c r="Q67" s="133">
        <f t="shared" si="73"/>
        <v>1.06</v>
      </c>
      <c r="R67" s="133">
        <f t="shared" si="73"/>
        <v>1.03</v>
      </c>
      <c r="S67" s="133">
        <f t="shared" si="73"/>
        <v>1</v>
      </c>
      <c r="T67" s="133">
        <f t="shared" si="73"/>
        <v>0.97</v>
      </c>
      <c r="U67" s="133">
        <f t="shared" si="73"/>
        <v>0.96</v>
      </c>
      <c r="V67" s="133">
        <f t="shared" si="73"/>
        <v>0.95</v>
      </c>
    </row>
    <row r="68" spans="3:22">
      <c r="C68" s="125" t="s">
        <v>65</v>
      </c>
      <c r="D68" s="125"/>
      <c r="E68" s="125"/>
      <c r="F68" s="130">
        <f t="shared" ref="F68:V68" si="74">F25</f>
        <v>77.8</v>
      </c>
      <c r="G68" s="130">
        <f t="shared" si="74"/>
        <v>84.6</v>
      </c>
      <c r="H68" s="130">
        <f t="shared" si="74"/>
        <v>84.5</v>
      </c>
      <c r="I68" s="130">
        <f t="shared" si="74"/>
        <v>77.099999999999994</v>
      </c>
      <c r="J68" s="130">
        <f t="shared" si="74"/>
        <v>74.599999999999994</v>
      </c>
      <c r="K68" s="130">
        <f t="shared" si="74"/>
        <v>62.2</v>
      </c>
      <c r="L68" s="130">
        <f t="shared" si="74"/>
        <v>58.017994262938636</v>
      </c>
      <c r="M68" s="130">
        <f t="shared" si="74"/>
        <v>52.170011565169943</v>
      </c>
      <c r="N68" s="130">
        <f t="shared" si="74"/>
        <v>64.601478621383222</v>
      </c>
      <c r="O68" s="130">
        <f t="shared" si="74"/>
        <v>72.565397431638388</v>
      </c>
      <c r="P68" s="130">
        <f t="shared" si="74"/>
        <v>72.768217212764569</v>
      </c>
      <c r="Q68" s="130">
        <f t="shared" si="74"/>
        <v>76.48960202683287</v>
      </c>
      <c r="R68" s="130">
        <f t="shared" si="74"/>
        <v>80.320414863315875</v>
      </c>
      <c r="S68" s="130">
        <f t="shared" si="74"/>
        <v>85.451468109096311</v>
      </c>
      <c r="T68" s="130">
        <f t="shared" si="74"/>
        <v>88.847788662623657</v>
      </c>
      <c r="U68" s="130">
        <f t="shared" si="74"/>
        <v>92.557714510019821</v>
      </c>
      <c r="V68" s="130">
        <f t="shared" si="74"/>
        <v>94.463291655120031</v>
      </c>
    </row>
    <row r="69" spans="3:22">
      <c r="C69" s="122" t="s">
        <v>60</v>
      </c>
      <c r="D69" s="121"/>
      <c r="E69" s="123"/>
      <c r="F69" s="133" t="str">
        <f t="shared" ref="F69" si="75">IF(ISERROR(F68/C68-1),"n.a.",F68/C68-1)</f>
        <v>n.a.</v>
      </c>
      <c r="G69" s="133">
        <f>IF(ISERROR(G68/F68-1),"n.a.",G68/F68-1)</f>
        <v>8.740359897172234E-2</v>
      </c>
      <c r="H69" s="133">
        <f>IF(ISERROR(H68/G68-1),"n.a.",H68/G68-1)</f>
        <v>-1.1820330969266601E-3</v>
      </c>
      <c r="I69" s="133">
        <f t="shared" ref="I69:V69" si="76">IF(ISERROR(I68/H68-1),"n.a.",I68/H68-1)</f>
        <v>-8.7573964497041468E-2</v>
      </c>
      <c r="J69" s="133">
        <f t="shared" si="76"/>
        <v>-3.2425421530479892E-2</v>
      </c>
      <c r="K69" s="133">
        <f t="shared" si="76"/>
        <v>-0.16621983914209104</v>
      </c>
      <c r="L69" s="133">
        <f t="shared" si="76"/>
        <v>-6.723481892381622E-2</v>
      </c>
      <c r="M69" s="133">
        <f t="shared" si="76"/>
        <v>-0.10079601634047408</v>
      </c>
      <c r="N69" s="133">
        <f t="shared" si="76"/>
        <v>0.23828760399418525</v>
      </c>
      <c r="O69" s="133">
        <f t="shared" si="76"/>
        <v>0.12327765525198209</v>
      </c>
      <c r="P69" s="133">
        <f t="shared" si="76"/>
        <v>2.7949930449600036E-3</v>
      </c>
      <c r="Q69" s="133">
        <f t="shared" si="76"/>
        <v>5.1140249914155111E-2</v>
      </c>
      <c r="R69" s="133">
        <f t="shared" si="76"/>
        <v>5.0082792104724883E-2</v>
      </c>
      <c r="S69" s="133">
        <f t="shared" si="76"/>
        <v>6.3882305071657486E-2</v>
      </c>
      <c r="T69" s="133">
        <f t="shared" si="76"/>
        <v>3.9745607988750375E-2</v>
      </c>
      <c r="U69" s="133">
        <f t="shared" si="76"/>
        <v>4.1755972807422825E-2</v>
      </c>
      <c r="V69" s="133">
        <f t="shared" si="76"/>
        <v>2.0587988318293338E-2</v>
      </c>
    </row>
    <row r="70" spans="3:22">
      <c r="C70" s="122" t="s">
        <v>64</v>
      </c>
      <c r="D70" s="121"/>
      <c r="E70" s="124"/>
      <c r="F70" s="188">
        <f>F68/F$60</f>
        <v>8.2792380546983069E-2</v>
      </c>
      <c r="G70" s="188">
        <f t="shared" ref="G70" si="77">G68/G$60</f>
        <v>8.4187481341427006E-2</v>
      </c>
      <c r="H70" s="188">
        <f>H68/H$60</f>
        <v>8.272148800783162E-2</v>
      </c>
      <c r="I70" s="188">
        <f t="shared" ref="I70:V70" si="78">I68/I$60</f>
        <v>7.0410958904109588E-2</v>
      </c>
      <c r="J70" s="188">
        <f t="shared" si="78"/>
        <v>6.5721081843009427E-2</v>
      </c>
      <c r="K70" s="188">
        <f t="shared" si="78"/>
        <v>5.4628491129457238E-2</v>
      </c>
      <c r="L70" s="188">
        <f t="shared" si="78"/>
        <v>5.0484178941060394E-2</v>
      </c>
      <c r="M70" s="188">
        <f t="shared" si="78"/>
        <v>4.1548857977843988E-2</v>
      </c>
      <c r="N70" s="188">
        <f t="shared" si="78"/>
        <v>4.7717310293172235E-2</v>
      </c>
      <c r="O70" s="188">
        <f t="shared" si="78"/>
        <v>5.0149707756228443E-2</v>
      </c>
      <c r="P70" s="188">
        <f t="shared" si="78"/>
        <v>5.0441696281252384E-2</v>
      </c>
      <c r="Q70" s="188">
        <f t="shared" si="78"/>
        <v>5.1981663956048571E-2</v>
      </c>
      <c r="R70" s="188">
        <f t="shared" si="78"/>
        <v>5.3619892755615926E-2</v>
      </c>
      <c r="S70" s="188">
        <f t="shared" si="78"/>
        <v>5.6146904628483991E-2</v>
      </c>
      <c r="T70" s="188">
        <f t="shared" si="78"/>
        <v>5.7572482731390005E-2</v>
      </c>
      <c r="U70" s="188">
        <f t="shared" si="78"/>
        <v>5.9265294224088681E-2</v>
      </c>
      <c r="V70" s="188">
        <f t="shared" si="78"/>
        <v>5.988658159332122E-2</v>
      </c>
    </row>
    <row r="71" spans="3:22">
      <c r="C71" s="121" t="s">
        <v>59</v>
      </c>
      <c r="D71" s="121"/>
      <c r="E71" s="121"/>
      <c r="F71" s="132">
        <f t="shared" ref="F71:V71" si="79">F15</f>
        <v>101.1</v>
      </c>
      <c r="G71" s="132">
        <f t="shared" si="79"/>
        <v>109.9</v>
      </c>
      <c r="H71" s="132">
        <f t="shared" si="79"/>
        <v>114.6</v>
      </c>
      <c r="I71" s="132">
        <f t="shared" si="79"/>
        <v>108.7</v>
      </c>
      <c r="J71" s="132">
        <f t="shared" si="79"/>
        <v>109.5</v>
      </c>
      <c r="K71" s="132">
        <f t="shared" si="79"/>
        <v>98.2</v>
      </c>
      <c r="L71" s="132">
        <f t="shared" si="79"/>
        <v>94.147209662938664</v>
      </c>
      <c r="M71" s="132">
        <f t="shared" si="79"/>
        <v>92.625305088518957</v>
      </c>
      <c r="N71" s="132">
        <f t="shared" si="79"/>
        <v>111.79673623719195</v>
      </c>
      <c r="O71" s="132">
        <f t="shared" si="79"/>
        <v>124.39494101920255</v>
      </c>
      <c r="P71" s="132">
        <f t="shared" si="79"/>
        <v>127.56812935492377</v>
      </c>
      <c r="Q71" s="132">
        <f t="shared" si="79"/>
        <v>129.48960202683287</v>
      </c>
      <c r="R71" s="132">
        <f t="shared" si="79"/>
        <v>131.82041486331588</v>
      </c>
      <c r="S71" s="132">
        <f t="shared" si="79"/>
        <v>135.45146810909631</v>
      </c>
      <c r="T71" s="132">
        <f t="shared" si="79"/>
        <v>137.34778866262366</v>
      </c>
      <c r="U71" s="132">
        <f t="shared" si="79"/>
        <v>140.55771451001982</v>
      </c>
      <c r="V71" s="132">
        <f t="shared" si="79"/>
        <v>141.96329165512003</v>
      </c>
    </row>
    <row r="72" spans="3:22">
      <c r="C72" s="125" t="s">
        <v>40</v>
      </c>
      <c r="D72" s="125"/>
      <c r="E72" s="126"/>
      <c r="F72" s="130">
        <f t="shared" ref="F72:V72" si="80">F40</f>
        <v>-30.4</v>
      </c>
      <c r="G72" s="130">
        <f t="shared" si="80"/>
        <v>-37.5</v>
      </c>
      <c r="H72" s="130">
        <f t="shared" si="80"/>
        <v>-40.299999999999997</v>
      </c>
      <c r="I72" s="130">
        <f t="shared" si="80"/>
        <v>-36.1</v>
      </c>
      <c r="J72" s="130">
        <f t="shared" si="80"/>
        <v>-37.299999999999997</v>
      </c>
      <c r="K72" s="130">
        <f t="shared" si="80"/>
        <v>-31</v>
      </c>
      <c r="L72" s="130">
        <f t="shared" si="80"/>
        <v>-36</v>
      </c>
      <c r="M72" s="130">
        <f t="shared" si="80"/>
        <v>-51</v>
      </c>
      <c r="N72" s="130">
        <f t="shared" si="80"/>
        <v>-50</v>
      </c>
      <c r="O72" s="130">
        <f t="shared" si="80"/>
        <v>-50</v>
      </c>
      <c r="P72" s="130">
        <f t="shared" si="80"/>
        <v>-50</v>
      </c>
      <c r="Q72" s="130">
        <f t="shared" si="80"/>
        <v>-50</v>
      </c>
      <c r="R72" s="130">
        <f t="shared" si="80"/>
        <v>-50</v>
      </c>
      <c r="S72" s="130">
        <f t="shared" si="80"/>
        <v>-50</v>
      </c>
      <c r="T72" s="130">
        <f t="shared" si="80"/>
        <v>-50</v>
      </c>
      <c r="U72" s="130">
        <f t="shared" si="80"/>
        <v>-50</v>
      </c>
      <c r="V72" s="130">
        <f t="shared" si="80"/>
        <v>-50</v>
      </c>
    </row>
    <row r="73" spans="3:22">
      <c r="C73" s="122" t="s">
        <v>80</v>
      </c>
      <c r="D73" s="121"/>
      <c r="E73" s="123"/>
      <c r="F73" s="131">
        <f>IF(ISERROR(-F72/F$60),"n.a.",-F72/F$60)</f>
        <v>3.2350750239438113E-2</v>
      </c>
      <c r="G73" s="131">
        <f t="shared" ref="G73:V73" si="81">IF(ISERROR(-G72/G$60),"n.a.",-G72/G$60)</f>
        <v>3.7317145984675094E-2</v>
      </c>
      <c r="H73" s="131">
        <f t="shared" si="81"/>
        <v>3.9451786588350461E-2</v>
      </c>
      <c r="I73" s="131">
        <f t="shared" si="81"/>
        <v>3.2968036529680368E-2</v>
      </c>
      <c r="J73" s="131">
        <f t="shared" si="81"/>
        <v>3.2860540921504713E-2</v>
      </c>
      <c r="K73" s="131">
        <f t="shared" si="81"/>
        <v>2.7226418408571932E-2</v>
      </c>
      <c r="L73" s="131">
        <f t="shared" si="81"/>
        <v>3.1325289075688233E-2</v>
      </c>
      <c r="M73" s="131">
        <f t="shared" si="81"/>
        <v>4.0617045948380379E-2</v>
      </c>
      <c r="N73" s="131">
        <f t="shared" si="81"/>
        <v>3.6932057370415751E-2</v>
      </c>
      <c r="O73" s="131">
        <f t="shared" si="81"/>
        <v>3.4554835728332456E-2</v>
      </c>
      <c r="P73" s="131">
        <f t="shared" si="81"/>
        <v>3.4659153551726836E-2</v>
      </c>
      <c r="Q73" s="131">
        <f t="shared" si="81"/>
        <v>3.3979562305614552E-2</v>
      </c>
      <c r="R73" s="131">
        <f t="shared" si="81"/>
        <v>3.3378744897460261E-2</v>
      </c>
      <c r="S73" s="131">
        <f t="shared" si="81"/>
        <v>3.2853095371516004E-2</v>
      </c>
      <c r="T73" s="131">
        <f t="shared" si="81"/>
        <v>3.239950233877318E-2</v>
      </c>
      <c r="U73" s="131">
        <f t="shared" si="81"/>
        <v>3.2015318516574284E-2</v>
      </c>
      <c r="V73" s="131">
        <f t="shared" si="81"/>
        <v>3.1698335164925033E-2</v>
      </c>
    </row>
    <row r="74" spans="3:22">
      <c r="C74" s="121" t="s">
        <v>81</v>
      </c>
      <c r="D74" s="121"/>
      <c r="E74" s="123"/>
      <c r="F74" s="132">
        <f t="shared" ref="F74:V74" si="82">F45</f>
        <v>-5.3000000000000007</v>
      </c>
      <c r="G74" s="132">
        <f t="shared" si="82"/>
        <v>25.099999999999998</v>
      </c>
      <c r="H74" s="132">
        <f t="shared" si="82"/>
        <v>-11.2</v>
      </c>
      <c r="I74" s="132">
        <f t="shared" si="82"/>
        <v>-16.300000000000004</v>
      </c>
      <c r="J74" s="132">
        <f t="shared" si="82"/>
        <v>-12.6</v>
      </c>
      <c r="K74" s="132">
        <f t="shared" si="82"/>
        <v>-10.399999999999999</v>
      </c>
      <c r="L74" s="132">
        <f t="shared" si="82"/>
        <v>6</v>
      </c>
      <c r="M74" s="132">
        <f t="shared" si="82"/>
        <v>16.111954440903407</v>
      </c>
      <c r="N74" s="132">
        <f t="shared" si="82"/>
        <v>15.168892666804709</v>
      </c>
      <c r="O74" s="132">
        <f t="shared" si="82"/>
        <v>11.110216900668604</v>
      </c>
      <c r="P74" s="132">
        <f t="shared" si="82"/>
        <v>3.9548595532390358</v>
      </c>
      <c r="Q74" s="132">
        <f t="shared" si="82"/>
        <v>0</v>
      </c>
      <c r="R74" s="132">
        <f t="shared" si="82"/>
        <v>0</v>
      </c>
      <c r="S74" s="132">
        <f t="shared" si="82"/>
        <v>0</v>
      </c>
      <c r="T74" s="132">
        <f t="shared" si="82"/>
        <v>0</v>
      </c>
      <c r="U74" s="132">
        <f t="shared" si="82"/>
        <v>0</v>
      </c>
      <c r="V74" s="132">
        <f t="shared" si="82"/>
        <v>0</v>
      </c>
    </row>
    <row r="75" spans="3:22">
      <c r="C75" s="122" t="s">
        <v>80</v>
      </c>
      <c r="D75" s="121"/>
      <c r="E75" s="123"/>
      <c r="F75" s="133">
        <f t="shared" ref="F75:V75" si="83">+F74/F60</f>
        <v>-5.6400979035862511E-3</v>
      </c>
      <c r="G75" s="133">
        <f t="shared" si="83"/>
        <v>2.4977609712409192E-2</v>
      </c>
      <c r="H75" s="133">
        <f t="shared" si="83"/>
        <v>-1.0964268232990699E-2</v>
      </c>
      <c r="I75" s="133">
        <f t="shared" si="83"/>
        <v>-1.4885844748858451E-2</v>
      </c>
      <c r="J75" s="133">
        <f t="shared" si="83"/>
        <v>-1.1100343582063256E-2</v>
      </c>
      <c r="K75" s="133">
        <f t="shared" si="83"/>
        <v>-9.1340242402950991E-3</v>
      </c>
      <c r="L75" s="133">
        <f t="shared" si="83"/>
        <v>5.2208815126147052E-3</v>
      </c>
      <c r="M75" s="133">
        <f t="shared" si="83"/>
        <v>1.2831764585184018E-2</v>
      </c>
      <c r="N75" s="133">
        <f t="shared" si="83"/>
        <v>1.1204368284322206E-2</v>
      </c>
      <c r="O75" s="133">
        <f t="shared" si="83"/>
        <v>7.6782343981749305E-3</v>
      </c>
      <c r="P75" s="133">
        <f t="shared" si="83"/>
        <v>2.741441690624511E-3</v>
      </c>
      <c r="Q75" s="133">
        <f t="shared" si="83"/>
        <v>0</v>
      </c>
      <c r="R75" s="133">
        <f t="shared" si="83"/>
        <v>0</v>
      </c>
      <c r="S75" s="133">
        <f t="shared" si="83"/>
        <v>0</v>
      </c>
      <c r="T75" s="133">
        <f t="shared" si="83"/>
        <v>0</v>
      </c>
      <c r="U75" s="133">
        <f t="shared" si="83"/>
        <v>0</v>
      </c>
      <c r="V75" s="133">
        <f t="shared" si="83"/>
        <v>0</v>
      </c>
    </row>
    <row r="76" spans="3:22">
      <c r="C76" s="183" t="s">
        <v>73</v>
      </c>
      <c r="D76" s="121"/>
      <c r="E76" s="123"/>
      <c r="F76" s="132">
        <f t="shared" ref="F76:V76" si="84">+F49</f>
        <v>0</v>
      </c>
      <c r="G76" s="132">
        <f t="shared" si="84"/>
        <v>0</v>
      </c>
      <c r="H76" s="132">
        <f t="shared" si="84"/>
        <v>0</v>
      </c>
      <c r="I76" s="132">
        <f t="shared" si="84"/>
        <v>0</v>
      </c>
      <c r="J76" s="132">
        <f t="shared" si="84"/>
        <v>-1.5</v>
      </c>
      <c r="K76" s="132">
        <f t="shared" si="84"/>
        <v>0.74</v>
      </c>
      <c r="L76" s="132">
        <f t="shared" si="84"/>
        <v>0</v>
      </c>
      <c r="M76" s="132">
        <f t="shared" si="84"/>
        <v>0</v>
      </c>
      <c r="N76" s="132">
        <f t="shared" si="84"/>
        <v>-5</v>
      </c>
      <c r="O76" s="132">
        <f t="shared" si="84"/>
        <v>-5</v>
      </c>
      <c r="P76" s="132">
        <f t="shared" si="84"/>
        <v>-5</v>
      </c>
      <c r="Q76" s="132">
        <f t="shared" si="84"/>
        <v>-5</v>
      </c>
      <c r="R76" s="132">
        <f t="shared" si="84"/>
        <v>-5</v>
      </c>
      <c r="S76" s="132">
        <f t="shared" si="84"/>
        <v>-5</v>
      </c>
      <c r="T76" s="132">
        <f t="shared" si="84"/>
        <v>-5</v>
      </c>
      <c r="U76" s="132">
        <f t="shared" si="84"/>
        <v>-5</v>
      </c>
      <c r="V76" s="132">
        <f t="shared" si="84"/>
        <v>-5</v>
      </c>
    </row>
    <row r="77" spans="3:22">
      <c r="C77" s="122" t="s">
        <v>80</v>
      </c>
      <c r="D77" s="121"/>
      <c r="E77" s="123"/>
      <c r="F77" s="131">
        <f>IF(ISERROR(-F76/F$60),"n.a.",-F76/F$60)</f>
        <v>0</v>
      </c>
      <c r="G77" s="131">
        <f t="shared" ref="G77:V77" si="85">IF(ISERROR(-G76/G$60),"n.a.",-G76/G$60)</f>
        <v>0</v>
      </c>
      <c r="H77" s="131">
        <f t="shared" si="85"/>
        <v>0</v>
      </c>
      <c r="I77" s="131">
        <f t="shared" si="85"/>
        <v>0</v>
      </c>
      <c r="J77" s="131">
        <f t="shared" si="85"/>
        <v>1.3214694740551493E-3</v>
      </c>
      <c r="K77" s="131">
        <f t="shared" si="85"/>
        <v>-6.4992095555945904E-4</v>
      </c>
      <c r="L77" s="131">
        <f t="shared" si="85"/>
        <v>0</v>
      </c>
      <c r="M77" s="131">
        <f t="shared" si="85"/>
        <v>0</v>
      </c>
      <c r="N77" s="131">
        <f t="shared" si="85"/>
        <v>3.6932057370415751E-3</v>
      </c>
      <c r="O77" s="131">
        <f t="shared" si="85"/>
        <v>3.4554835728332453E-3</v>
      </c>
      <c r="P77" s="131">
        <f t="shared" si="85"/>
        <v>3.4659153551726838E-3</v>
      </c>
      <c r="Q77" s="131">
        <f t="shared" si="85"/>
        <v>3.3979562305614551E-3</v>
      </c>
      <c r="R77" s="131">
        <f t="shared" si="85"/>
        <v>3.3378744897460265E-3</v>
      </c>
      <c r="S77" s="131">
        <f t="shared" si="85"/>
        <v>3.2853095371516007E-3</v>
      </c>
      <c r="T77" s="131">
        <f t="shared" si="85"/>
        <v>3.2399502338773178E-3</v>
      </c>
      <c r="U77" s="131">
        <f t="shared" si="85"/>
        <v>3.2015318516574287E-3</v>
      </c>
      <c r="V77" s="131">
        <f t="shared" si="85"/>
        <v>3.1698335164925037E-3</v>
      </c>
    </row>
    <row r="78" spans="3:22">
      <c r="C78" s="183" t="s">
        <v>74</v>
      </c>
      <c r="D78" s="121"/>
      <c r="E78" s="123"/>
      <c r="F78" s="132">
        <f t="shared" ref="F78:V78" si="86">+F53</f>
        <v>0</v>
      </c>
      <c r="G78" s="132">
        <f t="shared" si="86"/>
        <v>0</v>
      </c>
      <c r="H78" s="132">
        <f t="shared" si="86"/>
        <v>0</v>
      </c>
      <c r="I78" s="132">
        <f t="shared" si="86"/>
        <v>0</v>
      </c>
      <c r="J78" s="132">
        <f t="shared" si="86"/>
        <v>0</v>
      </c>
      <c r="K78" s="132">
        <f t="shared" si="86"/>
        <v>0</v>
      </c>
      <c r="L78" s="132">
        <f t="shared" si="86"/>
        <v>0</v>
      </c>
      <c r="M78" s="132">
        <f t="shared" si="86"/>
        <v>-18.004468664734777</v>
      </c>
      <c r="N78" s="132">
        <f t="shared" si="86"/>
        <v>-6.7527180429793674</v>
      </c>
      <c r="O78" s="132">
        <f t="shared" si="86"/>
        <v>25.138454026318882</v>
      </c>
      <c r="P78" s="132">
        <f t="shared" si="86"/>
        <v>-4.8650405710493061</v>
      </c>
      <c r="Q78" s="132">
        <f t="shared" si="86"/>
        <v>0</v>
      </c>
      <c r="R78" s="132">
        <f t="shared" si="86"/>
        <v>0</v>
      </c>
      <c r="S78" s="132">
        <f t="shared" si="86"/>
        <v>0</v>
      </c>
      <c r="T78" s="132">
        <f t="shared" si="86"/>
        <v>0</v>
      </c>
      <c r="U78" s="132">
        <f t="shared" si="86"/>
        <v>0</v>
      </c>
      <c r="V78" s="132">
        <f t="shared" si="86"/>
        <v>0</v>
      </c>
    </row>
    <row r="79" spans="3:22">
      <c r="C79" s="189" t="s">
        <v>80</v>
      </c>
      <c r="D79" s="190"/>
      <c r="E79" s="191"/>
      <c r="F79" s="192">
        <f>IF(ISERROR(-F78/F$60),"n.a.",-F78/F$60)</f>
        <v>0</v>
      </c>
      <c r="G79" s="192">
        <f t="shared" ref="G79:V79" si="87">IF(ISERROR(-G78/G$60),"n.a.",-G78/G$60)</f>
        <v>0</v>
      </c>
      <c r="H79" s="192">
        <f t="shared" si="87"/>
        <v>0</v>
      </c>
      <c r="I79" s="192">
        <f t="shared" si="87"/>
        <v>0</v>
      </c>
      <c r="J79" s="192">
        <f t="shared" si="87"/>
        <v>0</v>
      </c>
      <c r="K79" s="192">
        <f t="shared" si="87"/>
        <v>0</v>
      </c>
      <c r="L79" s="192">
        <f t="shared" si="87"/>
        <v>0</v>
      </c>
      <c r="M79" s="192">
        <f t="shared" si="87"/>
        <v>1.433898688297465E-2</v>
      </c>
      <c r="N79" s="192">
        <f t="shared" si="87"/>
        <v>4.9878354033911108E-3</v>
      </c>
      <c r="O79" s="192">
        <f t="shared" si="87"/>
        <v>-1.737310298687373E-2</v>
      </c>
      <c r="P79" s="192">
        <f t="shared" si="87"/>
        <v>3.3723637637475745E-3</v>
      </c>
      <c r="Q79" s="192">
        <f t="shared" si="87"/>
        <v>0</v>
      </c>
      <c r="R79" s="192">
        <f t="shared" si="87"/>
        <v>0</v>
      </c>
      <c r="S79" s="192">
        <f t="shared" si="87"/>
        <v>0</v>
      </c>
      <c r="T79" s="192">
        <f t="shared" si="87"/>
        <v>0</v>
      </c>
      <c r="U79" s="192">
        <f t="shared" si="87"/>
        <v>0</v>
      </c>
      <c r="V79" s="192">
        <f t="shared" si="87"/>
        <v>0</v>
      </c>
    </row>
    <row r="80" spans="3:22" ht="4.5" customHeight="1">
      <c r="C80" s="32"/>
      <c r="E80" s="80"/>
      <c r="F80" s="80"/>
      <c r="G80" s="80"/>
      <c r="H80" s="80"/>
      <c r="I80" s="80"/>
      <c r="J80" s="80"/>
      <c r="K80" s="80"/>
      <c r="L80" s="80"/>
      <c r="M80" s="80"/>
      <c r="N80" s="80"/>
    </row>
    <row r="85" spans="12:12">
      <c r="L85" s="134"/>
    </row>
    <row r="92" spans="12:12">
      <c r="L92" s="134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topLeftCell="F2" zoomScale="88" zoomScaleNormal="100" zoomScaleSheetLayoutView="100" workbookViewId="0">
      <selection activeCell="L9" sqref="L9"/>
    </sheetView>
  </sheetViews>
  <sheetFormatPr defaultColWidth="9.109375" defaultRowHeight="13.2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4" customFormat="1" ht="12" customHeight="1">
      <c r="D2" s="28"/>
    </row>
    <row r="3" spans="4:21" ht="21">
      <c r="D3" s="115" t="s">
        <v>82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</row>
    <row r="4" spans="4:21" s="4" customFormat="1" ht="4.5" customHeight="1"/>
    <row r="5" spans="4:21">
      <c r="D5" s="39" t="s">
        <v>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252"/>
    </row>
    <row r="6" spans="4:21" ht="4.5" customHeight="1"/>
    <row r="7" spans="4:21" ht="12.75" customHeight="1">
      <c r="D7" t="s">
        <v>6</v>
      </c>
      <c r="F7" s="88">
        <f>Assumptions!D12</f>
        <v>43921</v>
      </c>
      <c r="S7" s="179"/>
      <c r="T7" s="179"/>
    </row>
    <row r="8" spans="4:21" ht="12.75" customHeight="1">
      <c r="D8" t="s">
        <v>83</v>
      </c>
      <c r="F8" s="89">
        <f>EDATE(F7,12)</f>
        <v>44286</v>
      </c>
      <c r="S8" s="179"/>
      <c r="T8" s="179"/>
    </row>
    <row r="9" spans="4:21" ht="12.75" customHeight="1">
      <c r="D9" t="s">
        <v>84</v>
      </c>
      <c r="F9" s="200">
        <v>5.0000000000000001E-3</v>
      </c>
      <c r="S9" s="179"/>
      <c r="T9" s="179"/>
    </row>
    <row r="10" spans="4:21" ht="12.75" customHeight="1">
      <c r="D10" t="s">
        <v>85</v>
      </c>
      <c r="F10" s="201">
        <v>8.5</v>
      </c>
      <c r="S10" s="179"/>
      <c r="T10" s="179"/>
    </row>
    <row r="11" spans="4:21" ht="12.75" customHeight="1">
      <c r="D11" t="s">
        <v>86</v>
      </c>
      <c r="F11" s="200">
        <v>8.5000000000000006E-2</v>
      </c>
    </row>
    <row r="12" spans="4:21" ht="12.75" customHeight="1">
      <c r="F12" s="42"/>
    </row>
    <row r="13" spans="4:21" ht="12.75" customHeight="1"/>
    <row r="14" spans="4:21" ht="12.75" customHeight="1">
      <c r="D14" s="35" t="s">
        <v>87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253"/>
    </row>
    <row r="15" spans="4:21" ht="4.5" customHeight="1"/>
    <row r="16" spans="4:21" s="23" customFormat="1"/>
    <row r="17" spans="3:21" s="23" customFormat="1">
      <c r="C17" s="23" t="s">
        <v>88</v>
      </c>
      <c r="G17" s="97">
        <f>G22-$F$7</f>
        <v>-731</v>
      </c>
      <c r="H17" s="97">
        <f t="shared" ref="H17:R17" si="0">H22-$F$7</f>
        <v>-366</v>
      </c>
      <c r="I17" s="97">
        <f t="shared" si="0"/>
        <v>0</v>
      </c>
      <c r="J17" s="97">
        <f t="shared" si="0"/>
        <v>365</v>
      </c>
      <c r="K17" s="97">
        <f t="shared" si="0"/>
        <v>730</v>
      </c>
      <c r="L17" s="97">
        <f t="shared" si="0"/>
        <v>1095</v>
      </c>
      <c r="M17" s="97">
        <f t="shared" si="0"/>
        <v>1461</v>
      </c>
      <c r="N17" s="97">
        <f t="shared" si="0"/>
        <v>1826</v>
      </c>
      <c r="O17" s="97">
        <f t="shared" si="0"/>
        <v>2191</v>
      </c>
      <c r="P17" s="97">
        <f t="shared" si="0"/>
        <v>2556</v>
      </c>
      <c r="Q17" s="97">
        <f t="shared" si="0"/>
        <v>2922</v>
      </c>
      <c r="R17" s="97">
        <f t="shared" si="0"/>
        <v>3287</v>
      </c>
      <c r="S17" s="97">
        <f t="shared" ref="S17" si="1">S22-$F$7</f>
        <v>3652</v>
      </c>
      <c r="T17" s="97"/>
      <c r="U17" s="82"/>
    </row>
    <row r="18" spans="3:21" s="23" customFormat="1">
      <c r="C18" s="23" t="s">
        <v>89</v>
      </c>
      <c r="G18" s="82">
        <f>IF(G17&lt;0,100%,IF(G17&gt;365.25,0,1-((G22-$F$7)/365.25)))</f>
        <v>1</v>
      </c>
      <c r="H18" s="82">
        <f t="shared" ref="H18:R18" si="2">IF(H17&lt;0,100%,IF(H17&gt;365.25,0,1-((H22-$F$7)/365.25)))</f>
        <v>1</v>
      </c>
      <c r="I18" s="82">
        <f t="shared" si="2"/>
        <v>1</v>
      </c>
      <c r="J18" s="184">
        <f t="shared" si="2"/>
        <v>6.8446269678301697E-4</v>
      </c>
      <c r="K18" s="82">
        <f t="shared" si="2"/>
        <v>0</v>
      </c>
      <c r="L18" s="82">
        <f t="shared" si="2"/>
        <v>0</v>
      </c>
      <c r="M18" s="82">
        <f t="shared" si="2"/>
        <v>0</v>
      </c>
      <c r="N18" s="82">
        <f t="shared" si="2"/>
        <v>0</v>
      </c>
      <c r="O18" s="82">
        <f t="shared" si="2"/>
        <v>0</v>
      </c>
      <c r="P18" s="82">
        <f t="shared" si="2"/>
        <v>0</v>
      </c>
      <c r="Q18" s="82">
        <f t="shared" si="2"/>
        <v>0</v>
      </c>
      <c r="R18" s="82">
        <f t="shared" si="2"/>
        <v>0</v>
      </c>
      <c r="S18" s="82">
        <f t="shared" ref="S18" si="3">IF(S17&lt;0,100%,IF(S17&gt;365.25,0,1-((S22-$F$7)/365.25)))</f>
        <v>0</v>
      </c>
      <c r="T18" s="82"/>
      <c r="U18" s="82"/>
    </row>
    <row r="19" spans="3:21" s="23" customFormat="1"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</row>
    <row r="20" spans="3:21">
      <c r="D20" s="4"/>
      <c r="F20" s="136" t="s">
        <v>53</v>
      </c>
      <c r="G20" s="136"/>
      <c r="H20" s="136"/>
      <c r="I20" s="78" t="s">
        <v>90</v>
      </c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254"/>
    </row>
    <row r="21" spans="3:21" ht="4.5" customHeight="1"/>
    <row r="22" spans="3:21" ht="12.75" customHeight="1">
      <c r="D22" s="36" t="str">
        <f>TEXT(Assumptions!$D$11,"mmmm")&amp;" YE ($mm)"</f>
        <v>March YE ($mm)</v>
      </c>
      <c r="E22" s="36"/>
      <c r="F22" s="37">
        <f>' Financials'!I58</f>
        <v>42825</v>
      </c>
      <c r="G22" s="37">
        <f>' Financials'!J58</f>
        <v>43190</v>
      </c>
      <c r="H22" s="141">
        <f>' Financials'!K58</f>
        <v>43555</v>
      </c>
      <c r="I22" s="30">
        <f>' Financials'!L58</f>
        <v>43921</v>
      </c>
      <c r="J22" s="30">
        <f>' Financials'!M58</f>
        <v>44286</v>
      </c>
      <c r="K22" s="30">
        <f>' Financials'!N58</f>
        <v>44651</v>
      </c>
      <c r="L22" s="30">
        <f>' Financials'!O58</f>
        <v>45016</v>
      </c>
      <c r="M22" s="30">
        <f>' Financials'!P58</f>
        <v>45382</v>
      </c>
      <c r="N22" s="30">
        <f>' Financials'!Q58</f>
        <v>45747</v>
      </c>
      <c r="O22" s="30">
        <f>' Financials'!R58</f>
        <v>46112</v>
      </c>
      <c r="P22" s="30">
        <f>' Financials'!S58</f>
        <v>46477</v>
      </c>
      <c r="Q22" s="30">
        <f>' Financials'!T58</f>
        <v>46843</v>
      </c>
      <c r="R22" s="30">
        <f>' Financials'!U58</f>
        <v>47208</v>
      </c>
      <c r="S22" s="30">
        <f>' Financials'!V58</f>
        <v>47573</v>
      </c>
      <c r="T22" s="255"/>
      <c r="U22" s="10"/>
    </row>
    <row r="23" spans="3:21" s="43" customFormat="1">
      <c r="C23"/>
      <c r="D23"/>
      <c r="E23"/>
      <c r="F23"/>
      <c r="G23"/>
      <c r="H23" s="55"/>
      <c r="I23"/>
      <c r="J23"/>
      <c r="K23"/>
      <c r="L23"/>
      <c r="M23"/>
      <c r="N23"/>
      <c r="O23"/>
      <c r="P23"/>
      <c r="Q23"/>
    </row>
    <row r="24" spans="3:21">
      <c r="D24" t="s">
        <v>24</v>
      </c>
      <c r="F24" s="202">
        <f>' Financials'!I11</f>
        <v>1095</v>
      </c>
      <c r="G24" s="202">
        <f>' Financials'!J11</f>
        <v>1135.0999999999999</v>
      </c>
      <c r="H24" s="202">
        <f>' Financials'!K11</f>
        <v>1138.5999999999999</v>
      </c>
      <c r="I24" s="202">
        <f>' Financials'!L11</f>
        <v>1149.2312142121568</v>
      </c>
      <c r="J24" s="202">
        <f>' Financials'!M11</f>
        <v>1255.6304578332745</v>
      </c>
      <c r="K24" s="202">
        <f>' Financials'!N11</f>
        <v>1353.8373857301615</v>
      </c>
      <c r="L24" s="202">
        <f>' Financials'!O11</f>
        <v>1446.9754795854415</v>
      </c>
      <c r="M24" s="202">
        <f>' Financials'!P11</f>
        <v>1442.6203434361953</v>
      </c>
      <c r="N24" s="202">
        <f>' Financials'!Q11</f>
        <v>1471.4727503049191</v>
      </c>
      <c r="O24" s="202">
        <f>' Financials'!R11</f>
        <v>1497.9592598104077</v>
      </c>
      <c r="P24" s="202">
        <f>' Financials'!S11</f>
        <v>1521.9266079673744</v>
      </c>
      <c r="Q24" s="202">
        <f>' Financials'!T11</f>
        <v>1543.2335804789177</v>
      </c>
      <c r="R24" s="202">
        <f>' Financials'!U11</f>
        <v>1561.7523834446647</v>
      </c>
      <c r="S24" s="202">
        <f>' Financials'!V11</f>
        <v>1577.3699072791114</v>
      </c>
      <c r="T24" s="118"/>
    </row>
    <row r="25" spans="3:21">
      <c r="C25" s="43"/>
      <c r="D25" s="43" t="s">
        <v>60</v>
      </c>
      <c r="E25" s="43"/>
      <c r="F25" s="43"/>
      <c r="G25" s="144">
        <f t="shared" ref="G25:H25" si="4">IF(ISERROR(G24/F24-1),"n.a.",(G24/F24-1))</f>
        <v>3.6621004566209869E-2</v>
      </c>
      <c r="H25" s="145">
        <f t="shared" si="4"/>
        <v>3.0834287727954379E-3</v>
      </c>
      <c r="I25" s="44">
        <f>IF(ISERROR(I24/G24-1),"n.a.",(I24/G24-1))</f>
        <v>1.2449312141799673E-2</v>
      </c>
      <c r="J25" s="44">
        <f t="shared" ref="J25:S25" si="5">IF(ISERROR(J24/I24-1),"n.a.",(J24/I24-1))</f>
        <v>9.2582973996280238E-2</v>
      </c>
      <c r="K25" s="44">
        <f t="shared" si="5"/>
        <v>7.8213241232100827E-2</v>
      </c>
      <c r="L25" s="44">
        <f t="shared" si="5"/>
        <v>6.879562851268739E-2</v>
      </c>
      <c r="M25" s="44">
        <f t="shared" si="5"/>
        <v>-3.0098202842344657E-3</v>
      </c>
      <c r="N25" s="44">
        <f t="shared" si="5"/>
        <v>2.0000000000000018E-2</v>
      </c>
      <c r="O25" s="44">
        <f t="shared" si="5"/>
        <v>1.8000000000000016E-2</v>
      </c>
      <c r="P25" s="44">
        <f t="shared" si="5"/>
        <v>1.6000000000000014E-2</v>
      </c>
      <c r="Q25" s="44">
        <f t="shared" si="5"/>
        <v>1.4000000000000012E-2</v>
      </c>
      <c r="R25" s="44">
        <f t="shared" si="5"/>
        <v>1.2000000000000011E-2</v>
      </c>
      <c r="S25" s="44">
        <f t="shared" si="5"/>
        <v>1.0000000000000009E-2</v>
      </c>
      <c r="T25" s="44"/>
    </row>
    <row r="26" spans="3:21" s="43" customFormat="1">
      <c r="C26"/>
      <c r="D26"/>
      <c r="E26"/>
      <c r="F26"/>
      <c r="G26"/>
      <c r="H26" s="55"/>
      <c r="I26"/>
      <c r="J26"/>
      <c r="K26"/>
      <c r="L26"/>
      <c r="M26"/>
      <c r="N26"/>
      <c r="O26"/>
      <c r="P26"/>
      <c r="Q26"/>
      <c r="R26"/>
      <c r="S26"/>
      <c r="T26"/>
    </row>
    <row r="27" spans="3:21" s="43" customFormat="1">
      <c r="C27"/>
      <c r="D27" t="s">
        <v>59</v>
      </c>
      <c r="E27"/>
      <c r="F27" s="202">
        <f>' Financials'!I15</f>
        <v>108.7</v>
      </c>
      <c r="G27" s="202">
        <f>' Financials'!J15</f>
        <v>109.5</v>
      </c>
      <c r="H27" s="202">
        <f>' Financials'!K15</f>
        <v>98.2</v>
      </c>
      <c r="I27" s="202">
        <f>' Financials'!L15</f>
        <v>94.147209662938664</v>
      </c>
      <c r="J27" s="202">
        <f>' Financials'!M15</f>
        <v>92.625305088518957</v>
      </c>
      <c r="K27" s="202">
        <f>' Financials'!N15</f>
        <v>111.79673623719195</v>
      </c>
      <c r="L27" s="202">
        <f>' Financials'!O15</f>
        <v>124.39494101920255</v>
      </c>
      <c r="M27" s="202">
        <f>' Financials'!P15</f>
        <v>127.56812935492377</v>
      </c>
      <c r="N27" s="202">
        <f>' Financials'!Q15</f>
        <v>129.48960202683287</v>
      </c>
      <c r="O27" s="202">
        <f>' Financials'!R15</f>
        <v>131.82041486331588</v>
      </c>
      <c r="P27" s="202">
        <f>' Financials'!S15</f>
        <v>135.45146810909631</v>
      </c>
      <c r="Q27" s="202">
        <f>' Financials'!T15</f>
        <v>137.34778866262366</v>
      </c>
      <c r="R27" s="202">
        <f>' Financials'!U15</f>
        <v>140.55771451001982</v>
      </c>
      <c r="S27" s="202">
        <f>' Financials'!V15</f>
        <v>141.96329165512003</v>
      </c>
      <c r="T27" s="118"/>
    </row>
    <row r="28" spans="3:21">
      <c r="C28" s="43"/>
      <c r="D28" s="43" t="s">
        <v>64</v>
      </c>
      <c r="E28" s="43"/>
      <c r="F28" s="44">
        <f t="shared" ref="F28:G28" si="6">IF(ISERROR(F27/F$24),"n.a.",(F27/F$24))</f>
        <v>9.9269406392694062E-2</v>
      </c>
      <c r="G28" s="44">
        <f t="shared" si="6"/>
        <v>9.6467271606025903E-2</v>
      </c>
      <c r="H28" s="56">
        <f t="shared" ref="H28" si="7">IF(ISERROR(H27/H$24),"n.a.",(H27/H$24))</f>
        <v>8.6246267345863353E-2</v>
      </c>
      <c r="I28" s="44">
        <f t="shared" ref="I28:R28" si="8">IF(ISERROR(I27/I$24),"n.a.",(I27/I$24))</f>
        <v>8.1921904398916168E-2</v>
      </c>
      <c r="J28" s="44">
        <f t="shared" si="8"/>
        <v>7.3767966132610302E-2</v>
      </c>
      <c r="K28" s="44">
        <f t="shared" si="8"/>
        <v>8.2577669530744205E-2</v>
      </c>
      <c r="L28" s="44">
        <f t="shared" si="8"/>
        <v>8.5968935047082973E-2</v>
      </c>
      <c r="M28" s="44">
        <f t="shared" si="8"/>
        <v>8.8428067672377098E-2</v>
      </c>
      <c r="N28" s="44">
        <f t="shared" si="8"/>
        <v>8.7999999999999995E-2</v>
      </c>
      <c r="O28" s="44">
        <f t="shared" si="8"/>
        <v>8.7999999999999995E-2</v>
      </c>
      <c r="P28" s="44">
        <f t="shared" si="8"/>
        <v>8.8999999999999996E-2</v>
      </c>
      <c r="Q28" s="44">
        <f t="shared" si="8"/>
        <v>8.8999999999999982E-2</v>
      </c>
      <c r="R28" s="44">
        <f t="shared" si="8"/>
        <v>0.09</v>
      </c>
      <c r="S28" s="44">
        <f t="shared" ref="S28" si="9">IF(ISERROR(S27/S$24),"n.a.",(S27/S$24))</f>
        <v>0.09</v>
      </c>
      <c r="T28" s="44"/>
    </row>
    <row r="29" spans="3:21">
      <c r="C29" s="43"/>
      <c r="D29" s="43" t="s">
        <v>60</v>
      </c>
      <c r="E29" s="43"/>
      <c r="F29" s="43"/>
      <c r="G29" s="144">
        <f>IF(ISERROR(G27/F27-1),"n.a.",(G27/F27-1))</f>
        <v>7.3597056117755688E-3</v>
      </c>
      <c r="H29" s="145">
        <f>IF(ISERROR(H27/G27-1),"n.a.",(H27/G27-1))</f>
        <v>-0.10319634703196345</v>
      </c>
      <c r="I29" s="44">
        <f t="shared" ref="I29:S29" si="10">IF(ISERROR(I27/H27-1),"n.a.",(I27/H27-1))</f>
        <v>-4.1270777363150102E-2</v>
      </c>
      <c r="J29" s="44">
        <f t="shared" si="10"/>
        <v>-1.6165158583757888E-2</v>
      </c>
      <c r="K29" s="44">
        <f t="shared" si="10"/>
        <v>0.20697833200496873</v>
      </c>
      <c r="L29" s="44">
        <f t="shared" si="10"/>
        <v>0.1126884845303695</v>
      </c>
      <c r="M29" s="44">
        <f t="shared" si="10"/>
        <v>2.5508982195918906E-2</v>
      </c>
      <c r="N29" s="44">
        <f t="shared" si="10"/>
        <v>1.5062325375667429E-2</v>
      </c>
      <c r="O29" s="44">
        <f t="shared" si="10"/>
        <v>1.8000000000000016E-2</v>
      </c>
      <c r="P29" s="44">
        <f t="shared" si="10"/>
        <v>2.754545454545454E-2</v>
      </c>
      <c r="Q29" s="44">
        <f t="shared" si="10"/>
        <v>1.4000000000000012E-2</v>
      </c>
      <c r="R29" s="44">
        <f t="shared" si="10"/>
        <v>2.3370786516853981E-2</v>
      </c>
      <c r="S29" s="44">
        <f t="shared" si="10"/>
        <v>1.0000000000000009E-2</v>
      </c>
      <c r="T29" s="44"/>
    </row>
    <row r="30" spans="3:21" s="43" customFormat="1">
      <c r="C30"/>
      <c r="D30"/>
      <c r="E30"/>
      <c r="F30"/>
      <c r="G30"/>
      <c r="H30" s="55"/>
      <c r="I30"/>
      <c r="J30"/>
      <c r="K30"/>
      <c r="L30"/>
      <c r="M30"/>
      <c r="N30"/>
      <c r="O30"/>
      <c r="P30"/>
      <c r="Q30"/>
      <c r="R30"/>
      <c r="S30"/>
      <c r="T30"/>
    </row>
    <row r="31" spans="3:21" s="43" customFormat="1">
      <c r="C31"/>
      <c r="D31" t="s">
        <v>77</v>
      </c>
      <c r="E31"/>
      <c r="F31" s="202">
        <f>' Financials'!I20</f>
        <v>-31.600000000000009</v>
      </c>
      <c r="G31" s="202">
        <f>' Financials'!J20</f>
        <v>-34.900000000000006</v>
      </c>
      <c r="H31" s="202">
        <f>' Financials'!K20</f>
        <v>-36</v>
      </c>
      <c r="I31" s="202">
        <f>' Financials'!L20</f>
        <v>-36.129215400000028</v>
      </c>
      <c r="J31" s="202">
        <f>' Financials'!M20</f>
        <v>-40.455293523349013</v>
      </c>
      <c r="K31" s="202">
        <f>' Financials'!N20</f>
        <v>-47.195257615808735</v>
      </c>
      <c r="L31" s="202">
        <f>' Financials'!O20</f>
        <v>-51.829543587564167</v>
      </c>
      <c r="M31" s="202">
        <f>' Financials'!P20</f>
        <v>-54.799912142159194</v>
      </c>
      <c r="N31" s="202">
        <f>' Financials'!Q20</f>
        <v>-53</v>
      </c>
      <c r="O31" s="202">
        <f>' Financials'!R20</f>
        <v>-51.5</v>
      </c>
      <c r="P31" s="202">
        <f>' Financials'!S20</f>
        <v>-50</v>
      </c>
      <c r="Q31" s="202">
        <f>' Financials'!T20</f>
        <v>-48.5</v>
      </c>
      <c r="R31" s="202">
        <f>' Financials'!U20</f>
        <v>-48</v>
      </c>
      <c r="S31" s="202">
        <f>' Financials'!V20</f>
        <v>-47.5</v>
      </c>
      <c r="T31" s="118"/>
    </row>
    <row r="32" spans="3:21">
      <c r="C32" s="43"/>
      <c r="D32" s="43" t="s">
        <v>70</v>
      </c>
      <c r="E32" s="43"/>
      <c r="F32" s="44">
        <f t="shared" ref="F32:G32" si="11">IF(ISERROR(-F31/F$24),"n.a.",(-F31/F$24))</f>
        <v>2.8858447488584484E-2</v>
      </c>
      <c r="G32" s="44">
        <f t="shared" si="11"/>
        <v>3.0746189763016483E-2</v>
      </c>
      <c r="H32" s="56">
        <f t="shared" ref="H32" si="12">IF(ISERROR(-H31/H$24),"n.a.",(-H31/H$24))</f>
        <v>3.1617776216406115E-2</v>
      </c>
      <c r="I32" s="44">
        <f t="shared" ref="I32:R32" si="13">IF(ISERROR(-I31/I$24),"n.a.",(-I31/I$24))</f>
        <v>3.1437725457855774E-2</v>
      </c>
      <c r="J32" s="44">
        <f t="shared" si="13"/>
        <v>3.2219108154766314E-2</v>
      </c>
      <c r="K32" s="44">
        <f t="shared" si="13"/>
        <v>3.4860359237571983E-2</v>
      </c>
      <c r="L32" s="44">
        <f t="shared" si="13"/>
        <v>3.581922729085453E-2</v>
      </c>
      <c r="M32" s="44">
        <f t="shared" si="13"/>
        <v>3.7986371391124714E-2</v>
      </c>
      <c r="N32" s="44">
        <f t="shared" si="13"/>
        <v>3.6018336043951424E-2</v>
      </c>
      <c r="O32" s="44">
        <f t="shared" si="13"/>
        <v>3.4380107244384069E-2</v>
      </c>
      <c r="P32" s="44">
        <f t="shared" si="13"/>
        <v>3.2853095371516004E-2</v>
      </c>
      <c r="Q32" s="44">
        <f t="shared" si="13"/>
        <v>3.1427517268609984E-2</v>
      </c>
      <c r="R32" s="44">
        <f t="shared" si="13"/>
        <v>3.0734705775911315E-2</v>
      </c>
      <c r="S32" s="44">
        <f t="shared" ref="S32" si="14">IF(ISERROR(-S31/S$24),"n.a.",(-S31/S$24))</f>
        <v>3.0113418406678784E-2</v>
      </c>
      <c r="T32" s="44"/>
    </row>
    <row r="33" spans="3:20">
      <c r="C33" s="43"/>
      <c r="D33" s="43" t="s">
        <v>79</v>
      </c>
      <c r="E33" s="43"/>
      <c r="F33" s="44">
        <f t="shared" ref="F33:G33" si="15">F31/F48</f>
        <v>0.87534626038781183</v>
      </c>
      <c r="G33" s="44">
        <f t="shared" si="15"/>
        <v>0.93565683646112618</v>
      </c>
      <c r="H33" s="56">
        <f t="shared" ref="H33" si="16">H31/H48</f>
        <v>1.1612903225806452</v>
      </c>
      <c r="I33" s="44">
        <f t="shared" ref="I33:R33" si="17">I31/I48</f>
        <v>1.0035893166666674</v>
      </c>
      <c r="J33" s="44">
        <f t="shared" si="17"/>
        <v>0.79324104947743168</v>
      </c>
      <c r="K33" s="44">
        <f t="shared" si="17"/>
        <v>0.94390515231617467</v>
      </c>
      <c r="L33" s="44">
        <f t="shared" si="17"/>
        <v>1.0365908717512833</v>
      </c>
      <c r="M33" s="44">
        <f t="shared" si="17"/>
        <v>1.0959982428431838</v>
      </c>
      <c r="N33" s="44">
        <f t="shared" si="17"/>
        <v>1.06</v>
      </c>
      <c r="O33" s="44">
        <f t="shared" si="17"/>
        <v>1.03</v>
      </c>
      <c r="P33" s="44">
        <f t="shared" si="17"/>
        <v>1</v>
      </c>
      <c r="Q33" s="44">
        <f t="shared" si="17"/>
        <v>0.97</v>
      </c>
      <c r="R33" s="44">
        <f t="shared" si="17"/>
        <v>0.96</v>
      </c>
      <c r="S33" s="44">
        <f t="shared" ref="S33" si="18">S31/S48</f>
        <v>0.95</v>
      </c>
      <c r="T33" s="44"/>
    </row>
    <row r="34" spans="3:20" s="43" customFormat="1">
      <c r="C34"/>
      <c r="D34"/>
      <c r="E34"/>
      <c r="F34"/>
      <c r="G34"/>
      <c r="H34" s="55"/>
      <c r="I34"/>
      <c r="J34"/>
      <c r="K34"/>
      <c r="L34"/>
      <c r="M34"/>
      <c r="N34"/>
      <c r="O34"/>
      <c r="P34"/>
      <c r="Q34"/>
      <c r="R34"/>
      <c r="S34"/>
      <c r="T34"/>
    </row>
    <row r="35" spans="3:20" s="43" customFormat="1">
      <c r="C35"/>
      <c r="D35" t="s">
        <v>65</v>
      </c>
      <c r="E35"/>
      <c r="F35" s="33">
        <f>F27+F31</f>
        <v>77.099999999999994</v>
      </c>
      <c r="G35" s="33">
        <f t="shared" ref="G35:H35" si="19">G27+G31</f>
        <v>74.599999999999994</v>
      </c>
      <c r="H35" s="137">
        <f t="shared" si="19"/>
        <v>62.2</v>
      </c>
      <c r="I35" s="33">
        <f t="shared" ref="I35:R35" si="20">I27+I31</f>
        <v>58.017994262938636</v>
      </c>
      <c r="J35" s="33">
        <f t="shared" si="20"/>
        <v>52.170011565169943</v>
      </c>
      <c r="K35" s="33">
        <f t="shared" si="20"/>
        <v>64.601478621383222</v>
      </c>
      <c r="L35" s="33">
        <f t="shared" si="20"/>
        <v>72.565397431638388</v>
      </c>
      <c r="M35" s="33">
        <f t="shared" si="20"/>
        <v>72.768217212764569</v>
      </c>
      <c r="N35" s="33">
        <f t="shared" si="20"/>
        <v>76.48960202683287</v>
      </c>
      <c r="O35" s="33">
        <f t="shared" si="20"/>
        <v>80.320414863315875</v>
      </c>
      <c r="P35" s="33">
        <f t="shared" si="20"/>
        <v>85.451468109096311</v>
      </c>
      <c r="Q35" s="33">
        <f t="shared" si="20"/>
        <v>88.847788662623657</v>
      </c>
      <c r="R35" s="33">
        <f t="shared" si="20"/>
        <v>92.557714510019821</v>
      </c>
      <c r="S35" s="33">
        <f t="shared" ref="S35" si="21">S27+S31</f>
        <v>94.463291655120031</v>
      </c>
      <c r="T35" s="33"/>
    </row>
    <row r="36" spans="3:20">
      <c r="C36" s="43"/>
      <c r="D36" s="43" t="s">
        <v>64</v>
      </c>
      <c r="E36" s="43"/>
      <c r="F36" s="44">
        <f t="shared" ref="F36:G36" si="22">IF(ISERROR(F35/F$24),"n.a.",(F35/F$24))</f>
        <v>7.0410958904109588E-2</v>
      </c>
      <c r="G36" s="44">
        <f t="shared" si="22"/>
        <v>6.5721081843009427E-2</v>
      </c>
      <c r="H36" s="56">
        <f t="shared" ref="H36" si="23">IF(ISERROR(H35/H$24),"n.a.",(H35/H$24))</f>
        <v>5.4628491129457238E-2</v>
      </c>
      <c r="I36" s="44">
        <f t="shared" ref="I36:R36" si="24">IF(ISERROR(I35/I$24),"n.a.",(I35/I$24))</f>
        <v>5.0484178941060394E-2</v>
      </c>
      <c r="J36" s="44">
        <f t="shared" si="24"/>
        <v>4.1548857977843988E-2</v>
      </c>
      <c r="K36" s="44">
        <f t="shared" si="24"/>
        <v>4.7717310293172235E-2</v>
      </c>
      <c r="L36" s="44">
        <f t="shared" si="24"/>
        <v>5.0149707756228443E-2</v>
      </c>
      <c r="M36" s="44">
        <f t="shared" si="24"/>
        <v>5.0441696281252384E-2</v>
      </c>
      <c r="N36" s="44">
        <f t="shared" si="24"/>
        <v>5.1981663956048571E-2</v>
      </c>
      <c r="O36" s="44">
        <f t="shared" si="24"/>
        <v>5.3619892755615926E-2</v>
      </c>
      <c r="P36" s="44">
        <f t="shared" si="24"/>
        <v>5.6146904628483991E-2</v>
      </c>
      <c r="Q36" s="44">
        <f t="shared" si="24"/>
        <v>5.7572482731390005E-2</v>
      </c>
      <c r="R36" s="44">
        <f t="shared" si="24"/>
        <v>5.9265294224088681E-2</v>
      </c>
      <c r="S36" s="44">
        <f t="shared" ref="S36" si="25">IF(ISERROR(S35/S$24),"n.a.",(S35/S$24))</f>
        <v>5.988658159332122E-2</v>
      </c>
      <c r="T36" s="44"/>
    </row>
    <row r="37" spans="3:20">
      <c r="C37" s="43"/>
      <c r="D37" s="43" t="s">
        <v>60</v>
      </c>
      <c r="E37" s="43"/>
      <c r="F37" s="43"/>
      <c r="G37" s="144">
        <f>IF(ISERROR(G35/F35-1),"n.a.",(G35/F35-1))</f>
        <v>-3.2425421530479892E-2</v>
      </c>
      <c r="H37" s="145">
        <f t="shared" ref="H37:S37" si="26">IF(ISERROR(H35/G35-1),"n.a.",(H35/G35-1))</f>
        <v>-0.16621983914209104</v>
      </c>
      <c r="I37" s="44">
        <f t="shared" si="26"/>
        <v>-6.723481892381622E-2</v>
      </c>
      <c r="J37" s="44">
        <f t="shared" si="26"/>
        <v>-0.10079601634047408</v>
      </c>
      <c r="K37" s="44">
        <f t="shared" si="26"/>
        <v>0.23828760399418525</v>
      </c>
      <c r="L37" s="44">
        <f t="shared" si="26"/>
        <v>0.12327765525198209</v>
      </c>
      <c r="M37" s="44">
        <f t="shared" si="26"/>
        <v>2.7949930449600036E-3</v>
      </c>
      <c r="N37" s="44">
        <f t="shared" si="26"/>
        <v>5.1140249914155111E-2</v>
      </c>
      <c r="O37" s="44">
        <f t="shared" si="26"/>
        <v>5.0082792104724883E-2</v>
      </c>
      <c r="P37" s="44">
        <f t="shared" si="26"/>
        <v>6.3882305071657486E-2</v>
      </c>
      <c r="Q37" s="44">
        <f t="shared" si="26"/>
        <v>3.9745607988750375E-2</v>
      </c>
      <c r="R37" s="44">
        <f t="shared" si="26"/>
        <v>4.1755972807422825E-2</v>
      </c>
      <c r="S37" s="44">
        <f t="shared" si="26"/>
        <v>2.0587988318293338E-2</v>
      </c>
      <c r="T37" s="44"/>
    </row>
    <row r="38" spans="3:20" s="43" customFormat="1">
      <c r="C38"/>
      <c r="D38"/>
      <c r="E38"/>
      <c r="F38"/>
      <c r="G38"/>
      <c r="H38" s="55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42</v>
      </c>
      <c r="F39" s="1"/>
      <c r="G39" s="1"/>
      <c r="H39" s="138"/>
      <c r="I39" s="1">
        <f t="shared" ref="I39:R39" si="27">-I35*I40</f>
        <v>-11.023418909958341</v>
      </c>
      <c r="J39" s="1">
        <f t="shared" si="27"/>
        <v>-8.8689019660788908</v>
      </c>
      <c r="K39" s="1">
        <f t="shared" si="27"/>
        <v>-10.982251365635149</v>
      </c>
      <c r="L39" s="1">
        <f t="shared" si="27"/>
        <v>-12.336117563378528</v>
      </c>
      <c r="M39" s="1">
        <f t="shared" si="27"/>
        <v>-12.370596926169977</v>
      </c>
      <c r="N39" s="1">
        <f t="shared" si="27"/>
        <v>-13.003232344561589</v>
      </c>
      <c r="O39" s="1">
        <f t="shared" si="27"/>
        <v>-13.654470526763699</v>
      </c>
      <c r="P39" s="1">
        <f t="shared" si="27"/>
        <v>-14.526749578546374</v>
      </c>
      <c r="Q39" s="1">
        <f t="shared" si="27"/>
        <v>-15.104124072646023</v>
      </c>
      <c r="R39" s="1">
        <f t="shared" si="27"/>
        <v>-15.73481146670337</v>
      </c>
      <c r="S39" s="1">
        <f t="shared" ref="S39" si="28">-S35*S40</f>
        <v>-16.058759581370406</v>
      </c>
      <c r="T39" s="1"/>
    </row>
    <row r="40" spans="3:20">
      <c r="C40" s="43"/>
      <c r="D40" s="43" t="s">
        <v>66</v>
      </c>
      <c r="E40" s="43"/>
      <c r="F40" s="90"/>
      <c r="G40" s="90"/>
      <c r="H40" s="139"/>
      <c r="I40" s="203">
        <f>' Financials'!L29</f>
        <v>0.19</v>
      </c>
      <c r="J40" s="203">
        <f>' Financials'!M29</f>
        <v>0.17</v>
      </c>
      <c r="K40" s="203">
        <f>' Financials'!N29</f>
        <v>0.17</v>
      </c>
      <c r="L40" s="203">
        <f>' Financials'!O29</f>
        <v>0.17</v>
      </c>
      <c r="M40" s="203">
        <f>' Financials'!P29</f>
        <v>0.17</v>
      </c>
      <c r="N40" s="203">
        <f>' Financials'!Q29</f>
        <v>0.17</v>
      </c>
      <c r="O40" s="203">
        <f>' Financials'!R29</f>
        <v>0.17</v>
      </c>
      <c r="P40" s="203">
        <f>' Financials'!S29</f>
        <v>0.17</v>
      </c>
      <c r="Q40" s="203">
        <f>' Financials'!T29</f>
        <v>0.17</v>
      </c>
      <c r="R40" s="203">
        <f>' Financials'!U29</f>
        <v>0.17</v>
      </c>
      <c r="S40" s="203">
        <f>' Financials'!V29</f>
        <v>0.17</v>
      </c>
      <c r="T40" s="90"/>
    </row>
    <row r="41" spans="3:20" s="43" customFormat="1">
      <c r="C41"/>
      <c r="D41"/>
      <c r="E41"/>
      <c r="F41"/>
      <c r="G41"/>
      <c r="H41" s="55"/>
      <c r="I41"/>
      <c r="J41"/>
      <c r="K41"/>
      <c r="L41"/>
      <c r="M41"/>
      <c r="N41"/>
      <c r="O41"/>
      <c r="P41"/>
      <c r="Q41"/>
      <c r="R41"/>
      <c r="S41"/>
      <c r="T41"/>
    </row>
    <row r="42" spans="3:20" s="43" customFormat="1">
      <c r="C42"/>
      <c r="D42" t="s">
        <v>91</v>
      </c>
      <c r="E42"/>
      <c r="F42" s="1"/>
      <c r="G42" s="1"/>
      <c r="H42" s="138"/>
      <c r="I42" s="1">
        <f t="shared" ref="I42" si="29">I35+I39</f>
        <v>46.994575352980291</v>
      </c>
      <c r="J42" s="1">
        <f t="shared" ref="J42:R42" si="30">J35+J39</f>
        <v>43.301109599091049</v>
      </c>
      <c r="K42" s="33">
        <f t="shared" si="30"/>
        <v>53.619227255748072</v>
      </c>
      <c r="L42" s="1">
        <f t="shared" si="30"/>
        <v>60.229279868259859</v>
      </c>
      <c r="M42" s="1">
        <f t="shared" si="30"/>
        <v>60.397620286594588</v>
      </c>
      <c r="N42" s="1">
        <f t="shared" si="30"/>
        <v>63.486369682271281</v>
      </c>
      <c r="O42" s="1">
        <f t="shared" si="30"/>
        <v>66.665944336552172</v>
      </c>
      <c r="P42" s="1">
        <f t="shared" si="30"/>
        <v>70.924718530549939</v>
      </c>
      <c r="Q42" s="1">
        <f t="shared" si="30"/>
        <v>73.743664589977641</v>
      </c>
      <c r="R42" s="1">
        <f t="shared" si="30"/>
        <v>76.822903043316444</v>
      </c>
      <c r="S42" s="1">
        <f t="shared" ref="S42" si="31">S35+S39</f>
        <v>78.404532073749621</v>
      </c>
      <c r="T42" s="1"/>
    </row>
    <row r="43" spans="3:20">
      <c r="C43" s="43"/>
      <c r="D43" s="43" t="s">
        <v>64</v>
      </c>
      <c r="E43" s="43"/>
      <c r="F43" s="44"/>
      <c r="G43" s="44"/>
      <c r="H43" s="56"/>
      <c r="I43" s="44">
        <f t="shared" ref="I43" si="32">IF(ISERROR(I42/I$24),"n.a.",(I42/I$24))</f>
        <v>4.0892184942258915E-2</v>
      </c>
      <c r="J43" s="44">
        <f t="shared" ref="J43:R43" si="33">IF(ISERROR(J42/J$24),"n.a.",(J42/J$24))</f>
        <v>3.4485552121610502E-2</v>
      </c>
      <c r="K43" s="44">
        <f t="shared" si="33"/>
        <v>3.9605367543332951E-2</v>
      </c>
      <c r="L43" s="44">
        <f t="shared" si="33"/>
        <v>4.1624257437669607E-2</v>
      </c>
      <c r="M43" s="44">
        <f t="shared" si="33"/>
        <v>4.1866607913439477E-2</v>
      </c>
      <c r="N43" s="44">
        <f t="shared" si="33"/>
        <v>4.3144781083520309E-2</v>
      </c>
      <c r="O43" s="44">
        <f t="shared" si="33"/>
        <v>4.4504510987161218E-2</v>
      </c>
      <c r="P43" s="44">
        <f t="shared" si="33"/>
        <v>4.6601930841641714E-2</v>
      </c>
      <c r="Q43" s="44">
        <f t="shared" si="33"/>
        <v>4.7785160667053711E-2</v>
      </c>
      <c r="R43" s="44">
        <f t="shared" si="33"/>
        <v>4.9190194205993604E-2</v>
      </c>
      <c r="S43" s="44">
        <f t="shared" ref="S43" si="34">IF(ISERROR(S42/S$24),"n.a.",(S42/S$24))</f>
        <v>4.9705862722456605E-2</v>
      </c>
      <c r="T43" s="44"/>
    </row>
    <row r="44" spans="3:20">
      <c r="C44" s="43"/>
      <c r="D44" s="43" t="s">
        <v>60</v>
      </c>
      <c r="E44" s="43"/>
      <c r="F44" s="43"/>
      <c r="G44" s="144"/>
      <c r="H44" s="145"/>
      <c r="I44" s="193" t="str">
        <f t="shared" ref="I44:S44" si="35">IF(ISERROR(I42/H42-1),"n.a.",(I42/H42-1))</f>
        <v>n.a.</v>
      </c>
      <c r="J44" s="44">
        <f t="shared" si="35"/>
        <v>-7.8593448842708025E-2</v>
      </c>
      <c r="K44" s="44">
        <f t="shared" si="35"/>
        <v>0.23828760399418525</v>
      </c>
      <c r="L44" s="44">
        <f t="shared" si="35"/>
        <v>0.12327765525198209</v>
      </c>
      <c r="M44" s="44">
        <f t="shared" si="35"/>
        <v>2.7949930449600036E-3</v>
      </c>
      <c r="N44" s="44">
        <f t="shared" si="35"/>
        <v>5.1140249914155111E-2</v>
      </c>
      <c r="O44" s="44">
        <f t="shared" si="35"/>
        <v>5.008279210472466E-2</v>
      </c>
      <c r="P44" s="44">
        <f t="shared" si="35"/>
        <v>6.3882305071657486E-2</v>
      </c>
      <c r="Q44" s="44">
        <f t="shared" si="35"/>
        <v>3.9745607988750375E-2</v>
      </c>
      <c r="R44" s="44">
        <f t="shared" si="35"/>
        <v>4.1755972807422603E-2</v>
      </c>
      <c r="S44" s="44">
        <f t="shared" si="35"/>
        <v>2.0587988318293338E-2</v>
      </c>
      <c r="T44" s="44"/>
    </row>
    <row r="45" spans="3:20">
      <c r="H45" s="55"/>
    </row>
    <row r="46" spans="3:20">
      <c r="D46" t="s">
        <v>77</v>
      </c>
      <c r="F46" s="1"/>
      <c r="G46" s="1"/>
      <c r="H46" s="138"/>
      <c r="I46" s="1">
        <f t="shared" ref="I46" si="36">-I31</f>
        <v>36.129215400000028</v>
      </c>
      <c r="J46" s="1">
        <f t="shared" ref="J46:R46" si="37">-J31</f>
        <v>40.455293523349013</v>
      </c>
      <c r="K46" s="1">
        <f t="shared" si="37"/>
        <v>47.195257615808735</v>
      </c>
      <c r="L46" s="1">
        <f t="shared" si="37"/>
        <v>51.829543587564167</v>
      </c>
      <c r="M46" s="1">
        <f t="shared" si="37"/>
        <v>54.799912142159194</v>
      </c>
      <c r="N46" s="1">
        <f t="shared" si="37"/>
        <v>53</v>
      </c>
      <c r="O46" s="1">
        <f t="shared" si="37"/>
        <v>51.5</v>
      </c>
      <c r="P46" s="1">
        <f t="shared" si="37"/>
        <v>50</v>
      </c>
      <c r="Q46" s="1">
        <f t="shared" si="37"/>
        <v>48.5</v>
      </c>
      <c r="R46" s="1">
        <f t="shared" si="37"/>
        <v>48</v>
      </c>
      <c r="S46" s="1">
        <f t="shared" ref="S46" si="38">-S31</f>
        <v>47.5</v>
      </c>
      <c r="T46" s="1"/>
    </row>
    <row r="47" spans="3:20" s="43" customFormat="1">
      <c r="C47"/>
      <c r="D47"/>
      <c r="E47"/>
      <c r="F47"/>
      <c r="G47"/>
      <c r="H47" s="55"/>
      <c r="I47"/>
      <c r="J47"/>
      <c r="K47" s="112"/>
      <c r="L47" s="112"/>
      <c r="M47" s="112"/>
      <c r="N47" s="112"/>
      <c r="O47" s="112"/>
      <c r="P47" s="112"/>
      <c r="Q47" s="112"/>
      <c r="R47" s="112"/>
      <c r="S47" s="112"/>
      <c r="T47" s="112"/>
    </row>
    <row r="48" spans="3:20" s="43" customFormat="1">
      <c r="C48"/>
      <c r="D48" t="s">
        <v>40</v>
      </c>
      <c r="E48"/>
      <c r="F48" s="202">
        <f>' Financials'!I40</f>
        <v>-36.1</v>
      </c>
      <c r="G48" s="202">
        <f>' Financials'!J40</f>
        <v>-37.299999999999997</v>
      </c>
      <c r="H48" s="202">
        <f>' Financials'!K40</f>
        <v>-31</v>
      </c>
      <c r="I48" s="202">
        <f>' Financials'!L40</f>
        <v>-36</v>
      </c>
      <c r="J48" s="202">
        <f>' Financials'!M40</f>
        <v>-51</v>
      </c>
      <c r="K48" s="202">
        <f>' Financials'!N40</f>
        <v>-50</v>
      </c>
      <c r="L48" s="202">
        <f>' Financials'!O40</f>
        <v>-50</v>
      </c>
      <c r="M48" s="202">
        <f>' Financials'!P40</f>
        <v>-50</v>
      </c>
      <c r="N48" s="202">
        <f>' Financials'!Q40</f>
        <v>-50</v>
      </c>
      <c r="O48" s="202">
        <f>' Financials'!R40</f>
        <v>-50</v>
      </c>
      <c r="P48" s="202">
        <f>' Financials'!S40</f>
        <v>-50</v>
      </c>
      <c r="Q48" s="202">
        <f>' Financials'!T40</f>
        <v>-50</v>
      </c>
      <c r="R48" s="202">
        <f>' Financials'!U40</f>
        <v>-50</v>
      </c>
      <c r="S48" s="202">
        <f>' Financials'!V40</f>
        <v>-50</v>
      </c>
      <c r="T48" s="118"/>
    </row>
    <row r="49" spans="3:20">
      <c r="C49" s="43"/>
      <c r="D49" s="43" t="s">
        <v>70</v>
      </c>
      <c r="E49" s="43"/>
      <c r="F49" s="44">
        <f t="shared" ref="F49:G49" si="39">IF(ISERROR(-F48/F$24),"n.a.",(-F48/F$24))</f>
        <v>3.2968036529680368E-2</v>
      </c>
      <c r="G49" s="44">
        <f t="shared" si="39"/>
        <v>3.2860540921504713E-2</v>
      </c>
      <c r="H49" s="56">
        <f t="shared" ref="H49" si="40">IF(ISERROR(-H48/H$24),"n.a.",(-H48/H$24))</f>
        <v>2.7226418408571932E-2</v>
      </c>
      <c r="I49" s="44">
        <f t="shared" ref="I49:R49" si="41">IF(ISERROR(-I48/I$24),"n.a.",(-I48/I$24))</f>
        <v>3.1325289075688233E-2</v>
      </c>
      <c r="J49" s="44">
        <f t="shared" si="41"/>
        <v>4.0617045948380379E-2</v>
      </c>
      <c r="K49" s="44">
        <f t="shared" si="41"/>
        <v>3.6932057370415751E-2</v>
      </c>
      <c r="L49" s="44">
        <f t="shared" si="41"/>
        <v>3.4554835728332456E-2</v>
      </c>
      <c r="M49" s="44">
        <f t="shared" si="41"/>
        <v>3.4659153551726836E-2</v>
      </c>
      <c r="N49" s="44">
        <f t="shared" si="41"/>
        <v>3.3979562305614552E-2</v>
      </c>
      <c r="O49" s="44">
        <f t="shared" si="41"/>
        <v>3.3378744897460261E-2</v>
      </c>
      <c r="P49" s="44">
        <f t="shared" si="41"/>
        <v>3.2853095371516004E-2</v>
      </c>
      <c r="Q49" s="44">
        <f t="shared" si="41"/>
        <v>3.239950233877318E-2</v>
      </c>
      <c r="R49" s="44">
        <f t="shared" si="41"/>
        <v>3.2015318516574284E-2</v>
      </c>
      <c r="S49" s="44">
        <f t="shared" ref="S49" si="42">IF(ISERROR(-S48/S$24),"n.a.",(-S48/S$24))</f>
        <v>3.1698335164925033E-2</v>
      </c>
      <c r="T49" s="44"/>
    </row>
    <row r="50" spans="3:20">
      <c r="C50" s="43"/>
      <c r="D50" s="43" t="s">
        <v>92</v>
      </c>
      <c r="E50" s="43"/>
      <c r="F50" s="44">
        <f t="shared" ref="F50:G50" si="43">F48/F31</f>
        <v>1.1424050632911389</v>
      </c>
      <c r="G50" s="44">
        <f t="shared" si="43"/>
        <v>1.0687679083094552</v>
      </c>
      <c r="H50" s="56">
        <f t="shared" ref="H50" si="44">H48/H31</f>
        <v>0.86111111111111116</v>
      </c>
      <c r="I50" s="44">
        <f t="shared" ref="I50:R50" si="45">I48/I31</f>
        <v>0.99642352045098581</v>
      </c>
      <c r="J50" s="44">
        <f t="shared" si="45"/>
        <v>1.2606508458668098</v>
      </c>
      <c r="K50" s="44">
        <f t="shared" si="45"/>
        <v>1.0594284791710042</v>
      </c>
      <c r="L50" s="44">
        <f t="shared" si="45"/>
        <v>0.96470075827557278</v>
      </c>
      <c r="M50" s="44">
        <f t="shared" si="45"/>
        <v>0.91241022194146038</v>
      </c>
      <c r="N50" s="44">
        <f t="shared" si="45"/>
        <v>0.94339622641509435</v>
      </c>
      <c r="O50" s="44">
        <f t="shared" si="45"/>
        <v>0.970873786407767</v>
      </c>
      <c r="P50" s="44">
        <f t="shared" si="45"/>
        <v>1</v>
      </c>
      <c r="Q50" s="44">
        <f t="shared" si="45"/>
        <v>1.0309278350515463</v>
      </c>
      <c r="R50" s="44">
        <f t="shared" si="45"/>
        <v>1.0416666666666667</v>
      </c>
      <c r="S50" s="44">
        <f t="shared" ref="S50" si="46">S48/S31</f>
        <v>1.0526315789473684</v>
      </c>
      <c r="T50" s="44"/>
    </row>
    <row r="51" spans="3:20">
      <c r="C51" s="43"/>
      <c r="D51" s="43"/>
      <c r="E51" s="43"/>
      <c r="F51" s="44"/>
      <c r="G51" s="44"/>
      <c r="H51" s="56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spans="3:20">
      <c r="D52" t="s">
        <v>93</v>
      </c>
      <c r="F52" s="202">
        <f>' Financials'!I45</f>
        <v>-16.300000000000004</v>
      </c>
      <c r="G52" s="202">
        <f>' Financials'!J45</f>
        <v>-12.6</v>
      </c>
      <c r="H52" s="202">
        <f>' Financials'!K45</f>
        <v>-10.399999999999999</v>
      </c>
      <c r="I52" s="202">
        <f>' Financials'!L45</f>
        <v>6</v>
      </c>
      <c r="J52" s="202">
        <f>' Financials'!M45</f>
        <v>16.111954440903407</v>
      </c>
      <c r="K52" s="202">
        <f>' Financials'!N45</f>
        <v>15.168892666804709</v>
      </c>
      <c r="L52" s="202">
        <f>' Financials'!O45</f>
        <v>11.110216900668604</v>
      </c>
      <c r="M52" s="202">
        <f>' Financials'!P45</f>
        <v>3.9548595532390358</v>
      </c>
      <c r="N52" s="202">
        <f>' Financials'!Q45</f>
        <v>0</v>
      </c>
      <c r="O52" s="202">
        <f>' Financials'!R45</f>
        <v>0</v>
      </c>
      <c r="P52" s="202">
        <f>' Financials'!S45</f>
        <v>0</v>
      </c>
      <c r="Q52" s="202">
        <f>' Financials'!T45</f>
        <v>0</v>
      </c>
      <c r="R52" s="202">
        <f>' Financials'!U45</f>
        <v>0</v>
      </c>
      <c r="S52" s="202">
        <f>' Financials'!V45</f>
        <v>0</v>
      </c>
      <c r="T52" s="118"/>
    </row>
    <row r="53" spans="3:20">
      <c r="C53" s="43"/>
      <c r="D53" s="43" t="s">
        <v>70</v>
      </c>
      <c r="E53" s="43"/>
      <c r="F53" s="44">
        <f>IF(ISERROR(F52/F$24),"n.a.",(F52/F$24))</f>
        <v>-1.4885844748858451E-2</v>
      </c>
      <c r="G53" s="44">
        <f t="shared" ref="G53:S53" si="47">IF(ISERROR(G52/G$24),"n.a.",(G52/G$24))</f>
        <v>-1.1100343582063256E-2</v>
      </c>
      <c r="H53" s="56">
        <f t="shared" si="47"/>
        <v>-9.1340242402950991E-3</v>
      </c>
      <c r="I53" s="44">
        <f t="shared" si="47"/>
        <v>5.2208815126147052E-3</v>
      </c>
      <c r="J53" s="44">
        <f t="shared" si="47"/>
        <v>1.2831764585184018E-2</v>
      </c>
      <c r="K53" s="44">
        <f t="shared" si="47"/>
        <v>1.1204368284322206E-2</v>
      </c>
      <c r="L53" s="44">
        <f t="shared" si="47"/>
        <v>7.6782343981749305E-3</v>
      </c>
      <c r="M53" s="44">
        <f t="shared" si="47"/>
        <v>2.741441690624511E-3</v>
      </c>
      <c r="N53" s="44">
        <f t="shared" si="47"/>
        <v>0</v>
      </c>
      <c r="O53" s="44">
        <f t="shared" si="47"/>
        <v>0</v>
      </c>
      <c r="P53" s="44">
        <f t="shared" si="47"/>
        <v>0</v>
      </c>
      <c r="Q53" s="44">
        <f t="shared" si="47"/>
        <v>0</v>
      </c>
      <c r="R53" s="44">
        <f t="shared" si="47"/>
        <v>0</v>
      </c>
      <c r="S53" s="44">
        <f t="shared" si="47"/>
        <v>0</v>
      </c>
      <c r="T53" s="44"/>
    </row>
    <row r="54" spans="3:20">
      <c r="C54" s="43"/>
      <c r="D54" s="43"/>
      <c r="E54" s="43"/>
      <c r="F54" s="44"/>
      <c r="G54" s="44"/>
      <c r="H54" s="56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spans="3:20">
      <c r="C55" s="43"/>
      <c r="D55" t="s">
        <v>73</v>
      </c>
      <c r="E55" s="43"/>
      <c r="F55" s="202"/>
      <c r="G55" s="202">
        <f>' Financials'!J49</f>
        <v>-1.5</v>
      </c>
      <c r="H55" s="202">
        <f>' Financials'!K49</f>
        <v>0.74</v>
      </c>
      <c r="I55" s="202">
        <f>' Financials'!L49</f>
        <v>0</v>
      </c>
      <c r="J55" s="202">
        <f>' Financials'!M49</f>
        <v>0</v>
      </c>
      <c r="K55" s="202">
        <f>' Financials'!N49</f>
        <v>-5</v>
      </c>
      <c r="L55" s="202">
        <f>' Financials'!O49</f>
        <v>-5</v>
      </c>
      <c r="M55" s="202">
        <f>' Financials'!P49</f>
        <v>-5</v>
      </c>
      <c r="N55" s="202">
        <f>' Financials'!Q49</f>
        <v>-5</v>
      </c>
      <c r="O55" s="202">
        <f>' Financials'!R49</f>
        <v>-5</v>
      </c>
      <c r="P55" s="202">
        <f>' Financials'!S49</f>
        <v>-5</v>
      </c>
      <c r="Q55" s="202">
        <f>' Financials'!T49</f>
        <v>-5</v>
      </c>
      <c r="R55" s="202">
        <f>' Financials'!U49</f>
        <v>-5</v>
      </c>
      <c r="S55" s="202">
        <f>' Financials'!V49</f>
        <v>-5</v>
      </c>
      <c r="T55" s="44"/>
    </row>
    <row r="56" spans="3:20">
      <c r="C56" s="43"/>
      <c r="D56" s="43" t="s">
        <v>70</v>
      </c>
      <c r="E56" s="43"/>
      <c r="F56" s="44">
        <f>IF(ISERROR(F55/F$24),"n.a.",(F55/F$24))</f>
        <v>0</v>
      </c>
      <c r="G56" s="44">
        <f t="shared" ref="G56:S56" si="48">IF(ISERROR(G55/G$24),"n.a.",(G55/G$24))</f>
        <v>-1.3214694740551493E-3</v>
      </c>
      <c r="H56" s="56">
        <f t="shared" si="48"/>
        <v>6.4992095555945904E-4</v>
      </c>
      <c r="I56" s="44">
        <f t="shared" si="48"/>
        <v>0</v>
      </c>
      <c r="J56" s="44">
        <f t="shared" si="48"/>
        <v>0</v>
      </c>
      <c r="K56" s="44">
        <f t="shared" si="48"/>
        <v>-3.6932057370415751E-3</v>
      </c>
      <c r="L56" s="44">
        <f t="shared" si="48"/>
        <v>-3.4554835728332453E-3</v>
      </c>
      <c r="M56" s="44">
        <f t="shared" si="48"/>
        <v>-3.4659153551726838E-3</v>
      </c>
      <c r="N56" s="44">
        <f t="shared" si="48"/>
        <v>-3.3979562305614551E-3</v>
      </c>
      <c r="O56" s="44">
        <f t="shared" si="48"/>
        <v>-3.3378744897460265E-3</v>
      </c>
      <c r="P56" s="44">
        <f t="shared" si="48"/>
        <v>-3.2853095371516007E-3</v>
      </c>
      <c r="Q56" s="44">
        <f t="shared" si="48"/>
        <v>-3.2399502338773178E-3</v>
      </c>
      <c r="R56" s="44">
        <f t="shared" si="48"/>
        <v>-3.2015318516574287E-3</v>
      </c>
      <c r="S56" s="44">
        <f t="shared" si="48"/>
        <v>-3.1698335164925037E-3</v>
      </c>
      <c r="T56" s="44"/>
    </row>
    <row r="57" spans="3:20">
      <c r="C57" s="43"/>
      <c r="D57" s="43"/>
      <c r="E57" s="43"/>
      <c r="F57" s="44"/>
      <c r="G57" s="44"/>
      <c r="H57" s="56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spans="3:20">
      <c r="C58" s="43"/>
      <c r="D58" t="s">
        <v>74</v>
      </c>
      <c r="E58" s="43"/>
      <c r="F58" s="202"/>
      <c r="G58" s="202">
        <f>' Financials'!J53</f>
        <v>0</v>
      </c>
      <c r="H58" s="202">
        <f>' Financials'!K53</f>
        <v>0</v>
      </c>
      <c r="I58" s="202">
        <f>' Financials'!L53</f>
        <v>0</v>
      </c>
      <c r="J58" s="202">
        <f>' Financials'!M53</f>
        <v>-18.004468664734777</v>
      </c>
      <c r="K58" s="202">
        <f>' Financials'!N53</f>
        <v>-6.7527180429793674</v>
      </c>
      <c r="L58" s="202">
        <f>' Financials'!O53</f>
        <v>25.138454026318882</v>
      </c>
      <c r="M58" s="202">
        <f>' Financials'!P53</f>
        <v>-4.8650405710493061</v>
      </c>
      <c r="N58" s="202">
        <f>' Financials'!Q53</f>
        <v>0</v>
      </c>
      <c r="O58" s="202">
        <f>' Financials'!R53</f>
        <v>0</v>
      </c>
      <c r="P58" s="202">
        <f>' Financials'!S53</f>
        <v>0</v>
      </c>
      <c r="Q58" s="202">
        <f>' Financials'!T53</f>
        <v>0</v>
      </c>
      <c r="R58" s="202">
        <f>' Financials'!U53</f>
        <v>0</v>
      </c>
      <c r="S58" s="202">
        <f>' Financials'!V53</f>
        <v>0</v>
      </c>
      <c r="T58" s="44"/>
    </row>
    <row r="59" spans="3:20">
      <c r="C59" s="43"/>
      <c r="D59" s="43" t="s">
        <v>70</v>
      </c>
      <c r="E59" s="43"/>
      <c r="F59" s="44">
        <f>IF(ISERROR(F58/F$24),"n.a.",(F58/F$24))</f>
        <v>0</v>
      </c>
      <c r="G59" s="44">
        <f t="shared" ref="G59:S59" si="49">IF(ISERROR(G58/G$24),"n.a.",(G58/G$24))</f>
        <v>0</v>
      </c>
      <c r="H59" s="56">
        <f t="shared" si="49"/>
        <v>0</v>
      </c>
      <c r="I59" s="44">
        <f t="shared" si="49"/>
        <v>0</v>
      </c>
      <c r="J59" s="44">
        <f t="shared" si="49"/>
        <v>-1.433898688297465E-2</v>
      </c>
      <c r="K59" s="44">
        <f t="shared" si="49"/>
        <v>-4.9878354033911108E-3</v>
      </c>
      <c r="L59" s="44">
        <f t="shared" si="49"/>
        <v>1.737310298687373E-2</v>
      </c>
      <c r="M59" s="44">
        <f t="shared" si="49"/>
        <v>-3.3723637637475745E-3</v>
      </c>
      <c r="N59" s="44">
        <f t="shared" si="49"/>
        <v>0</v>
      </c>
      <c r="O59" s="44">
        <f t="shared" si="49"/>
        <v>0</v>
      </c>
      <c r="P59" s="44">
        <f t="shared" si="49"/>
        <v>0</v>
      </c>
      <c r="Q59" s="44">
        <f t="shared" si="49"/>
        <v>0</v>
      </c>
      <c r="R59" s="44">
        <f t="shared" si="49"/>
        <v>0</v>
      </c>
      <c r="S59" s="44">
        <f t="shared" si="49"/>
        <v>0</v>
      </c>
      <c r="T59" s="44"/>
    </row>
    <row r="60" spans="3:20">
      <c r="H60" s="56"/>
    </row>
    <row r="61" spans="3:20">
      <c r="D61" s="45" t="s">
        <v>94</v>
      </c>
      <c r="E61" s="45"/>
      <c r="F61" s="103"/>
      <c r="G61" s="103"/>
      <c r="H61" s="104"/>
      <c r="I61" s="103">
        <f>I42+I46+I48+I52+I55+I58</f>
        <v>53.123790752980312</v>
      </c>
      <c r="J61" s="103">
        <f t="shared" ref="J61:S61" si="50">J42+J46+J48+J52+J55+J58</f>
        <v>30.863888898608689</v>
      </c>
      <c r="K61" s="103">
        <f t="shared" si="50"/>
        <v>54.230659495382142</v>
      </c>
      <c r="L61" s="103">
        <f t="shared" si="50"/>
        <v>93.307494382811512</v>
      </c>
      <c r="M61" s="103">
        <f t="shared" si="50"/>
        <v>59.287351410943515</v>
      </c>
      <c r="N61" s="103">
        <f t="shared" si="50"/>
        <v>61.486369682271288</v>
      </c>
      <c r="O61" s="103">
        <f t="shared" si="50"/>
        <v>63.165944336552172</v>
      </c>
      <c r="P61" s="103">
        <f t="shared" si="50"/>
        <v>65.924718530549939</v>
      </c>
      <c r="Q61" s="103">
        <f t="shared" si="50"/>
        <v>67.243664589977641</v>
      </c>
      <c r="R61" s="103">
        <f t="shared" si="50"/>
        <v>69.822903043316444</v>
      </c>
      <c r="S61" s="103">
        <f t="shared" si="50"/>
        <v>70.904532073749621</v>
      </c>
      <c r="T61" s="103"/>
    </row>
    <row r="62" spans="3:20">
      <c r="H62" s="55"/>
    </row>
    <row r="63" spans="3:20" ht="12.75" customHeight="1">
      <c r="D63" s="31" t="s">
        <v>88</v>
      </c>
      <c r="H63" s="55"/>
      <c r="I63" s="140">
        <f t="shared" ref="I63:S63" si="51">-I18*I61</f>
        <v>-53.123790752980312</v>
      </c>
      <c r="J63" s="1">
        <f t="shared" si="51"/>
        <v>-2.1125180628753123E-2</v>
      </c>
      <c r="K63" s="1">
        <f t="shared" si="51"/>
        <v>0</v>
      </c>
      <c r="L63" s="1">
        <f t="shared" si="51"/>
        <v>0</v>
      </c>
      <c r="M63" s="1">
        <f t="shared" si="51"/>
        <v>0</v>
      </c>
      <c r="N63" s="1">
        <f t="shared" si="51"/>
        <v>0</v>
      </c>
      <c r="O63" s="1">
        <f t="shared" si="51"/>
        <v>0</v>
      </c>
      <c r="P63" s="1">
        <f t="shared" si="51"/>
        <v>0</v>
      </c>
      <c r="Q63" s="1">
        <f t="shared" si="51"/>
        <v>0</v>
      </c>
      <c r="R63" s="1">
        <f t="shared" si="51"/>
        <v>0</v>
      </c>
      <c r="S63" s="1">
        <f t="shared" si="51"/>
        <v>0</v>
      </c>
      <c r="T63" s="1"/>
    </row>
    <row r="64" spans="3:20">
      <c r="D64" s="45" t="s">
        <v>95</v>
      </c>
      <c r="E64" s="45"/>
      <c r="F64" s="45"/>
      <c r="G64" s="45"/>
      <c r="H64" s="142"/>
      <c r="I64" s="105">
        <f>I63+I61</f>
        <v>0</v>
      </c>
      <c r="J64" s="103">
        <f t="shared" ref="J64:O64" si="52">J63+J61</f>
        <v>30.842763717979935</v>
      </c>
      <c r="K64" s="103">
        <f t="shared" si="52"/>
        <v>54.230659495382142</v>
      </c>
      <c r="L64" s="103">
        <f t="shared" si="52"/>
        <v>93.307494382811512</v>
      </c>
      <c r="M64" s="103">
        <f>M63+M61</f>
        <v>59.287351410943515</v>
      </c>
      <c r="N64" s="103">
        <f t="shared" si="52"/>
        <v>61.486369682271288</v>
      </c>
      <c r="O64" s="103">
        <f t="shared" si="52"/>
        <v>63.165944336552172</v>
      </c>
      <c r="P64" s="103">
        <f>P63+P61</f>
        <v>65.924718530549939</v>
      </c>
      <c r="Q64" s="103">
        <f>Q63+Q61</f>
        <v>67.243664589977641</v>
      </c>
      <c r="R64" s="103">
        <f>R63+R61</f>
        <v>69.822903043316444</v>
      </c>
      <c r="S64" s="103">
        <f>S63+S61</f>
        <v>70.904532073749621</v>
      </c>
      <c r="T64" s="103"/>
    </row>
    <row r="65" spans="4:20">
      <c r="H65" s="55"/>
    </row>
    <row r="66" spans="4:20" ht="12.75" customHeight="1">
      <c r="D66" s="216" t="s">
        <v>96</v>
      </c>
      <c r="E66" s="216"/>
      <c r="F66" s="216"/>
      <c r="G66" s="216"/>
      <c r="H66" s="217"/>
      <c r="I66" s="218">
        <f>(I22-F7)/2</f>
        <v>0</v>
      </c>
      <c r="J66" s="219">
        <f t="shared" ref="J66:S66" si="53">I66+365.25</f>
        <v>365.25</v>
      </c>
      <c r="K66" s="219">
        <f t="shared" si="53"/>
        <v>730.5</v>
      </c>
      <c r="L66" s="219">
        <f t="shared" si="53"/>
        <v>1095.75</v>
      </c>
      <c r="M66" s="219">
        <f t="shared" si="53"/>
        <v>1461</v>
      </c>
      <c r="N66" s="219">
        <f t="shared" si="53"/>
        <v>1826.25</v>
      </c>
      <c r="O66" s="219">
        <f t="shared" si="53"/>
        <v>2191.5</v>
      </c>
      <c r="P66" s="219">
        <f t="shared" si="53"/>
        <v>2556.75</v>
      </c>
      <c r="Q66" s="219">
        <f t="shared" si="53"/>
        <v>2922</v>
      </c>
      <c r="R66" s="219">
        <f t="shared" si="53"/>
        <v>3287.25</v>
      </c>
      <c r="S66" s="219">
        <f t="shared" si="53"/>
        <v>3652.5</v>
      </c>
      <c r="T66" s="219"/>
    </row>
    <row r="67" spans="4:20">
      <c r="D67" s="34" t="s">
        <v>97</v>
      </c>
      <c r="E67" s="34"/>
      <c r="F67" s="34"/>
      <c r="G67" s="34"/>
      <c r="H67" s="143"/>
      <c r="I67" s="98">
        <f>1/((1+$F$11)^(I66/365.25))</f>
        <v>1</v>
      </c>
      <c r="J67" s="106">
        <f t="shared" ref="J67:Q67" si="54">1/((1+$F$11)^(J66/365.25))</f>
        <v>0.92165898617511521</v>
      </c>
      <c r="K67" s="106">
        <f t="shared" si="54"/>
        <v>0.84945528679734128</v>
      </c>
      <c r="L67" s="106">
        <f t="shared" si="54"/>
        <v>0.78290809843072917</v>
      </c>
      <c r="M67" s="106">
        <f t="shared" si="54"/>
        <v>0.72157428426795334</v>
      </c>
      <c r="N67" s="106">
        <f t="shared" si="54"/>
        <v>0.66504542328843619</v>
      </c>
      <c r="O67" s="106">
        <f t="shared" si="54"/>
        <v>0.6129450905884205</v>
      </c>
      <c r="P67" s="106">
        <f t="shared" si="54"/>
        <v>0.56492635077273778</v>
      </c>
      <c r="Q67" s="106">
        <f t="shared" si="54"/>
        <v>0.52066944771680901</v>
      </c>
      <c r="R67" s="106">
        <f>1/((1+$F$11)^(R66/365.25))</f>
        <v>0.4798796753150314</v>
      </c>
      <c r="S67" s="106">
        <f>1/((1+$F$11)^(S66/365.25))</f>
        <v>0.44228541503689528</v>
      </c>
      <c r="T67" s="106"/>
    </row>
    <row r="68" spans="4:20">
      <c r="R68" s="1"/>
      <c r="S68" s="1"/>
      <c r="T68" s="1"/>
    </row>
    <row r="69" spans="4:20">
      <c r="D69" s="54" t="s">
        <v>98</v>
      </c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 t="s">
        <v>99</v>
      </c>
      <c r="Q69" s="54"/>
      <c r="R69" s="54"/>
      <c r="S69" s="54"/>
      <c r="T69" s="59">
        <f>S64*(1+F9)/(F11-F9)</f>
        <v>890.73818417647954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100</v>
      </c>
      <c r="Q70" s="36"/>
      <c r="R70" s="36"/>
      <c r="S70" s="36"/>
      <c r="T70" s="60">
        <f>S27*F10</f>
        <v>1206.6879790685202</v>
      </c>
    </row>
    <row r="71" spans="4:20">
      <c r="Q71" s="1"/>
      <c r="R71" s="1"/>
      <c r="S71" s="1"/>
      <c r="T71" s="1"/>
    </row>
    <row r="72" spans="4:20">
      <c r="F72" s="39" t="s">
        <v>101</v>
      </c>
      <c r="G72" s="39"/>
      <c r="H72" s="39"/>
      <c r="I72" s="39"/>
      <c r="L72" s="39" t="s">
        <v>102</v>
      </c>
      <c r="M72" s="39"/>
      <c r="N72" s="39"/>
      <c r="O72" s="39"/>
    </row>
    <row r="73" spans="4:20" ht="4.5" customHeight="1"/>
    <row r="74" spans="4:20">
      <c r="F74" s="36" t="s">
        <v>103</v>
      </c>
      <c r="G74" s="36"/>
      <c r="H74" s="100" t="s">
        <v>104</v>
      </c>
      <c r="I74" s="100" t="s">
        <v>105</v>
      </c>
      <c r="L74" s="36" t="s">
        <v>103</v>
      </c>
      <c r="M74" s="61"/>
      <c r="N74" s="100" t="s">
        <v>104</v>
      </c>
      <c r="O74" s="100" t="s">
        <v>105</v>
      </c>
    </row>
    <row r="75" spans="4:20">
      <c r="F75" t="s">
        <v>106</v>
      </c>
      <c r="H75" s="185">
        <f>SUMPRODUCT($I$64:$T$64,$I$67:$T$67)</f>
        <v>407.0539009442906</v>
      </c>
      <c r="I75" s="42">
        <f>H75/$H$77</f>
        <v>0.50817300745711924</v>
      </c>
      <c r="L75" t="s">
        <v>106</v>
      </c>
      <c r="N75" s="33">
        <f>SUMPRODUCT($G$64:$T$64,$G$67:$T$67)</f>
        <v>407.0539009442906</v>
      </c>
      <c r="O75" s="42">
        <f>N75/$N$77</f>
        <v>0.41278377877007943</v>
      </c>
    </row>
    <row r="76" spans="4:20">
      <c r="F76" t="s">
        <v>107</v>
      </c>
      <c r="H76" s="185">
        <f>T69*S67</f>
        <v>393.96050747770471</v>
      </c>
      <c r="I76" s="42">
        <f>H76/$H$77</f>
        <v>0.49182699254288076</v>
      </c>
      <c r="L76" t="s">
        <v>107</v>
      </c>
      <c r="N76" s="33">
        <f>T70*R67</f>
        <v>579.0650356019529</v>
      </c>
      <c r="O76" s="42">
        <f>N76/$N$77</f>
        <v>0.58721622122992057</v>
      </c>
    </row>
    <row r="77" spans="4:20">
      <c r="F77" s="19" t="s">
        <v>108</v>
      </c>
      <c r="G77" s="45"/>
      <c r="H77" s="186">
        <f>SUM(H75:H76)</f>
        <v>801.01440842199531</v>
      </c>
      <c r="I77" s="46">
        <f>SUM(I75:I76)</f>
        <v>1</v>
      </c>
      <c r="L77" s="19" t="s">
        <v>108</v>
      </c>
      <c r="M77" s="45"/>
      <c r="N77" s="41">
        <f>SUM(N75:N76)</f>
        <v>986.1189365462435</v>
      </c>
      <c r="O77" s="46">
        <f>SUM(O75:O76)</f>
        <v>1</v>
      </c>
    </row>
    <row r="78" spans="4:20">
      <c r="F78" t="s">
        <v>109</v>
      </c>
      <c r="H78" s="118">
        <f>-SUM(Assumptions!$D$19:$D$22)</f>
        <v>-84.616813539584982</v>
      </c>
      <c r="I78" s="64"/>
      <c r="L78" t="s">
        <v>109</v>
      </c>
      <c r="N78" s="118">
        <f>-SUM(Assumptions!$D$19:$D$22)</f>
        <v>-84.616813539584982</v>
      </c>
      <c r="O78" s="64"/>
    </row>
    <row r="79" spans="4:20">
      <c r="F79" s="19" t="s">
        <v>110</v>
      </c>
      <c r="G79" s="45"/>
      <c r="H79" s="186">
        <f>H77+H78</f>
        <v>716.39759488241032</v>
      </c>
      <c r="I79" s="46"/>
      <c r="L79" s="19" t="s">
        <v>110</v>
      </c>
      <c r="M79" s="45"/>
      <c r="N79" s="41">
        <f>N77+N78</f>
        <v>901.50212300665851</v>
      </c>
      <c r="O79" s="46"/>
    </row>
    <row r="80" spans="4:20">
      <c r="F80" s="216" t="s">
        <v>111</v>
      </c>
      <c r="G80" s="216"/>
      <c r="H80" s="220">
        <f>H79/Assumptions!$D$17*100</f>
        <v>359.99879139819615</v>
      </c>
      <c r="I80" s="221"/>
      <c r="L80" s="216" t="s">
        <v>111</v>
      </c>
      <c r="M80" s="216"/>
      <c r="N80" s="222">
        <f>N79/Assumptions!$D$17*100</f>
        <v>453.01614221440127</v>
      </c>
      <c r="O80" s="221"/>
    </row>
    <row r="81" spans="4:20">
      <c r="F81" s="65" t="s">
        <v>112</v>
      </c>
      <c r="G81" s="34"/>
      <c r="H81" s="187">
        <f>H80/Assumptions!$D$16-1</f>
        <v>1.1818108569587644</v>
      </c>
      <c r="I81" s="67"/>
      <c r="L81" s="65" t="s">
        <v>112</v>
      </c>
      <c r="M81" s="34"/>
      <c r="N81" s="66">
        <f>N80/Assumptions!$D$16-1</f>
        <v>1.7455523770569772</v>
      </c>
      <c r="O81" s="67"/>
    </row>
    <row r="82" spans="4:20">
      <c r="H82" s="1"/>
    </row>
    <row r="83" spans="4:20">
      <c r="D83" s="39" t="s">
        <v>113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</row>
    <row r="84" spans="4:20" ht="4.5" customHeight="1"/>
    <row r="85" spans="4:20">
      <c r="D85" s="36" t="s">
        <v>114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54"/>
    </row>
    <row r="87" spans="4:20" ht="12.75" customHeight="1">
      <c r="E87" s="21" t="s">
        <v>84</v>
      </c>
      <c r="F87" s="247">
        <f>F9</f>
        <v>5.0000000000000001E-3</v>
      </c>
      <c r="G87" s="21" t="s">
        <v>115</v>
      </c>
      <c r="I87" s="248">
        <v>2.5000000000000001E-3</v>
      </c>
      <c r="L87" s="21" t="s">
        <v>116</v>
      </c>
      <c r="M87" s="249">
        <f>F10</f>
        <v>8.5</v>
      </c>
      <c r="N87" s="21" t="s">
        <v>117</v>
      </c>
      <c r="P87" s="249">
        <v>0.5</v>
      </c>
    </row>
    <row r="88" spans="4:20">
      <c r="E88" s="21" t="s">
        <v>118</v>
      </c>
      <c r="F88" s="250">
        <f>F11</f>
        <v>8.5000000000000006E-2</v>
      </c>
      <c r="G88" s="21" t="s">
        <v>119</v>
      </c>
      <c r="I88" s="248">
        <v>5.0000000000000001E-3</v>
      </c>
      <c r="L88" s="21" t="s">
        <v>118</v>
      </c>
      <c r="M88" s="251">
        <f>F88</f>
        <v>8.5000000000000006E-2</v>
      </c>
      <c r="N88" s="21" t="s">
        <v>119</v>
      </c>
      <c r="P88" s="91">
        <f>I88</f>
        <v>5.0000000000000001E-3</v>
      </c>
    </row>
    <row r="90" spans="4:20">
      <c r="E90" s="58" t="s">
        <v>120</v>
      </c>
      <c r="F90" s="58"/>
      <c r="G90" s="58"/>
      <c r="H90" s="58"/>
      <c r="I90" s="58"/>
      <c r="J90" s="58"/>
      <c r="L90" s="58" t="s">
        <v>121</v>
      </c>
      <c r="M90" s="58"/>
      <c r="N90" s="58"/>
      <c r="O90" s="58"/>
      <c r="P90" s="58"/>
      <c r="Q90" s="58"/>
    </row>
    <row r="91" spans="4:20" ht="4.5" customHeight="1"/>
    <row r="92" spans="4:20">
      <c r="E92" s="57" t="s">
        <v>122</v>
      </c>
      <c r="F92" s="36"/>
      <c r="G92" s="36"/>
      <c r="H92" s="36"/>
      <c r="I92" s="36"/>
      <c r="J92" s="36"/>
      <c r="L92" s="57" t="s">
        <v>122</v>
      </c>
      <c r="M92" s="36"/>
      <c r="N92" s="36"/>
      <c r="O92" s="36"/>
      <c r="P92" s="36"/>
      <c r="Q92" s="36"/>
    </row>
    <row r="93" spans="4:20">
      <c r="E93" s="24" t="s">
        <v>123</v>
      </c>
      <c r="F93" s="62" t="s">
        <v>124</v>
      </c>
      <c r="G93" s="68"/>
      <c r="H93" s="68"/>
      <c r="I93" s="68"/>
      <c r="J93" s="223"/>
      <c r="L93" s="24" t="s">
        <v>123</v>
      </c>
      <c r="M93" s="68" t="s">
        <v>125</v>
      </c>
      <c r="N93" s="68"/>
      <c r="O93" s="68"/>
      <c r="P93" s="68"/>
      <c r="Q93" s="223"/>
    </row>
    <row r="94" spans="4:20" ht="12.75" customHeight="1">
      <c r="E94" s="47">
        <f>H77</f>
        <v>801.01440842199531</v>
      </c>
      <c r="F94" s="48">
        <f>G94-$I$87</f>
        <v>0</v>
      </c>
      <c r="G94" s="48">
        <f>H94-$I$87</f>
        <v>2.5000000000000001E-3</v>
      </c>
      <c r="H94" s="224">
        <f>$F$87</f>
        <v>5.0000000000000001E-3</v>
      </c>
      <c r="I94" s="48">
        <f>H94+$I$87</f>
        <v>7.4999999999999997E-3</v>
      </c>
      <c r="J94" s="225">
        <f>I94+$I$87</f>
        <v>0.01</v>
      </c>
      <c r="L94" s="47">
        <f>N77</f>
        <v>986.1189365462435</v>
      </c>
      <c r="M94" s="162">
        <f>N94-$P$87</f>
        <v>7.5</v>
      </c>
      <c r="N94" s="162">
        <f>O94-$P$87</f>
        <v>8</v>
      </c>
      <c r="O94" s="226">
        <f>$M$87</f>
        <v>8.5</v>
      </c>
      <c r="P94" s="162">
        <f>O94+$P$87</f>
        <v>9</v>
      </c>
      <c r="Q94" s="227">
        <f>P94+$P$87</f>
        <v>9.5</v>
      </c>
    </row>
    <row r="95" spans="4:20" ht="12.75" customHeight="1">
      <c r="E95" s="22">
        <f>E96-$I$88</f>
        <v>7.4999999999999997E-2</v>
      </c>
      <c r="F95" s="146">
        <f t="dataTable" ref="F95:J99" dt2D="1" dtr="1" r1="F9" r2="F11" ca="1"/>
        <v>885.84007147745717</v>
      </c>
      <c r="G95" s="147">
        <v>869.93356305376574</v>
      </c>
      <c r="H95" s="148">
        <v>869.93356305376574</v>
      </c>
      <c r="I95" s="147">
        <v>885.84007147745717</v>
      </c>
      <c r="J95" s="149">
        <v>921.06162584420258</v>
      </c>
      <c r="L95" s="22">
        <f>L96-$I$88</f>
        <v>7.4999999999999997E-2</v>
      </c>
      <c r="M95" s="228">
        <f t="dataTable" ref="M95:Q99" dt2D="1" dtr="1" r1="F10" r2="F11" ca="1"/>
        <v>982.48355896334101</v>
      </c>
      <c r="N95" s="229">
        <v>945.46070561873557</v>
      </c>
      <c r="O95" s="229">
        <v>945.46070561873557</v>
      </c>
      <c r="P95" s="229">
        <v>982.48355896334101</v>
      </c>
      <c r="Q95" s="230">
        <v>1056.5292656525517</v>
      </c>
    </row>
    <row r="96" spans="4:20" ht="12.75" customHeight="1">
      <c r="E96" s="22">
        <f>E97-$I$88</f>
        <v>0.08</v>
      </c>
      <c r="F96" s="150">
        <v>952.65043705133382</v>
      </c>
      <c r="G96" s="151">
        <v>933.65173385081539</v>
      </c>
      <c r="H96" s="148">
        <v>933.65173385081539</v>
      </c>
      <c r="I96" s="151">
        <v>952.65043705133382</v>
      </c>
      <c r="J96" s="152">
        <v>995.03215957556722</v>
      </c>
      <c r="L96" s="22">
        <f>L97-$I$88</f>
        <v>0.08</v>
      </c>
      <c r="M96" s="163">
        <v>1016.8719969716416</v>
      </c>
      <c r="N96" s="164">
        <v>978.26268470187438</v>
      </c>
      <c r="O96" s="165">
        <v>978.26268470187438</v>
      </c>
      <c r="P96" s="164">
        <v>1016.8719969716416</v>
      </c>
      <c r="Q96" s="231">
        <v>1094.0906215111759</v>
      </c>
      <c r="R96" s="51"/>
      <c r="S96" s="51"/>
      <c r="T96" s="51"/>
    </row>
    <row r="97" spans="4:20" ht="12.75" customHeight="1">
      <c r="E97" s="232">
        <f>$F$88</f>
        <v>8.5000000000000006E-2</v>
      </c>
      <c r="F97" s="150">
        <v>952.65043705133382</v>
      </c>
      <c r="G97" s="148">
        <v>933.65173385081539</v>
      </c>
      <c r="H97" s="151">
        <v>933.65173385081539</v>
      </c>
      <c r="I97" s="148">
        <v>952.65043705133382</v>
      </c>
      <c r="J97" s="152">
        <v>995.03215957556722</v>
      </c>
      <c r="L97" s="232">
        <f>$M$88</f>
        <v>8.5000000000000006E-2</v>
      </c>
      <c r="M97" s="163">
        <v>1016.8719969716416</v>
      </c>
      <c r="N97" s="165">
        <v>978.26268470187438</v>
      </c>
      <c r="O97" s="164">
        <v>978.26268470187438</v>
      </c>
      <c r="P97" s="165">
        <v>1016.8719969716416</v>
      </c>
      <c r="Q97" s="231">
        <v>1094.0906215111759</v>
      </c>
      <c r="R97" s="51"/>
      <c r="S97" s="51"/>
      <c r="T97" s="51"/>
    </row>
    <row r="98" spans="4:20" ht="12.75" customHeight="1">
      <c r="E98" s="101">
        <f>E97+$I$88</f>
        <v>9.0000000000000011E-2</v>
      </c>
      <c r="F98" s="150">
        <v>885.84007147745717</v>
      </c>
      <c r="G98" s="151">
        <v>869.93356305376574</v>
      </c>
      <c r="H98" s="148">
        <v>869.93356305376574</v>
      </c>
      <c r="I98" s="151">
        <v>885.84007147745717</v>
      </c>
      <c r="J98" s="152">
        <v>921.06162584420258</v>
      </c>
      <c r="L98" s="101">
        <f>L97+$I$88</f>
        <v>9.0000000000000011E-2</v>
      </c>
      <c r="M98" s="163">
        <v>982.48355896334101</v>
      </c>
      <c r="N98" s="164">
        <v>945.46070561873557</v>
      </c>
      <c r="O98" s="165">
        <v>945.46070561873557</v>
      </c>
      <c r="P98" s="164">
        <v>982.48355896334101</v>
      </c>
      <c r="Q98" s="231">
        <v>1056.5292656525517</v>
      </c>
      <c r="R98" s="51"/>
      <c r="S98" s="51"/>
      <c r="T98" s="51"/>
    </row>
    <row r="99" spans="4:20" ht="12.75" customHeight="1">
      <c r="E99" s="102">
        <f>E98+$I$88</f>
        <v>9.5000000000000015E-2</v>
      </c>
      <c r="F99" s="153">
        <v>775.99555266470475</v>
      </c>
      <c r="G99" s="154">
        <v>764.55836146137199</v>
      </c>
      <c r="H99" s="154">
        <v>764.55836146137199</v>
      </c>
      <c r="I99" s="154">
        <v>775.99555266470475</v>
      </c>
      <c r="J99" s="155">
        <v>801.01440842199531</v>
      </c>
      <c r="L99" s="102">
        <f>L98+$I$88</f>
        <v>9.5000000000000015E-2</v>
      </c>
      <c r="M99" s="166">
        <v>917.99363824013142</v>
      </c>
      <c r="N99" s="167">
        <v>883.93098908707543</v>
      </c>
      <c r="O99" s="167">
        <v>883.93098908707543</v>
      </c>
      <c r="P99" s="167">
        <v>917.99363824013142</v>
      </c>
      <c r="Q99" s="233">
        <v>986.1189365462435</v>
      </c>
      <c r="R99" s="51"/>
      <c r="S99" s="51"/>
      <c r="T99" s="51"/>
    </row>
    <row r="101" spans="4:20">
      <c r="E101" s="57" t="s">
        <v>126</v>
      </c>
      <c r="F101" s="36"/>
      <c r="G101" s="36"/>
      <c r="H101" s="36"/>
      <c r="I101" s="36"/>
      <c r="J101" s="36"/>
      <c r="L101" s="57" t="s">
        <v>126</v>
      </c>
      <c r="M101" s="36"/>
      <c r="N101" s="36"/>
      <c r="O101" s="36"/>
      <c r="P101" s="36"/>
      <c r="Q101" s="36"/>
    </row>
    <row r="102" spans="4:20">
      <c r="E102" s="24" t="s">
        <v>123</v>
      </c>
      <c r="F102" s="62" t="s">
        <v>124</v>
      </c>
      <c r="G102" s="68"/>
      <c r="H102" s="68"/>
      <c r="I102" s="68"/>
      <c r="J102" s="223"/>
      <c r="L102" s="24" t="s">
        <v>123</v>
      </c>
      <c r="M102" s="68" t="s">
        <v>125</v>
      </c>
      <c r="N102" s="68"/>
      <c r="O102" s="68"/>
      <c r="P102" s="68"/>
      <c r="Q102" s="223"/>
    </row>
    <row r="103" spans="4:20">
      <c r="E103" s="119">
        <f>H80</f>
        <v>359.99879139819615</v>
      </c>
      <c r="F103" s="161">
        <f>G103-$I$87</f>
        <v>0</v>
      </c>
      <c r="G103" s="161">
        <f>H103-$I$87</f>
        <v>2.5000000000000001E-3</v>
      </c>
      <c r="H103" s="234">
        <f>$F$87</f>
        <v>5.0000000000000001E-3</v>
      </c>
      <c r="I103" s="161">
        <f>H103+$I$87</f>
        <v>7.4999999999999997E-3</v>
      </c>
      <c r="J103" s="235">
        <f>I103+$I$87</f>
        <v>0.01</v>
      </c>
      <c r="L103" s="119">
        <f>N80</f>
        <v>453.01614221440127</v>
      </c>
      <c r="M103" s="109">
        <f>N103-$P$87</f>
        <v>7.5</v>
      </c>
      <c r="N103" s="109">
        <f>O103-$P$87</f>
        <v>8</v>
      </c>
      <c r="O103" s="236">
        <f>$M$87</f>
        <v>8.5</v>
      </c>
      <c r="P103" s="109">
        <f>O103+$P$87</f>
        <v>9</v>
      </c>
      <c r="Q103" s="237">
        <f>P103+$P$87</f>
        <v>9.5</v>
      </c>
    </row>
    <row r="104" spans="4:20">
      <c r="E104" s="22">
        <f>E105-$I$88</f>
        <v>7.4999999999999997E-2</v>
      </c>
      <c r="F104" s="238">
        <f>(F95-SUM(Assumptions!$D$19:$D$22))/Assumptions!$D$17*100</f>
        <v>402.62475273259906</v>
      </c>
      <c r="G104" s="239">
        <f>(G95-SUM(Assumptions!$D$19:$D$22))/Assumptions!$D$17*100</f>
        <v>394.63153241918627</v>
      </c>
      <c r="H104" s="156">
        <f>(H95-SUM(Assumptions!$D$19:$D$22))/Assumptions!$D$17*100</f>
        <v>394.63153241918627</v>
      </c>
      <c r="I104" s="239">
        <f>(I95-SUM(Assumptions!$D$19:$D$22))/Assumptions!$D$17*100</f>
        <v>402.62475273259906</v>
      </c>
      <c r="J104" s="240">
        <f>(J95-SUM(Assumptions!$D$19:$D$22))/Assumptions!$D$17*100</f>
        <v>420.32402628372745</v>
      </c>
      <c r="L104" s="22">
        <f>L105-$I$88</f>
        <v>7.4999999999999997E-2</v>
      </c>
      <c r="M104" s="241">
        <f>(M95-SUM(Assumptions!$D$19:$D$22))/Assumptions!$D$17*100</f>
        <v>451.18931930842007</v>
      </c>
      <c r="N104" s="220">
        <f>(N95-SUM(Assumptions!$D$19:$D$22))/Assumptions!$D$17*100</f>
        <v>432.58487039153295</v>
      </c>
      <c r="O104" s="51">
        <f>(O95-SUM(Assumptions!$D$19:$D$22))/Assumptions!$D$17*100</f>
        <v>432.58487039153295</v>
      </c>
      <c r="P104" s="220">
        <f>(P95-SUM(Assumptions!$D$19:$D$22))/Assumptions!$D$17*100</f>
        <v>451.18931930842007</v>
      </c>
      <c r="Q104" s="242">
        <f>(Q95-SUM(Assumptions!$D$19:$D$22))/Assumptions!$D$17*100</f>
        <v>488.39821714219431</v>
      </c>
    </row>
    <row r="105" spans="4:20">
      <c r="E105" s="22">
        <f>E106-$I$88</f>
        <v>0.08</v>
      </c>
      <c r="F105" s="157">
        <f>(F96-SUM(Assumptions!$D$19:$D$22))/Assumptions!$D$17*100</f>
        <v>436.19780075967276</v>
      </c>
      <c r="G105" s="158">
        <f>(G96-SUM(Assumptions!$D$19:$D$22))/Assumptions!$D$17*100</f>
        <v>426.65071372423643</v>
      </c>
      <c r="H105" s="156">
        <f>(H96-SUM(Assumptions!$D$19:$D$22))/Assumptions!$D$17*100</f>
        <v>426.65071372423643</v>
      </c>
      <c r="I105" s="158">
        <f>(I96-SUM(Assumptions!$D$19:$D$22))/Assumptions!$D$17*100</f>
        <v>436.19780075967276</v>
      </c>
      <c r="J105" s="243">
        <f>(J96-SUM(Assumptions!$D$19:$D$22))/Assumptions!$D$17*100</f>
        <v>457.49514876180012</v>
      </c>
      <c r="L105" s="22">
        <f>L106-$I$88</f>
        <v>0.08</v>
      </c>
      <c r="M105" s="49">
        <f>(M96-SUM(Assumptions!$D$19:$D$22))/Assumptions!$D$17*100</f>
        <v>468.46994142314406</v>
      </c>
      <c r="N105" s="50">
        <f>(N96-SUM(Assumptions!$D$19:$D$22))/Assumptions!$D$17*100</f>
        <v>449.06827696597452</v>
      </c>
      <c r="O105" s="51">
        <f>(O96-SUM(Assumptions!$D$19:$D$22))/Assumptions!$D$17*100</f>
        <v>449.06827696597452</v>
      </c>
      <c r="P105" s="50">
        <f>(P96-SUM(Assumptions!$D$19:$D$22))/Assumptions!$D$17*100</f>
        <v>468.46994142314406</v>
      </c>
      <c r="Q105" s="244">
        <f>(Q96-SUM(Assumptions!$D$19:$D$22))/Assumptions!$D$17*100</f>
        <v>507.27327033748287</v>
      </c>
    </row>
    <row r="106" spans="4:20">
      <c r="E106" s="232">
        <f>$F$88</f>
        <v>8.5000000000000006E-2</v>
      </c>
      <c r="F106" s="157">
        <f>(F97-SUM(Assumptions!$D$19:$D$22))/Assumptions!$D$17*100</f>
        <v>436.19780075967276</v>
      </c>
      <c r="G106" s="156">
        <f>(G97-SUM(Assumptions!$D$19:$D$22))/Assumptions!$D$17*100</f>
        <v>426.65071372423643</v>
      </c>
      <c r="H106" s="158">
        <f>(H97-SUM(Assumptions!$D$19:$D$22))/Assumptions!$D$17*100</f>
        <v>426.65071372423643</v>
      </c>
      <c r="I106" s="156">
        <f>(I97-SUM(Assumptions!$D$19:$D$22))/Assumptions!$D$17*100</f>
        <v>436.19780075967276</v>
      </c>
      <c r="J106" s="243">
        <f>(J97-SUM(Assumptions!$D$19:$D$22))/Assumptions!$D$17*100</f>
        <v>457.49514876180012</v>
      </c>
      <c r="L106" s="232">
        <f>$M$88</f>
        <v>8.5000000000000006E-2</v>
      </c>
      <c r="M106" s="49">
        <f>(M97-SUM(Assumptions!$D$19:$D$22))/Assumptions!$D$17*100</f>
        <v>468.46994142314406</v>
      </c>
      <c r="N106" s="51">
        <f>(N97-SUM(Assumptions!$D$19:$D$22))/Assumptions!$D$17*100</f>
        <v>449.06827696597452</v>
      </c>
      <c r="O106" s="50">
        <f>(O97-SUM(Assumptions!$D$19:$D$22))/Assumptions!$D$17*100</f>
        <v>449.06827696597452</v>
      </c>
      <c r="P106" s="51">
        <f>(P97-SUM(Assumptions!$D$19:$D$22))/Assumptions!$D$17*100</f>
        <v>468.46994142314406</v>
      </c>
      <c r="Q106" s="244">
        <f>(Q97-SUM(Assumptions!$D$19:$D$22))/Assumptions!$D$17*100</f>
        <v>507.27327033748287</v>
      </c>
    </row>
    <row r="107" spans="4:20">
      <c r="E107" s="101">
        <f>E106+$I$88</f>
        <v>9.0000000000000011E-2</v>
      </c>
      <c r="F107" s="157">
        <f>(F98-SUM(Assumptions!$D$19:$D$22))/Assumptions!$D$17*100</f>
        <v>402.62475273259906</v>
      </c>
      <c r="G107" s="158">
        <f>(G98-SUM(Assumptions!$D$19:$D$22))/Assumptions!$D$17*100</f>
        <v>394.63153241918627</v>
      </c>
      <c r="H107" s="156">
        <f>(H98-SUM(Assumptions!$D$19:$D$22))/Assumptions!$D$17*100</f>
        <v>394.63153241918627</v>
      </c>
      <c r="I107" s="158">
        <f>(I98-SUM(Assumptions!$D$19:$D$22))/Assumptions!$D$17*100</f>
        <v>402.62475273259906</v>
      </c>
      <c r="J107" s="243">
        <f>(J98-SUM(Assumptions!$D$19:$D$22))/Assumptions!$D$17*100</f>
        <v>420.32402628372745</v>
      </c>
      <c r="L107" s="101">
        <f>L106+$I$88</f>
        <v>9.0000000000000011E-2</v>
      </c>
      <c r="M107" s="49">
        <f>(M98-SUM(Assumptions!$D$19:$D$22))/Assumptions!$D$17*100</f>
        <v>451.18931930842007</v>
      </c>
      <c r="N107" s="50">
        <f>(N98-SUM(Assumptions!$D$19:$D$22))/Assumptions!$D$17*100</f>
        <v>432.58487039153295</v>
      </c>
      <c r="O107" s="51">
        <f>(O98-SUM(Assumptions!$D$19:$D$22))/Assumptions!$D$17*100</f>
        <v>432.58487039153295</v>
      </c>
      <c r="P107" s="50">
        <f>(P98-SUM(Assumptions!$D$19:$D$22))/Assumptions!$D$17*100</f>
        <v>451.18931930842007</v>
      </c>
      <c r="Q107" s="244">
        <f>(Q98-SUM(Assumptions!$D$19:$D$22))/Assumptions!$D$17*100</f>
        <v>488.39821714219431</v>
      </c>
    </row>
    <row r="108" spans="4:20">
      <c r="E108" s="102">
        <f>E107+$I$88</f>
        <v>9.5000000000000015E-2</v>
      </c>
      <c r="F108" s="159">
        <f>(F99-SUM(Assumptions!$D$19:$D$22))/Assumptions!$D$17*100</f>
        <v>347.42650207292451</v>
      </c>
      <c r="G108" s="160">
        <f>(G99-SUM(Assumptions!$D$19:$D$22))/Assumptions!$D$17*100</f>
        <v>341.67916980994318</v>
      </c>
      <c r="H108" s="160">
        <f>(H99-SUM(Assumptions!$D$19:$D$22))/Assumptions!$D$17*100</f>
        <v>341.67916980994318</v>
      </c>
      <c r="I108" s="160">
        <f>(I99-SUM(Assumptions!$D$19:$D$22))/Assumptions!$D$17*100</f>
        <v>347.42650207292451</v>
      </c>
      <c r="J108" s="245">
        <f>(J99-SUM(Assumptions!$D$19:$D$22))/Assumptions!$D$17*100</f>
        <v>359.99879139819615</v>
      </c>
      <c r="L108" s="102">
        <f>L107+$I$88</f>
        <v>9.5000000000000015E-2</v>
      </c>
      <c r="M108" s="52">
        <f>(M99-SUM(Assumptions!$D$19:$D$22))/Assumptions!$D$17*100</f>
        <v>418.7823239701238</v>
      </c>
      <c r="N108" s="53">
        <f>(N99-SUM(Assumptions!$D$19:$D$22))/Assumptions!$D$17*100</f>
        <v>401.66541484798518</v>
      </c>
      <c r="O108" s="53">
        <f>(O99-SUM(Assumptions!$D$19:$D$22))/Assumptions!$D$17*100</f>
        <v>401.66541484798518</v>
      </c>
      <c r="P108" s="53">
        <f>(P99-SUM(Assumptions!$D$19:$D$22))/Assumptions!$D$17*100</f>
        <v>418.7823239701238</v>
      </c>
      <c r="Q108" s="246">
        <f>(Q99-SUM(Assumptions!$D$19:$D$22))/Assumptions!$D$17*100</f>
        <v>453.01614221440127</v>
      </c>
    </row>
    <row r="110" spans="4:20">
      <c r="D110" s="212" t="s">
        <v>75</v>
      </c>
      <c r="E110" s="214"/>
      <c r="F110" s="215"/>
      <c r="G110" s="213"/>
      <c r="H110" s="214"/>
      <c r="I110" s="215"/>
      <c r="J110" s="213"/>
      <c r="K110" s="213"/>
      <c r="L110" s="213"/>
      <c r="M110" s="213"/>
      <c r="N110" s="213"/>
      <c r="O110" s="213"/>
      <c r="P110" s="213"/>
      <c r="Q110" s="213"/>
      <c r="R110" s="213"/>
      <c r="S110" s="213"/>
      <c r="T110" s="135"/>
    </row>
    <row r="111" spans="4:20">
      <c r="D111" s="54" t="str">
        <f>TEXT(Assumptions!$D$11,"mmmm")&amp;" YE ($mm)"</f>
        <v>March YE ($mm)</v>
      </c>
      <c r="E111" s="76"/>
      <c r="F111" s="77">
        <f t="shared" ref="F111:S111" si="55">F22</f>
        <v>42825</v>
      </c>
      <c r="G111" s="77">
        <f t="shared" si="55"/>
        <v>43190</v>
      </c>
      <c r="H111" s="110">
        <f t="shared" si="55"/>
        <v>43555</v>
      </c>
      <c r="I111" s="110">
        <f t="shared" si="55"/>
        <v>43921</v>
      </c>
      <c r="J111" s="110">
        <f t="shared" si="55"/>
        <v>44286</v>
      </c>
      <c r="K111" s="110">
        <f t="shared" si="55"/>
        <v>44651</v>
      </c>
      <c r="L111" s="110">
        <f t="shared" si="55"/>
        <v>45016</v>
      </c>
      <c r="M111" s="110">
        <f t="shared" si="55"/>
        <v>45382</v>
      </c>
      <c r="N111" s="110">
        <f t="shared" si="55"/>
        <v>45747</v>
      </c>
      <c r="O111" s="110">
        <f t="shared" si="55"/>
        <v>46112</v>
      </c>
      <c r="P111" s="110">
        <f t="shared" si="55"/>
        <v>46477</v>
      </c>
      <c r="Q111" s="110">
        <f t="shared" si="55"/>
        <v>46843</v>
      </c>
      <c r="R111" s="110">
        <f t="shared" si="55"/>
        <v>47208</v>
      </c>
      <c r="S111" s="110">
        <f t="shared" si="55"/>
        <v>47573</v>
      </c>
      <c r="T111" s="110"/>
    </row>
    <row r="112" spans="4:20">
      <c r="D112" s="31" t="s">
        <v>59</v>
      </c>
      <c r="E112" s="70"/>
      <c r="F112" s="92">
        <f t="shared" ref="F112:S112" si="56">F27</f>
        <v>108.7</v>
      </c>
      <c r="G112" s="92">
        <f t="shared" si="56"/>
        <v>109.5</v>
      </c>
      <c r="H112" s="92">
        <f t="shared" si="56"/>
        <v>98.2</v>
      </c>
      <c r="I112" s="92">
        <f t="shared" si="56"/>
        <v>94.147209662938664</v>
      </c>
      <c r="J112" s="92">
        <f t="shared" si="56"/>
        <v>92.625305088518957</v>
      </c>
      <c r="K112" s="92">
        <f t="shared" si="56"/>
        <v>111.79673623719195</v>
      </c>
      <c r="L112" s="92">
        <f t="shared" si="56"/>
        <v>124.39494101920255</v>
      </c>
      <c r="M112" s="92">
        <f t="shared" si="56"/>
        <v>127.56812935492377</v>
      </c>
      <c r="N112" s="92">
        <f t="shared" si="56"/>
        <v>129.48960202683287</v>
      </c>
      <c r="O112" s="92">
        <f t="shared" si="56"/>
        <v>131.82041486331588</v>
      </c>
      <c r="P112" s="92">
        <f t="shared" si="56"/>
        <v>135.45146810909631</v>
      </c>
      <c r="Q112" s="92">
        <f t="shared" si="56"/>
        <v>137.34778866262366</v>
      </c>
      <c r="R112" s="92">
        <f t="shared" si="56"/>
        <v>140.55771451001982</v>
      </c>
      <c r="S112" s="92">
        <f t="shared" si="56"/>
        <v>141.96329165512003</v>
      </c>
      <c r="T112" s="92"/>
    </row>
    <row r="113" spans="4:20">
      <c r="D113" s="32" t="s">
        <v>64</v>
      </c>
      <c r="E113" s="71"/>
      <c r="F113" s="94">
        <f>F112/F$24</f>
        <v>9.9269406392694062E-2</v>
      </c>
      <c r="G113" s="94">
        <f t="shared" ref="G113:R113" si="57">G112/G$24</f>
        <v>9.6467271606025903E-2</v>
      </c>
      <c r="H113" s="94">
        <f t="shared" si="57"/>
        <v>8.6246267345863353E-2</v>
      </c>
      <c r="I113" s="94">
        <f t="shared" si="57"/>
        <v>8.1921904398916168E-2</v>
      </c>
      <c r="J113" s="94">
        <f t="shared" si="57"/>
        <v>7.3767966132610302E-2</v>
      </c>
      <c r="K113" s="94">
        <f t="shared" si="57"/>
        <v>8.2577669530744205E-2</v>
      </c>
      <c r="L113" s="94">
        <f t="shared" si="57"/>
        <v>8.5968935047082973E-2</v>
      </c>
      <c r="M113" s="94">
        <f t="shared" si="57"/>
        <v>8.8428067672377098E-2</v>
      </c>
      <c r="N113" s="94">
        <f t="shared" si="57"/>
        <v>8.7999999999999995E-2</v>
      </c>
      <c r="O113" s="94">
        <f t="shared" si="57"/>
        <v>8.7999999999999995E-2</v>
      </c>
      <c r="P113" s="94">
        <f t="shared" si="57"/>
        <v>8.8999999999999996E-2</v>
      </c>
      <c r="Q113" s="94">
        <f t="shared" si="57"/>
        <v>8.8999999999999982E-2</v>
      </c>
      <c r="R113" s="94">
        <f t="shared" si="57"/>
        <v>0.09</v>
      </c>
      <c r="S113" s="94">
        <f t="shared" ref="S113" si="58">S112/S$24</f>
        <v>0.09</v>
      </c>
      <c r="T113" s="94"/>
    </row>
    <row r="114" spans="4:20">
      <c r="D114" s="31" t="s">
        <v>77</v>
      </c>
      <c r="E114" s="71"/>
      <c r="F114" s="93">
        <f t="shared" ref="F114:S114" si="59">F46</f>
        <v>0</v>
      </c>
      <c r="G114" s="93">
        <f t="shared" si="59"/>
        <v>0</v>
      </c>
      <c r="H114" s="93">
        <f t="shared" si="59"/>
        <v>0</v>
      </c>
      <c r="I114" s="93">
        <f t="shared" si="59"/>
        <v>36.129215400000028</v>
      </c>
      <c r="J114" s="93">
        <f t="shared" si="59"/>
        <v>40.455293523349013</v>
      </c>
      <c r="K114" s="93">
        <f t="shared" si="59"/>
        <v>47.195257615808735</v>
      </c>
      <c r="L114" s="93">
        <f t="shared" si="59"/>
        <v>51.829543587564167</v>
      </c>
      <c r="M114" s="93">
        <f t="shared" si="59"/>
        <v>54.799912142159194</v>
      </c>
      <c r="N114" s="93">
        <f t="shared" si="59"/>
        <v>53</v>
      </c>
      <c r="O114" s="93">
        <f t="shared" si="59"/>
        <v>51.5</v>
      </c>
      <c r="P114" s="93">
        <f t="shared" si="59"/>
        <v>50</v>
      </c>
      <c r="Q114" s="93">
        <f t="shared" si="59"/>
        <v>48.5</v>
      </c>
      <c r="R114" s="93">
        <f t="shared" si="59"/>
        <v>48</v>
      </c>
      <c r="S114" s="93">
        <f t="shared" si="59"/>
        <v>47.5</v>
      </c>
      <c r="T114" s="93"/>
    </row>
    <row r="115" spans="4:20">
      <c r="D115" s="32" t="s">
        <v>79</v>
      </c>
      <c r="E115" s="71"/>
      <c r="F115" s="94">
        <f t="shared" ref="F115:S115" si="60">-F114/F48</f>
        <v>0</v>
      </c>
      <c r="G115" s="94">
        <f t="shared" si="60"/>
        <v>0</v>
      </c>
      <c r="H115" s="94">
        <f t="shared" si="60"/>
        <v>0</v>
      </c>
      <c r="I115" s="94">
        <f t="shared" si="60"/>
        <v>1.0035893166666674</v>
      </c>
      <c r="J115" s="94">
        <f t="shared" si="60"/>
        <v>0.79324104947743168</v>
      </c>
      <c r="K115" s="94">
        <f t="shared" si="60"/>
        <v>0.94390515231617467</v>
      </c>
      <c r="L115" s="94">
        <f t="shared" si="60"/>
        <v>1.0365908717512833</v>
      </c>
      <c r="M115" s="94">
        <f t="shared" si="60"/>
        <v>1.0959982428431838</v>
      </c>
      <c r="N115" s="94">
        <f t="shared" si="60"/>
        <v>1.06</v>
      </c>
      <c r="O115" s="94">
        <f t="shared" si="60"/>
        <v>1.03</v>
      </c>
      <c r="P115" s="94">
        <f t="shared" si="60"/>
        <v>1</v>
      </c>
      <c r="Q115" s="94">
        <f t="shared" si="60"/>
        <v>0.97</v>
      </c>
      <c r="R115" s="94">
        <f t="shared" si="60"/>
        <v>0.96</v>
      </c>
      <c r="S115" s="94">
        <f t="shared" si="60"/>
        <v>0.95</v>
      </c>
      <c r="T115" s="94"/>
    </row>
    <row r="116" spans="4:20" ht="12.75" customHeight="1">
      <c r="D116" s="31" t="s">
        <v>65</v>
      </c>
      <c r="E116" s="69"/>
      <c r="F116" s="92">
        <f t="shared" ref="F116:S116" si="61">F35</f>
        <v>77.099999999999994</v>
      </c>
      <c r="G116" s="92">
        <f t="shared" si="61"/>
        <v>74.599999999999994</v>
      </c>
      <c r="H116" s="92">
        <f t="shared" si="61"/>
        <v>62.2</v>
      </c>
      <c r="I116" s="92">
        <f t="shared" si="61"/>
        <v>58.017994262938636</v>
      </c>
      <c r="J116" s="92">
        <f t="shared" si="61"/>
        <v>52.170011565169943</v>
      </c>
      <c r="K116" s="92">
        <f t="shared" si="61"/>
        <v>64.601478621383222</v>
      </c>
      <c r="L116" s="92">
        <f t="shared" si="61"/>
        <v>72.565397431638388</v>
      </c>
      <c r="M116" s="92">
        <f t="shared" si="61"/>
        <v>72.768217212764569</v>
      </c>
      <c r="N116" s="92">
        <f t="shared" si="61"/>
        <v>76.48960202683287</v>
      </c>
      <c r="O116" s="92">
        <f t="shared" si="61"/>
        <v>80.320414863315875</v>
      </c>
      <c r="P116" s="92">
        <f t="shared" si="61"/>
        <v>85.451468109096311</v>
      </c>
      <c r="Q116" s="92">
        <f t="shared" si="61"/>
        <v>88.847788662623657</v>
      </c>
      <c r="R116" s="92">
        <f t="shared" si="61"/>
        <v>92.557714510019821</v>
      </c>
      <c r="S116" s="92">
        <f t="shared" si="61"/>
        <v>94.463291655120031</v>
      </c>
      <c r="T116" s="92"/>
    </row>
    <row r="117" spans="4:20">
      <c r="D117" s="32" t="s">
        <v>64</v>
      </c>
      <c r="E117" s="72"/>
      <c r="F117" s="94">
        <f>F116/F$24</f>
        <v>7.0410958904109588E-2</v>
      </c>
      <c r="G117" s="94">
        <f t="shared" ref="G117:R117" si="62">G116/G$24</f>
        <v>6.5721081843009427E-2</v>
      </c>
      <c r="H117" s="94">
        <f t="shared" si="62"/>
        <v>5.4628491129457238E-2</v>
      </c>
      <c r="I117" s="94">
        <f t="shared" si="62"/>
        <v>5.0484178941060394E-2</v>
      </c>
      <c r="J117" s="94">
        <f t="shared" si="62"/>
        <v>4.1548857977843988E-2</v>
      </c>
      <c r="K117" s="94">
        <f t="shared" si="62"/>
        <v>4.7717310293172235E-2</v>
      </c>
      <c r="L117" s="94">
        <f t="shared" si="62"/>
        <v>5.0149707756228443E-2</v>
      </c>
      <c r="M117" s="94">
        <f t="shared" si="62"/>
        <v>5.0441696281252384E-2</v>
      </c>
      <c r="N117" s="94">
        <f t="shared" si="62"/>
        <v>5.1981663956048571E-2</v>
      </c>
      <c r="O117" s="94">
        <f t="shared" si="62"/>
        <v>5.3619892755615926E-2</v>
      </c>
      <c r="P117" s="94">
        <f t="shared" si="62"/>
        <v>5.6146904628483991E-2</v>
      </c>
      <c r="Q117" s="94">
        <f t="shared" si="62"/>
        <v>5.7572482731390005E-2</v>
      </c>
      <c r="R117" s="94">
        <f t="shared" si="62"/>
        <v>5.9265294224088681E-2</v>
      </c>
      <c r="S117" s="94">
        <f t="shared" ref="S117" si="63">S116/S$24</f>
        <v>5.988658159332122E-2</v>
      </c>
      <c r="T117" s="94"/>
    </row>
    <row r="118" spans="4:20">
      <c r="D118" s="31" t="s">
        <v>42</v>
      </c>
      <c r="E118" s="72"/>
      <c r="F118" s="93">
        <f t="shared" ref="F118:S118" si="64">F39</f>
        <v>0</v>
      </c>
      <c r="G118" s="93">
        <f t="shared" si="64"/>
        <v>0</v>
      </c>
      <c r="H118" s="93">
        <f t="shared" si="64"/>
        <v>0</v>
      </c>
      <c r="I118" s="93">
        <f t="shared" si="64"/>
        <v>-11.023418909958341</v>
      </c>
      <c r="J118" s="93">
        <f t="shared" si="64"/>
        <v>-8.8689019660788908</v>
      </c>
      <c r="K118" s="93">
        <f t="shared" si="64"/>
        <v>-10.982251365635149</v>
      </c>
      <c r="L118" s="93">
        <f t="shared" si="64"/>
        <v>-12.336117563378528</v>
      </c>
      <c r="M118" s="93">
        <f t="shared" si="64"/>
        <v>-12.370596926169977</v>
      </c>
      <c r="N118" s="93">
        <f t="shared" si="64"/>
        <v>-13.003232344561589</v>
      </c>
      <c r="O118" s="93">
        <f t="shared" si="64"/>
        <v>-13.654470526763699</v>
      </c>
      <c r="P118" s="93">
        <f t="shared" si="64"/>
        <v>-14.526749578546374</v>
      </c>
      <c r="Q118" s="93">
        <f t="shared" si="64"/>
        <v>-15.104124072646023</v>
      </c>
      <c r="R118" s="93">
        <f t="shared" si="64"/>
        <v>-15.73481146670337</v>
      </c>
      <c r="S118" s="93">
        <f t="shared" si="64"/>
        <v>-16.058759581370406</v>
      </c>
      <c r="T118" s="93"/>
    </row>
    <row r="119" spans="4:20">
      <c r="D119" s="32" t="s">
        <v>127</v>
      </c>
      <c r="E119" s="72"/>
      <c r="F119" s="94">
        <f t="shared" ref="F119:S119" si="65">F40</f>
        <v>0</v>
      </c>
      <c r="G119" s="94">
        <f t="shared" si="65"/>
        <v>0</v>
      </c>
      <c r="H119" s="94">
        <f t="shared" si="65"/>
        <v>0</v>
      </c>
      <c r="I119" s="94">
        <f t="shared" si="65"/>
        <v>0.19</v>
      </c>
      <c r="J119" s="94">
        <f t="shared" si="65"/>
        <v>0.17</v>
      </c>
      <c r="K119" s="94">
        <f t="shared" si="65"/>
        <v>0.17</v>
      </c>
      <c r="L119" s="94">
        <f t="shared" si="65"/>
        <v>0.17</v>
      </c>
      <c r="M119" s="94">
        <f t="shared" si="65"/>
        <v>0.17</v>
      </c>
      <c r="N119" s="94">
        <f t="shared" si="65"/>
        <v>0.17</v>
      </c>
      <c r="O119" s="94">
        <f t="shared" si="65"/>
        <v>0.17</v>
      </c>
      <c r="P119" s="94">
        <f t="shared" si="65"/>
        <v>0.17</v>
      </c>
      <c r="Q119" s="94">
        <f t="shared" si="65"/>
        <v>0.17</v>
      </c>
      <c r="R119" s="94">
        <f t="shared" si="65"/>
        <v>0.17</v>
      </c>
      <c r="S119" s="94">
        <f t="shared" si="65"/>
        <v>0.17</v>
      </c>
      <c r="T119" s="94"/>
    </row>
    <row r="120" spans="4:20">
      <c r="D120" s="31" t="s">
        <v>91</v>
      </c>
      <c r="E120" s="72"/>
      <c r="F120" s="93">
        <f t="shared" ref="F120:S120" si="66">F42</f>
        <v>0</v>
      </c>
      <c r="G120" s="93">
        <f t="shared" si="66"/>
        <v>0</v>
      </c>
      <c r="H120" s="93">
        <f t="shared" si="66"/>
        <v>0</v>
      </c>
      <c r="I120" s="93">
        <f t="shared" si="66"/>
        <v>46.994575352980291</v>
      </c>
      <c r="J120" s="93">
        <f t="shared" si="66"/>
        <v>43.301109599091049</v>
      </c>
      <c r="K120" s="93">
        <f t="shared" si="66"/>
        <v>53.619227255748072</v>
      </c>
      <c r="L120" s="93">
        <f t="shared" si="66"/>
        <v>60.229279868259859</v>
      </c>
      <c r="M120" s="93">
        <f t="shared" si="66"/>
        <v>60.397620286594588</v>
      </c>
      <c r="N120" s="93">
        <f t="shared" si="66"/>
        <v>63.486369682271281</v>
      </c>
      <c r="O120" s="93">
        <f t="shared" si="66"/>
        <v>66.665944336552172</v>
      </c>
      <c r="P120" s="93">
        <f t="shared" si="66"/>
        <v>70.924718530549939</v>
      </c>
      <c r="Q120" s="93">
        <f t="shared" si="66"/>
        <v>73.743664589977641</v>
      </c>
      <c r="R120" s="93">
        <f t="shared" si="66"/>
        <v>76.822903043316444</v>
      </c>
      <c r="S120" s="93">
        <f t="shared" si="66"/>
        <v>78.404532073749621</v>
      </c>
      <c r="T120" s="93"/>
    </row>
    <row r="121" spans="4:20">
      <c r="D121" s="83" t="s">
        <v>128</v>
      </c>
      <c r="E121" s="72"/>
      <c r="F121" s="93">
        <f t="shared" ref="F121:S121" si="67">-F31</f>
        <v>31.600000000000009</v>
      </c>
      <c r="G121" s="93">
        <f t="shared" si="67"/>
        <v>34.900000000000006</v>
      </c>
      <c r="H121" s="93">
        <f t="shared" si="67"/>
        <v>36</v>
      </c>
      <c r="I121" s="93">
        <f t="shared" si="67"/>
        <v>36.129215400000028</v>
      </c>
      <c r="J121" s="93">
        <f t="shared" si="67"/>
        <v>40.455293523349013</v>
      </c>
      <c r="K121" s="93">
        <f t="shared" si="67"/>
        <v>47.195257615808735</v>
      </c>
      <c r="L121" s="93">
        <f t="shared" si="67"/>
        <v>51.829543587564167</v>
      </c>
      <c r="M121" s="93">
        <f t="shared" si="67"/>
        <v>54.799912142159194</v>
      </c>
      <c r="N121" s="93">
        <f t="shared" si="67"/>
        <v>53</v>
      </c>
      <c r="O121" s="93">
        <f t="shared" si="67"/>
        <v>51.5</v>
      </c>
      <c r="P121" s="93">
        <f t="shared" si="67"/>
        <v>50</v>
      </c>
      <c r="Q121" s="93">
        <f t="shared" si="67"/>
        <v>48.5</v>
      </c>
      <c r="R121" s="93">
        <f t="shared" si="67"/>
        <v>48</v>
      </c>
      <c r="S121" s="93">
        <f t="shared" si="67"/>
        <v>47.5</v>
      </c>
      <c r="T121" s="93"/>
    </row>
    <row r="122" spans="4:20">
      <c r="D122" s="83" t="s">
        <v>129</v>
      </c>
      <c r="E122" s="72"/>
      <c r="F122" s="93">
        <f t="shared" ref="F122:S122" si="68">F48</f>
        <v>-36.1</v>
      </c>
      <c r="G122" s="93">
        <f t="shared" si="68"/>
        <v>-37.299999999999997</v>
      </c>
      <c r="H122" s="93">
        <f t="shared" si="68"/>
        <v>-31</v>
      </c>
      <c r="I122" s="93">
        <f t="shared" si="68"/>
        <v>-36</v>
      </c>
      <c r="J122" s="93">
        <f t="shared" si="68"/>
        <v>-51</v>
      </c>
      <c r="K122" s="93">
        <f t="shared" si="68"/>
        <v>-50</v>
      </c>
      <c r="L122" s="93">
        <f t="shared" si="68"/>
        <v>-50</v>
      </c>
      <c r="M122" s="93">
        <f t="shared" si="68"/>
        <v>-50</v>
      </c>
      <c r="N122" s="93">
        <f t="shared" si="68"/>
        <v>-50</v>
      </c>
      <c r="O122" s="93">
        <f t="shared" si="68"/>
        <v>-50</v>
      </c>
      <c r="P122" s="93">
        <f t="shared" si="68"/>
        <v>-50</v>
      </c>
      <c r="Q122" s="93">
        <f t="shared" si="68"/>
        <v>-50</v>
      </c>
      <c r="R122" s="93">
        <f t="shared" si="68"/>
        <v>-50</v>
      </c>
      <c r="S122" s="93">
        <f t="shared" si="68"/>
        <v>-50</v>
      </c>
      <c r="T122" s="93"/>
    </row>
    <row r="123" spans="4:20">
      <c r="D123" s="83" t="s">
        <v>130</v>
      </c>
      <c r="E123" s="72"/>
      <c r="F123" s="93">
        <f t="shared" ref="F123:S123" si="69">F52</f>
        <v>-16.300000000000004</v>
      </c>
      <c r="G123" s="93">
        <f t="shared" si="69"/>
        <v>-12.6</v>
      </c>
      <c r="H123" s="92">
        <f t="shared" si="69"/>
        <v>-10.399999999999999</v>
      </c>
      <c r="I123" s="92">
        <f t="shared" si="69"/>
        <v>6</v>
      </c>
      <c r="J123" s="92">
        <f t="shared" si="69"/>
        <v>16.111954440903407</v>
      </c>
      <c r="K123" s="92">
        <f t="shared" si="69"/>
        <v>15.168892666804709</v>
      </c>
      <c r="L123" s="92">
        <f t="shared" si="69"/>
        <v>11.110216900668604</v>
      </c>
      <c r="M123" s="92">
        <f t="shared" si="69"/>
        <v>3.9548595532390358</v>
      </c>
      <c r="N123" s="92">
        <f t="shared" si="69"/>
        <v>0</v>
      </c>
      <c r="O123" s="92">
        <f t="shared" si="69"/>
        <v>0</v>
      </c>
      <c r="P123" s="92">
        <f t="shared" si="69"/>
        <v>0</v>
      </c>
      <c r="Q123" s="92">
        <f t="shared" si="69"/>
        <v>0</v>
      </c>
      <c r="R123" s="92">
        <f t="shared" si="69"/>
        <v>0</v>
      </c>
      <c r="S123" s="92">
        <f t="shared" si="69"/>
        <v>0</v>
      </c>
      <c r="T123" s="92"/>
    </row>
    <row r="124" spans="4:20">
      <c r="D124" s="83" t="s">
        <v>131</v>
      </c>
      <c r="E124" s="72"/>
      <c r="F124" s="93">
        <f t="shared" ref="F124:S124" si="70">+F58</f>
        <v>0</v>
      </c>
      <c r="G124" s="93">
        <f t="shared" si="70"/>
        <v>0</v>
      </c>
      <c r="H124" s="93">
        <f t="shared" si="70"/>
        <v>0</v>
      </c>
      <c r="I124" s="93">
        <f t="shared" si="70"/>
        <v>0</v>
      </c>
      <c r="J124" s="93">
        <f t="shared" si="70"/>
        <v>-18.004468664734777</v>
      </c>
      <c r="K124" s="93">
        <f t="shared" si="70"/>
        <v>-6.7527180429793674</v>
      </c>
      <c r="L124" s="93">
        <f t="shared" si="70"/>
        <v>25.138454026318882</v>
      </c>
      <c r="M124" s="93">
        <f t="shared" si="70"/>
        <v>-4.8650405710493061</v>
      </c>
      <c r="N124" s="93">
        <f t="shared" si="70"/>
        <v>0</v>
      </c>
      <c r="O124" s="93">
        <f t="shared" si="70"/>
        <v>0</v>
      </c>
      <c r="P124" s="93">
        <f t="shared" si="70"/>
        <v>0</v>
      </c>
      <c r="Q124" s="93">
        <f t="shared" si="70"/>
        <v>0</v>
      </c>
      <c r="R124" s="93">
        <f t="shared" si="70"/>
        <v>0</v>
      </c>
      <c r="S124" s="93">
        <f t="shared" si="70"/>
        <v>0</v>
      </c>
      <c r="T124" s="92"/>
    </row>
    <row r="125" spans="4:20">
      <c r="D125" s="83" t="s">
        <v>132</v>
      </c>
      <c r="E125" s="72"/>
      <c r="F125" s="93">
        <f t="shared" ref="F125:S125" si="71">+F55</f>
        <v>0</v>
      </c>
      <c r="G125" s="93">
        <f t="shared" si="71"/>
        <v>-1.5</v>
      </c>
      <c r="H125" s="93">
        <f t="shared" si="71"/>
        <v>0.74</v>
      </c>
      <c r="I125" s="93">
        <f t="shared" si="71"/>
        <v>0</v>
      </c>
      <c r="J125" s="93">
        <f t="shared" si="71"/>
        <v>0</v>
      </c>
      <c r="K125" s="93">
        <f t="shared" si="71"/>
        <v>-5</v>
      </c>
      <c r="L125" s="93">
        <f t="shared" si="71"/>
        <v>-5</v>
      </c>
      <c r="M125" s="93">
        <f t="shared" si="71"/>
        <v>-5</v>
      </c>
      <c r="N125" s="93">
        <f t="shared" si="71"/>
        <v>-5</v>
      </c>
      <c r="O125" s="93">
        <f t="shared" si="71"/>
        <v>-5</v>
      </c>
      <c r="P125" s="93">
        <f t="shared" si="71"/>
        <v>-5</v>
      </c>
      <c r="Q125" s="93">
        <f t="shared" si="71"/>
        <v>-5</v>
      </c>
      <c r="R125" s="93">
        <f t="shared" si="71"/>
        <v>-5</v>
      </c>
      <c r="S125" s="93">
        <f t="shared" si="71"/>
        <v>-5</v>
      </c>
      <c r="T125" s="92"/>
    </row>
    <row r="126" spans="4:20">
      <c r="D126" s="32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</row>
    <row r="127" spans="4:20">
      <c r="D127" s="74" t="s">
        <v>94</v>
      </c>
      <c r="E127" s="75"/>
      <c r="F127" s="98">
        <f>SUM(F120:F125)</f>
        <v>-20.799999999999997</v>
      </c>
      <c r="G127" s="98">
        <f t="shared" ref="G127:S127" si="72">SUM(G120:G125)</f>
        <v>-16.499999999999993</v>
      </c>
      <c r="H127" s="98">
        <f t="shared" si="72"/>
        <v>-4.6599999999999984</v>
      </c>
      <c r="I127" s="98">
        <f t="shared" si="72"/>
        <v>53.123790752980312</v>
      </c>
      <c r="J127" s="98">
        <f>SUM(J120:J125)</f>
        <v>30.863888898608689</v>
      </c>
      <c r="K127" s="98">
        <f t="shared" si="72"/>
        <v>54.230659495382142</v>
      </c>
      <c r="L127" s="98">
        <f t="shared" si="72"/>
        <v>93.307494382811512</v>
      </c>
      <c r="M127" s="98">
        <f t="shared" si="72"/>
        <v>59.287351410943515</v>
      </c>
      <c r="N127" s="98">
        <f t="shared" si="72"/>
        <v>61.486369682271288</v>
      </c>
      <c r="O127" s="98">
        <f t="shared" si="72"/>
        <v>63.165944336552172</v>
      </c>
      <c r="P127" s="98">
        <f t="shared" si="72"/>
        <v>65.924718530549939</v>
      </c>
      <c r="Q127" s="98">
        <f t="shared" si="72"/>
        <v>67.243664589977641</v>
      </c>
      <c r="R127" s="98">
        <f t="shared" si="72"/>
        <v>69.822903043316444</v>
      </c>
      <c r="S127" s="98">
        <f t="shared" si="72"/>
        <v>70.904532073749621</v>
      </c>
      <c r="T127" s="98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Assumptions</vt:lpstr>
      <vt:lpstr>Targets's 5 yr Plan </vt:lpstr>
      <vt:lpstr> Financials</vt:lpstr>
      <vt:lpstr>DCF input</vt:lpstr>
      <vt:lpstr>circ</vt:lpstr>
      <vt:lpstr>DCF</vt:lpstr>
      <vt:lpstr>DCF_1</vt:lpstr>
      <vt:lpstr>DCF_2</vt:lpstr>
      <vt:lpstr>' Financials'!Print_Area</vt:lpstr>
      <vt:lpstr>Assumptions!Print_Area</vt:lpstr>
      <vt:lpstr>'DCF input'!Print_Area</vt:lpstr>
    </vt:vector>
  </TitlesOfParts>
  <Manager/>
  <Company>JPMorgan Chase &amp; Co.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J</dc:creator>
  <cp:keywords/>
  <dc:description/>
  <cp:lastModifiedBy>Ayush Babde</cp:lastModifiedBy>
  <cp:revision/>
  <dcterms:created xsi:type="dcterms:W3CDTF">2010-12-03T17:25:22Z</dcterms:created>
  <dcterms:modified xsi:type="dcterms:W3CDTF">2024-07-15T19:44:27Z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