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3393113e0c482/Desktop/F model/nvida/"/>
    </mc:Choice>
  </mc:AlternateContent>
  <xr:revisionPtr revIDLastSave="1934" documentId="8_{E9D93AA0-3B27-47AC-BBA1-7B6579C92F85}" xr6:coauthVersionLast="47" xr6:coauthVersionMax="47" xr10:uidLastSave="{42DE88B3-9BFB-4002-82CF-CD4F79D31F79}"/>
  <bookViews>
    <workbookView xWindow="-108" yWindow="-108" windowWidth="23256" windowHeight="12456" xr2:uid="{75222483-F5F0-4DBF-9182-C741FEA447F3}"/>
  </bookViews>
  <sheets>
    <sheet name="DCF" sheetId="1" r:id="rId1"/>
    <sheet name="Income Statement" sheetId="5" r:id="rId2"/>
    <sheet name="Balance Sheet" sheetId="6" r:id="rId3"/>
    <sheet name="Free Cash Flow" sheetId="7" r:id="rId4"/>
    <sheet name="WACC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N16" i="1"/>
  <c r="S31" i="5"/>
  <c r="R31" i="5"/>
  <c r="Q31" i="5"/>
  <c r="P31" i="5"/>
  <c r="O31" i="5"/>
  <c r="C27" i="5"/>
  <c r="C16" i="9" l="1"/>
  <c r="M27" i="1"/>
  <c r="M28" i="1" s="1"/>
  <c r="P16" i="1"/>
  <c r="Q16" i="1" s="1"/>
  <c r="R16" i="1" s="1"/>
  <c r="F5" i="9"/>
  <c r="O23" i="1"/>
  <c r="N23" i="1" s="1"/>
  <c r="C28" i="1"/>
  <c r="C27" i="1"/>
  <c r="N8" i="5"/>
  <c r="M8" i="5"/>
  <c r="L8" i="5"/>
  <c r="K8" i="5"/>
  <c r="J8" i="5"/>
  <c r="I8" i="5"/>
  <c r="H8" i="5"/>
  <c r="G8" i="5"/>
  <c r="F8" i="5"/>
  <c r="E8" i="5"/>
  <c r="D8" i="5"/>
  <c r="C5" i="9"/>
  <c r="I12" i="1"/>
  <c r="H12" i="1"/>
  <c r="G12" i="1"/>
  <c r="F12" i="1"/>
  <c r="E12" i="1"/>
  <c r="D12" i="1"/>
  <c r="C12" i="1"/>
  <c r="I11" i="1"/>
  <c r="H11" i="1"/>
  <c r="G11" i="1"/>
  <c r="C8" i="1"/>
  <c r="E7" i="1"/>
  <c r="D7" i="1"/>
  <c r="N30" i="5"/>
  <c r="M7" i="1" s="1"/>
  <c r="M30" i="5"/>
  <c r="L7" i="1" s="1"/>
  <c r="L30" i="5"/>
  <c r="K30" i="5"/>
  <c r="J7" i="1" s="1"/>
  <c r="J30" i="5"/>
  <c r="I7" i="1" s="1"/>
  <c r="I30" i="5"/>
  <c r="H30" i="5"/>
  <c r="G30" i="5"/>
  <c r="G31" i="5" s="1"/>
  <c r="F30" i="5"/>
  <c r="E30" i="5"/>
  <c r="D30" i="5"/>
  <c r="D31" i="5" s="1"/>
  <c r="C30" i="5"/>
  <c r="N36" i="5"/>
  <c r="M10" i="1" s="1"/>
  <c r="M36" i="5"/>
  <c r="L10" i="1" s="1"/>
  <c r="L36" i="5"/>
  <c r="K10" i="1" s="1"/>
  <c r="K36" i="5"/>
  <c r="J10" i="1" s="1"/>
  <c r="J36" i="5"/>
  <c r="I10" i="1" s="1"/>
  <c r="I36" i="5"/>
  <c r="H10" i="1" s="1"/>
  <c r="H36" i="5"/>
  <c r="G10" i="1" s="1"/>
  <c r="G36" i="5"/>
  <c r="F10" i="1" s="1"/>
  <c r="F36" i="5"/>
  <c r="E10" i="1" s="1"/>
  <c r="E36" i="5"/>
  <c r="D10" i="1" s="1"/>
  <c r="D36" i="5"/>
  <c r="C10" i="1" s="1"/>
  <c r="N34" i="5"/>
  <c r="M9" i="1" s="1"/>
  <c r="M34" i="5"/>
  <c r="L9" i="1" s="1"/>
  <c r="L34" i="5"/>
  <c r="K9" i="1" s="1"/>
  <c r="K34" i="5"/>
  <c r="J9" i="1" s="1"/>
  <c r="J34" i="5"/>
  <c r="I9" i="1" s="1"/>
  <c r="I34" i="5"/>
  <c r="H9" i="1" s="1"/>
  <c r="H34" i="5"/>
  <c r="G9" i="1" s="1"/>
  <c r="G34" i="5"/>
  <c r="F9" i="1" s="1"/>
  <c r="F34" i="5"/>
  <c r="E9" i="1" s="1"/>
  <c r="E34" i="5"/>
  <c r="D9" i="1" s="1"/>
  <c r="D34" i="5"/>
  <c r="C9" i="1" s="1"/>
  <c r="N32" i="5"/>
  <c r="M8" i="1" s="1"/>
  <c r="M32" i="5"/>
  <c r="L8" i="1" s="1"/>
  <c r="L32" i="5"/>
  <c r="K8" i="1" s="1"/>
  <c r="K32" i="5"/>
  <c r="J8" i="1" s="1"/>
  <c r="J32" i="5"/>
  <c r="I8" i="1" s="1"/>
  <c r="I32" i="5"/>
  <c r="H8" i="1" s="1"/>
  <c r="H32" i="5"/>
  <c r="G8" i="1" s="1"/>
  <c r="G32" i="5"/>
  <c r="F8" i="1" s="1"/>
  <c r="F32" i="5"/>
  <c r="E8" i="1" s="1"/>
  <c r="E32" i="5"/>
  <c r="D8" i="1" s="1"/>
  <c r="D32" i="5"/>
  <c r="D37" i="5"/>
  <c r="E29" i="5"/>
  <c r="F29" i="5" s="1"/>
  <c r="G29" i="5" s="1"/>
  <c r="H29" i="5" s="1"/>
  <c r="I29" i="5" s="1"/>
  <c r="J29" i="5" s="1"/>
  <c r="K29" i="5" s="1"/>
  <c r="L29" i="5" s="1"/>
  <c r="M29" i="5" s="1"/>
  <c r="N29" i="5" s="1"/>
  <c r="O29" i="5" s="1"/>
  <c r="P29" i="5" s="1"/>
  <c r="Q29" i="5" s="1"/>
  <c r="R29" i="5" s="1"/>
  <c r="S29" i="5" s="1"/>
  <c r="E5" i="5"/>
  <c r="F5" i="5" s="1"/>
  <c r="G5" i="5" s="1"/>
  <c r="H5" i="5" s="1"/>
  <c r="I5" i="5" s="1"/>
  <c r="J5" i="5" s="1"/>
  <c r="K5" i="5" s="1"/>
  <c r="L5" i="5" s="1"/>
  <c r="M5" i="5" s="1"/>
  <c r="N5" i="5" s="1"/>
  <c r="N24" i="6"/>
  <c r="N25" i="6" s="1"/>
  <c r="M24" i="6"/>
  <c r="M25" i="6" s="1"/>
  <c r="L24" i="6"/>
  <c r="L25" i="6" s="1"/>
  <c r="K24" i="6"/>
  <c r="K25" i="6" s="1"/>
  <c r="J24" i="6"/>
  <c r="J25" i="6" s="1"/>
  <c r="I24" i="6"/>
  <c r="I25" i="6" s="1"/>
  <c r="H24" i="6"/>
  <c r="H25" i="6" s="1"/>
  <c r="G24" i="6"/>
  <c r="G25" i="6" s="1"/>
  <c r="F24" i="6"/>
  <c r="F25" i="6" s="1"/>
  <c r="E24" i="6"/>
  <c r="E25" i="6" s="1"/>
  <c r="D24" i="6"/>
  <c r="D25" i="6" s="1"/>
  <c r="N15" i="5"/>
  <c r="M15" i="5"/>
  <c r="L15" i="5"/>
  <c r="K15" i="5"/>
  <c r="J15" i="5"/>
  <c r="H31" i="5" l="1"/>
  <c r="I31" i="5"/>
  <c r="L31" i="5"/>
  <c r="C7" i="1"/>
  <c r="E31" i="5"/>
  <c r="F31" i="5"/>
  <c r="F7" i="1"/>
  <c r="F11" i="1"/>
  <c r="F13" i="1" s="1"/>
  <c r="M31" i="5"/>
  <c r="G7" i="1"/>
  <c r="H7" i="1"/>
  <c r="K7" i="1"/>
  <c r="J31" i="5"/>
  <c r="J11" i="1"/>
  <c r="K11" i="1"/>
  <c r="L11" i="1"/>
  <c r="M11" i="1"/>
  <c r="K31" i="5"/>
  <c r="C11" i="1"/>
  <c r="C13" i="1" s="1"/>
  <c r="C26" i="5"/>
  <c r="D11" i="1"/>
  <c r="D13" i="1" s="1"/>
  <c r="N31" i="5"/>
  <c r="E11" i="1"/>
  <c r="E13" i="1" s="1"/>
  <c r="M25" i="1"/>
  <c r="M24" i="1" s="1"/>
  <c r="Q23" i="1"/>
  <c r="R23" i="1" s="1"/>
  <c r="H13" i="1"/>
  <c r="I13" i="1"/>
  <c r="G13" i="1"/>
  <c r="C7" i="9"/>
  <c r="C9" i="9"/>
  <c r="O25" i="6"/>
  <c r="C25" i="5" l="1"/>
  <c r="O30" i="5"/>
  <c r="O36" i="5" s="1"/>
  <c r="N10" i="1" s="1"/>
  <c r="C15" i="9"/>
  <c r="F4" i="9" s="1"/>
  <c r="F7" i="9" s="1"/>
  <c r="C13" i="9" s="1"/>
  <c r="C17" i="9" s="1"/>
  <c r="C10" i="9"/>
  <c r="O32" i="5" l="1"/>
  <c r="N8" i="1" s="1"/>
  <c r="O24" i="6"/>
  <c r="N11" i="1" s="1"/>
  <c r="O28" i="6"/>
  <c r="N7" i="1"/>
  <c r="C19" i="9"/>
  <c r="C23" i="1" s="1"/>
  <c r="P30" i="5"/>
  <c r="Q30" i="5" s="1"/>
  <c r="P32" i="5" l="1"/>
  <c r="O8" i="1" s="1"/>
  <c r="O7" i="1"/>
  <c r="P28" i="6"/>
  <c r="P24" i="6"/>
  <c r="O11" i="1" s="1"/>
  <c r="P26" i="6"/>
  <c r="P36" i="5"/>
  <c r="O10" i="1" s="1"/>
  <c r="Q26" i="6"/>
  <c r="Q28" i="6"/>
  <c r="P7" i="1"/>
  <c r="Q24" i="6"/>
  <c r="P11" i="1" s="1"/>
  <c r="R30" i="5"/>
  <c r="Q32" i="5"/>
  <c r="P8" i="1" s="1"/>
  <c r="Q36" i="5"/>
  <c r="P10" i="1" s="1"/>
  <c r="R26" i="6" l="1"/>
  <c r="R28" i="6"/>
  <c r="Q7" i="1"/>
  <c r="R24" i="6"/>
  <c r="Q11" i="1" s="1"/>
  <c r="S30" i="5"/>
  <c r="R36" i="5"/>
  <c r="Q10" i="1" s="1"/>
  <c r="R32" i="5"/>
  <c r="Q8" i="1" s="1"/>
  <c r="R7" i="1" l="1"/>
  <c r="S26" i="6"/>
  <c r="S24" i="6"/>
  <c r="R11" i="1" s="1"/>
  <c r="S28" i="6"/>
  <c r="S36" i="5"/>
  <c r="R10" i="1" s="1"/>
  <c r="S32" i="5"/>
  <c r="R8" i="1" s="1"/>
  <c r="K28" i="6" l="1"/>
  <c r="K29" i="6" s="1"/>
  <c r="M28" i="6"/>
  <c r="N28" i="6"/>
  <c r="N29" i="6" s="1"/>
  <c r="N26" i="6"/>
  <c r="N27" i="6" s="1"/>
  <c r="M26" i="6"/>
  <c r="M27" i="6" s="1"/>
  <c r="L26" i="6"/>
  <c r="L27" i="6" s="1"/>
  <c r="K26" i="6"/>
  <c r="K27" i="6" s="1"/>
  <c r="J26" i="6"/>
  <c r="J27" i="6" s="1"/>
  <c r="I26" i="6"/>
  <c r="I27" i="6" s="1"/>
  <c r="H26" i="6"/>
  <c r="H30" i="6" s="1"/>
  <c r="G26" i="6"/>
  <c r="G30" i="6" s="1"/>
  <c r="F26" i="6"/>
  <c r="F27" i="6" s="1"/>
  <c r="E26" i="6"/>
  <c r="E27" i="6" s="1"/>
  <c r="D26" i="6"/>
  <c r="D30" i="6" s="1"/>
  <c r="L29" i="6"/>
  <c r="J29" i="6"/>
  <c r="I29" i="6"/>
  <c r="H29" i="6"/>
  <c r="G29" i="6"/>
  <c r="F29" i="6"/>
  <c r="E29" i="6"/>
  <c r="D29" i="6"/>
  <c r="E23" i="6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P23" i="6" s="1"/>
  <c r="Q23" i="6" s="1"/>
  <c r="R23" i="6" s="1"/>
  <c r="S23" i="6" s="1"/>
  <c r="N37" i="5"/>
  <c r="M37" i="5"/>
  <c r="L37" i="5"/>
  <c r="K37" i="5"/>
  <c r="J37" i="5"/>
  <c r="I37" i="5"/>
  <c r="H37" i="5"/>
  <c r="G37" i="5"/>
  <c r="F37" i="5"/>
  <c r="E37" i="5"/>
  <c r="N33" i="5"/>
  <c r="M33" i="5"/>
  <c r="L33" i="5"/>
  <c r="K33" i="5"/>
  <c r="J33" i="5"/>
  <c r="I33" i="5"/>
  <c r="H33" i="5"/>
  <c r="G33" i="5"/>
  <c r="F33" i="5"/>
  <c r="E33" i="5"/>
  <c r="D33" i="5"/>
  <c r="N19" i="5"/>
  <c r="N35" i="5" s="1"/>
  <c r="M19" i="5"/>
  <c r="M35" i="5" s="1"/>
  <c r="L19" i="5"/>
  <c r="L35" i="5" s="1"/>
  <c r="K19" i="5"/>
  <c r="K35" i="5" s="1"/>
  <c r="J19" i="5"/>
  <c r="J35" i="5" s="1"/>
  <c r="I19" i="5"/>
  <c r="I35" i="5" s="1"/>
  <c r="H19" i="5"/>
  <c r="H35" i="5" s="1"/>
  <c r="G19" i="5"/>
  <c r="G35" i="5" s="1"/>
  <c r="F19" i="5"/>
  <c r="F35" i="5" s="1"/>
  <c r="E19" i="5"/>
  <c r="E35" i="5" s="1"/>
  <c r="D19" i="5"/>
  <c r="D35" i="5" s="1"/>
  <c r="D6" i="7"/>
  <c r="E6" i="7" s="1"/>
  <c r="F6" i="7" s="1"/>
  <c r="G6" i="7" s="1"/>
  <c r="H6" i="7" s="1"/>
  <c r="I6" i="7" s="1"/>
  <c r="J6" i="7" s="1"/>
  <c r="K6" i="7" s="1"/>
  <c r="L6" i="7" s="1"/>
  <c r="M6" i="7" s="1"/>
  <c r="E5" i="6"/>
  <c r="F5" i="6" s="1"/>
  <c r="G5" i="6" s="1"/>
  <c r="H5" i="6" s="1"/>
  <c r="I5" i="6" s="1"/>
  <c r="J5" i="6" s="1"/>
  <c r="K5" i="6" s="1"/>
  <c r="L5" i="6" s="1"/>
  <c r="M5" i="6" s="1"/>
  <c r="N5" i="6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O35" i="5" l="1"/>
  <c r="O34" i="5" s="1"/>
  <c r="N9" i="1" s="1"/>
  <c r="H31" i="6"/>
  <c r="G27" i="6"/>
  <c r="I30" i="6"/>
  <c r="I31" i="6" s="1"/>
  <c r="J30" i="6"/>
  <c r="K30" i="6"/>
  <c r="L30" i="6"/>
  <c r="N30" i="6"/>
  <c r="M30" i="6"/>
  <c r="M29" i="6"/>
  <c r="F30" i="6"/>
  <c r="H27" i="6"/>
  <c r="E30" i="6"/>
  <c r="E31" i="6" s="1"/>
  <c r="D27" i="6"/>
  <c r="J31" i="6" l="1"/>
  <c r="M31" i="6"/>
  <c r="L12" i="1" s="1"/>
  <c r="O27" i="6"/>
  <c r="K31" i="6"/>
  <c r="J12" i="1" s="1"/>
  <c r="P35" i="5"/>
  <c r="P34" i="5" s="1"/>
  <c r="O9" i="1" s="1"/>
  <c r="N31" i="6"/>
  <c r="M12" i="1" s="1"/>
  <c r="L31" i="6"/>
  <c r="K12" i="1" s="1"/>
  <c r="G31" i="6"/>
  <c r="F31" i="6"/>
  <c r="O26" i="6" l="1"/>
  <c r="O30" i="6" s="1"/>
  <c r="O31" i="6" s="1"/>
  <c r="N12" i="1" s="1"/>
  <c r="L13" i="1"/>
  <c r="J13" i="1"/>
  <c r="K13" i="1"/>
  <c r="M13" i="1"/>
  <c r="Q35" i="5"/>
  <c r="Q34" i="5" s="1"/>
  <c r="P9" i="1" s="1"/>
  <c r="N13" i="1" l="1"/>
  <c r="R35" i="5"/>
  <c r="R34" i="5" s="1"/>
  <c r="Q9" i="1" s="1"/>
  <c r="P30" i="6"/>
  <c r="P31" i="6" s="1"/>
  <c r="O12" i="1" s="1"/>
  <c r="N17" i="1" l="1"/>
  <c r="O13" i="1"/>
  <c r="O17" i="1" s="1"/>
  <c r="S35" i="5"/>
  <c r="Q30" i="6"/>
  <c r="Q31" i="6" s="1"/>
  <c r="P12" i="1" s="1"/>
  <c r="S34" i="5" l="1"/>
  <c r="R9" i="1" s="1"/>
  <c r="R30" i="6"/>
  <c r="R31" i="6" s="1"/>
  <c r="Q12" i="1" s="1"/>
  <c r="P13" i="1"/>
  <c r="P17" i="1" s="1"/>
  <c r="S30" i="6" l="1"/>
  <c r="S31" i="6" s="1"/>
  <c r="R12" i="1" s="1"/>
  <c r="Q13" i="1"/>
  <c r="Q17" i="1" s="1"/>
  <c r="R13" i="1" l="1"/>
  <c r="R17" i="1" l="1"/>
  <c r="C24" i="1" s="1"/>
  <c r="C25" i="1" s="1"/>
  <c r="C21" i="1" l="1"/>
  <c r="C26" i="1" s="1"/>
  <c r="C29" i="1" s="1"/>
  <c r="C31" i="1" s="1"/>
  <c r="M23" i="1" s="1"/>
</calcChain>
</file>

<file path=xl/sharedStrings.xml><?xml version="1.0" encoding="utf-8"?>
<sst xmlns="http://schemas.openxmlformats.org/spreadsheetml/2006/main" count="139" uniqueCount="98">
  <si>
    <t>NVIDIA DCF</t>
  </si>
  <si>
    <t>Assumptions</t>
  </si>
  <si>
    <t>Revenue</t>
  </si>
  <si>
    <t>EBIT</t>
  </si>
  <si>
    <t>WACC</t>
  </si>
  <si>
    <t>Taxes</t>
  </si>
  <si>
    <t>EBITDA</t>
  </si>
  <si>
    <t>Net Income</t>
  </si>
  <si>
    <t>SG&amp;A</t>
  </si>
  <si>
    <t>COGS</t>
  </si>
  <si>
    <t>R&amp;D</t>
  </si>
  <si>
    <t>NVIDA CORPORATION</t>
  </si>
  <si>
    <t>Nvida FY starts from FEB</t>
  </si>
  <si>
    <t>Operating Income</t>
  </si>
  <si>
    <t>Income statement</t>
  </si>
  <si>
    <t>Pre Tax Income</t>
  </si>
  <si>
    <t>Income tax</t>
  </si>
  <si>
    <t xml:space="preserve">EBIT </t>
  </si>
  <si>
    <t>TAX RATE</t>
  </si>
  <si>
    <t>Cash Flow Statement</t>
  </si>
  <si>
    <t>D&amp;A</t>
  </si>
  <si>
    <t>Capital Expenditure</t>
  </si>
  <si>
    <t>Change in NWC</t>
  </si>
  <si>
    <t>% of EBIT</t>
  </si>
  <si>
    <t>Balance Sheet</t>
  </si>
  <si>
    <t>Cash On Hand</t>
  </si>
  <si>
    <t>Receviables</t>
  </si>
  <si>
    <t>Inventory</t>
  </si>
  <si>
    <t>Pre-Paid Expenses</t>
  </si>
  <si>
    <t>Total Current Asset</t>
  </si>
  <si>
    <t>Property,Plant&amp;Eqp</t>
  </si>
  <si>
    <t>Goodwill</t>
  </si>
  <si>
    <t>Total Asset</t>
  </si>
  <si>
    <t>Total Current Liablities</t>
  </si>
  <si>
    <t>Total Liablities</t>
  </si>
  <si>
    <t>Shareholder Equity</t>
  </si>
  <si>
    <t>Total D&amp;A</t>
  </si>
  <si>
    <t>Cash Flow From Operations</t>
  </si>
  <si>
    <t>Dividends</t>
  </si>
  <si>
    <t>Cash Flow From Investing</t>
  </si>
  <si>
    <t>Cash Flow From Financial Activities</t>
  </si>
  <si>
    <t>Net Cash Flow</t>
  </si>
  <si>
    <t>DCF</t>
  </si>
  <si>
    <t>Total Long Term Asset</t>
  </si>
  <si>
    <t>Total Long Term Liability</t>
  </si>
  <si>
    <t>Long Term Debt</t>
  </si>
  <si>
    <t>% of revenue</t>
  </si>
  <si>
    <t>% of growth</t>
  </si>
  <si>
    <t>NWC</t>
  </si>
  <si>
    <t>Total Current Asset without cash</t>
  </si>
  <si>
    <t>Total short term debt</t>
  </si>
  <si>
    <t>Net Change in NWC</t>
  </si>
  <si>
    <t>Unleavered FCF</t>
  </si>
  <si>
    <t xml:space="preserve">          -</t>
  </si>
  <si>
    <t>Capital Exp</t>
  </si>
  <si>
    <t>Total Operating Exp</t>
  </si>
  <si>
    <t>Intrest Income</t>
  </si>
  <si>
    <t>Intrest Expense</t>
  </si>
  <si>
    <t>Intrest Net</t>
  </si>
  <si>
    <t>Gross Income</t>
  </si>
  <si>
    <t>NA</t>
  </si>
  <si>
    <t>Total Current Liablities Excluding Debt</t>
  </si>
  <si>
    <t xml:space="preserve">TAX </t>
  </si>
  <si>
    <t>AVERAGE</t>
  </si>
  <si>
    <t>Weighted Average Cost Of Capital</t>
  </si>
  <si>
    <t>Market Capitalisation</t>
  </si>
  <si>
    <t>Debt</t>
  </si>
  <si>
    <t>Cost of Debt</t>
  </si>
  <si>
    <t>Tax Rate</t>
  </si>
  <si>
    <t>D/(D+E)</t>
  </si>
  <si>
    <t>After Tax Cost Of Debt</t>
  </si>
  <si>
    <t>Risk Free Rate</t>
  </si>
  <si>
    <t>Expected Market Return</t>
  </si>
  <si>
    <t>Market Risk Premium</t>
  </si>
  <si>
    <t>Levered Beta</t>
  </si>
  <si>
    <t>E/(D+E)</t>
  </si>
  <si>
    <t xml:space="preserve">                       CAPM</t>
  </si>
  <si>
    <t>Ulevered Beta</t>
  </si>
  <si>
    <t>Cost of Equity</t>
  </si>
  <si>
    <t>Present Value of FCF</t>
  </si>
  <si>
    <t>Implide Share Price</t>
  </si>
  <si>
    <t>Sum of PV of FCF</t>
  </si>
  <si>
    <t>Growth Rate</t>
  </si>
  <si>
    <t>Terminal Value</t>
  </si>
  <si>
    <t>PV of Terminal Value</t>
  </si>
  <si>
    <t>Enterprise Value</t>
  </si>
  <si>
    <t>(+) Cash</t>
  </si>
  <si>
    <t>(-)Debt</t>
  </si>
  <si>
    <t>Equity</t>
  </si>
  <si>
    <t>Diluted Shares Outstanding</t>
  </si>
  <si>
    <t xml:space="preserve">                                                                Sensitivity Table</t>
  </si>
  <si>
    <t xml:space="preserve">                                   Growth Rate</t>
  </si>
  <si>
    <t xml:space="preserve">   WACC</t>
  </si>
  <si>
    <t>Discount Period</t>
  </si>
  <si>
    <t>Financial Year End Date</t>
  </si>
  <si>
    <t>5 yr CAGR</t>
  </si>
  <si>
    <t>Sensitivity Table</t>
  </si>
  <si>
    <t>10 yr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</si>
</sst>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&quot;E&quot;"/>
    <numFmt numFmtId="166" formatCode="0.0"/>
    <numFmt numFmtId="167" formatCode="0.00;[Red]0.00"/>
  </numFmts>
  <fonts count="11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220BF9"/>
      <name val="Calibri"/>
      <family val="2"/>
    </font>
    <font>
      <sz val="11"/>
      <color rgb="FF0000FF"/>
      <name val="Calibri"/>
      <family val="2"/>
    </font>
    <font>
      <sz val="11"/>
      <color rgb="FF00009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9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0" fontId="3" fillId="0" borderId="2" xfId="0" applyFont="1" applyBorder="1"/>
    <xf numFmtId="10" fontId="2" fillId="0" borderId="0" xfId="1" applyNumberFormat="1" applyFont="1"/>
    <xf numFmtId="0" fontId="0" fillId="0" borderId="3" xfId="0" applyBorder="1"/>
    <xf numFmtId="0" fontId="0" fillId="0" borderId="0" xfId="1" applyNumberFormat="1" applyFont="1"/>
    <xf numFmtId="1" fontId="0" fillId="0" borderId="0" xfId="1" applyNumberFormat="1" applyFont="1"/>
    <xf numFmtId="9" fontId="0" fillId="4" borderId="0" xfId="0" applyNumberFormat="1" applyFill="1"/>
    <xf numFmtId="164" fontId="0" fillId="4" borderId="0" xfId="1" applyNumberFormat="1" applyFont="1" applyFill="1"/>
    <xf numFmtId="9" fontId="0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1" fontId="3" fillId="0" borderId="2" xfId="0" applyNumberFormat="1" applyFont="1" applyBorder="1"/>
    <xf numFmtId="165" fontId="0" fillId="0" borderId="0" xfId="0" applyNumberFormat="1"/>
    <xf numFmtId="165" fontId="4" fillId="5" borderId="0" xfId="0" applyNumberFormat="1" applyFont="1" applyFill="1"/>
    <xf numFmtId="9" fontId="3" fillId="0" borderId="2" xfId="1" applyFont="1" applyBorder="1"/>
    <xf numFmtId="0" fontId="0" fillId="0" borderId="2" xfId="0" applyBorder="1"/>
    <xf numFmtId="0" fontId="4" fillId="0" borderId="0" xfId="0" applyFont="1"/>
    <xf numFmtId="0" fontId="0" fillId="6" borderId="0" xfId="0" applyFill="1"/>
    <xf numFmtId="9" fontId="0" fillId="6" borderId="0" xfId="1" applyFont="1" applyFill="1"/>
    <xf numFmtId="9" fontId="0" fillId="6" borderId="0" xfId="0" applyNumberFormat="1" applyFill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1" fontId="6" fillId="0" borderId="0" xfId="0" applyNumberFormat="1" applyFont="1"/>
    <xf numFmtId="9" fontId="6" fillId="6" borderId="0" xfId="1" applyFont="1" applyFill="1"/>
    <xf numFmtId="9" fontId="6" fillId="6" borderId="0" xfId="0" applyNumberFormat="1" applyFont="1" applyFill="1"/>
    <xf numFmtId="1" fontId="2" fillId="0" borderId="0" xfId="1" applyNumberFormat="1" applyFont="1"/>
    <xf numFmtId="1" fontId="2" fillId="0" borderId="0" xfId="0" applyNumberFormat="1" applyFont="1"/>
    <xf numFmtId="0" fontId="3" fillId="0" borderId="5" xfId="0" applyFont="1" applyBorder="1"/>
    <xf numFmtId="11" fontId="3" fillId="2" borderId="4" xfId="0" applyNumberFormat="1" applyFont="1" applyFill="1" applyBorder="1"/>
    <xf numFmtId="0" fontId="8" fillId="0" borderId="0" xfId="0" applyFont="1"/>
    <xf numFmtId="10" fontId="0" fillId="0" borderId="0" xfId="0" applyNumberFormat="1"/>
    <xf numFmtId="10" fontId="3" fillId="0" borderId="5" xfId="0" applyNumberFormat="1" applyFont="1" applyBorder="1"/>
    <xf numFmtId="0" fontId="4" fillId="5" borderId="0" xfId="0" applyFont="1" applyFill="1" applyAlignment="1">
      <alignment horizontal="center"/>
    </xf>
    <xf numFmtId="0" fontId="0" fillId="0" borderId="5" xfId="0" applyBorder="1"/>
    <xf numFmtId="10" fontId="9" fillId="0" borderId="0" xfId="1" applyNumberFormat="1" applyFont="1"/>
    <xf numFmtId="10" fontId="9" fillId="0" borderId="0" xfId="0" applyNumberFormat="1" applyFont="1"/>
    <xf numFmtId="10" fontId="0" fillId="2" borderId="5" xfId="0" applyNumberFormat="1" applyFill="1" applyBorder="1"/>
    <xf numFmtId="10" fontId="3" fillId="0" borderId="5" xfId="1" applyNumberFormat="1" applyFont="1" applyBorder="1"/>
    <xf numFmtId="10" fontId="2" fillId="0" borderId="0" xfId="1" applyNumberFormat="1" applyFont="1" applyBorder="1"/>
    <xf numFmtId="10" fontId="3" fillId="2" borderId="4" xfId="0" applyNumberFormat="1" applyFont="1" applyFill="1" applyBorder="1"/>
    <xf numFmtId="0" fontId="0" fillId="0" borderId="1" xfId="0" applyBorder="1"/>
    <xf numFmtId="0" fontId="4" fillId="5" borderId="0" xfId="0" applyFont="1" applyFill="1" applyAlignment="1">
      <alignment horizontal="left" vertical="top"/>
    </xf>
    <xf numFmtId="0" fontId="0" fillId="5" borderId="0" xfId="0" applyFill="1" applyAlignment="1">
      <alignment textRotation="90"/>
    </xf>
    <xf numFmtId="1" fontId="3" fillId="0" borderId="5" xfId="0" applyNumberFormat="1" applyFont="1" applyBorder="1"/>
    <xf numFmtId="10" fontId="10" fillId="0" borderId="0" xfId="0" applyNumberFormat="1" applyFont="1"/>
    <xf numFmtId="1" fontId="0" fillId="0" borderId="1" xfId="0" applyNumberFormat="1" applyBorder="1"/>
    <xf numFmtId="14" fontId="0" fillId="3" borderId="0" xfId="0" applyNumberFormat="1" applyFill="1"/>
    <xf numFmtId="1" fontId="0" fillId="7" borderId="0" xfId="0" applyNumberFormat="1" applyFill="1"/>
    <xf numFmtId="1" fontId="0" fillId="5" borderId="0" xfId="0" applyNumberFormat="1" applyFill="1"/>
    <xf numFmtId="10" fontId="0" fillId="7" borderId="0" xfId="1" applyNumberFormat="1" applyFont="1" applyFill="1"/>
    <xf numFmtId="10" fontId="0" fillId="7" borderId="0" xfId="1" applyNumberFormat="1" applyFont="1" applyFill="1" applyAlignment="1">
      <alignment horizontal="center"/>
    </xf>
    <xf numFmtId="2" fontId="0" fillId="0" borderId="0" xfId="1" applyNumberFormat="1" applyFont="1"/>
    <xf numFmtId="2" fontId="9" fillId="0" borderId="0" xfId="1" applyNumberFormat="1" applyFont="1" applyFill="1"/>
    <xf numFmtId="0" fontId="4" fillId="0" borderId="0" xfId="0" applyFont="1" applyAlignment="1">
      <alignment horizontal="left" vertical="top"/>
    </xf>
    <xf numFmtId="10" fontId="8" fillId="0" borderId="0" xfId="0" applyNumberFormat="1" applyFont="1"/>
    <xf numFmtId="0" fontId="0" fillId="0" borderId="0" xfId="0" applyAlignment="1">
      <alignment horizontal="left" indent="4"/>
    </xf>
    <xf numFmtId="0" fontId="0" fillId="0" borderId="2" xfId="0" applyBorder="1" applyAlignment="1">
      <alignment horizontal="left" indent="4"/>
    </xf>
    <xf numFmtId="0" fontId="3" fillId="8" borderId="5" xfId="0" applyFont="1" applyFill="1" applyBorder="1"/>
    <xf numFmtId="1" fontId="3" fillId="8" borderId="5" xfId="0" applyNumberFormat="1" applyFont="1" applyFill="1" applyBorder="1"/>
    <xf numFmtId="167" fontId="3" fillId="0" borderId="0" xfId="0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66"/>
      <color rgb="FF220BF9"/>
      <color rgb="FF000099"/>
      <color rgb="FF0000FF"/>
      <color rgb="FF0000CC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CFE8-4B14-418F-BD92-BDD220C04193}">
  <dimension ref="B2:R47"/>
  <sheetViews>
    <sheetView showGridLines="0" tabSelected="1" zoomScale="96" workbookViewId="0">
      <selection activeCell="J21" sqref="J21"/>
    </sheetView>
  </sheetViews>
  <sheetFormatPr defaultRowHeight="14.4" x14ac:dyDescent="0.3"/>
  <cols>
    <col min="1" max="1" width="4.5546875" customWidth="1"/>
    <col min="2" max="2" width="23.109375" customWidth="1"/>
    <col min="3" max="3" width="11.77734375" bestFit="1" customWidth="1"/>
    <col min="4" max="5" width="9.109375" bestFit="1" customWidth="1"/>
    <col min="6" max="6" width="8.88671875" customWidth="1"/>
    <col min="7" max="10" width="9.109375" bestFit="1" customWidth="1"/>
    <col min="11" max="11" width="9.5546875" bestFit="1" customWidth="1"/>
    <col min="12" max="12" width="9.109375" bestFit="1" customWidth="1"/>
    <col min="13" max="13" width="11.5546875" bestFit="1" customWidth="1"/>
    <col min="14" max="14" width="12.5546875" bestFit="1" customWidth="1"/>
    <col min="15" max="17" width="12.44140625" bestFit="1" customWidth="1"/>
    <col min="18" max="18" width="13.44140625" bestFit="1" customWidth="1"/>
  </cols>
  <sheetData>
    <row r="2" spans="2:18" x14ac:dyDescent="0.3">
      <c r="B2" t="s">
        <v>94</v>
      </c>
      <c r="C2" s="58">
        <v>45320</v>
      </c>
    </row>
    <row r="3" spans="2:18" ht="15.6" customHeight="1" x14ac:dyDescent="0.3"/>
    <row r="4" spans="2:18" ht="15.6" x14ac:dyDescent="0.3">
      <c r="B4" s="1" t="s">
        <v>0</v>
      </c>
    </row>
    <row r="6" spans="2:18" x14ac:dyDescent="0.3">
      <c r="B6" s="19" t="s">
        <v>42</v>
      </c>
      <c r="C6" s="19">
        <v>2014</v>
      </c>
      <c r="D6" s="19">
        <f>SUM(C6,1)</f>
        <v>2015</v>
      </c>
      <c r="E6" s="19">
        <f t="shared" ref="E6:M6" si="0">SUM(D6,1)</f>
        <v>2016</v>
      </c>
      <c r="F6" s="19">
        <f t="shared" si="0"/>
        <v>2017</v>
      </c>
      <c r="G6" s="19">
        <f t="shared" si="0"/>
        <v>2018</v>
      </c>
      <c r="H6" s="19">
        <f t="shared" si="0"/>
        <v>2019</v>
      </c>
      <c r="I6" s="19">
        <f t="shared" si="0"/>
        <v>2020</v>
      </c>
      <c r="J6" s="19">
        <f t="shared" si="0"/>
        <v>2021</v>
      </c>
      <c r="K6" s="19">
        <f t="shared" si="0"/>
        <v>2022</v>
      </c>
      <c r="L6" s="19">
        <f t="shared" si="0"/>
        <v>2023</v>
      </c>
      <c r="M6" s="19">
        <f t="shared" si="0"/>
        <v>2024</v>
      </c>
      <c r="N6" s="24">
        <f t="shared" ref="N6" si="1">SUM(M6,1)</f>
        <v>2025</v>
      </c>
      <c r="O6" s="24">
        <f t="shared" ref="O6" si="2">SUM(N6,1)</f>
        <v>2026</v>
      </c>
      <c r="P6" s="24">
        <f t="shared" ref="P6" si="3">SUM(O6,1)</f>
        <v>2027</v>
      </c>
      <c r="Q6" s="24">
        <f t="shared" ref="Q6" si="4">SUM(P6,1)</f>
        <v>2028</v>
      </c>
      <c r="R6" s="24">
        <f t="shared" ref="R6" si="5">SUM(Q6,1)</f>
        <v>2029</v>
      </c>
    </row>
    <row r="7" spans="2:18" x14ac:dyDescent="0.3">
      <c r="B7" t="s">
        <v>2</v>
      </c>
      <c r="C7" s="15">
        <f>'Income Statement'!D30</f>
        <v>4130</v>
      </c>
      <c r="D7" s="15">
        <f>'Income Statement'!E30</f>
        <v>4682</v>
      </c>
      <c r="E7" s="15">
        <f>'Income Statement'!F30</f>
        <v>5010</v>
      </c>
      <c r="F7" s="15">
        <f>'Income Statement'!G30</f>
        <v>6910</v>
      </c>
      <c r="G7" s="15">
        <f>'Income Statement'!H30</f>
        <v>9714</v>
      </c>
      <c r="H7" s="15">
        <f>'Income Statement'!I30</f>
        <v>11716</v>
      </c>
      <c r="I7" s="15">
        <f>'Income Statement'!J30</f>
        <v>10918</v>
      </c>
      <c r="J7" s="15">
        <f>'Income Statement'!K30</f>
        <v>16675</v>
      </c>
      <c r="K7" s="15">
        <f>'Income Statement'!L30</f>
        <v>26914</v>
      </c>
      <c r="L7" s="15">
        <f>'Income Statement'!M30</f>
        <v>26974</v>
      </c>
      <c r="M7" s="15">
        <f>'Income Statement'!N30</f>
        <v>60922</v>
      </c>
      <c r="N7" s="37">
        <f>'Income Statement'!O30</f>
        <v>86685.015534904393</v>
      </c>
      <c r="O7" s="37">
        <f>'Income Statement'!P30</f>
        <v>123342.83047645541</v>
      </c>
      <c r="P7" s="37">
        <f>'Income Statement'!Q30</f>
        <v>175502.69485523482</v>
      </c>
      <c r="Q7" s="37">
        <f>'Income Statement'!R30</f>
        <v>249720.196808109</v>
      </c>
      <c r="R7" s="37">
        <f>'Income Statement'!S30</f>
        <v>355323.18603608408</v>
      </c>
    </row>
    <row r="8" spans="2:18" x14ac:dyDescent="0.3">
      <c r="B8" t="s">
        <v>3</v>
      </c>
      <c r="C8" s="9">
        <f>'Income Statement'!D32</f>
        <v>496</v>
      </c>
      <c r="D8" s="9">
        <f>'Income Statement'!E32</f>
        <v>759</v>
      </c>
      <c r="E8" s="9">
        <f>'Income Statement'!F32</f>
        <v>747</v>
      </c>
      <c r="F8" s="9">
        <f>'Income Statement'!G32</f>
        <v>1934</v>
      </c>
      <c r="G8" s="9">
        <f>'Income Statement'!H32</f>
        <v>3210</v>
      </c>
      <c r="H8" s="9">
        <f>'Income Statement'!I32</f>
        <v>3804</v>
      </c>
      <c r="I8" s="9">
        <f>'Income Statement'!J32</f>
        <v>2846</v>
      </c>
      <c r="J8" s="9">
        <f>'Income Statement'!K32</f>
        <v>4532</v>
      </c>
      <c r="K8" s="9">
        <f>'Income Statement'!L32</f>
        <v>10041</v>
      </c>
      <c r="L8" s="9">
        <f>'Income Statement'!M32</f>
        <v>4224</v>
      </c>
      <c r="M8" s="9">
        <f>'Income Statement'!N32</f>
        <v>32972</v>
      </c>
      <c r="N8" s="38">
        <f>'Income Statement'!O32</f>
        <v>52011.009320942634</v>
      </c>
      <c r="O8" s="38">
        <f>'Income Statement'!P32</f>
        <v>74005.698285873237</v>
      </c>
      <c r="P8" s="38">
        <f>'Income Statement'!Q32</f>
        <v>114076.75165590264</v>
      </c>
      <c r="Q8" s="38">
        <f>'Income Statement'!R32</f>
        <v>162318.12792527085</v>
      </c>
      <c r="R8" s="38">
        <f>'Income Statement'!S32</f>
        <v>230960.07092345465</v>
      </c>
    </row>
    <row r="9" spans="2:18" x14ac:dyDescent="0.3">
      <c r="B9" t="s">
        <v>5</v>
      </c>
      <c r="C9" s="9">
        <f>'Income Statement'!D34</f>
        <v>70</v>
      </c>
      <c r="D9" s="9">
        <f>'Income Statement'!E34</f>
        <v>124</v>
      </c>
      <c r="E9" s="9">
        <f>'Income Statement'!F34</f>
        <v>129</v>
      </c>
      <c r="F9" s="9">
        <f>'Income Statement'!G34</f>
        <v>239</v>
      </c>
      <c r="G9" s="9">
        <f>'Income Statement'!H34</f>
        <v>149</v>
      </c>
      <c r="H9" s="9">
        <f>'Income Statement'!I34</f>
        <v>-245</v>
      </c>
      <c r="I9" s="9">
        <f>'Income Statement'!J34</f>
        <v>174</v>
      </c>
      <c r="J9" s="9">
        <f>'Income Statement'!K34</f>
        <v>77</v>
      </c>
      <c r="K9" s="9">
        <f>'Income Statement'!L34</f>
        <v>189</v>
      </c>
      <c r="L9" s="9">
        <f>'Income Statement'!M34</f>
        <v>-187</v>
      </c>
      <c r="M9" s="9">
        <f>'Income Statement'!N34</f>
        <v>4058</v>
      </c>
      <c r="N9" s="38">
        <f>'Income Statement'!O34</f>
        <v>6241.0750435976461</v>
      </c>
      <c r="O9" s="38">
        <f>'Income Statement'!P34</f>
        <v>8880.3336579358202</v>
      </c>
      <c r="P9" s="38">
        <f>'Income Statement'!Q34</f>
        <v>13688.670477841768</v>
      </c>
      <c r="Q9" s="38">
        <f>'Income Statement'!R34</f>
        <v>19477.40739016941</v>
      </c>
      <c r="R9" s="38">
        <f>'Income Statement'!S34</f>
        <v>27714.11579062567</v>
      </c>
    </row>
    <row r="10" spans="2:18" x14ac:dyDescent="0.3">
      <c r="B10" t="s">
        <v>20</v>
      </c>
      <c r="C10" s="9">
        <f>'Income Statement'!D36</f>
        <v>244</v>
      </c>
      <c r="D10" s="9">
        <f>'Income Statement'!E36</f>
        <v>248</v>
      </c>
      <c r="E10" s="9">
        <f>'Income Statement'!F36</f>
        <v>226</v>
      </c>
      <c r="F10" s="9">
        <f>'Income Statement'!G36</f>
        <v>187</v>
      </c>
      <c r="G10" s="9">
        <f>'Income Statement'!H36</f>
        <v>199</v>
      </c>
      <c r="H10" s="9">
        <f>'Income Statement'!I36</f>
        <v>262</v>
      </c>
      <c r="I10" s="9">
        <f>'Income Statement'!J36</f>
        <v>381</v>
      </c>
      <c r="J10" s="9">
        <f>'Income Statement'!K36</f>
        <v>1098</v>
      </c>
      <c r="K10" s="9">
        <f>'Income Statement'!L36</f>
        <v>1174</v>
      </c>
      <c r="L10" s="9">
        <f>'Income Statement'!M36</f>
        <v>1544</v>
      </c>
      <c r="M10" s="9">
        <f>'Income Statement'!N36</f>
        <v>1508</v>
      </c>
      <c r="N10" s="38">
        <f>'Income Statement'!O36</f>
        <v>3467.4006213961757</v>
      </c>
      <c r="O10" s="38">
        <f>'Income Statement'!P36</f>
        <v>4933.7132190582161</v>
      </c>
      <c r="P10" s="38">
        <f>'Income Statement'!Q36</f>
        <v>7020.1077942093925</v>
      </c>
      <c r="Q10" s="38">
        <f>'Income Statement'!R36</f>
        <v>9988.8078723243598</v>
      </c>
      <c r="R10" s="38">
        <f>'Income Statement'!S36</f>
        <v>14212.927441443364</v>
      </c>
    </row>
    <row r="11" spans="2:18" x14ac:dyDescent="0.3">
      <c r="B11" t="s">
        <v>21</v>
      </c>
      <c r="C11" s="9">
        <f>'Balance Sheet'!D24</f>
        <v>250.74</v>
      </c>
      <c r="D11" s="9">
        <f>'Balance Sheet'!E24</f>
        <v>222.26</v>
      </c>
      <c r="E11" s="9">
        <f>'Balance Sheet'!F24</f>
        <v>135</v>
      </c>
      <c r="F11" s="9">
        <f>'Balance Sheet'!G24</f>
        <v>242</v>
      </c>
      <c r="G11" s="9">
        <f>'Balance Sheet'!H24</f>
        <v>675</v>
      </c>
      <c r="H11" s="9">
        <f>'Balance Sheet'!I24</f>
        <v>669</v>
      </c>
      <c r="I11" s="9">
        <f>'Balance Sheet'!J24</f>
        <v>651</v>
      </c>
      <c r="J11" s="9">
        <f>'Balance Sheet'!K24</f>
        <v>1573</v>
      </c>
      <c r="K11" s="9">
        <f>'Balance Sheet'!L24</f>
        <v>1803</v>
      </c>
      <c r="L11" s="9">
        <f>'Balance Sheet'!M24</f>
        <v>2573</v>
      </c>
      <c r="M11" s="9">
        <f>'Balance Sheet'!N24</f>
        <v>1615</v>
      </c>
      <c r="N11" s="38">
        <f>'Balance Sheet'!O24</f>
        <v>5040.2398482990848</v>
      </c>
      <c r="O11" s="38">
        <f>'Balance Sheet'!P24</f>
        <v>7400.5698285873241</v>
      </c>
      <c r="P11" s="38">
        <f>'Balance Sheet'!Q24</f>
        <v>10530.161691314088</v>
      </c>
      <c r="Q11" s="38">
        <f>'Balance Sheet'!R24</f>
        <v>14983.21180848654</v>
      </c>
      <c r="R11" s="38">
        <f>'Balance Sheet'!S24</f>
        <v>21319.391162165044</v>
      </c>
    </row>
    <row r="12" spans="2:18" ht="15" thickBot="1" x14ac:dyDescent="0.35">
      <c r="B12" t="s">
        <v>22</v>
      </c>
      <c r="C12" s="9">
        <f>'Balance Sheet'!D31</f>
        <v>194</v>
      </c>
      <c r="D12" s="9">
        <f>'Balance Sheet'!E31</f>
        <v>186.59500000000014</v>
      </c>
      <c r="E12" s="9">
        <f>'Balance Sheet'!F31</f>
        <v>-1529</v>
      </c>
      <c r="F12" s="9">
        <f>'Balance Sheet'!G31</f>
        <v>1285</v>
      </c>
      <c r="G12" s="9">
        <f>'Balance Sheet'!H31</f>
        <v>1044</v>
      </c>
      <c r="H12" s="9">
        <f>'Balance Sheet'!I31</f>
        <v>812</v>
      </c>
      <c r="I12" s="9">
        <f>'Balance Sheet'!J31</f>
        <v>-797</v>
      </c>
      <c r="J12" s="9">
        <f>'Balance Sheet'!K31</f>
        <v>-1510</v>
      </c>
      <c r="K12" s="9">
        <f>'Balance Sheet'!L31</f>
        <v>3787</v>
      </c>
      <c r="L12" s="9">
        <f>'Balance Sheet'!M31</f>
        <v>3471</v>
      </c>
      <c r="M12" s="9">
        <f>'Balance Sheet'!N31</f>
        <v>-8624</v>
      </c>
      <c r="N12" s="38">
        <f>'Balance Sheet'!O31</f>
        <v>14150.890127938117</v>
      </c>
      <c r="O12" s="38">
        <f>'Balance Sheet'!P31</f>
        <v>4984.1061387656409</v>
      </c>
      <c r="P12" s="38">
        <f>'Balance Sheet'!Q31</f>
        <v>7302.381013029124</v>
      </c>
      <c r="Q12" s="38">
        <f>'Balance Sheet'!R31</f>
        <v>10390.450273402381</v>
      </c>
      <c r="R12" s="38">
        <f>'Balance Sheet'!S31</f>
        <v>14784.418491916513</v>
      </c>
    </row>
    <row r="13" spans="2:18" x14ac:dyDescent="0.3">
      <c r="B13" s="11" t="s">
        <v>52</v>
      </c>
      <c r="C13" s="22">
        <f t="shared" ref="C13:I13" si="6">C8-C9+C10-C11-C12</f>
        <v>225.26</v>
      </c>
      <c r="D13" s="22">
        <f t="shared" si="6"/>
        <v>474.14499999999987</v>
      </c>
      <c r="E13" s="22">
        <f t="shared" si="6"/>
        <v>2238</v>
      </c>
      <c r="F13" s="22">
        <f t="shared" si="6"/>
        <v>355</v>
      </c>
      <c r="G13" s="22">
        <f t="shared" si="6"/>
        <v>1541</v>
      </c>
      <c r="H13" s="22">
        <f t="shared" si="6"/>
        <v>2830</v>
      </c>
      <c r="I13" s="22">
        <f t="shared" si="6"/>
        <v>3199</v>
      </c>
      <c r="J13" s="22">
        <f t="shared" ref="J13:R13" si="7">J8-J9+J10-J11-J12</f>
        <v>5490</v>
      </c>
      <c r="K13" s="22">
        <f t="shared" si="7"/>
        <v>5436</v>
      </c>
      <c r="L13" s="22">
        <f t="shared" si="7"/>
        <v>-89</v>
      </c>
      <c r="M13" s="22">
        <f t="shared" si="7"/>
        <v>37431</v>
      </c>
      <c r="N13" s="22">
        <f t="shared" si="7"/>
        <v>30046.204922503966</v>
      </c>
      <c r="O13" s="22">
        <f t="shared" si="7"/>
        <v>57674.401879642668</v>
      </c>
      <c r="P13" s="22">
        <f t="shared" si="7"/>
        <v>89575.646267927063</v>
      </c>
      <c r="Q13" s="22">
        <f t="shared" si="7"/>
        <v>127455.86632553686</v>
      </c>
      <c r="R13" s="22">
        <f t="shared" si="7"/>
        <v>181355.07292019081</v>
      </c>
    </row>
    <row r="15" spans="2:18" x14ac:dyDescent="0.3">
      <c r="N15" s="8"/>
    </row>
    <row r="16" spans="2:18" x14ac:dyDescent="0.3">
      <c r="B16" t="s">
        <v>93</v>
      </c>
      <c r="N16" s="8">
        <f>1</f>
        <v>1</v>
      </c>
      <c r="O16" s="8">
        <f>N16+1</f>
        <v>2</v>
      </c>
      <c r="P16" s="8">
        <f t="shared" ref="P16:Q16" si="8">O16+1</f>
        <v>3</v>
      </c>
      <c r="Q16" s="8">
        <f t="shared" si="8"/>
        <v>4</v>
      </c>
      <c r="R16" s="8">
        <f>Q16+1</f>
        <v>5</v>
      </c>
    </row>
    <row r="17" spans="2:18" ht="15" thickBot="1" x14ac:dyDescent="0.35">
      <c r="B17" s="39" t="s">
        <v>79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55">
        <f t="shared" ref="N17" si="9">N13/(1+$C$23)^N16</f>
        <v>27444.658914702577</v>
      </c>
      <c r="O17" s="55">
        <f t="shared" ref="O17" si="10">O13/(1+$C$23)^O16</f>
        <v>48119.324808196689</v>
      </c>
      <c r="P17" s="55">
        <f>P13/(1+$C$23)^P16</f>
        <v>68264.44890065497</v>
      </c>
      <c r="Q17" s="55">
        <f>Q13/(1+$C$23)^Q16</f>
        <v>88722.277240786294</v>
      </c>
      <c r="R17" s="55">
        <f>R13/(1+$C$23)^R16</f>
        <v>115311.00895938562</v>
      </c>
    </row>
    <row r="20" spans="2:18" x14ac:dyDescent="0.3">
      <c r="B20" s="19" t="s">
        <v>80</v>
      </c>
      <c r="C20" s="21"/>
      <c r="L20" s="53"/>
      <c r="M20" s="53"/>
      <c r="N20" s="53"/>
      <c r="O20" s="53" t="s">
        <v>96</v>
      </c>
      <c r="P20" s="53"/>
      <c r="Q20" s="53"/>
      <c r="R20" s="53"/>
    </row>
    <row r="21" spans="2:18" x14ac:dyDescent="0.3">
      <c r="B21" t="s">
        <v>81</v>
      </c>
      <c r="C21" s="9">
        <f>SUM(N17:R17)</f>
        <v>347861.71882372617</v>
      </c>
      <c r="K21" s="65" t="s">
        <v>90</v>
      </c>
    </row>
    <row r="22" spans="2:18" x14ac:dyDescent="0.3">
      <c r="B22" t="s">
        <v>82</v>
      </c>
      <c r="C22" s="56">
        <v>3.1300000000000001E-2</v>
      </c>
      <c r="N22" s="19" t="s">
        <v>91</v>
      </c>
      <c r="O22" s="19"/>
      <c r="P22" s="19"/>
      <c r="Q22" s="19"/>
      <c r="R22" s="19"/>
    </row>
    <row r="23" spans="2:18" x14ac:dyDescent="0.3">
      <c r="B23" t="s">
        <v>4</v>
      </c>
      <c r="C23" s="42">
        <f>WACC!C19</f>
        <v>9.4792433598353085E-2</v>
      </c>
      <c r="E23" s="42"/>
      <c r="M23" s="7">
        <f>C31</f>
        <v>630.07924681583313</v>
      </c>
      <c r="N23" s="62">
        <f>O23-1%</f>
        <v>1.1299999999999999E-2</v>
      </c>
      <c r="O23" s="62">
        <f>P23-1%</f>
        <v>2.1299999999999999E-2</v>
      </c>
      <c r="P23" s="62">
        <v>3.1300000000000001E-2</v>
      </c>
      <c r="Q23" s="62">
        <f>P23+1%</f>
        <v>4.1300000000000003E-2</v>
      </c>
      <c r="R23" s="62">
        <f>Q23+1%</f>
        <v>5.1300000000000005E-2</v>
      </c>
    </row>
    <row r="24" spans="2:18" x14ac:dyDescent="0.3">
      <c r="B24" t="s">
        <v>83</v>
      </c>
      <c r="C24" s="9">
        <f>(R17*(1+C22)/(C23-C22))</f>
        <v>1872982.9178086356</v>
      </c>
      <c r="L24" s="21"/>
      <c r="M24" s="61">
        <f>M25-0.5%</f>
        <v>8.4792433598353076E-2</v>
      </c>
      <c r="N24" s="9">
        <f t="dataTable" ref="N24:R28" dt2D="1" dtr="1" r1="C22" r2="C23"/>
        <v>600.39637473125651</v>
      </c>
      <c r="O24" s="9">
        <v>676.09711471031062</v>
      </c>
      <c r="P24" s="9">
        <v>780.10119962500642</v>
      </c>
      <c r="Q24" s="9">
        <v>931.93157353293702</v>
      </c>
      <c r="R24" s="9">
        <v>1174.4274247416254</v>
      </c>
    </row>
    <row r="25" spans="2:18" x14ac:dyDescent="0.3">
      <c r="B25" t="s">
        <v>84</v>
      </c>
      <c r="C25" s="9">
        <f>C24/(1+C23)^R16</f>
        <v>1190898.86231775</v>
      </c>
      <c r="L25" s="21"/>
      <c r="M25" s="61">
        <f>M26-0.5%</f>
        <v>8.979243359835308E-2</v>
      </c>
      <c r="N25" s="9">
        <v>550.58316092363452</v>
      </c>
      <c r="O25" s="59">
        <v>613.62372155721948</v>
      </c>
      <c r="P25" s="59">
        <v>698.21939855558503</v>
      </c>
      <c r="Q25" s="59">
        <v>817.70533398026248</v>
      </c>
      <c r="R25" s="9">
        <v>999.27408634057247</v>
      </c>
    </row>
    <row r="26" spans="2:18" x14ac:dyDescent="0.3">
      <c r="B26" t="s">
        <v>85</v>
      </c>
      <c r="C26" s="9">
        <f>C25+C21</f>
        <v>1538760.5811414761</v>
      </c>
      <c r="L26" s="19" t="s">
        <v>92</v>
      </c>
      <c r="M26" s="61">
        <v>9.4792433598353085E-2</v>
      </c>
      <c r="N26" s="9">
        <v>507.37506320279078</v>
      </c>
      <c r="O26" s="59">
        <v>560.37907224723892</v>
      </c>
      <c r="P26" s="60">
        <v>630.07924681583313</v>
      </c>
      <c r="Q26" s="59">
        <v>725.83924700086391</v>
      </c>
      <c r="R26" s="9">
        <v>865.63449298030628</v>
      </c>
    </row>
    <row r="27" spans="2:18" x14ac:dyDescent="0.3">
      <c r="B27" t="s">
        <v>86</v>
      </c>
      <c r="C27">
        <f>'Balance Sheet'!N6</f>
        <v>25984</v>
      </c>
      <c r="L27" s="21"/>
      <c r="M27" s="61">
        <f>M26+0.5%</f>
        <v>9.9792433598353089E-2</v>
      </c>
      <c r="N27" s="9">
        <v>469.61632639688855</v>
      </c>
      <c r="O27" s="59">
        <v>514.55849997339283</v>
      </c>
      <c r="P27" s="59">
        <v>572.62392562765228</v>
      </c>
      <c r="Q27" s="59">
        <v>650.54334677574741</v>
      </c>
      <c r="R27" s="9">
        <v>760.59950158149968</v>
      </c>
    </row>
    <row r="28" spans="2:18" x14ac:dyDescent="0.3">
      <c r="B28" t="s">
        <v>87</v>
      </c>
      <c r="C28">
        <f>'Balance Sheet'!N17+'Balance Sheet'!N15</f>
        <v>9709</v>
      </c>
      <c r="L28" s="54"/>
      <c r="M28" s="61">
        <f>M27+0.5%</f>
        <v>0.10479243359835309</v>
      </c>
      <c r="N28" s="9">
        <v>436.400550951242</v>
      </c>
      <c r="O28" s="9">
        <v>474.79202148534313</v>
      </c>
      <c r="P28" s="9">
        <v>523.63122620223555</v>
      </c>
      <c r="Q28" s="9">
        <v>587.85469072742046</v>
      </c>
      <c r="R28" s="9">
        <v>676.09032303222307</v>
      </c>
    </row>
    <row r="29" spans="2:18" x14ac:dyDescent="0.3">
      <c r="B29" s="52" t="s">
        <v>88</v>
      </c>
      <c r="C29" s="57">
        <f>C26+C27-C28</f>
        <v>1555035.5811414761</v>
      </c>
    </row>
    <row r="30" spans="2:18" x14ac:dyDescent="0.3">
      <c r="B30" s="52" t="s">
        <v>89</v>
      </c>
      <c r="C30" s="52">
        <v>2468</v>
      </c>
    </row>
    <row r="31" spans="2:18" ht="15" thickBot="1" x14ac:dyDescent="0.35">
      <c r="B31" s="69" t="s">
        <v>80</v>
      </c>
      <c r="C31" s="70">
        <f>C29/C30</f>
        <v>630.07924681583313</v>
      </c>
    </row>
    <row r="32" spans="2:18" x14ac:dyDescent="0.3">
      <c r="C32" s="9"/>
    </row>
    <row r="36" spans="2:3" x14ac:dyDescent="0.3">
      <c r="B36" s="27"/>
      <c r="C36" s="27"/>
    </row>
    <row r="37" spans="2:3" x14ac:dyDescent="0.3">
      <c r="C37" s="9"/>
    </row>
    <row r="38" spans="2:3" x14ac:dyDescent="0.3">
      <c r="C38" s="42"/>
    </row>
    <row r="39" spans="2:3" x14ac:dyDescent="0.3">
      <c r="C39" s="42"/>
    </row>
    <row r="40" spans="2:3" x14ac:dyDescent="0.3">
      <c r="C40" s="9"/>
    </row>
    <row r="41" spans="2:3" x14ac:dyDescent="0.3">
      <c r="C41" s="9"/>
    </row>
    <row r="42" spans="2:3" x14ac:dyDescent="0.3">
      <c r="C42" s="9"/>
    </row>
    <row r="45" spans="2:3" x14ac:dyDescent="0.3">
      <c r="C45" s="9"/>
    </row>
    <row r="47" spans="2:3" x14ac:dyDescent="0.3">
      <c r="B47" s="2"/>
      <c r="C47" s="10"/>
    </row>
  </sheetData>
  <conditionalFormatting sqref="B21:B32">
    <cfRule type="duplicateValues" dxfId="1" priority="2"/>
  </conditionalFormatting>
  <conditionalFormatting sqref="B37:B4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E9FB-1296-41C6-A195-AC4F45D31D6D}">
  <dimension ref="B2:S40"/>
  <sheetViews>
    <sheetView topLeftCell="A13" workbookViewId="0">
      <selection activeCell="E22" sqref="E22"/>
    </sheetView>
  </sheetViews>
  <sheetFormatPr defaultRowHeight="14.4" x14ac:dyDescent="0.3"/>
  <cols>
    <col min="1" max="1" width="12.21875" customWidth="1"/>
    <col min="2" max="2" width="18.33203125" customWidth="1"/>
    <col min="3" max="3" width="11.21875" customWidth="1"/>
  </cols>
  <sheetData>
    <row r="2" spans="2:14" x14ac:dyDescent="0.3">
      <c r="B2" t="s">
        <v>12</v>
      </c>
    </row>
    <row r="3" spans="2:14" x14ac:dyDescent="0.3">
      <c r="B3" s="19" t="s">
        <v>11</v>
      </c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2:14" x14ac:dyDescent="0.3">
      <c r="B4" s="19" t="s">
        <v>14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14" x14ac:dyDescent="0.3">
      <c r="B5" s="20"/>
      <c r="C5" s="19">
        <v>2013</v>
      </c>
      <c r="D5" s="19">
        <v>2014</v>
      </c>
      <c r="E5" s="19">
        <f>SUM(D5+1)</f>
        <v>2015</v>
      </c>
      <c r="F5" s="19">
        <f t="shared" ref="F5:N5" si="0">SUM(E5+1)</f>
        <v>2016</v>
      </c>
      <c r="G5" s="19">
        <f t="shared" si="0"/>
        <v>2017</v>
      </c>
      <c r="H5" s="19">
        <f t="shared" si="0"/>
        <v>2018</v>
      </c>
      <c r="I5" s="19">
        <f t="shared" si="0"/>
        <v>2019</v>
      </c>
      <c r="J5" s="19">
        <f t="shared" si="0"/>
        <v>2020</v>
      </c>
      <c r="K5" s="19">
        <f t="shared" si="0"/>
        <v>2021</v>
      </c>
      <c r="L5" s="19">
        <f t="shared" si="0"/>
        <v>2022</v>
      </c>
      <c r="M5" s="19">
        <f t="shared" si="0"/>
        <v>2023</v>
      </c>
      <c r="N5" s="19">
        <f t="shared" si="0"/>
        <v>2024</v>
      </c>
    </row>
    <row r="6" spans="2:14" x14ac:dyDescent="0.3">
      <c r="B6" s="2" t="s">
        <v>2</v>
      </c>
      <c r="C6" s="2">
        <v>4280</v>
      </c>
      <c r="D6" s="2">
        <v>4130</v>
      </c>
      <c r="E6" s="2">
        <v>4682</v>
      </c>
      <c r="F6" s="2">
        <v>5010</v>
      </c>
      <c r="G6" s="2">
        <v>6910</v>
      </c>
      <c r="H6" s="2">
        <v>9714</v>
      </c>
      <c r="I6" s="2">
        <v>11716</v>
      </c>
      <c r="J6" s="2">
        <v>10918</v>
      </c>
      <c r="K6" s="2">
        <v>16675</v>
      </c>
      <c r="L6" s="2">
        <v>26914</v>
      </c>
      <c r="M6" s="2">
        <v>26974</v>
      </c>
      <c r="N6" s="2">
        <v>60922</v>
      </c>
    </row>
    <row r="7" spans="2:14" ht="15" thickBot="1" x14ac:dyDescent="0.35">
      <c r="B7" t="s">
        <v>9</v>
      </c>
      <c r="D7">
        <v>1862</v>
      </c>
      <c r="E7">
        <v>2083</v>
      </c>
      <c r="F7">
        <v>2199</v>
      </c>
      <c r="G7">
        <v>2847</v>
      </c>
      <c r="H7">
        <v>3892</v>
      </c>
      <c r="I7">
        <v>4545</v>
      </c>
      <c r="J7">
        <v>4150</v>
      </c>
      <c r="K7">
        <v>6279</v>
      </c>
      <c r="L7">
        <v>9439</v>
      </c>
      <c r="M7">
        <v>11618</v>
      </c>
      <c r="N7">
        <v>16621</v>
      </c>
    </row>
    <row r="8" spans="2:14" x14ac:dyDescent="0.3">
      <c r="B8" s="26" t="s">
        <v>59</v>
      </c>
      <c r="C8" s="26"/>
      <c r="D8" s="26">
        <f>D6-D7</f>
        <v>2268</v>
      </c>
      <c r="E8" s="26">
        <f t="shared" ref="E8:N8" si="1">E6-E7</f>
        <v>2599</v>
      </c>
      <c r="F8" s="26">
        <f t="shared" si="1"/>
        <v>2811</v>
      </c>
      <c r="G8" s="26">
        <f t="shared" si="1"/>
        <v>4063</v>
      </c>
      <c r="H8" s="26">
        <f t="shared" si="1"/>
        <v>5822</v>
      </c>
      <c r="I8" s="26">
        <f t="shared" si="1"/>
        <v>7171</v>
      </c>
      <c r="J8" s="26">
        <f t="shared" si="1"/>
        <v>6768</v>
      </c>
      <c r="K8" s="26">
        <f t="shared" si="1"/>
        <v>10396</v>
      </c>
      <c r="L8" s="26">
        <f t="shared" si="1"/>
        <v>17475</v>
      </c>
      <c r="M8" s="26">
        <f t="shared" si="1"/>
        <v>15356</v>
      </c>
      <c r="N8" s="26">
        <f t="shared" si="1"/>
        <v>44301</v>
      </c>
    </row>
    <row r="9" spans="2:14" x14ac:dyDescent="0.3">
      <c r="B9" t="s">
        <v>10</v>
      </c>
      <c r="D9">
        <v>1336</v>
      </c>
      <c r="E9">
        <v>1360</v>
      </c>
      <c r="F9">
        <v>1331</v>
      </c>
      <c r="G9">
        <v>1463</v>
      </c>
      <c r="H9">
        <v>1797</v>
      </c>
      <c r="I9">
        <v>2376</v>
      </c>
      <c r="J9">
        <v>2829</v>
      </c>
      <c r="K9">
        <v>3924</v>
      </c>
      <c r="L9">
        <v>5268</v>
      </c>
      <c r="M9">
        <v>7339</v>
      </c>
      <c r="N9">
        <v>8675</v>
      </c>
    </row>
    <row r="10" spans="2:14" x14ac:dyDescent="0.3">
      <c r="B10" t="s">
        <v>8</v>
      </c>
      <c r="D10">
        <v>436</v>
      </c>
      <c r="E10">
        <v>480</v>
      </c>
      <c r="F10">
        <v>602</v>
      </c>
      <c r="G10">
        <v>663</v>
      </c>
      <c r="H10">
        <v>815</v>
      </c>
      <c r="I10">
        <v>991</v>
      </c>
      <c r="J10">
        <v>1093</v>
      </c>
      <c r="K10">
        <v>1940</v>
      </c>
      <c r="L10">
        <v>2166</v>
      </c>
      <c r="M10">
        <v>2440</v>
      </c>
      <c r="N10">
        <v>2654</v>
      </c>
    </row>
    <row r="11" spans="2:14" ht="15" thickBot="1" x14ac:dyDescent="0.35">
      <c r="B11" t="s">
        <v>55</v>
      </c>
      <c r="D11">
        <v>1772</v>
      </c>
      <c r="E11">
        <v>1840</v>
      </c>
      <c r="F11">
        <v>2064</v>
      </c>
      <c r="G11">
        <v>2129</v>
      </c>
      <c r="H11">
        <v>2612</v>
      </c>
      <c r="I11">
        <v>3367</v>
      </c>
      <c r="J11">
        <v>3922</v>
      </c>
      <c r="K11">
        <v>5864</v>
      </c>
      <c r="L11">
        <v>7434</v>
      </c>
      <c r="M11">
        <v>11132</v>
      </c>
      <c r="N11">
        <v>11329</v>
      </c>
    </row>
    <row r="12" spans="2:14" x14ac:dyDescent="0.3">
      <c r="B12" s="11" t="s">
        <v>13</v>
      </c>
      <c r="C12" s="11"/>
      <c r="D12" s="11">
        <v>496</v>
      </c>
      <c r="E12" s="11">
        <v>759</v>
      </c>
      <c r="F12" s="11">
        <v>747</v>
      </c>
      <c r="G12" s="11">
        <v>1934</v>
      </c>
      <c r="H12" s="11">
        <v>3210</v>
      </c>
      <c r="I12" s="11">
        <v>3804</v>
      </c>
      <c r="J12" s="11">
        <v>2846</v>
      </c>
      <c r="K12" s="11">
        <v>4532</v>
      </c>
      <c r="L12" s="11">
        <v>10041</v>
      </c>
      <c r="M12" s="11">
        <v>4224</v>
      </c>
      <c r="N12" s="11">
        <v>32972</v>
      </c>
    </row>
    <row r="13" spans="2:14" x14ac:dyDescent="0.3">
      <c r="B13" t="s">
        <v>56</v>
      </c>
      <c r="D13" s="67" t="s">
        <v>60</v>
      </c>
      <c r="E13" s="67" t="s">
        <v>60</v>
      </c>
      <c r="F13" s="67" t="s">
        <v>60</v>
      </c>
      <c r="G13" s="67" t="s">
        <v>60</v>
      </c>
      <c r="H13" s="67" t="s">
        <v>60</v>
      </c>
      <c r="I13" s="67" t="s">
        <v>60</v>
      </c>
      <c r="J13">
        <v>178</v>
      </c>
      <c r="K13">
        <v>57</v>
      </c>
      <c r="L13">
        <v>29</v>
      </c>
      <c r="M13">
        <v>267</v>
      </c>
      <c r="N13">
        <v>866</v>
      </c>
    </row>
    <row r="14" spans="2:14" ht="15" thickBot="1" x14ac:dyDescent="0.35">
      <c r="B14" t="s">
        <v>57</v>
      </c>
      <c r="D14" s="67" t="s">
        <v>60</v>
      </c>
      <c r="E14" s="67" t="s">
        <v>60</v>
      </c>
      <c r="F14" s="67" t="s">
        <v>60</v>
      </c>
      <c r="G14" s="67" t="s">
        <v>60</v>
      </c>
      <c r="H14" s="67" t="s">
        <v>60</v>
      </c>
      <c r="I14" s="67" t="s">
        <v>60</v>
      </c>
      <c r="J14">
        <v>-52</v>
      </c>
      <c r="K14">
        <v>-184</v>
      </c>
      <c r="L14">
        <v>-256</v>
      </c>
      <c r="M14">
        <v>-257</v>
      </c>
      <c r="N14">
        <v>-262</v>
      </c>
    </row>
    <row r="15" spans="2:14" x14ac:dyDescent="0.3">
      <c r="B15" s="11" t="s">
        <v>58</v>
      </c>
      <c r="C15" s="11"/>
      <c r="D15" s="68" t="s">
        <v>60</v>
      </c>
      <c r="E15" s="68" t="s">
        <v>60</v>
      </c>
      <c r="F15" s="68" t="s">
        <v>60</v>
      </c>
      <c r="G15" s="68" t="s">
        <v>60</v>
      </c>
      <c r="H15" s="68" t="s">
        <v>60</v>
      </c>
      <c r="I15" s="68" t="s">
        <v>60</v>
      </c>
      <c r="J15" s="11">
        <f>J13+J14</f>
        <v>126</v>
      </c>
      <c r="K15" s="11">
        <f t="shared" ref="K15:N15" si="2">K13+K14</f>
        <v>-127</v>
      </c>
      <c r="L15" s="11">
        <f t="shared" si="2"/>
        <v>-227</v>
      </c>
      <c r="M15" s="11">
        <f t="shared" si="2"/>
        <v>10</v>
      </c>
      <c r="N15" s="11">
        <f t="shared" si="2"/>
        <v>604</v>
      </c>
    </row>
    <row r="16" spans="2:14" x14ac:dyDescent="0.3">
      <c r="B16" t="s">
        <v>15</v>
      </c>
      <c r="D16">
        <v>510</v>
      </c>
      <c r="E16">
        <v>755</v>
      </c>
      <c r="F16">
        <v>743</v>
      </c>
      <c r="G16">
        <v>1905</v>
      </c>
      <c r="H16">
        <v>3196</v>
      </c>
      <c r="I16">
        <v>3896</v>
      </c>
      <c r="J16">
        <v>2970</v>
      </c>
      <c r="K16">
        <v>4409</v>
      </c>
      <c r="L16">
        <v>9941</v>
      </c>
      <c r="M16">
        <v>4181</v>
      </c>
      <c r="N16">
        <v>33818</v>
      </c>
    </row>
    <row r="17" spans="2:19" x14ac:dyDescent="0.3">
      <c r="B17" t="s">
        <v>16</v>
      </c>
      <c r="D17">
        <v>70</v>
      </c>
      <c r="E17">
        <v>124</v>
      </c>
      <c r="F17">
        <v>129</v>
      </c>
      <c r="G17">
        <v>239</v>
      </c>
      <c r="H17">
        <v>149</v>
      </c>
      <c r="I17">
        <v>-245</v>
      </c>
      <c r="J17">
        <v>174</v>
      </c>
      <c r="K17">
        <v>77</v>
      </c>
      <c r="L17">
        <v>189</v>
      </c>
      <c r="M17">
        <v>-187</v>
      </c>
      <c r="N17">
        <v>4058</v>
      </c>
    </row>
    <row r="18" spans="2:19" ht="15" thickBot="1" x14ac:dyDescent="0.35">
      <c r="B18" s="13" t="s">
        <v>7</v>
      </c>
      <c r="C18" s="13"/>
      <c r="D18" s="13">
        <v>440</v>
      </c>
      <c r="E18" s="13">
        <v>631</v>
      </c>
      <c r="F18" s="13">
        <v>614</v>
      </c>
      <c r="G18" s="13">
        <v>1666</v>
      </c>
      <c r="H18" s="13">
        <v>3047</v>
      </c>
      <c r="I18" s="13">
        <v>4141</v>
      </c>
      <c r="J18" s="13">
        <v>2796</v>
      </c>
      <c r="K18" s="13">
        <v>4332</v>
      </c>
      <c r="L18" s="13">
        <v>9752</v>
      </c>
      <c r="M18" s="13">
        <v>4368</v>
      </c>
      <c r="N18" s="13">
        <v>29760</v>
      </c>
    </row>
    <row r="19" spans="2:19" x14ac:dyDescent="0.3">
      <c r="B19" s="11" t="s">
        <v>18</v>
      </c>
      <c r="C19" s="11"/>
      <c r="D19" s="25">
        <f t="shared" ref="D19:N19" si="3">(D17/D16)</f>
        <v>0.13725490196078433</v>
      </c>
      <c r="E19" s="25">
        <f t="shared" si="3"/>
        <v>0.16423841059602648</v>
      </c>
      <c r="F19" s="25">
        <f t="shared" si="3"/>
        <v>0.17362045760430686</v>
      </c>
      <c r="G19" s="25">
        <f t="shared" si="3"/>
        <v>0.12545931758530185</v>
      </c>
      <c r="H19" s="25">
        <f t="shared" si="3"/>
        <v>4.6620775969962454E-2</v>
      </c>
      <c r="I19" s="25">
        <f t="shared" si="3"/>
        <v>-6.2885010266940447E-2</v>
      </c>
      <c r="J19" s="25">
        <f t="shared" si="3"/>
        <v>5.8585858585858588E-2</v>
      </c>
      <c r="K19" s="25">
        <f t="shared" si="3"/>
        <v>1.7464277613971423E-2</v>
      </c>
      <c r="L19" s="25">
        <f t="shared" si="3"/>
        <v>1.9012171813700834E-2</v>
      </c>
      <c r="M19" s="25">
        <f t="shared" si="3"/>
        <v>-4.4726142071274816E-2</v>
      </c>
      <c r="N19" s="25">
        <f t="shared" si="3"/>
        <v>0.1199952687917677</v>
      </c>
    </row>
    <row r="20" spans="2:19" x14ac:dyDescent="0.3">
      <c r="B20" t="s">
        <v>6</v>
      </c>
      <c r="D20">
        <v>740</v>
      </c>
      <c r="E20">
        <v>1007</v>
      </c>
      <c r="F20">
        <v>973</v>
      </c>
      <c r="G20">
        <v>2121</v>
      </c>
      <c r="H20">
        <v>3409</v>
      </c>
      <c r="I20">
        <v>4066</v>
      </c>
      <c r="J20">
        <v>3227</v>
      </c>
      <c r="K20">
        <v>5630</v>
      </c>
      <c r="L20">
        <v>11215</v>
      </c>
      <c r="M20">
        <v>5768</v>
      </c>
      <c r="N20">
        <v>34480</v>
      </c>
    </row>
    <row r="21" spans="2:19" ht="15" thickBot="1" x14ac:dyDescent="0.35">
      <c r="B21" t="s">
        <v>20</v>
      </c>
      <c r="D21">
        <v>244</v>
      </c>
      <c r="E21">
        <v>248</v>
      </c>
      <c r="F21">
        <v>226</v>
      </c>
      <c r="G21">
        <v>187</v>
      </c>
      <c r="H21">
        <v>199</v>
      </c>
      <c r="I21">
        <v>262</v>
      </c>
      <c r="J21">
        <v>381</v>
      </c>
      <c r="K21">
        <v>1098</v>
      </c>
      <c r="L21">
        <v>1174</v>
      </c>
      <c r="M21">
        <v>1544</v>
      </c>
      <c r="N21">
        <v>1508</v>
      </c>
    </row>
    <row r="22" spans="2:19" x14ac:dyDescent="0.3">
      <c r="B22" s="11" t="s">
        <v>17</v>
      </c>
      <c r="C22" s="11"/>
      <c r="D22" s="11">
        <v>496</v>
      </c>
      <c r="E22" s="11">
        <v>759</v>
      </c>
      <c r="F22" s="11">
        <v>747</v>
      </c>
      <c r="G22" s="11">
        <v>1934</v>
      </c>
      <c r="H22" s="11">
        <v>3210</v>
      </c>
      <c r="I22" s="11">
        <v>3804</v>
      </c>
      <c r="J22" s="11">
        <v>2846</v>
      </c>
      <c r="K22" s="11">
        <v>4532</v>
      </c>
      <c r="L22" s="11">
        <v>10041</v>
      </c>
      <c r="M22" s="11">
        <v>4224</v>
      </c>
      <c r="N22" s="11">
        <v>32972</v>
      </c>
    </row>
    <row r="23" spans="2:19" x14ac:dyDescent="0.3"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5" spans="2:19" x14ac:dyDescent="0.3">
      <c r="B25" s="28" t="s">
        <v>63</v>
      </c>
      <c r="C25" s="30">
        <f>AVERAGE(D31:N31)</f>
        <v>0.31761631527734763</v>
      </c>
      <c r="E25" s="6"/>
    </row>
    <row r="26" spans="2:19" x14ac:dyDescent="0.3">
      <c r="B26" s="28" t="s">
        <v>97</v>
      </c>
      <c r="C26" s="29">
        <f>(N30/D30)^(1/10)-1</f>
        <v>0.30882749579383018</v>
      </c>
    </row>
    <row r="27" spans="2:19" x14ac:dyDescent="0.3">
      <c r="B27" s="28" t="s">
        <v>95</v>
      </c>
      <c r="C27" s="29">
        <f>((N30/J30)^(1/4))-1</f>
        <v>0.536943015184286</v>
      </c>
    </row>
    <row r="29" spans="2:19" x14ac:dyDescent="0.3">
      <c r="B29" s="19" t="s">
        <v>1</v>
      </c>
      <c r="C29" s="19">
        <v>2013</v>
      </c>
      <c r="D29" s="19">
        <v>2014</v>
      </c>
      <c r="E29" s="19">
        <f>SUM(D29+1)</f>
        <v>2015</v>
      </c>
      <c r="F29" s="19">
        <f t="shared" ref="F29" si="4">SUM(E29+1)</f>
        <v>2016</v>
      </c>
      <c r="G29" s="19">
        <f t="shared" ref="G29" si="5">SUM(F29+1)</f>
        <v>2017</v>
      </c>
      <c r="H29" s="19">
        <f t="shared" ref="H29" si="6">SUM(G29+1)</f>
        <v>2018</v>
      </c>
      <c r="I29" s="19">
        <f t="shared" ref="I29" si="7">SUM(H29+1)</f>
        <v>2019</v>
      </c>
      <c r="J29" s="19">
        <f t="shared" ref="J29" si="8">SUM(I29+1)</f>
        <v>2020</v>
      </c>
      <c r="K29" s="19">
        <f t="shared" ref="K29" si="9">SUM(J29+1)</f>
        <v>2021</v>
      </c>
      <c r="L29" s="19">
        <f t="shared" ref="L29" si="10">SUM(K29+1)</f>
        <v>2022</v>
      </c>
      <c r="M29" s="19">
        <f t="shared" ref="M29" si="11">SUM(L29+1)</f>
        <v>2023</v>
      </c>
      <c r="N29" s="19">
        <f t="shared" ref="N29" si="12">SUM(M29+1)</f>
        <v>2024</v>
      </c>
      <c r="O29" s="24">
        <f t="shared" ref="O29" si="13">SUM(N29+1)</f>
        <v>2025</v>
      </c>
      <c r="P29" s="24">
        <f t="shared" ref="P29" si="14">SUM(O29+1)</f>
        <v>2026</v>
      </c>
      <c r="Q29" s="24">
        <f t="shared" ref="Q29" si="15">SUM(P29+1)</f>
        <v>2027</v>
      </c>
      <c r="R29" s="24">
        <f t="shared" ref="R29" si="16">SUM(Q29+1)</f>
        <v>2028</v>
      </c>
      <c r="S29" s="24">
        <f t="shared" ref="S29" si="17">SUM(R29+1)</f>
        <v>2029</v>
      </c>
    </row>
    <row r="30" spans="2:19" x14ac:dyDescent="0.3">
      <c r="B30" s="2" t="s">
        <v>2</v>
      </c>
      <c r="C30">
        <f t="shared" ref="C30:N30" si="18">C6</f>
        <v>4280</v>
      </c>
      <c r="D30">
        <f t="shared" si="18"/>
        <v>4130</v>
      </c>
      <c r="E30">
        <f t="shared" si="18"/>
        <v>4682</v>
      </c>
      <c r="F30">
        <f t="shared" si="18"/>
        <v>5010</v>
      </c>
      <c r="G30">
        <f t="shared" si="18"/>
        <v>6910</v>
      </c>
      <c r="H30">
        <f t="shared" si="18"/>
        <v>9714</v>
      </c>
      <c r="I30">
        <f t="shared" si="18"/>
        <v>11716</v>
      </c>
      <c r="J30">
        <f t="shared" si="18"/>
        <v>10918</v>
      </c>
      <c r="K30">
        <f t="shared" si="18"/>
        <v>16675</v>
      </c>
      <c r="L30">
        <f t="shared" si="18"/>
        <v>26914</v>
      </c>
      <c r="M30">
        <f t="shared" si="18"/>
        <v>26974</v>
      </c>
      <c r="N30">
        <f t="shared" si="18"/>
        <v>60922</v>
      </c>
      <c r="O30" s="9">
        <f>N30+N30*O31</f>
        <v>86685.015534904393</v>
      </c>
      <c r="P30" s="9">
        <f t="shared" ref="P30:S30" si="19">O30+O30*P31</f>
        <v>123342.83047645541</v>
      </c>
      <c r="Q30" s="9">
        <f t="shared" si="19"/>
        <v>175502.69485523482</v>
      </c>
      <c r="R30" s="9">
        <f t="shared" si="19"/>
        <v>249720.196808109</v>
      </c>
      <c r="S30" s="9">
        <f t="shared" si="19"/>
        <v>355323.18603608408</v>
      </c>
    </row>
    <row r="31" spans="2:19" x14ac:dyDescent="0.3">
      <c r="B31" t="s">
        <v>47</v>
      </c>
      <c r="D31" s="3">
        <f>(D30-C30)/C30</f>
        <v>-3.5046728971962614E-2</v>
      </c>
      <c r="E31" s="3">
        <f t="shared" ref="E31:N31" si="20">(E30-D30)/D30</f>
        <v>0.13365617433414043</v>
      </c>
      <c r="F31" s="3">
        <f t="shared" si="20"/>
        <v>7.0055531824006839E-2</v>
      </c>
      <c r="G31" s="3">
        <f t="shared" si="20"/>
        <v>0.37924151696606784</v>
      </c>
      <c r="H31" s="3">
        <f t="shared" si="20"/>
        <v>0.4057887120115774</v>
      </c>
      <c r="I31" s="3">
        <f t="shared" si="20"/>
        <v>0.20609429689108502</v>
      </c>
      <c r="J31" s="3">
        <f t="shared" si="20"/>
        <v>-6.8111983612154314E-2</v>
      </c>
      <c r="K31" s="3">
        <f t="shared" si="20"/>
        <v>0.52729437625938813</v>
      </c>
      <c r="L31" s="3">
        <f t="shared" si="20"/>
        <v>0.61403298350824587</v>
      </c>
      <c r="M31" s="3">
        <f t="shared" si="20"/>
        <v>2.2293230289068887E-3</v>
      </c>
      <c r="N31" s="3">
        <f t="shared" si="20"/>
        <v>1.2585452658115222</v>
      </c>
      <c r="O31" s="16">
        <f>AVERAGE($C$26:$C$27)</f>
        <v>0.42288525548905809</v>
      </c>
      <c r="P31" s="16">
        <f t="shared" ref="P31:S31" si="21">AVERAGE($C$26:$C$27)</f>
        <v>0.42288525548905809</v>
      </c>
      <c r="Q31" s="16">
        <f t="shared" si="21"/>
        <v>0.42288525548905809</v>
      </c>
      <c r="R31" s="16">
        <f t="shared" si="21"/>
        <v>0.42288525548905809</v>
      </c>
      <c r="S31" s="16">
        <f t="shared" si="21"/>
        <v>0.42288525548905809</v>
      </c>
    </row>
    <row r="32" spans="2:19" x14ac:dyDescent="0.3">
      <c r="B32" s="2" t="s">
        <v>17</v>
      </c>
      <c r="D32">
        <f t="shared" ref="D32:N32" si="22">D22</f>
        <v>496</v>
      </c>
      <c r="E32">
        <f t="shared" si="22"/>
        <v>759</v>
      </c>
      <c r="F32">
        <f t="shared" si="22"/>
        <v>747</v>
      </c>
      <c r="G32">
        <f t="shared" si="22"/>
        <v>1934</v>
      </c>
      <c r="H32">
        <f t="shared" si="22"/>
        <v>3210</v>
      </c>
      <c r="I32">
        <f t="shared" si="22"/>
        <v>3804</v>
      </c>
      <c r="J32">
        <f t="shared" si="22"/>
        <v>2846</v>
      </c>
      <c r="K32">
        <f t="shared" si="22"/>
        <v>4532</v>
      </c>
      <c r="L32">
        <f t="shared" si="22"/>
        <v>10041</v>
      </c>
      <c r="M32">
        <f t="shared" si="22"/>
        <v>4224</v>
      </c>
      <c r="N32">
        <f t="shared" si="22"/>
        <v>32972</v>
      </c>
      <c r="O32" s="9">
        <f>O30*O33</f>
        <v>52011.009320942634</v>
      </c>
      <c r="P32" s="9">
        <f>P30*P33</f>
        <v>74005.698285873237</v>
      </c>
      <c r="Q32" s="9">
        <f>Q30*Q33</f>
        <v>114076.75165590264</v>
      </c>
      <c r="R32" s="9">
        <f>R30*R33</f>
        <v>162318.12792527085</v>
      </c>
      <c r="S32" s="9">
        <f>S30*S33</f>
        <v>230960.07092345465</v>
      </c>
    </row>
    <row r="33" spans="2:19" x14ac:dyDescent="0.3">
      <c r="B33" t="s">
        <v>46</v>
      </c>
      <c r="D33" s="4">
        <f t="shared" ref="D33:N33" si="23">D22/D6</f>
        <v>0.12009685230024213</v>
      </c>
      <c r="E33" s="4">
        <f t="shared" si="23"/>
        <v>0.16211020931225972</v>
      </c>
      <c r="F33" s="4">
        <f t="shared" si="23"/>
        <v>0.14910179640718563</v>
      </c>
      <c r="G33" s="4">
        <f t="shared" si="23"/>
        <v>0.27988422575976846</v>
      </c>
      <c r="H33" s="4">
        <f t="shared" si="23"/>
        <v>0.33045089561457691</v>
      </c>
      <c r="I33" s="4">
        <f t="shared" si="23"/>
        <v>0.32468419255718678</v>
      </c>
      <c r="J33" s="4">
        <f t="shared" si="23"/>
        <v>0.2606704524638212</v>
      </c>
      <c r="K33" s="4">
        <f t="shared" si="23"/>
        <v>0.27178410794602698</v>
      </c>
      <c r="L33" s="4">
        <f t="shared" si="23"/>
        <v>0.37307720888756779</v>
      </c>
      <c r="M33" s="4">
        <f t="shared" si="23"/>
        <v>0.1565952398606065</v>
      </c>
      <c r="N33" s="4">
        <f t="shared" si="23"/>
        <v>0.54121663766783756</v>
      </c>
      <c r="O33" s="17">
        <v>0.6</v>
      </c>
      <c r="P33" s="17">
        <v>0.6</v>
      </c>
      <c r="Q33" s="17">
        <v>0.65</v>
      </c>
      <c r="R33" s="17">
        <v>0.65</v>
      </c>
      <c r="S33" s="17">
        <v>0.65</v>
      </c>
    </row>
    <row r="34" spans="2:19" x14ac:dyDescent="0.3">
      <c r="B34" s="2" t="s">
        <v>62</v>
      </c>
      <c r="D34" s="14">
        <f t="shared" ref="D34:N34" si="24">D17</f>
        <v>70</v>
      </c>
      <c r="E34" s="14">
        <f t="shared" si="24"/>
        <v>124</v>
      </c>
      <c r="F34" s="14">
        <f t="shared" si="24"/>
        <v>129</v>
      </c>
      <c r="G34" s="14">
        <f t="shared" si="24"/>
        <v>239</v>
      </c>
      <c r="H34" s="14">
        <f t="shared" si="24"/>
        <v>149</v>
      </c>
      <c r="I34" s="14">
        <f t="shared" si="24"/>
        <v>-245</v>
      </c>
      <c r="J34" s="14">
        <f t="shared" si="24"/>
        <v>174</v>
      </c>
      <c r="K34" s="14">
        <f t="shared" si="24"/>
        <v>77</v>
      </c>
      <c r="L34" s="14">
        <f t="shared" si="24"/>
        <v>189</v>
      </c>
      <c r="M34" s="14">
        <f t="shared" si="24"/>
        <v>-187</v>
      </c>
      <c r="N34" s="14">
        <f t="shared" si="24"/>
        <v>4058</v>
      </c>
      <c r="O34" s="9">
        <f>O32*O35</f>
        <v>6241.0750435976461</v>
      </c>
      <c r="P34" s="9">
        <f>P32*P35</f>
        <v>8880.3336579358202</v>
      </c>
      <c r="Q34" s="9">
        <f>Q32*Q35</f>
        <v>13688.670477841768</v>
      </c>
      <c r="R34" s="9">
        <f>R32*R35</f>
        <v>19477.40739016941</v>
      </c>
      <c r="S34" s="9">
        <f>S32*S35</f>
        <v>27714.11579062567</v>
      </c>
    </row>
    <row r="35" spans="2:19" x14ac:dyDescent="0.3">
      <c r="B35" t="s">
        <v>23</v>
      </c>
      <c r="C35" s="6"/>
      <c r="D35" s="6">
        <f t="shared" ref="D35:N35" si="25">D19</f>
        <v>0.13725490196078433</v>
      </c>
      <c r="E35" s="6">
        <f t="shared" si="25"/>
        <v>0.16423841059602648</v>
      </c>
      <c r="F35" s="6">
        <f t="shared" si="25"/>
        <v>0.17362045760430686</v>
      </c>
      <c r="G35" s="6">
        <f t="shared" si="25"/>
        <v>0.12545931758530185</v>
      </c>
      <c r="H35" s="6">
        <f t="shared" si="25"/>
        <v>4.6620775969962454E-2</v>
      </c>
      <c r="I35" s="6">
        <f t="shared" si="25"/>
        <v>-6.2885010266940447E-2</v>
      </c>
      <c r="J35" s="6">
        <f t="shared" si="25"/>
        <v>5.8585858585858588E-2</v>
      </c>
      <c r="K35" s="6">
        <f t="shared" si="25"/>
        <v>1.7464277613971423E-2</v>
      </c>
      <c r="L35" s="6">
        <f t="shared" si="25"/>
        <v>1.9012171813700834E-2</v>
      </c>
      <c r="M35" s="6">
        <f t="shared" si="25"/>
        <v>-4.4726142071274816E-2</v>
      </c>
      <c r="N35" s="6">
        <f t="shared" si="25"/>
        <v>0.1199952687917677</v>
      </c>
      <c r="O35" s="16">
        <f>N35</f>
        <v>0.1199952687917677</v>
      </c>
      <c r="P35" s="16">
        <f t="shared" ref="P35:S35" si="26">O35</f>
        <v>0.1199952687917677</v>
      </c>
      <c r="Q35" s="16">
        <f t="shared" si="26"/>
        <v>0.1199952687917677</v>
      </c>
      <c r="R35" s="16">
        <f t="shared" si="26"/>
        <v>0.1199952687917677</v>
      </c>
      <c r="S35" s="16">
        <f t="shared" si="26"/>
        <v>0.1199952687917677</v>
      </c>
    </row>
    <row r="36" spans="2:19" x14ac:dyDescent="0.3">
      <c r="B36" s="2" t="s">
        <v>20</v>
      </c>
      <c r="D36">
        <f>D21</f>
        <v>244</v>
      </c>
      <c r="E36">
        <f t="shared" ref="E36:N36" si="27">E21</f>
        <v>248</v>
      </c>
      <c r="F36">
        <f t="shared" si="27"/>
        <v>226</v>
      </c>
      <c r="G36">
        <f t="shared" si="27"/>
        <v>187</v>
      </c>
      <c r="H36">
        <f t="shared" si="27"/>
        <v>199</v>
      </c>
      <c r="I36">
        <f t="shared" si="27"/>
        <v>262</v>
      </c>
      <c r="J36">
        <f t="shared" si="27"/>
        <v>381</v>
      </c>
      <c r="K36">
        <f t="shared" si="27"/>
        <v>1098</v>
      </c>
      <c r="L36">
        <f t="shared" si="27"/>
        <v>1174</v>
      </c>
      <c r="M36">
        <f t="shared" si="27"/>
        <v>1544</v>
      </c>
      <c r="N36">
        <f t="shared" si="27"/>
        <v>1508</v>
      </c>
      <c r="O36" s="9">
        <f>O30*O37</f>
        <v>3467.4006213961757</v>
      </c>
      <c r="P36" s="9">
        <f>P30*P37</f>
        <v>4933.7132190582161</v>
      </c>
      <c r="Q36" s="9">
        <f>Q30*Q37</f>
        <v>7020.1077942093925</v>
      </c>
      <c r="R36" s="9">
        <f>R30*R37</f>
        <v>9988.8078723243598</v>
      </c>
      <c r="S36" s="9">
        <f>S30*S37</f>
        <v>14212.927441443364</v>
      </c>
    </row>
    <row r="37" spans="2:19" x14ac:dyDescent="0.3">
      <c r="B37" t="s">
        <v>46</v>
      </c>
      <c r="D37" s="3">
        <f t="shared" ref="D37:N37" si="28">D21/D6</f>
        <v>5.9079903147699758E-2</v>
      </c>
      <c r="E37" s="3">
        <f t="shared" si="28"/>
        <v>5.296881674498078E-2</v>
      </c>
      <c r="F37" s="3">
        <f t="shared" si="28"/>
        <v>4.5109780439121755E-2</v>
      </c>
      <c r="G37" s="3">
        <f t="shared" si="28"/>
        <v>2.7062228654124457E-2</v>
      </c>
      <c r="H37" s="3">
        <f t="shared" si="28"/>
        <v>2.0485896644018942E-2</v>
      </c>
      <c r="I37" s="3">
        <f t="shared" si="28"/>
        <v>2.2362581085694777E-2</v>
      </c>
      <c r="J37" s="3">
        <f t="shared" si="28"/>
        <v>3.4896501190694269E-2</v>
      </c>
      <c r="K37" s="3">
        <f t="shared" si="28"/>
        <v>6.5847076461769113E-2</v>
      </c>
      <c r="L37" s="3">
        <f t="shared" si="28"/>
        <v>4.362042059894479E-2</v>
      </c>
      <c r="M37" s="3">
        <f t="shared" si="28"/>
        <v>5.7240305479350488E-2</v>
      </c>
      <c r="N37" s="3">
        <f t="shared" si="28"/>
        <v>2.4752962804898065E-2</v>
      </c>
      <c r="O37" s="18">
        <v>0.04</v>
      </c>
      <c r="P37" s="18">
        <v>0.04</v>
      </c>
      <c r="Q37" s="18">
        <v>0.04</v>
      </c>
      <c r="R37" s="18">
        <v>0.04</v>
      </c>
      <c r="S37" s="18">
        <v>0.04</v>
      </c>
    </row>
    <row r="40" spans="2:19" x14ac:dyDescent="0.3">
      <c r="R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2499-8A0B-4AA3-BA71-1E2137EACE56}">
  <dimension ref="B3:X31"/>
  <sheetViews>
    <sheetView topLeftCell="B4" zoomScale="86" workbookViewId="0">
      <selection activeCell="O17" sqref="O17"/>
    </sheetView>
  </sheetViews>
  <sheetFormatPr defaultRowHeight="14.4" x14ac:dyDescent="0.3"/>
  <cols>
    <col min="1" max="1" width="13.21875" customWidth="1"/>
    <col min="2" max="2" width="26" customWidth="1"/>
    <col min="3" max="3" width="9.5546875" customWidth="1"/>
    <col min="24" max="24" width="10.5546875" bestFit="1" customWidth="1"/>
  </cols>
  <sheetData>
    <row r="3" spans="2:19" x14ac:dyDescent="0.3">
      <c r="B3" s="19" t="s">
        <v>11</v>
      </c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2:19" x14ac:dyDescent="0.3">
      <c r="B4" s="19" t="s">
        <v>24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19" x14ac:dyDescent="0.3">
      <c r="B5" s="20"/>
      <c r="C5" s="20">
        <v>2013</v>
      </c>
      <c r="D5" s="20">
        <v>2014</v>
      </c>
      <c r="E5" s="20">
        <f>SUM(D5+1)</f>
        <v>2015</v>
      </c>
      <c r="F5" s="20">
        <f t="shared" ref="F5:N5" si="0">SUM(E5+1)</f>
        <v>2016</v>
      </c>
      <c r="G5" s="20">
        <f t="shared" si="0"/>
        <v>2017</v>
      </c>
      <c r="H5" s="20">
        <f t="shared" si="0"/>
        <v>2018</v>
      </c>
      <c r="I5" s="20">
        <f t="shared" si="0"/>
        <v>2019</v>
      </c>
      <c r="J5" s="20">
        <f t="shared" si="0"/>
        <v>2020</v>
      </c>
      <c r="K5" s="20">
        <f t="shared" si="0"/>
        <v>2021</v>
      </c>
      <c r="L5" s="20">
        <f t="shared" si="0"/>
        <v>2022</v>
      </c>
      <c r="M5" s="20">
        <f t="shared" si="0"/>
        <v>2023</v>
      </c>
      <c r="N5" s="20">
        <f t="shared" si="0"/>
        <v>2024</v>
      </c>
    </row>
    <row r="6" spans="2:19" x14ac:dyDescent="0.3">
      <c r="B6" t="s">
        <v>25</v>
      </c>
      <c r="D6" s="9">
        <v>4671.8100000000004</v>
      </c>
      <c r="E6">
        <v>4623</v>
      </c>
      <c r="F6">
        <v>5037</v>
      </c>
      <c r="G6">
        <v>6798</v>
      </c>
      <c r="H6">
        <v>7108</v>
      </c>
      <c r="I6">
        <v>7422</v>
      </c>
      <c r="J6">
        <v>10897</v>
      </c>
      <c r="K6">
        <v>11561</v>
      </c>
      <c r="L6">
        <v>21208</v>
      </c>
      <c r="M6">
        <v>13296</v>
      </c>
      <c r="N6">
        <v>25984</v>
      </c>
      <c r="O6" s="23"/>
      <c r="P6" s="23"/>
      <c r="Q6" s="23"/>
      <c r="R6" s="23"/>
      <c r="S6" s="23"/>
    </row>
    <row r="7" spans="2:19" x14ac:dyDescent="0.3">
      <c r="B7" t="s">
        <v>26</v>
      </c>
      <c r="D7" s="9">
        <v>426</v>
      </c>
      <c r="E7">
        <v>474</v>
      </c>
      <c r="F7">
        <v>505</v>
      </c>
      <c r="G7">
        <v>826</v>
      </c>
      <c r="H7">
        <v>1265</v>
      </c>
      <c r="I7">
        <v>1424</v>
      </c>
      <c r="J7">
        <v>1657</v>
      </c>
      <c r="K7">
        <v>2429</v>
      </c>
      <c r="L7">
        <v>4650</v>
      </c>
      <c r="M7">
        <v>3827</v>
      </c>
      <c r="N7">
        <v>9999</v>
      </c>
    </row>
    <row r="8" spans="2:19" x14ac:dyDescent="0.3">
      <c r="B8" t="s">
        <v>27</v>
      </c>
      <c r="D8" s="9">
        <v>387.76499999999999</v>
      </c>
      <c r="E8">
        <v>483</v>
      </c>
      <c r="F8">
        <v>418</v>
      </c>
      <c r="G8">
        <v>794</v>
      </c>
      <c r="H8">
        <v>796</v>
      </c>
      <c r="I8">
        <v>1575</v>
      </c>
      <c r="J8">
        <v>979</v>
      </c>
      <c r="K8">
        <v>1826</v>
      </c>
      <c r="L8">
        <v>2605</v>
      </c>
      <c r="M8">
        <v>5159</v>
      </c>
      <c r="N8">
        <v>5282</v>
      </c>
    </row>
    <row r="9" spans="2:19" ht="15" thickBot="1" x14ac:dyDescent="0.35">
      <c r="B9" t="s">
        <v>28</v>
      </c>
      <c r="D9" s="9">
        <v>70.284999999999997</v>
      </c>
      <c r="E9">
        <v>70</v>
      </c>
      <c r="F9">
        <v>93</v>
      </c>
      <c r="G9">
        <v>118</v>
      </c>
      <c r="H9">
        <v>86</v>
      </c>
      <c r="I9">
        <v>136</v>
      </c>
      <c r="J9">
        <v>157</v>
      </c>
      <c r="K9">
        <v>239</v>
      </c>
      <c r="L9">
        <v>366</v>
      </c>
      <c r="M9">
        <v>791</v>
      </c>
      <c r="N9">
        <v>3080</v>
      </c>
    </row>
    <row r="10" spans="2:19" x14ac:dyDescent="0.3">
      <c r="B10" s="11" t="s">
        <v>29</v>
      </c>
      <c r="C10" s="11"/>
      <c r="D10" s="22">
        <v>5624.7110000000002</v>
      </c>
      <c r="E10" s="11">
        <v>5713</v>
      </c>
      <c r="F10" s="11">
        <v>6053</v>
      </c>
      <c r="G10" s="11">
        <v>8536</v>
      </c>
      <c r="H10" s="11">
        <v>9255</v>
      </c>
      <c r="I10" s="11">
        <v>10557</v>
      </c>
      <c r="J10" s="11">
        <v>13690</v>
      </c>
      <c r="K10" s="11">
        <v>16055</v>
      </c>
      <c r="L10" s="11">
        <v>28829</v>
      </c>
      <c r="M10" s="11">
        <v>23073</v>
      </c>
      <c r="N10" s="11">
        <v>44345</v>
      </c>
    </row>
    <row r="11" spans="2:19" x14ac:dyDescent="0.3">
      <c r="B11" t="s">
        <v>30</v>
      </c>
      <c r="C11">
        <v>576</v>
      </c>
      <c r="D11" s="9">
        <v>582.74</v>
      </c>
      <c r="E11">
        <v>557</v>
      </c>
      <c r="F11">
        <v>466</v>
      </c>
      <c r="G11">
        <v>521</v>
      </c>
      <c r="H11">
        <v>997</v>
      </c>
      <c r="I11">
        <v>1404</v>
      </c>
      <c r="J11">
        <v>1674</v>
      </c>
      <c r="K11">
        <v>2149</v>
      </c>
      <c r="L11">
        <v>2778</v>
      </c>
      <c r="M11">
        <v>3807</v>
      </c>
      <c r="N11">
        <v>3914</v>
      </c>
    </row>
    <row r="12" spans="2:19" x14ac:dyDescent="0.3">
      <c r="B12" t="s">
        <v>31</v>
      </c>
      <c r="D12" s="9">
        <v>939.19100000000003</v>
      </c>
      <c r="E12">
        <v>840</v>
      </c>
      <c r="F12">
        <v>784</v>
      </c>
      <c r="G12">
        <v>722</v>
      </c>
      <c r="H12">
        <v>670</v>
      </c>
      <c r="I12">
        <v>663</v>
      </c>
      <c r="J12">
        <v>667</v>
      </c>
      <c r="K12">
        <v>6930</v>
      </c>
      <c r="L12">
        <v>6688</v>
      </c>
      <c r="M12">
        <v>6048</v>
      </c>
      <c r="N12">
        <v>5542</v>
      </c>
    </row>
    <row r="13" spans="2:19" ht="15" thickBot="1" x14ac:dyDescent="0.35">
      <c r="B13" t="s">
        <v>43</v>
      </c>
      <c r="D13" s="9">
        <v>1626.183</v>
      </c>
      <c r="E13">
        <v>1488</v>
      </c>
      <c r="F13">
        <v>1317</v>
      </c>
      <c r="G13">
        <v>1305</v>
      </c>
      <c r="H13">
        <v>1986</v>
      </c>
      <c r="I13">
        <v>2735</v>
      </c>
      <c r="J13">
        <v>3625</v>
      </c>
      <c r="K13">
        <v>12736</v>
      </c>
      <c r="L13">
        <v>15358</v>
      </c>
      <c r="M13">
        <v>18109</v>
      </c>
      <c r="N13">
        <v>21383</v>
      </c>
    </row>
    <row r="14" spans="2:19" x14ac:dyDescent="0.3">
      <c r="B14" s="11" t="s">
        <v>32</v>
      </c>
      <c r="C14" s="11"/>
      <c r="D14" s="22">
        <v>7250.8940000000002</v>
      </c>
      <c r="E14" s="11">
        <v>7201</v>
      </c>
      <c r="F14" s="11">
        <v>7370</v>
      </c>
      <c r="G14" s="11">
        <v>9841</v>
      </c>
      <c r="H14" s="11">
        <v>11241</v>
      </c>
      <c r="I14" s="11">
        <v>13292</v>
      </c>
      <c r="J14" s="11">
        <v>17315</v>
      </c>
      <c r="K14" s="11">
        <v>28791</v>
      </c>
      <c r="L14" s="11">
        <v>44187</v>
      </c>
      <c r="M14" s="11">
        <v>41182</v>
      </c>
      <c r="N14" s="11">
        <v>65728</v>
      </c>
    </row>
    <row r="15" spans="2:19" ht="15" thickBot="1" x14ac:dyDescent="0.35">
      <c r="B15" t="s">
        <v>50</v>
      </c>
      <c r="C15" s="2"/>
      <c r="D15" s="9" t="s">
        <v>53</v>
      </c>
      <c r="E15" s="9" t="s">
        <v>53</v>
      </c>
      <c r="F15" s="9" t="s">
        <v>53</v>
      </c>
      <c r="G15" s="9" t="s">
        <v>53</v>
      </c>
      <c r="H15" s="9" t="s">
        <v>53</v>
      </c>
      <c r="I15" s="9" t="s">
        <v>53</v>
      </c>
      <c r="J15" s="9" t="s">
        <v>53</v>
      </c>
      <c r="K15">
        <v>999</v>
      </c>
      <c r="L15">
        <v>0</v>
      </c>
      <c r="M15">
        <v>1250</v>
      </c>
      <c r="N15">
        <v>1250</v>
      </c>
    </row>
    <row r="16" spans="2:19" x14ac:dyDescent="0.3">
      <c r="B16" s="11" t="s">
        <v>33</v>
      </c>
      <c r="C16" s="11"/>
      <c r="D16" s="22">
        <v>945.49599999999998</v>
      </c>
      <c r="E16" s="11">
        <v>896</v>
      </c>
      <c r="F16" s="11">
        <v>2351</v>
      </c>
      <c r="G16" s="11">
        <v>1788</v>
      </c>
      <c r="H16" s="11">
        <v>1153</v>
      </c>
      <c r="I16" s="11">
        <v>1329</v>
      </c>
      <c r="J16" s="11">
        <v>1784</v>
      </c>
      <c r="K16" s="11">
        <v>3925</v>
      </c>
      <c r="L16" s="11">
        <v>4335</v>
      </c>
      <c r="M16" s="11">
        <v>6563</v>
      </c>
      <c r="N16" s="11">
        <v>10631</v>
      </c>
    </row>
    <row r="17" spans="2:24" x14ac:dyDescent="0.3">
      <c r="B17" t="s">
        <v>45</v>
      </c>
      <c r="C17" s="2"/>
      <c r="D17" s="9">
        <v>1373.875</v>
      </c>
      <c r="E17">
        <v>1398</v>
      </c>
      <c r="F17">
        <v>97</v>
      </c>
      <c r="G17">
        <v>2014</v>
      </c>
      <c r="H17">
        <v>1985</v>
      </c>
      <c r="I17">
        <v>1988</v>
      </c>
      <c r="J17">
        <v>1991</v>
      </c>
      <c r="K17">
        <v>5964</v>
      </c>
      <c r="L17">
        <v>10946</v>
      </c>
      <c r="M17">
        <v>9703</v>
      </c>
      <c r="N17">
        <v>8459</v>
      </c>
    </row>
    <row r="18" spans="2:24" ht="15" thickBot="1" x14ac:dyDescent="0.35">
      <c r="B18" t="s">
        <v>44</v>
      </c>
      <c r="C18" s="2"/>
      <c r="D18" s="9">
        <v>475.125</v>
      </c>
      <c r="E18">
        <v>489</v>
      </c>
      <c r="F18">
        <v>453</v>
      </c>
      <c r="G18">
        <v>277</v>
      </c>
      <c r="H18">
        <v>632</v>
      </c>
      <c r="I18">
        <v>633</v>
      </c>
      <c r="J18">
        <v>775</v>
      </c>
      <c r="K18">
        <v>1375</v>
      </c>
      <c r="L18">
        <v>1553</v>
      </c>
      <c r="M18">
        <v>1913</v>
      </c>
      <c r="N18">
        <v>2541</v>
      </c>
    </row>
    <row r="19" spans="2:24" x14ac:dyDescent="0.3">
      <c r="B19" s="11" t="s">
        <v>34</v>
      </c>
      <c r="C19" s="11"/>
      <c r="D19" s="22">
        <v>2794.4960000000001</v>
      </c>
      <c r="E19" s="11">
        <v>2783</v>
      </c>
      <c r="F19" s="11">
        <v>2901</v>
      </c>
      <c r="G19" s="11">
        <v>4079</v>
      </c>
      <c r="H19" s="11">
        <v>3770</v>
      </c>
      <c r="I19" s="11">
        <v>3950</v>
      </c>
      <c r="J19" s="11">
        <v>5111</v>
      </c>
      <c r="K19" s="11">
        <v>11898</v>
      </c>
      <c r="L19" s="11">
        <v>17575</v>
      </c>
      <c r="M19" s="11">
        <v>19081</v>
      </c>
      <c r="N19" s="11">
        <v>22750</v>
      </c>
    </row>
    <row r="20" spans="2:24" x14ac:dyDescent="0.3">
      <c r="B20" s="2" t="s">
        <v>35</v>
      </c>
      <c r="C20" s="2"/>
      <c r="D20" s="10">
        <v>4456.3980000000001</v>
      </c>
      <c r="E20" s="2">
        <v>4418</v>
      </c>
      <c r="F20" s="2">
        <v>4469</v>
      </c>
      <c r="G20" s="2">
        <v>5762</v>
      </c>
      <c r="H20" s="2">
        <v>7471</v>
      </c>
      <c r="I20" s="2">
        <v>9342</v>
      </c>
      <c r="J20" s="2">
        <v>12204</v>
      </c>
      <c r="K20" s="2">
        <v>16893</v>
      </c>
      <c r="L20" s="2">
        <v>26612</v>
      </c>
      <c r="M20" s="2">
        <v>22101</v>
      </c>
      <c r="N20" s="2">
        <v>42978</v>
      </c>
    </row>
    <row r="21" spans="2:24" x14ac:dyDescent="0.3">
      <c r="B21" s="2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</row>
    <row r="23" spans="2:24" x14ac:dyDescent="0.3">
      <c r="B23" s="19" t="s">
        <v>1</v>
      </c>
      <c r="C23" s="19"/>
      <c r="D23" s="19">
        <v>2014</v>
      </c>
      <c r="E23" s="19">
        <f>SUM(D23+1)</f>
        <v>2015</v>
      </c>
      <c r="F23" s="19">
        <f t="shared" ref="F23" si="1">SUM(E23+1)</f>
        <v>2016</v>
      </c>
      <c r="G23" s="19">
        <f t="shared" ref="G23" si="2">SUM(F23+1)</f>
        <v>2017</v>
      </c>
      <c r="H23" s="19">
        <f t="shared" ref="H23" si="3">SUM(G23+1)</f>
        <v>2018</v>
      </c>
      <c r="I23" s="19">
        <f t="shared" ref="I23" si="4">SUM(H23+1)</f>
        <v>2019</v>
      </c>
      <c r="J23" s="19">
        <f t="shared" ref="J23" si="5">SUM(I23+1)</f>
        <v>2020</v>
      </c>
      <c r="K23" s="19">
        <f t="shared" ref="K23" si="6">SUM(J23+1)</f>
        <v>2021</v>
      </c>
      <c r="L23" s="19">
        <f t="shared" ref="L23" si="7">SUM(K23+1)</f>
        <v>2022</v>
      </c>
      <c r="M23" s="19">
        <f t="shared" ref="M23" si="8">SUM(L23+1)</f>
        <v>2023</v>
      </c>
      <c r="N23" s="19">
        <f t="shared" ref="N23" si="9">SUM(M23+1)</f>
        <v>2024</v>
      </c>
      <c r="O23" s="24">
        <f>SUM(N23+1)</f>
        <v>2025</v>
      </c>
      <c r="P23" s="24">
        <f t="shared" ref="P23" si="10">SUM(O23+1)</f>
        <v>2026</v>
      </c>
      <c r="Q23" s="24">
        <f t="shared" ref="Q23" si="11">SUM(P23+1)</f>
        <v>2027</v>
      </c>
      <c r="R23" s="24">
        <f t="shared" ref="R23" si="12">SUM(Q23+1)</f>
        <v>2028</v>
      </c>
      <c r="S23" s="24">
        <f t="shared" ref="S23" si="13">SUM(R23+1)</f>
        <v>2029</v>
      </c>
    </row>
    <row r="24" spans="2:24" x14ac:dyDescent="0.3">
      <c r="B24" s="2" t="s">
        <v>54</v>
      </c>
      <c r="D24" s="9">
        <f>D11-C11+'Income Statement'!D21</f>
        <v>250.74</v>
      </c>
      <c r="E24" s="9">
        <f>E11-D11+'Income Statement'!E21</f>
        <v>222.26</v>
      </c>
      <c r="F24" s="9">
        <f>F11-E11+'Income Statement'!F21</f>
        <v>135</v>
      </c>
      <c r="G24" s="9">
        <f>G11-F11+'Income Statement'!G21</f>
        <v>242</v>
      </c>
      <c r="H24" s="9">
        <f>H11-G11+'Income Statement'!H21</f>
        <v>675</v>
      </c>
      <c r="I24" s="9">
        <f>I11-H11+'Income Statement'!I21</f>
        <v>669</v>
      </c>
      <c r="J24" s="9">
        <f>J11-I11+'Income Statement'!J21</f>
        <v>651</v>
      </c>
      <c r="K24" s="9">
        <f>K11-J11+'Income Statement'!K21</f>
        <v>1573</v>
      </c>
      <c r="L24" s="9">
        <f>L11-K11+'Income Statement'!L21</f>
        <v>1803</v>
      </c>
      <c r="M24" s="9">
        <f>M11-L11+'Income Statement'!M21</f>
        <v>2573</v>
      </c>
      <c r="N24" s="9">
        <f>N11-M11+'Income Statement'!N21</f>
        <v>1615</v>
      </c>
      <c r="O24" s="34">
        <f>'Balance Sheet'!O25*'Income Statement'!O30</f>
        <v>5040.2398482990848</v>
      </c>
      <c r="P24" s="34">
        <f>'Balance Sheet'!P25*'Income Statement'!P30</f>
        <v>7400.5698285873241</v>
      </c>
      <c r="Q24" s="34">
        <f>'Balance Sheet'!Q25*'Income Statement'!Q30</f>
        <v>10530.161691314088</v>
      </c>
      <c r="R24" s="34">
        <f>'Balance Sheet'!R25*'Income Statement'!R30</f>
        <v>14983.21180848654</v>
      </c>
      <c r="S24" s="34">
        <f>'Balance Sheet'!S25*'Income Statement'!S30</f>
        <v>21319.391162165044</v>
      </c>
    </row>
    <row r="25" spans="2:24" x14ac:dyDescent="0.3">
      <c r="B25" t="s">
        <v>46</v>
      </c>
      <c r="D25" s="3">
        <f>D24/'Income Statement'!D6</f>
        <v>6.0711864406779663E-2</v>
      </c>
      <c r="E25" s="3">
        <f>E24/'Income Statement'!E6</f>
        <v>4.7471166168304144E-2</v>
      </c>
      <c r="F25" s="3">
        <f>F24/'Income Statement'!F6</f>
        <v>2.6946107784431138E-2</v>
      </c>
      <c r="G25" s="3">
        <f>G24/'Income Statement'!G6</f>
        <v>3.5021707670043416E-2</v>
      </c>
      <c r="H25" s="3">
        <f>H24/'Income Statement'!H6</f>
        <v>6.9487337862878321E-2</v>
      </c>
      <c r="I25" s="3">
        <f>I24/'Income Statement'!I6</f>
        <v>5.7101399795151928E-2</v>
      </c>
      <c r="J25" s="3">
        <f>J24/'Income Statement'!J6</f>
        <v>5.962630518409965E-2</v>
      </c>
      <c r="K25" s="3">
        <f>K24/'Income Statement'!K6</f>
        <v>9.4332833583208389E-2</v>
      </c>
      <c r="L25" s="3">
        <f>L24/'Income Statement'!L6</f>
        <v>6.6991157018652006E-2</v>
      </c>
      <c r="M25" s="3">
        <f>M24/'Income Statement'!M6</f>
        <v>9.5388151553347664E-2</v>
      </c>
      <c r="N25" s="3">
        <f>N24/'Income Statement'!N6</f>
        <v>2.6509306982699189E-2</v>
      </c>
      <c r="O25" s="35">
        <f>AVERAGE(D25:N25)</f>
        <v>5.8144303455417774E-2</v>
      </c>
      <c r="P25" s="36">
        <v>0.06</v>
      </c>
      <c r="Q25" s="36">
        <v>0.06</v>
      </c>
      <c r="R25" s="36">
        <v>0.06</v>
      </c>
      <c r="S25" s="36">
        <v>0.06</v>
      </c>
    </row>
    <row r="26" spans="2:24" s="31" customFormat="1" x14ac:dyDescent="0.3">
      <c r="B26" s="32" t="s">
        <v>49</v>
      </c>
      <c r="C26" s="32"/>
      <c r="D26" s="33">
        <f t="shared" ref="D26:N26" si="14">D10-D6</f>
        <v>952.90099999999984</v>
      </c>
      <c r="E26" s="33">
        <f t="shared" si="14"/>
        <v>1090</v>
      </c>
      <c r="F26" s="33">
        <f t="shared" si="14"/>
        <v>1016</v>
      </c>
      <c r="G26" s="33">
        <f t="shared" si="14"/>
        <v>1738</v>
      </c>
      <c r="H26" s="33">
        <f t="shared" si="14"/>
        <v>2147</v>
      </c>
      <c r="I26" s="33">
        <f t="shared" si="14"/>
        <v>3135</v>
      </c>
      <c r="J26" s="33">
        <f t="shared" si="14"/>
        <v>2793</v>
      </c>
      <c r="K26" s="33">
        <f t="shared" si="14"/>
        <v>4494</v>
      </c>
      <c r="L26" s="33">
        <f t="shared" si="14"/>
        <v>7621</v>
      </c>
      <c r="M26" s="33">
        <f t="shared" si="14"/>
        <v>9777</v>
      </c>
      <c r="N26" s="33">
        <f t="shared" si="14"/>
        <v>18361</v>
      </c>
      <c r="O26" s="33">
        <f>O27*'Income Statement'!O30</f>
        <v>22686.091992126643</v>
      </c>
      <c r="P26" s="33">
        <f>P27*'Income Statement'!P30</f>
        <v>32069.135923878406</v>
      </c>
      <c r="Q26" s="33">
        <f>Q27*'Income Statement'!Q30</f>
        <v>45630.700662361058</v>
      </c>
      <c r="R26" s="33">
        <f>R27*'Income Statement'!R30</f>
        <v>64927.251170108342</v>
      </c>
      <c r="S26" s="33">
        <f>S27*'Income Statement'!S30</f>
        <v>92384.028369381864</v>
      </c>
      <c r="X26" s="34"/>
    </row>
    <row r="27" spans="2:24" x14ac:dyDescent="0.3">
      <c r="B27" t="s">
        <v>46</v>
      </c>
      <c r="D27" s="3">
        <f>'Balance Sheet'!D26/'Income Statement'!D6</f>
        <v>0.23072663438256655</v>
      </c>
      <c r="E27" s="3">
        <f>'Balance Sheet'!E26/'Income Statement'!E6</f>
        <v>0.23280649295173003</v>
      </c>
      <c r="F27" s="3">
        <f>'Balance Sheet'!F26/'Income Statement'!F6</f>
        <v>0.20279441117764471</v>
      </c>
      <c r="G27" s="3">
        <f>'Balance Sheet'!G26/'Income Statement'!G6</f>
        <v>0.25151953690303908</v>
      </c>
      <c r="H27" s="3">
        <f>'Balance Sheet'!H26/'Income Statement'!H6</f>
        <v>0.22102120650607371</v>
      </c>
      <c r="I27" s="3">
        <f>'Balance Sheet'!I26/'Income Statement'!I6</f>
        <v>0.26758279276203484</v>
      </c>
      <c r="J27" s="3">
        <f>'Balance Sheet'!J26/'Income Statement'!J6</f>
        <v>0.25581608353178237</v>
      </c>
      <c r="K27" s="3">
        <f>'Balance Sheet'!K26/'Income Statement'!K6</f>
        <v>0.26950524737631182</v>
      </c>
      <c r="L27" s="3">
        <f>'Balance Sheet'!L26/'Income Statement'!L6</f>
        <v>0.28316118005498997</v>
      </c>
      <c r="M27" s="3">
        <f>'Balance Sheet'!M26/'Income Statement'!M6</f>
        <v>0.36246014680803734</v>
      </c>
      <c r="N27" s="3">
        <f>'Balance Sheet'!N26/'Income Statement'!N6</f>
        <v>0.301385378024359</v>
      </c>
      <c r="O27" s="36">
        <f>AVERAGE(D27:N27)</f>
        <v>0.26170719186168817</v>
      </c>
      <c r="P27" s="36">
        <v>0.26</v>
      </c>
      <c r="Q27" s="36">
        <v>0.26</v>
      </c>
      <c r="R27" s="36">
        <v>0.26</v>
      </c>
      <c r="S27" s="36">
        <v>0.26</v>
      </c>
      <c r="X27" s="9"/>
    </row>
    <row r="28" spans="2:24" s="31" customFormat="1" x14ac:dyDescent="0.3">
      <c r="B28" s="32" t="s">
        <v>61</v>
      </c>
      <c r="D28" s="33">
        <v>945.49599999999998</v>
      </c>
      <c r="E28" s="32">
        <v>896</v>
      </c>
      <c r="F28" s="32">
        <v>2351</v>
      </c>
      <c r="G28" s="32">
        <v>1788</v>
      </c>
      <c r="H28" s="32">
        <v>1153</v>
      </c>
      <c r="I28" s="32">
        <v>1329</v>
      </c>
      <c r="J28" s="32">
        <v>1784</v>
      </c>
      <c r="K28" s="32">
        <f>K20-K19</f>
        <v>4995</v>
      </c>
      <c r="L28" s="32">
        <v>4335</v>
      </c>
      <c r="M28" s="32">
        <f>M20-M19</f>
        <v>3020</v>
      </c>
      <c r="N28" s="32">
        <f>N20-N19</f>
        <v>20228</v>
      </c>
      <c r="O28" s="33">
        <f>O29*'Income Statement'!O30</f>
        <v>10402.201864188526</v>
      </c>
      <c r="P28" s="33">
        <f>P29*'Income Statement'!P30</f>
        <v>14801.139657174648</v>
      </c>
      <c r="Q28" s="33">
        <f>Q29*'Income Statement'!Q30</f>
        <v>21060.323382628176</v>
      </c>
      <c r="R28" s="33">
        <f>R29*'Income Statement'!R30</f>
        <v>29966.423616973079</v>
      </c>
      <c r="S28" s="33">
        <f>S29*'Income Statement'!S30</f>
        <v>42638.782324330088</v>
      </c>
    </row>
    <row r="29" spans="2:24" x14ac:dyDescent="0.3">
      <c r="B29" t="s">
        <v>46</v>
      </c>
      <c r="D29" s="3">
        <f>D28/'Income Statement'!D6</f>
        <v>0.22893365617433414</v>
      </c>
      <c r="E29" s="3">
        <f>E28/'Income Statement'!E6</f>
        <v>0.19137120888509185</v>
      </c>
      <c r="F29" s="3">
        <f>F28/'Income Statement'!F6</f>
        <v>0.4692614770459082</v>
      </c>
      <c r="G29" s="3">
        <f>G28/'Income Statement'!G6</f>
        <v>0.25875542691751086</v>
      </c>
      <c r="H29" s="3">
        <f>H28/'Income Statement'!H6</f>
        <v>0.1186946674902203</v>
      </c>
      <c r="I29" s="3">
        <f>I28/'Income Statement'!I6</f>
        <v>0.11343461932400137</v>
      </c>
      <c r="J29" s="3">
        <f>J28/'Income Statement'!J6</f>
        <v>0.16339989008976002</v>
      </c>
      <c r="K29" s="3">
        <f>K28/'Income Statement'!K6</f>
        <v>0.29955022488755623</v>
      </c>
      <c r="L29" s="3">
        <f>L28/'Income Statement'!L6</f>
        <v>0.16106858883852271</v>
      </c>
      <c r="M29" s="3">
        <f>M28/'Income Statement'!M6</f>
        <v>0.11195966486246015</v>
      </c>
      <c r="N29" s="3">
        <f>N28/'Income Statement'!N6</f>
        <v>0.33203112176225336</v>
      </c>
      <c r="O29" s="36">
        <v>0.12</v>
      </c>
      <c r="P29" s="36">
        <v>0.12</v>
      </c>
      <c r="Q29" s="36">
        <v>0.12</v>
      </c>
      <c r="R29" s="36">
        <v>0.12</v>
      </c>
      <c r="S29" s="36">
        <v>0.12</v>
      </c>
    </row>
    <row r="30" spans="2:24" s="31" customFormat="1" x14ac:dyDescent="0.3">
      <c r="B30" s="32" t="s">
        <v>48</v>
      </c>
      <c r="D30" s="33">
        <f t="shared" ref="D30:S30" si="15">D26-D28</f>
        <v>7.404999999999859</v>
      </c>
      <c r="E30" s="33">
        <f t="shared" si="15"/>
        <v>194</v>
      </c>
      <c r="F30" s="33">
        <f t="shared" si="15"/>
        <v>-1335</v>
      </c>
      <c r="G30" s="33">
        <f t="shared" si="15"/>
        <v>-50</v>
      </c>
      <c r="H30" s="33">
        <f t="shared" si="15"/>
        <v>994</v>
      </c>
      <c r="I30" s="33">
        <f t="shared" si="15"/>
        <v>1806</v>
      </c>
      <c r="J30" s="33">
        <f t="shared" si="15"/>
        <v>1009</v>
      </c>
      <c r="K30" s="33">
        <f t="shared" si="15"/>
        <v>-501</v>
      </c>
      <c r="L30" s="33">
        <f t="shared" si="15"/>
        <v>3286</v>
      </c>
      <c r="M30" s="33">
        <f t="shared" si="15"/>
        <v>6757</v>
      </c>
      <c r="N30" s="33">
        <f t="shared" si="15"/>
        <v>-1867</v>
      </c>
      <c r="O30" s="33">
        <f t="shared" si="15"/>
        <v>12283.890127938117</v>
      </c>
      <c r="P30" s="33">
        <f t="shared" si="15"/>
        <v>17267.996266703758</v>
      </c>
      <c r="Q30" s="33">
        <f t="shared" si="15"/>
        <v>24570.377279732882</v>
      </c>
      <c r="R30" s="33">
        <f t="shared" si="15"/>
        <v>34960.827553135263</v>
      </c>
      <c r="S30" s="33">
        <f t="shared" si="15"/>
        <v>49745.246045051776</v>
      </c>
    </row>
    <row r="31" spans="2:24" x14ac:dyDescent="0.3">
      <c r="B31" s="2" t="s">
        <v>51</v>
      </c>
      <c r="D31" s="2">
        <v>194</v>
      </c>
      <c r="E31" s="10">
        <f>E30-D30</f>
        <v>186.59500000000014</v>
      </c>
      <c r="F31" s="10">
        <f t="shared" ref="F31:S31" si="16">F30-E30</f>
        <v>-1529</v>
      </c>
      <c r="G31" s="10">
        <f t="shared" si="16"/>
        <v>1285</v>
      </c>
      <c r="H31" s="10">
        <f t="shared" si="16"/>
        <v>1044</v>
      </c>
      <c r="I31" s="10">
        <f t="shared" si="16"/>
        <v>812</v>
      </c>
      <c r="J31" s="10">
        <f t="shared" si="16"/>
        <v>-797</v>
      </c>
      <c r="K31" s="10">
        <f t="shared" si="16"/>
        <v>-1510</v>
      </c>
      <c r="L31" s="10">
        <f t="shared" si="16"/>
        <v>3787</v>
      </c>
      <c r="M31" s="10">
        <f t="shared" si="16"/>
        <v>3471</v>
      </c>
      <c r="N31" s="10">
        <f t="shared" si="16"/>
        <v>-8624</v>
      </c>
      <c r="O31" s="33">
        <f>O30-N30</f>
        <v>14150.890127938117</v>
      </c>
      <c r="P31" s="33">
        <f t="shared" si="16"/>
        <v>4984.1061387656409</v>
      </c>
      <c r="Q31" s="33">
        <f t="shared" si="16"/>
        <v>7302.381013029124</v>
      </c>
      <c r="R31" s="33">
        <f t="shared" si="16"/>
        <v>10390.450273402381</v>
      </c>
      <c r="S31" s="33">
        <f t="shared" si="16"/>
        <v>14784.418491916513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F6E-52AA-4963-BEED-4E007D7C24F8}">
  <dimension ref="B4:M15"/>
  <sheetViews>
    <sheetView workbookViewId="0">
      <selection activeCell="B12" sqref="B12:M12"/>
    </sheetView>
  </sheetViews>
  <sheetFormatPr defaultRowHeight="14.4" x14ac:dyDescent="0.3"/>
  <cols>
    <col min="2" max="2" width="31.109375" customWidth="1"/>
  </cols>
  <sheetData>
    <row r="4" spans="2:13" x14ac:dyDescent="0.3">
      <c r="B4" s="19" t="s">
        <v>11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3" x14ac:dyDescent="0.3">
      <c r="B5" s="19" t="s">
        <v>19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2:13" x14ac:dyDescent="0.3">
      <c r="B6" s="20"/>
      <c r="C6" s="19">
        <v>2014</v>
      </c>
      <c r="D6" s="19">
        <f>SUM(C6+1)</f>
        <v>2015</v>
      </c>
      <c r="E6" s="19">
        <f t="shared" ref="E6:M6" si="0">SUM(D6+1)</f>
        <v>2016</v>
      </c>
      <c r="F6" s="19">
        <f t="shared" si="0"/>
        <v>2017</v>
      </c>
      <c r="G6" s="19">
        <f t="shared" si="0"/>
        <v>2018</v>
      </c>
      <c r="H6" s="19">
        <f t="shared" si="0"/>
        <v>2019</v>
      </c>
      <c r="I6" s="19">
        <f t="shared" si="0"/>
        <v>2020</v>
      </c>
      <c r="J6" s="19">
        <f t="shared" si="0"/>
        <v>2021</v>
      </c>
      <c r="K6" s="19">
        <f t="shared" si="0"/>
        <v>2022</v>
      </c>
      <c r="L6" s="19">
        <f t="shared" si="0"/>
        <v>2023</v>
      </c>
      <c r="M6" s="19">
        <f t="shared" si="0"/>
        <v>2024</v>
      </c>
    </row>
    <row r="7" spans="2:13" x14ac:dyDescent="0.3">
      <c r="B7" s="2" t="s">
        <v>36</v>
      </c>
      <c r="C7" s="71">
        <v>244</v>
      </c>
      <c r="D7" s="71">
        <v>248</v>
      </c>
      <c r="E7" s="71">
        <v>226</v>
      </c>
      <c r="F7" s="71">
        <v>187</v>
      </c>
      <c r="G7" s="71">
        <v>199</v>
      </c>
      <c r="H7" s="71">
        <v>262</v>
      </c>
      <c r="I7" s="71">
        <v>381</v>
      </c>
      <c r="J7" s="71">
        <v>1098</v>
      </c>
      <c r="K7" s="71">
        <v>1174</v>
      </c>
      <c r="L7" s="71">
        <v>1544</v>
      </c>
      <c r="M7" s="71">
        <v>1508</v>
      </c>
    </row>
    <row r="8" spans="2:13" x14ac:dyDescent="0.3">
      <c r="B8" s="2" t="s">
        <v>37</v>
      </c>
      <c r="C8" s="71">
        <v>835</v>
      </c>
      <c r="D8" s="71">
        <v>906</v>
      </c>
      <c r="E8" s="71">
        <v>1175</v>
      </c>
      <c r="F8" s="71">
        <v>1672</v>
      </c>
      <c r="G8" s="71">
        <v>3502</v>
      </c>
      <c r="H8" s="71">
        <v>3743</v>
      </c>
      <c r="I8" s="71">
        <v>4761</v>
      </c>
      <c r="J8" s="71">
        <v>5822</v>
      </c>
      <c r="K8" s="71">
        <v>9108</v>
      </c>
      <c r="L8" s="71">
        <v>5641</v>
      </c>
      <c r="M8" s="71">
        <v>28090</v>
      </c>
    </row>
    <row r="9" spans="2:13" x14ac:dyDescent="0.3">
      <c r="B9" s="2" t="s">
        <v>39</v>
      </c>
      <c r="C9" s="71">
        <v>-806</v>
      </c>
      <c r="D9" s="71">
        <v>-727</v>
      </c>
      <c r="E9" s="71">
        <v>-400</v>
      </c>
      <c r="F9" s="71">
        <v>-793</v>
      </c>
      <c r="G9" s="71">
        <v>1278</v>
      </c>
      <c r="H9" s="71">
        <v>-4097</v>
      </c>
      <c r="I9" s="71">
        <v>6145</v>
      </c>
      <c r="J9" s="71">
        <v>-19675</v>
      </c>
      <c r="K9" s="71">
        <v>-9830</v>
      </c>
      <c r="L9" s="71">
        <v>7375</v>
      </c>
      <c r="M9" s="71">
        <v>-10566</v>
      </c>
    </row>
    <row r="10" spans="2:13" x14ac:dyDescent="0.3">
      <c r="B10" s="2" t="s">
        <v>40</v>
      </c>
      <c r="C10" s="71">
        <v>390</v>
      </c>
      <c r="D10" s="71">
        <v>-834</v>
      </c>
      <c r="E10" s="71">
        <v>-676</v>
      </c>
      <c r="F10" s="71">
        <v>291</v>
      </c>
      <c r="G10" s="71">
        <v>-2544</v>
      </c>
      <c r="H10" s="71">
        <v>-2866</v>
      </c>
      <c r="I10" s="71">
        <v>-792</v>
      </c>
      <c r="J10" s="71">
        <v>3804</v>
      </c>
      <c r="K10" s="71">
        <v>1865</v>
      </c>
      <c r="L10" s="71">
        <v>-11617</v>
      </c>
      <c r="M10" s="71">
        <v>-13633</v>
      </c>
    </row>
    <row r="11" spans="2:13" x14ac:dyDescent="0.3">
      <c r="B11" s="2" t="s">
        <v>41</v>
      </c>
      <c r="C11" s="71">
        <v>419</v>
      </c>
      <c r="D11" s="71">
        <v>-655</v>
      </c>
      <c r="E11" s="71">
        <v>99</v>
      </c>
      <c r="F11" s="71">
        <v>1170</v>
      </c>
      <c r="G11" s="71">
        <v>2236</v>
      </c>
      <c r="H11" s="71">
        <v>-3220</v>
      </c>
      <c r="I11" s="71">
        <v>10114</v>
      </c>
      <c r="J11" s="71">
        <v>-10049</v>
      </c>
      <c r="K11" s="71">
        <v>1143</v>
      </c>
      <c r="L11" s="71">
        <v>1399</v>
      </c>
      <c r="M11" s="71">
        <v>3891</v>
      </c>
    </row>
    <row r="12" spans="2:13" x14ac:dyDescent="0.3">
      <c r="B12" s="2" t="s">
        <v>38</v>
      </c>
      <c r="C12" s="71">
        <v>-181</v>
      </c>
      <c r="D12" s="71">
        <v>-186</v>
      </c>
      <c r="E12" s="71">
        <v>-213</v>
      </c>
      <c r="F12" s="71">
        <v>-261</v>
      </c>
      <c r="G12" s="71">
        <v>-341</v>
      </c>
      <c r="H12" s="71">
        <v>-371</v>
      </c>
      <c r="I12" s="71">
        <v>-390</v>
      </c>
      <c r="J12" s="71">
        <v>-395</v>
      </c>
      <c r="K12" s="71">
        <v>-399</v>
      </c>
      <c r="L12" s="71">
        <v>-398</v>
      </c>
      <c r="M12" s="71">
        <v>-395</v>
      </c>
    </row>
    <row r="15" spans="2:13" x14ac:dyDescent="0.3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C461-8C62-4425-B628-D160C9856EA0}">
  <dimension ref="B3:F19"/>
  <sheetViews>
    <sheetView topLeftCell="A2" zoomScale="132" workbookViewId="0">
      <selection activeCell="E13" sqref="E13"/>
    </sheetView>
  </sheetViews>
  <sheetFormatPr defaultRowHeight="14.4" x14ac:dyDescent="0.3"/>
  <cols>
    <col min="2" max="2" width="26.5546875" customWidth="1"/>
    <col min="3" max="3" width="21.33203125" bestFit="1" customWidth="1"/>
    <col min="5" max="5" width="20.33203125" customWidth="1"/>
    <col min="6" max="6" width="20.21875" bestFit="1" customWidth="1"/>
  </cols>
  <sheetData>
    <row r="3" spans="2:6" x14ac:dyDescent="0.3">
      <c r="B3" s="19" t="s">
        <v>64</v>
      </c>
      <c r="C3" s="19"/>
      <c r="E3" s="44" t="s">
        <v>76</v>
      </c>
      <c r="F3" s="44"/>
    </row>
    <row r="4" spans="2:6" x14ac:dyDescent="0.3">
      <c r="B4" t="s">
        <v>65</v>
      </c>
      <c r="C4" s="41">
        <v>151880</v>
      </c>
      <c r="E4" t="s">
        <v>74</v>
      </c>
      <c r="F4" s="63">
        <f>C15</f>
        <v>1.2426521783911832</v>
      </c>
    </row>
    <row r="5" spans="2:6" x14ac:dyDescent="0.3">
      <c r="B5" t="s">
        <v>66</v>
      </c>
      <c r="C5">
        <f>'Balance Sheet'!N15+'Balance Sheet'!N17</f>
        <v>9709</v>
      </c>
      <c r="E5" t="s">
        <v>73</v>
      </c>
      <c r="F5" s="42">
        <f>C14</f>
        <v>4.2999999999999997E-2</v>
      </c>
    </row>
    <row r="6" spans="2:6" x14ac:dyDescent="0.3">
      <c r="E6" t="s">
        <v>71</v>
      </c>
      <c r="F6" s="5">
        <v>4.5900000000000003E-2</v>
      </c>
    </row>
    <row r="7" spans="2:6" ht="15" thickBot="1" x14ac:dyDescent="0.35">
      <c r="B7" t="s">
        <v>67</v>
      </c>
      <c r="C7" s="5">
        <f>-'Income Statement'!N14/WACC!C5</f>
        <v>2.6985271397672261E-2</v>
      </c>
      <c r="E7" s="45" t="s">
        <v>72</v>
      </c>
      <c r="F7" s="48">
        <f>F6+F5*F4</f>
        <v>9.9334043670820882E-2</v>
      </c>
    </row>
    <row r="8" spans="2:6" x14ac:dyDescent="0.3">
      <c r="B8" t="s">
        <v>68</v>
      </c>
      <c r="C8" s="66">
        <v>0.12</v>
      </c>
    </row>
    <row r="9" spans="2:6" x14ac:dyDescent="0.3">
      <c r="B9" t="s">
        <v>69</v>
      </c>
      <c r="C9" s="5">
        <f>C5/(C5+C4)</f>
        <v>6.0084535457240282E-2</v>
      </c>
    </row>
    <row r="10" spans="2:6" ht="15" thickBot="1" x14ac:dyDescent="0.35">
      <c r="B10" s="39" t="s">
        <v>70</v>
      </c>
      <c r="C10" s="43">
        <f>C9*(C7*(1-C8))</f>
        <v>1.4268297965826882E-3</v>
      </c>
    </row>
    <row r="11" spans="2:6" x14ac:dyDescent="0.3">
      <c r="B11" t="s">
        <v>77</v>
      </c>
      <c r="C11" s="64">
        <v>1.21</v>
      </c>
    </row>
    <row r="12" spans="2:6" x14ac:dyDescent="0.3">
      <c r="B12" t="s">
        <v>71</v>
      </c>
      <c r="C12" s="46">
        <v>4.5900000000000003E-2</v>
      </c>
    </row>
    <row r="13" spans="2:6" x14ac:dyDescent="0.3">
      <c r="B13" t="s">
        <v>72</v>
      </c>
      <c r="C13" s="42">
        <f>F7</f>
        <v>9.9334043670820882E-2</v>
      </c>
    </row>
    <row r="14" spans="2:6" x14ac:dyDescent="0.3">
      <c r="B14" t="s">
        <v>73</v>
      </c>
      <c r="C14" s="47">
        <v>4.2999999999999997E-2</v>
      </c>
    </row>
    <row r="15" spans="2:6" x14ac:dyDescent="0.3">
      <c r="B15" t="s">
        <v>74</v>
      </c>
      <c r="C15" s="63">
        <f>C11*(1+C7)</f>
        <v>1.2426521783911832</v>
      </c>
    </row>
    <row r="16" spans="2:6" x14ac:dyDescent="0.3">
      <c r="B16" t="s">
        <v>75</v>
      </c>
      <c r="C16" s="50">
        <f>C4/(C4+C5)</f>
        <v>0.93991546454275976</v>
      </c>
    </row>
    <row r="17" spans="2:3" ht="15" thickBot="1" x14ac:dyDescent="0.35">
      <c r="B17" s="39" t="s">
        <v>78</v>
      </c>
      <c r="C17" s="49">
        <f>C16*C13</f>
        <v>9.3365603801770392E-2</v>
      </c>
    </row>
    <row r="18" spans="2:3" ht="15" thickBot="1" x14ac:dyDescent="0.35"/>
    <row r="19" spans="2:3" ht="15" thickBot="1" x14ac:dyDescent="0.35">
      <c r="B19" s="40" t="s">
        <v>4</v>
      </c>
      <c r="C19" s="51">
        <f>C17+C10</f>
        <v>9.4792433598353085E-2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Income Statement</vt:lpstr>
      <vt:lpstr>Balance Sheet</vt:lpstr>
      <vt:lpstr>Free Cash Flow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Babde</dc:creator>
  <cp:lastModifiedBy>Ayush Babde</cp:lastModifiedBy>
  <dcterms:created xsi:type="dcterms:W3CDTF">2024-05-03T13:18:34Z</dcterms:created>
  <dcterms:modified xsi:type="dcterms:W3CDTF">2024-07-15T20:44:31Z</dcterms:modified>
</cp:coreProperties>
</file>