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8_{75E9F6BC-8017-46A8-ABE6-C45842ED168C}" xr6:coauthVersionLast="47" xr6:coauthVersionMax="47" xr10:uidLastSave="{00000000-0000-0000-0000-000000000000}"/>
  <bookViews>
    <workbookView xWindow="-21465" yWindow="5790" windowWidth="19200" windowHeight="9975" activeTab="6" xr2:uid="{00000000-000D-0000-FFFF-FFFF00000000}"/>
  </bookViews>
  <sheets>
    <sheet name="Air_Radiator" sheetId="15" r:id="rId1"/>
    <sheet name="Coolant_Radiator" sheetId="14" r:id="rId2"/>
    <sheet name="Refrigerant_Condenser" sheetId="13" r:id="rId3"/>
    <sheet name="Air_Condenser" sheetId="12" r:id="rId4"/>
    <sheet name="Motor" sheetId="5" r:id="rId5"/>
    <sheet name="Battery" sheetId="11" r:id="rId6"/>
    <sheet name="Heat Loa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5" l="1"/>
  <c r="B4" i="15"/>
  <c r="F4" i="15" s="1"/>
  <c r="F5" i="15" s="1"/>
  <c r="B7" i="15" s="1"/>
  <c r="B3" i="14"/>
  <c r="F3" i="14" s="1"/>
  <c r="B6" i="14"/>
  <c r="B5" i="14"/>
  <c r="B2" i="14"/>
  <c r="B6" i="13"/>
  <c r="B5" i="13"/>
  <c r="B5" i="5"/>
  <c r="B3" i="13"/>
  <c r="F3" i="13"/>
  <c r="B2" i="13"/>
  <c r="B4" i="12"/>
  <c r="F4" i="12" s="1"/>
  <c r="F5" i="12" s="1"/>
  <c r="B5" i="11"/>
  <c r="B5" i="12"/>
  <c r="B3" i="5"/>
  <c r="F3" i="5" s="1"/>
  <c r="F5" i="5" s="1"/>
  <c r="B6" i="11"/>
  <c r="F3" i="11"/>
  <c r="F5" i="11" s="1"/>
  <c r="F6" i="11" s="1"/>
  <c r="B8" i="11" s="1"/>
  <c r="B3" i="11"/>
  <c r="B2" i="11"/>
  <c r="B2" i="5"/>
  <c r="B4" i="5"/>
  <c r="B6" i="5"/>
  <c r="J7" i="3"/>
  <c r="F5" i="14" l="1"/>
  <c r="F6" i="14" s="1"/>
  <c r="B8" i="14" s="1"/>
  <c r="F5" i="13"/>
  <c r="F6" i="13" s="1"/>
  <c r="B8" i="13" s="1"/>
  <c r="B7" i="12"/>
  <c r="F6" i="5"/>
  <c r="B8" i="5" s="1"/>
  <c r="F7" i="3"/>
  <c r="B8" i="3" l="1"/>
  <c r="B9" i="3"/>
  <c r="F5" i="3"/>
  <c r="F6" i="3"/>
  <c r="B10" i="3"/>
  <c r="B5" i="3"/>
  <c r="B12" i="3" s="1"/>
  <c r="B11" i="3"/>
  <c r="B7" i="3"/>
  <c r="B6" i="3"/>
  <c r="F8" i="3" l="1"/>
  <c r="B14" i="3" s="1"/>
</calcChain>
</file>

<file path=xl/sharedStrings.xml><?xml version="1.0" encoding="utf-8"?>
<sst xmlns="http://schemas.openxmlformats.org/spreadsheetml/2006/main" count="157" uniqueCount="46">
  <si>
    <t>m</t>
  </si>
  <si>
    <t>W/m K</t>
  </si>
  <si>
    <t>m/s</t>
  </si>
  <si>
    <t>Qglass</t>
  </si>
  <si>
    <t>W</t>
  </si>
  <si>
    <t>rad</t>
  </si>
  <si>
    <t xml:space="preserve">Qmetal </t>
  </si>
  <si>
    <t xml:space="preserve">Number of passengers </t>
  </si>
  <si>
    <t xml:space="preserve">Human avg heat production </t>
  </si>
  <si>
    <t>Qmet</t>
  </si>
  <si>
    <t>Total heat load</t>
  </si>
  <si>
    <t>Metabolic Heat Load(Qmet)</t>
  </si>
  <si>
    <t>Metal Heat Load(Qmetal)</t>
  </si>
  <si>
    <t>Glass Heat load(Qglass)</t>
  </si>
  <si>
    <t>Value</t>
  </si>
  <si>
    <t>Units</t>
  </si>
  <si>
    <t xml:space="preserve"> </t>
  </si>
  <si>
    <r>
      <t>W/m</t>
    </r>
    <r>
      <rPr>
        <vertAlign val="superscript"/>
        <sz val="11"/>
        <color theme="1"/>
        <rFont val="Aptos Narrow"/>
        <scheme val="minor"/>
      </rPr>
      <t>2</t>
    </r>
    <r>
      <rPr>
        <sz val="11"/>
        <color theme="1"/>
        <rFont val="Aptos Narrow"/>
        <family val="2"/>
        <scheme val="minor"/>
      </rPr>
      <t>K</t>
    </r>
  </si>
  <si>
    <r>
      <t>m</t>
    </r>
    <r>
      <rPr>
        <vertAlign val="superscript"/>
        <sz val="11"/>
        <color theme="1"/>
        <rFont val="Aptos Narrow"/>
        <scheme val="minor"/>
      </rPr>
      <t>2</t>
    </r>
  </si>
  <si>
    <t>K</t>
  </si>
  <si>
    <t>Heat Transfer Coefficient(Ug)</t>
  </si>
  <si>
    <t>Heat Transfer Coefficient(Um)</t>
  </si>
  <si>
    <t>Surface Area(Ag)</t>
  </si>
  <si>
    <t>Surface Area(Am)</t>
  </si>
  <si>
    <r>
      <t>Difference in Temperature(</t>
    </r>
    <r>
      <rPr>
        <sz val="11"/>
        <color theme="1"/>
        <rFont val="Calibri"/>
        <family val="2"/>
      </rPr>
      <t>Δ</t>
    </r>
    <r>
      <rPr>
        <sz val="11"/>
        <color theme="1"/>
        <rFont val="Aptos Narrow"/>
        <family val="2"/>
        <scheme val="minor"/>
      </rPr>
      <t>Tg)</t>
    </r>
  </si>
  <si>
    <t>Difference in Temperature(ΔTm)</t>
  </si>
  <si>
    <t>Direct Radiation(Idiff)</t>
  </si>
  <si>
    <t>Diffuse radiation(Idir)</t>
  </si>
  <si>
    <t>Incidence Angle(I)</t>
  </si>
  <si>
    <t xml:space="preserve">Transmissivity(tau) </t>
  </si>
  <si>
    <t>Heat Transfer Coefficient(h)</t>
  </si>
  <si>
    <t>Tube Area</t>
  </si>
  <si>
    <t>Coolant Flowrate</t>
  </si>
  <si>
    <t>Hydraulic Diameter (Dh)</t>
  </si>
  <si>
    <t>Coolant Velocity(V)</t>
  </si>
  <si>
    <r>
      <t>m</t>
    </r>
    <r>
      <rPr>
        <vertAlign val="superscript"/>
        <sz val="11"/>
        <color theme="1"/>
        <rFont val="Aptos Narrow"/>
        <scheme val="minor"/>
      </rPr>
      <t>2</t>
    </r>
    <r>
      <rPr>
        <sz val="11"/>
        <color theme="1"/>
        <rFont val="Aptos Narrow"/>
        <family val="2"/>
        <scheme val="minor"/>
      </rPr>
      <t>/s</t>
    </r>
  </si>
  <si>
    <t>Parameter</t>
  </si>
  <si>
    <t>Unit</t>
  </si>
  <si>
    <t>Intermediate Variable</t>
  </si>
  <si>
    <t>LPM</t>
  </si>
  <si>
    <t>Thermal conductivity(k)</t>
  </si>
  <si>
    <t>Reynolds Number(Re)</t>
  </si>
  <si>
    <t>Nusselt Number(Nu)</t>
  </si>
  <si>
    <t>Air Velocity</t>
  </si>
  <si>
    <t>Kinematic Viscosity</t>
  </si>
  <si>
    <t>Refrigerant Flowrate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</si>
</sst>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vertAlign val="superscript"/>
      <sz val="11"/>
      <color theme="1"/>
      <name val="Aptos Narrow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7101218" displayName="Table7101218" ref="A1:C5" totalsRowShown="0" headerRowDxfId="68" dataDxfId="67">
  <autoFilter ref="A1:C5" xr:uid="{00000000-0009-0000-0100-000011000000}"/>
  <tableColumns count="3">
    <tableColumn id="1" xr3:uid="{00000000-0010-0000-0000-000001000000}" name="Parameter" dataDxfId="66"/>
    <tableColumn id="2" xr3:uid="{00000000-0010-0000-0000-000002000000}" name="Value" dataDxfId="65"/>
    <tableColumn id="3" xr3:uid="{00000000-0010-0000-0000-000003000000}" name="Unit" dataDxfId="64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E1:G6" totalsRowShown="0" headerRowDxfId="23" dataDxfId="22">
  <autoFilter ref="E1:G6" xr:uid="{00000000-0009-0000-0100-000008000000}"/>
  <tableColumns count="3">
    <tableColumn id="1" xr3:uid="{00000000-0010-0000-0900-000001000000}" name="Intermediate Variable" dataDxfId="21"/>
    <tableColumn id="2" xr3:uid="{00000000-0010-0000-0900-000002000000}" name="Value" dataDxfId="20"/>
    <tableColumn id="3" xr3:uid="{00000000-0010-0000-0900-000003000000}" name="Unit" dataDxfId="19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710" displayName="Table710" ref="A1:C6" totalsRowShown="0" headerRowDxfId="18" dataDxfId="17">
  <autoFilter ref="A1:C6" xr:uid="{00000000-0009-0000-0100-000009000000}"/>
  <tableColumns count="3">
    <tableColumn id="1" xr3:uid="{00000000-0010-0000-0A00-000001000000}" name="Parameter" dataDxfId="16"/>
    <tableColumn id="2" xr3:uid="{00000000-0010-0000-0A00-000002000000}" name="Value" dataDxfId="15"/>
    <tableColumn id="3" xr3:uid="{00000000-0010-0000-0A00-000003000000}" name="Unit" dataDxfId="14"/>
  </tableColumns>
  <tableStyleInfo name="TableStyleLight1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e811" displayName="Table811" ref="E1:G6" totalsRowShown="0" headerRowDxfId="13" dataDxfId="12">
  <autoFilter ref="E1:G6" xr:uid="{00000000-0009-0000-0100-00000A000000}"/>
  <tableColumns count="3">
    <tableColumn id="1" xr3:uid="{00000000-0010-0000-0B00-000001000000}" name="Intermediate Variable" dataDxfId="11"/>
    <tableColumn id="2" xr3:uid="{00000000-0010-0000-0B00-000002000000}" name="Value" dataDxfId="10"/>
    <tableColumn id="3" xr3:uid="{00000000-0010-0000-0B00-000003000000}" name="Unit" dataDxfId="9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C000000}" name="Table3" displayName="Table3" ref="A4:C11" totalsRowShown="0" headerRowDxfId="8" dataDxfId="7">
  <autoFilter ref="A4:C11" xr:uid="{00000000-0009-0000-0100-000003000000}"/>
  <tableColumns count="3">
    <tableColumn id="1" xr3:uid="{00000000-0010-0000-0C00-000001000000}" name="Glass Heat load(Qglass)" dataDxfId="6"/>
    <tableColumn id="2" xr3:uid="{00000000-0010-0000-0C00-000002000000}" name="Value" dataDxfId="5"/>
    <tableColumn id="3" xr3:uid="{00000000-0010-0000-0C00-000003000000}" name="Units" dataDxfId="4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4" displayName="Table4" ref="E4:G8" totalsRowShown="0" headerRowDxfId="3">
  <autoFilter ref="E4:G8" xr:uid="{00000000-0009-0000-0100-000004000000}"/>
  <tableColumns count="3">
    <tableColumn id="1" xr3:uid="{00000000-0010-0000-0D00-000001000000}" name="Metal Heat Load(Qmetal)" dataDxfId="2"/>
    <tableColumn id="2" xr3:uid="{00000000-0010-0000-0D00-000002000000}" name="Value" dataDxfId="1"/>
    <tableColumn id="3" xr3:uid="{00000000-0010-0000-0D00-000003000000}" name="Units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E000000}" name="Table5" displayName="Table5" ref="I4:K7" totalsRowShown="0" headerRowDxfId="0">
  <autoFilter ref="I4:K7" xr:uid="{00000000-0009-0000-0100-000005000000}"/>
  <tableColumns count="3">
    <tableColumn id="1" xr3:uid="{00000000-0010-0000-0E00-000001000000}" name="Metabolic Heat Load(Qmet)"/>
    <tableColumn id="2" xr3:uid="{00000000-0010-0000-0E00-000002000000}" name="Value"/>
    <tableColumn id="3" xr3:uid="{00000000-0010-0000-0E00-000003000000}" name="Unit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Table8111319" displayName="Table8111319" ref="E1:G5" totalsRowShown="0" headerRowDxfId="63" dataDxfId="62">
  <autoFilter ref="E1:G5" xr:uid="{00000000-0009-0000-0100-000012000000}"/>
  <tableColumns count="3">
    <tableColumn id="1" xr3:uid="{00000000-0010-0000-0100-000001000000}" name="Intermediate Variable" dataDxfId="61"/>
    <tableColumn id="2" xr3:uid="{00000000-0010-0000-0100-000002000000}" name="Value" dataDxfId="60"/>
    <tableColumn id="3" xr3:uid="{00000000-0010-0000-0100-000003000000}" name="Unit" dataDxfId="5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Table71016" displayName="Table71016" ref="A1:C6" totalsRowShown="0" headerRowDxfId="58" dataDxfId="57">
  <autoFilter ref="A1:C6" xr:uid="{00000000-0009-0000-0100-00000F000000}"/>
  <tableColumns count="3">
    <tableColumn id="1" xr3:uid="{00000000-0010-0000-0200-000001000000}" name="Parameter" dataDxfId="56"/>
    <tableColumn id="2" xr3:uid="{00000000-0010-0000-0200-000002000000}" name="Value" dataDxfId="55"/>
    <tableColumn id="3" xr3:uid="{00000000-0010-0000-0200-000003000000}" name="Unit" dataDxfId="54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3000000}" name="Table81117" displayName="Table81117" ref="E1:G6" totalsRowShown="0" headerRowDxfId="53" dataDxfId="52">
  <autoFilter ref="E1:G6" xr:uid="{00000000-0009-0000-0100-000010000000}"/>
  <tableColumns count="3">
    <tableColumn id="1" xr3:uid="{00000000-0010-0000-0300-000001000000}" name="Intermediate Variable" dataDxfId="51"/>
    <tableColumn id="2" xr3:uid="{00000000-0010-0000-0300-000002000000}" name="Value" dataDxfId="50"/>
    <tableColumn id="3" xr3:uid="{00000000-0010-0000-0300-000003000000}" name="Unit" dataDxfId="49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71014" displayName="Table71014" ref="A1:C6" totalsRowShown="0" headerRowDxfId="48" dataDxfId="47">
  <autoFilter ref="A1:C6" xr:uid="{00000000-0009-0000-0100-00000D000000}"/>
  <tableColumns count="3">
    <tableColumn id="1" xr3:uid="{00000000-0010-0000-0400-000001000000}" name="Parameter" dataDxfId="46"/>
    <tableColumn id="2" xr3:uid="{00000000-0010-0000-0400-000002000000}" name="Value" dataDxfId="45"/>
    <tableColumn id="3" xr3:uid="{00000000-0010-0000-0400-000003000000}" name="Unit" dataDxfId="44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5000000}" name="Table81115" displayName="Table81115" ref="E1:G6" totalsRowShown="0" headerRowDxfId="43" dataDxfId="42">
  <autoFilter ref="E1:G6" xr:uid="{00000000-0009-0000-0100-00000E000000}"/>
  <tableColumns count="3">
    <tableColumn id="1" xr3:uid="{00000000-0010-0000-0500-000001000000}" name="Intermediate Variable" dataDxfId="41"/>
    <tableColumn id="2" xr3:uid="{00000000-0010-0000-0500-000002000000}" name="Value" dataDxfId="40"/>
    <tableColumn id="3" xr3:uid="{00000000-0010-0000-0500-000003000000}" name="Unit" dataDxfId="39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1012" displayName="Table71012" ref="A1:C5" totalsRowShown="0" headerRowDxfId="38" dataDxfId="37">
  <autoFilter ref="A1:C5" xr:uid="{00000000-0009-0000-0100-00000B000000}"/>
  <tableColumns count="3">
    <tableColumn id="1" xr3:uid="{00000000-0010-0000-0600-000001000000}" name="Parameter" dataDxfId="36"/>
    <tableColumn id="2" xr3:uid="{00000000-0010-0000-0600-000002000000}" name="Value" dataDxfId="35"/>
    <tableColumn id="3" xr3:uid="{00000000-0010-0000-0600-000003000000}" name="Unit" dataDxfId="34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81113" displayName="Table81113" ref="E1:G5" totalsRowShown="0" headerRowDxfId="33" dataDxfId="32">
  <autoFilter ref="E1:G5" xr:uid="{00000000-0009-0000-0100-00000C000000}"/>
  <tableColumns count="3">
    <tableColumn id="1" xr3:uid="{00000000-0010-0000-0700-000001000000}" name="Intermediate Variable" dataDxfId="31"/>
    <tableColumn id="2" xr3:uid="{00000000-0010-0000-0700-000002000000}" name="Value" dataDxfId="30"/>
    <tableColumn id="3" xr3:uid="{00000000-0010-0000-0700-000003000000}" name="Unit" dataDxfId="29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7" displayName="Table7" ref="A1:C6" totalsRowShown="0" headerRowDxfId="28" dataDxfId="27">
  <autoFilter ref="A1:C6" xr:uid="{00000000-0009-0000-0100-000007000000}"/>
  <tableColumns count="3">
    <tableColumn id="1" xr3:uid="{00000000-0010-0000-0800-000001000000}" name="Parameter" dataDxfId="26"/>
    <tableColumn id="2" xr3:uid="{00000000-0010-0000-0800-000002000000}" name="Value" dataDxfId="25"/>
    <tableColumn id="3" xr3:uid="{00000000-0010-0000-0800-000003000000}" name="Unit" dataDxfId="24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"/>
  <sheetViews>
    <sheetView workbookViewId="0">
      <selection activeCell="B4" sqref="B4"/>
    </sheetView>
  </sheetViews>
  <sheetFormatPr defaultRowHeight="14.5" x14ac:dyDescent="0.35"/>
  <cols>
    <col min="1" max="1" width="28.6328125" customWidth="1"/>
    <col min="2" max="2" width="12" bestFit="1" customWidth="1"/>
    <col min="3" max="3" width="8.81640625" customWidth="1"/>
    <col min="5" max="5" width="23.7265625" customWidth="1"/>
  </cols>
  <sheetData>
    <row r="1" spans="1:41" ht="16" x14ac:dyDescent="0.4">
      <c r="A1" s="3" t="s">
        <v>36</v>
      </c>
      <c r="B1" s="3" t="s">
        <v>14</v>
      </c>
      <c r="C1" s="3" t="s">
        <v>37</v>
      </c>
      <c r="D1" s="3"/>
      <c r="E1" s="3" t="s">
        <v>38</v>
      </c>
      <c r="F1" s="3" t="s">
        <v>14</v>
      </c>
      <c r="G1" s="3" t="s">
        <v>37</v>
      </c>
    </row>
    <row r="2" spans="1:41" ht="16.5" x14ac:dyDescent="0.35">
      <c r="A2" s="5" t="s">
        <v>43</v>
      </c>
      <c r="B2" s="5">
        <v>1</v>
      </c>
      <c r="C2" s="5" t="s">
        <v>18</v>
      </c>
      <c r="D2" s="5"/>
      <c r="E2" s="5"/>
      <c r="F2" s="5"/>
      <c r="G2" s="5"/>
    </row>
    <row r="3" spans="1:41" x14ac:dyDescent="0.35">
      <c r="A3" s="5" t="s">
        <v>33</v>
      </c>
      <c r="B3" s="5">
        <v>8.0000000000000002E-3</v>
      </c>
      <c r="C3" s="5" t="s">
        <v>0</v>
      </c>
      <c r="D3" s="5"/>
      <c r="E3" s="5"/>
      <c r="F3" s="5"/>
      <c r="G3" s="5"/>
    </row>
    <row r="4" spans="1:41" ht="16.5" x14ac:dyDescent="0.35">
      <c r="A4" s="5" t="s">
        <v>44</v>
      </c>
      <c r="B4" s="5">
        <f>1.6*10^-5</f>
        <v>1.6000000000000003E-5</v>
      </c>
      <c r="C4" s="5" t="s">
        <v>35</v>
      </c>
      <c r="D4" s="5"/>
      <c r="E4" s="5" t="s">
        <v>41</v>
      </c>
      <c r="F4" s="5">
        <f>B2*B3/B4</f>
        <v>499.99999999999994</v>
      </c>
      <c r="G4" s="5"/>
    </row>
    <row r="5" spans="1:41" x14ac:dyDescent="0.35">
      <c r="A5" s="5" t="s">
        <v>40</v>
      </c>
      <c r="B5" s="5">
        <f>0.026</f>
        <v>2.5999999999999999E-2</v>
      </c>
      <c r="C5" s="5" t="s">
        <v>1</v>
      </c>
      <c r="D5" s="5"/>
      <c r="E5" s="5" t="s">
        <v>42</v>
      </c>
      <c r="F5" s="5">
        <f>0.63*(F4)^0.47</f>
        <v>11.691128971581763</v>
      </c>
      <c r="G5" s="5"/>
    </row>
    <row r="6" spans="1:41" x14ac:dyDescent="0.35">
      <c r="D6" s="5"/>
    </row>
    <row r="7" spans="1:41" x14ac:dyDescent="0.35">
      <c r="A7" s="1" t="s">
        <v>30</v>
      </c>
      <c r="B7" s="1">
        <f>F5*B5/B3</f>
        <v>37.996169157640729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s="1" customForma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C12" sqref="C12"/>
    </sheetView>
  </sheetViews>
  <sheetFormatPr defaultRowHeight="14.5" x14ac:dyDescent="0.35"/>
  <cols>
    <col min="1" max="1" width="28.6328125" customWidth="1"/>
    <col min="2" max="2" width="12" bestFit="1" customWidth="1"/>
    <col min="3" max="3" width="8.81640625" customWidth="1"/>
    <col min="5" max="5" width="23.7265625" customWidth="1"/>
  </cols>
  <sheetData>
    <row r="1" spans="1:7" ht="16" x14ac:dyDescent="0.4">
      <c r="A1" s="3" t="s">
        <v>36</v>
      </c>
      <c r="B1" s="3" t="s">
        <v>14</v>
      </c>
      <c r="C1" s="3" t="s">
        <v>37</v>
      </c>
      <c r="D1" s="3"/>
      <c r="E1" s="3" t="s">
        <v>38</v>
      </c>
      <c r="F1" s="3" t="s">
        <v>14</v>
      </c>
      <c r="G1" s="3" t="s">
        <v>37</v>
      </c>
    </row>
    <row r="2" spans="1:7" x14ac:dyDescent="0.35">
      <c r="A2" s="5" t="s">
        <v>32</v>
      </c>
      <c r="B2" s="5">
        <f>25</f>
        <v>25</v>
      </c>
      <c r="C2" s="5" t="s">
        <v>39</v>
      </c>
      <c r="D2" s="5"/>
      <c r="E2" s="5"/>
      <c r="F2" s="5"/>
      <c r="G2" s="5"/>
    </row>
    <row r="3" spans="1:7" ht="16.5" x14ac:dyDescent="0.35">
      <c r="A3" s="5" t="s">
        <v>31</v>
      </c>
      <c r="B3" s="5">
        <f>PI()*(B4/2)^2</f>
        <v>5.0265482457436686E-5</v>
      </c>
      <c r="C3" s="5" t="s">
        <v>18</v>
      </c>
      <c r="D3" s="5"/>
      <c r="E3" s="5" t="s">
        <v>34</v>
      </c>
      <c r="F3" s="5">
        <f>(B2*1.66667*10^-5)/B3</f>
        <v>8.2893365313427889</v>
      </c>
      <c r="G3" s="5" t="s">
        <v>2</v>
      </c>
    </row>
    <row r="4" spans="1:7" x14ac:dyDescent="0.35">
      <c r="A4" s="5" t="s">
        <v>33</v>
      </c>
      <c r="B4" s="5">
        <v>8.0000000000000002E-3</v>
      </c>
      <c r="C4" s="5" t="s">
        <v>0</v>
      </c>
      <c r="D4" s="5"/>
      <c r="E4" s="5"/>
      <c r="F4" s="5"/>
      <c r="G4" s="5"/>
    </row>
    <row r="5" spans="1:7" ht="16.5" x14ac:dyDescent="0.35">
      <c r="A5" s="5" t="s">
        <v>44</v>
      </c>
      <c r="B5" s="5">
        <f>0.733/1000000</f>
        <v>7.3300000000000001E-7</v>
      </c>
      <c r="C5" s="5" t="s">
        <v>35</v>
      </c>
      <c r="D5" s="5"/>
      <c r="E5" s="5" t="s">
        <v>41</v>
      </c>
      <c r="F5" s="5">
        <f>F3*B4/B5</f>
        <v>90470.248636756223</v>
      </c>
      <c r="G5" s="5"/>
    </row>
    <row r="6" spans="1:7" x14ac:dyDescent="0.35">
      <c r="A6" s="5" t="s">
        <v>40</v>
      </c>
      <c r="B6" s="5">
        <f>0.415</f>
        <v>0.41499999999999998</v>
      </c>
      <c r="C6" s="5" t="s">
        <v>1</v>
      </c>
      <c r="D6" s="5"/>
      <c r="E6" s="5" t="s">
        <v>42</v>
      </c>
      <c r="F6" s="5">
        <f>0.63*(F5)^0.47</f>
        <v>134.55451273991133</v>
      </c>
      <c r="G6" s="5"/>
    </row>
    <row r="8" spans="1:7" s="1" customFormat="1" x14ac:dyDescent="0.35">
      <c r="A8" s="1" t="s">
        <v>30</v>
      </c>
      <c r="B8" s="1">
        <f>F6*B6/B4</f>
        <v>6980.0153483828999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D18" sqref="D18"/>
    </sheetView>
  </sheetViews>
  <sheetFormatPr defaultRowHeight="14.5" x14ac:dyDescent="0.35"/>
  <cols>
    <col min="1" max="1" width="28.6328125" customWidth="1"/>
    <col min="2" max="2" width="12.1796875" bestFit="1" customWidth="1"/>
    <col min="3" max="3" width="8.81640625" customWidth="1"/>
    <col min="5" max="5" width="23.7265625" customWidth="1"/>
  </cols>
  <sheetData>
    <row r="1" spans="1:7" ht="16" x14ac:dyDescent="0.4">
      <c r="A1" s="3" t="s">
        <v>36</v>
      </c>
      <c r="B1" s="3" t="s">
        <v>14</v>
      </c>
      <c r="C1" s="3" t="s">
        <v>37</v>
      </c>
      <c r="D1" s="3"/>
      <c r="E1" s="3" t="s">
        <v>38</v>
      </c>
      <c r="F1" s="3" t="s">
        <v>14</v>
      </c>
      <c r="G1" s="3" t="s">
        <v>37</v>
      </c>
    </row>
    <row r="2" spans="1:7" x14ac:dyDescent="0.35">
      <c r="A2" s="5" t="s">
        <v>45</v>
      </c>
      <c r="B2" s="5">
        <f>15</f>
        <v>15</v>
      </c>
      <c r="C2" s="5" t="s">
        <v>39</v>
      </c>
      <c r="D2" s="5"/>
      <c r="E2" s="5"/>
      <c r="F2" s="5"/>
      <c r="G2" s="5"/>
    </row>
    <row r="3" spans="1:7" ht="16.5" x14ac:dyDescent="0.35">
      <c r="A3" s="5" t="s">
        <v>31</v>
      </c>
      <c r="B3" s="5">
        <f>0.002*0.002*(3.14159)</f>
        <v>1.2566359999999999E-5</v>
      </c>
      <c r="C3" s="5" t="s">
        <v>18</v>
      </c>
      <c r="D3" s="5"/>
      <c r="E3" s="5" t="s">
        <v>34</v>
      </c>
      <c r="F3" s="5">
        <f>(B2*1.66667*10^-5)/B3</f>
        <v>19.894424479324165</v>
      </c>
      <c r="G3" s="5" t="s">
        <v>2</v>
      </c>
    </row>
    <row r="4" spans="1:7" x14ac:dyDescent="0.35">
      <c r="A4" s="5" t="s">
        <v>33</v>
      </c>
      <c r="B4" s="5">
        <v>4.0000000000000001E-3</v>
      </c>
      <c r="C4" s="5" t="s">
        <v>0</v>
      </c>
      <c r="D4" s="5"/>
      <c r="E4" s="5"/>
      <c r="F4" s="5"/>
      <c r="G4" s="5"/>
    </row>
    <row r="5" spans="1:7" ht="16.5" x14ac:dyDescent="0.35">
      <c r="A5" s="5" t="s">
        <v>44</v>
      </c>
      <c r="B5" s="5">
        <f>0.158/1000000</f>
        <v>1.5800000000000001E-7</v>
      </c>
      <c r="C5" s="5" t="s">
        <v>35</v>
      </c>
      <c r="D5" s="5"/>
      <c r="E5" s="5" t="s">
        <v>41</v>
      </c>
      <c r="F5" s="5">
        <f>F3*B4/B5</f>
        <v>503656.31593225728</v>
      </c>
      <c r="G5" s="5"/>
    </row>
    <row r="6" spans="1:7" x14ac:dyDescent="0.35">
      <c r="A6" s="5" t="s">
        <v>40</v>
      </c>
      <c r="B6" s="5">
        <f>0.01409</f>
        <v>1.409E-2</v>
      </c>
      <c r="C6" s="5" t="s">
        <v>1</v>
      </c>
      <c r="D6" s="5"/>
      <c r="E6" s="5" t="s">
        <v>42</v>
      </c>
      <c r="F6" s="5">
        <f>0.63*(F5)^0.47</f>
        <v>301.53912005041764</v>
      </c>
      <c r="G6" s="5"/>
    </row>
    <row r="8" spans="1:7" s="1" customFormat="1" x14ac:dyDescent="0.35">
      <c r="A8" s="1" t="s">
        <v>30</v>
      </c>
      <c r="B8" s="1">
        <f>F6*B6/B4</f>
        <v>1062.1715503775961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"/>
  <sheetViews>
    <sheetView workbookViewId="0">
      <selection activeCell="D14" sqref="D14"/>
    </sheetView>
  </sheetViews>
  <sheetFormatPr defaultRowHeight="14.5" x14ac:dyDescent="0.35"/>
  <cols>
    <col min="1" max="1" width="28.6328125" customWidth="1"/>
    <col min="2" max="2" width="12" bestFit="1" customWidth="1"/>
    <col min="3" max="3" width="8.81640625" customWidth="1"/>
    <col min="5" max="5" width="23.7265625" customWidth="1"/>
  </cols>
  <sheetData>
    <row r="1" spans="1:41" ht="16" x14ac:dyDescent="0.4">
      <c r="A1" s="3" t="s">
        <v>36</v>
      </c>
      <c r="B1" s="3" t="s">
        <v>14</v>
      </c>
      <c r="C1" s="3" t="s">
        <v>37</v>
      </c>
      <c r="D1" s="3"/>
      <c r="E1" s="3" t="s">
        <v>38</v>
      </c>
      <c r="F1" s="3" t="s">
        <v>14</v>
      </c>
      <c r="G1" s="3" t="s">
        <v>37</v>
      </c>
    </row>
    <row r="2" spans="1:41" ht="16.5" x14ac:dyDescent="0.35">
      <c r="A2" s="5" t="s">
        <v>43</v>
      </c>
      <c r="B2" s="5">
        <v>1</v>
      </c>
      <c r="C2" s="5" t="s">
        <v>18</v>
      </c>
      <c r="D2" s="5"/>
      <c r="E2" s="5"/>
      <c r="F2" s="5"/>
      <c r="G2" s="5"/>
    </row>
    <row r="3" spans="1:41" x14ac:dyDescent="0.35">
      <c r="A3" s="5" t="s">
        <v>33</v>
      </c>
      <c r="B3" s="5">
        <v>4.0000000000000001E-3</v>
      </c>
      <c r="C3" s="5" t="s">
        <v>0</v>
      </c>
      <c r="D3" s="5"/>
      <c r="E3" s="5"/>
      <c r="F3" s="5"/>
      <c r="G3" s="5"/>
    </row>
    <row r="4" spans="1:41" ht="16.5" x14ac:dyDescent="0.35">
      <c r="A4" s="5" t="s">
        <v>44</v>
      </c>
      <c r="B4" s="5">
        <f>1.6*10^-5</f>
        <v>1.6000000000000003E-5</v>
      </c>
      <c r="C4" s="5" t="s">
        <v>35</v>
      </c>
      <c r="D4" s="5"/>
      <c r="E4" s="5" t="s">
        <v>41</v>
      </c>
      <c r="F4" s="5">
        <f>B2*B3/B4</f>
        <v>249.99999999999997</v>
      </c>
      <c r="G4" s="5"/>
    </row>
    <row r="5" spans="1:41" x14ac:dyDescent="0.35">
      <c r="A5" s="5" t="s">
        <v>40</v>
      </c>
      <c r="B5" s="5">
        <f>0.026</f>
        <v>2.5999999999999999E-2</v>
      </c>
      <c r="C5" s="5" t="s">
        <v>1</v>
      </c>
      <c r="D5" s="5"/>
      <c r="E5" s="5" t="s">
        <v>42</v>
      </c>
      <c r="F5" s="5">
        <f>0.63*(F4)^0.47</f>
        <v>8.4405812253428998</v>
      </c>
      <c r="G5" s="5"/>
    </row>
    <row r="6" spans="1:41" x14ac:dyDescent="0.35">
      <c r="D6" s="5"/>
    </row>
    <row r="7" spans="1:41" x14ac:dyDescent="0.35">
      <c r="A7" s="1" t="s">
        <v>30</v>
      </c>
      <c r="B7" s="1">
        <f>F5*B5/B3</f>
        <v>54.863777964728847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s="1" customForma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B14" sqref="B14"/>
    </sheetView>
  </sheetViews>
  <sheetFormatPr defaultRowHeight="14.5" x14ac:dyDescent="0.35"/>
  <cols>
    <col min="1" max="1" width="28.6328125" customWidth="1"/>
    <col min="2" max="2" width="12" bestFit="1" customWidth="1"/>
    <col min="3" max="3" width="8.81640625" customWidth="1"/>
    <col min="5" max="5" width="23.7265625" customWidth="1"/>
  </cols>
  <sheetData>
    <row r="1" spans="1:7" ht="16" x14ac:dyDescent="0.4">
      <c r="A1" s="3" t="s">
        <v>36</v>
      </c>
      <c r="B1" s="3" t="s">
        <v>14</v>
      </c>
      <c r="C1" s="3" t="s">
        <v>37</v>
      </c>
      <c r="D1" s="3"/>
      <c r="E1" s="3" t="s">
        <v>38</v>
      </c>
      <c r="F1" s="3" t="s">
        <v>14</v>
      </c>
      <c r="G1" s="3" t="s">
        <v>37</v>
      </c>
    </row>
    <row r="2" spans="1:7" x14ac:dyDescent="0.35">
      <c r="A2" s="5" t="s">
        <v>32</v>
      </c>
      <c r="B2" s="5">
        <f>25</f>
        <v>25</v>
      </c>
      <c r="C2" s="5" t="s">
        <v>39</v>
      </c>
      <c r="D2" s="5"/>
      <c r="E2" s="5"/>
      <c r="F2" s="5"/>
      <c r="G2" s="5"/>
    </row>
    <row r="3" spans="1:7" ht="16.5" x14ac:dyDescent="0.35">
      <c r="A3" s="5" t="s">
        <v>31</v>
      </c>
      <c r="B3" s="5">
        <f>0.000314</f>
        <v>3.1399999999999999E-4</v>
      </c>
      <c r="C3" s="5" t="s">
        <v>18</v>
      </c>
      <c r="D3" s="5"/>
      <c r="E3" s="5" t="s">
        <v>34</v>
      </c>
      <c r="F3" s="5">
        <f>(B2*1.66667*10^-5)/B3</f>
        <v>1.3269665605095542</v>
      </c>
      <c r="G3" s="5" t="s">
        <v>2</v>
      </c>
    </row>
    <row r="4" spans="1:7" x14ac:dyDescent="0.35">
      <c r="A4" s="5" t="s">
        <v>33</v>
      </c>
      <c r="B4" s="5">
        <f>0.02</f>
        <v>0.02</v>
      </c>
      <c r="C4" s="5" t="s">
        <v>0</v>
      </c>
      <c r="D4" s="5"/>
      <c r="E4" s="5"/>
      <c r="F4" s="5"/>
      <c r="G4" s="5"/>
    </row>
    <row r="5" spans="1:7" ht="16.5" x14ac:dyDescent="0.35">
      <c r="A5" s="5" t="s">
        <v>44</v>
      </c>
      <c r="B5" s="5">
        <f>0.733/1000000</f>
        <v>7.3300000000000001E-7</v>
      </c>
      <c r="C5" s="5" t="s">
        <v>35</v>
      </c>
      <c r="D5" s="5"/>
      <c r="E5" s="5" t="s">
        <v>41</v>
      </c>
      <c r="F5" s="5">
        <f>F3*B4/B5</f>
        <v>36206.454584162464</v>
      </c>
      <c r="G5" s="5"/>
    </row>
    <row r="6" spans="1:7" x14ac:dyDescent="0.35">
      <c r="A6" s="5" t="s">
        <v>40</v>
      </c>
      <c r="B6" s="5">
        <f>0.415</f>
        <v>0.41499999999999998</v>
      </c>
      <c r="C6" s="5" t="s">
        <v>1</v>
      </c>
      <c r="D6" s="5"/>
      <c r="E6" s="5" t="s">
        <v>42</v>
      </c>
      <c r="F6" s="5">
        <f>0.63*(F5)^0.47</f>
        <v>87.492327387404899</v>
      </c>
      <c r="G6" s="5"/>
    </row>
    <row r="8" spans="1:7" s="1" customFormat="1" x14ac:dyDescent="0.35">
      <c r="A8" s="1" t="s">
        <v>30</v>
      </c>
      <c r="B8" s="1">
        <f>F6*B6/B4</f>
        <v>1815.4657932886514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F5" sqref="F5"/>
    </sheetView>
  </sheetViews>
  <sheetFormatPr defaultRowHeight="14.5" x14ac:dyDescent="0.35"/>
  <cols>
    <col min="1" max="1" width="28.6328125" customWidth="1"/>
    <col min="2" max="2" width="12" bestFit="1" customWidth="1"/>
    <col min="3" max="3" width="8.81640625" customWidth="1"/>
    <col min="5" max="5" width="23.7265625" customWidth="1"/>
  </cols>
  <sheetData>
    <row r="1" spans="1:7" ht="16" x14ac:dyDescent="0.4">
      <c r="A1" s="3" t="s">
        <v>36</v>
      </c>
      <c r="B1" s="3" t="s">
        <v>14</v>
      </c>
      <c r="C1" s="3" t="s">
        <v>37</v>
      </c>
      <c r="D1" s="3"/>
      <c r="E1" s="3" t="s">
        <v>38</v>
      </c>
      <c r="F1" s="3" t="s">
        <v>14</v>
      </c>
      <c r="G1" s="3" t="s">
        <v>37</v>
      </c>
    </row>
    <row r="2" spans="1:7" x14ac:dyDescent="0.35">
      <c r="A2" s="5" t="s">
        <v>32</v>
      </c>
      <c r="B2" s="5">
        <f>25</f>
        <v>25</v>
      </c>
      <c r="C2" s="5" t="s">
        <v>39</v>
      </c>
      <c r="D2" s="5"/>
      <c r="E2" s="5"/>
      <c r="F2" s="5"/>
      <c r="G2" s="5"/>
    </row>
    <row r="3" spans="1:7" ht="16.5" x14ac:dyDescent="0.35">
      <c r="A3" s="5" t="s">
        <v>31</v>
      </c>
      <c r="B3" s="5">
        <f>0.09*0.006</f>
        <v>5.4000000000000001E-4</v>
      </c>
      <c r="C3" s="5" t="s">
        <v>18</v>
      </c>
      <c r="D3" s="5"/>
      <c r="E3" s="5" t="s">
        <v>34</v>
      </c>
      <c r="F3" s="5">
        <f>(B2*1.66667*10^-5)/B3</f>
        <v>0.77160648148148148</v>
      </c>
      <c r="G3" s="5" t="s">
        <v>2</v>
      </c>
    </row>
    <row r="4" spans="1:7" x14ac:dyDescent="0.35">
      <c r="A4" s="5" t="s">
        <v>33</v>
      </c>
      <c r="B4" s="5">
        <v>1.125E-2</v>
      </c>
      <c r="C4" s="5" t="s">
        <v>0</v>
      </c>
      <c r="D4" s="5"/>
      <c r="E4" s="5"/>
      <c r="F4" s="5"/>
      <c r="G4" s="5"/>
    </row>
    <row r="5" spans="1:7" ht="16.5" x14ac:dyDescent="0.35">
      <c r="A5" s="5" t="s">
        <v>44</v>
      </c>
      <c r="B5" s="5">
        <f>0.733/1000000</f>
        <v>7.3300000000000001E-7</v>
      </c>
      <c r="C5" s="5" t="s">
        <v>35</v>
      </c>
      <c r="D5" s="5"/>
      <c r="E5" s="5" t="s">
        <v>41</v>
      </c>
      <c r="F5" s="5">
        <f>F3*B4/B5</f>
        <v>11842.527853569802</v>
      </c>
      <c r="G5" s="5"/>
    </row>
    <row r="6" spans="1:7" x14ac:dyDescent="0.35">
      <c r="A6" s="5" t="s">
        <v>40</v>
      </c>
      <c r="B6" s="5">
        <f>0.415</f>
        <v>0.41499999999999998</v>
      </c>
      <c r="C6" s="5" t="s">
        <v>1</v>
      </c>
      <c r="D6" s="5"/>
      <c r="E6" s="5" t="s">
        <v>42</v>
      </c>
      <c r="F6" s="5">
        <f>0.63*(F5)^0.47</f>
        <v>51.743931636019802</v>
      </c>
      <c r="G6" s="5"/>
    </row>
    <row r="8" spans="1:7" s="1" customFormat="1" x14ac:dyDescent="0.35">
      <c r="A8" s="1" t="s">
        <v>30</v>
      </c>
      <c r="B8" s="1">
        <f>F6*B6/B4</f>
        <v>1908.7761447953969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14"/>
  <sheetViews>
    <sheetView tabSelected="1" workbookViewId="0">
      <selection activeCell="B23" sqref="B23"/>
    </sheetView>
  </sheetViews>
  <sheetFormatPr defaultRowHeight="14.5" x14ac:dyDescent="0.35"/>
  <cols>
    <col min="1" max="1" width="30.08984375" customWidth="1"/>
    <col min="2" max="2" width="12.453125" customWidth="1"/>
    <col min="3" max="3" width="12.90625" customWidth="1"/>
    <col min="5" max="5" width="27.453125" customWidth="1"/>
    <col min="6" max="6" width="10.453125" customWidth="1"/>
    <col min="7" max="7" width="10" customWidth="1"/>
    <col min="9" max="9" width="30.453125" customWidth="1"/>
    <col min="10" max="10" width="10.1796875" customWidth="1"/>
    <col min="11" max="11" width="9.453125" customWidth="1"/>
  </cols>
  <sheetData>
    <row r="2" spans="1:11" x14ac:dyDescent="0.35">
      <c r="A2" t="s">
        <v>16</v>
      </c>
    </row>
    <row r="4" spans="1:11" ht="16" x14ac:dyDescent="0.4">
      <c r="A4" s="8" t="s">
        <v>13</v>
      </c>
      <c r="B4" s="8" t="s">
        <v>14</v>
      </c>
      <c r="C4" s="8" t="s">
        <v>15</v>
      </c>
      <c r="D4" s="3"/>
      <c r="E4" s="2" t="s">
        <v>12</v>
      </c>
      <c r="F4" s="2" t="s">
        <v>14</v>
      </c>
      <c r="G4" s="2" t="s">
        <v>15</v>
      </c>
      <c r="H4" s="3"/>
      <c r="I4" s="2" t="s">
        <v>11</v>
      </c>
      <c r="J4" s="2" t="s">
        <v>14</v>
      </c>
      <c r="K4" s="2" t="s">
        <v>15</v>
      </c>
    </row>
    <row r="5" spans="1:11" ht="16.5" x14ac:dyDescent="0.35">
      <c r="A5" s="4" t="s">
        <v>20</v>
      </c>
      <c r="B5" s="4">
        <f xml:space="preserve"> 5</f>
        <v>5</v>
      </c>
      <c r="C5" s="4" t="s">
        <v>17</v>
      </c>
      <c r="D5" s="5"/>
      <c r="E5" s="4" t="s">
        <v>21</v>
      </c>
      <c r="F5" s="4">
        <f>8</f>
        <v>8</v>
      </c>
      <c r="G5" s="4" t="s">
        <v>17</v>
      </c>
      <c r="H5" s="5"/>
      <c r="I5" s="4" t="s">
        <v>7</v>
      </c>
      <c r="J5" s="4">
        <v>4</v>
      </c>
      <c r="K5" s="4"/>
    </row>
    <row r="6" spans="1:11" ht="16.5" x14ac:dyDescent="0.35">
      <c r="A6" s="4" t="s">
        <v>22</v>
      </c>
      <c r="B6" s="4">
        <f>2.5</f>
        <v>2.5</v>
      </c>
      <c r="C6" s="4" t="s">
        <v>18</v>
      </c>
      <c r="D6" s="5"/>
      <c r="E6" s="4" t="s">
        <v>23</v>
      </c>
      <c r="F6" s="4">
        <f>18</f>
        <v>18</v>
      </c>
      <c r="G6" s="4" t="s">
        <v>18</v>
      </c>
      <c r="H6" s="5"/>
      <c r="I6" s="4" t="s">
        <v>8</v>
      </c>
      <c r="J6" s="4">
        <v>105</v>
      </c>
      <c r="K6" s="4" t="s">
        <v>4</v>
      </c>
    </row>
    <row r="7" spans="1:11" x14ac:dyDescent="0.35">
      <c r="A7" s="4" t="s">
        <v>24</v>
      </c>
      <c r="B7" s="4">
        <f>25</f>
        <v>25</v>
      </c>
      <c r="C7" s="4" t="s">
        <v>19</v>
      </c>
      <c r="D7" s="5"/>
      <c r="E7" s="4" t="s">
        <v>25</v>
      </c>
      <c r="F7" s="4">
        <f>30</f>
        <v>30</v>
      </c>
      <c r="G7" s="4" t="s">
        <v>19</v>
      </c>
      <c r="H7" s="5"/>
      <c r="I7" s="6" t="s">
        <v>9</v>
      </c>
      <c r="J7" s="6">
        <f>J5*J6</f>
        <v>420</v>
      </c>
      <c r="K7" s="6" t="s">
        <v>4</v>
      </c>
    </row>
    <row r="8" spans="1:11" ht="16.5" x14ac:dyDescent="0.35">
      <c r="A8" s="4" t="s">
        <v>26</v>
      </c>
      <c r="B8" s="4">
        <f>177</f>
        <v>177</v>
      </c>
      <c r="C8" s="4" t="s">
        <v>17</v>
      </c>
      <c r="D8" s="5"/>
      <c r="E8" s="6" t="s">
        <v>6</v>
      </c>
      <c r="F8" s="6">
        <f>F5*F6*F7</f>
        <v>4320</v>
      </c>
      <c r="G8" s="6" t="s">
        <v>4</v>
      </c>
      <c r="H8" s="5"/>
    </row>
    <row r="9" spans="1:11" ht="16.5" x14ac:dyDescent="0.35">
      <c r="A9" s="4" t="s">
        <v>27</v>
      </c>
      <c r="B9" s="4">
        <f>1000</f>
        <v>1000</v>
      </c>
      <c r="C9" s="4" t="s">
        <v>17</v>
      </c>
      <c r="D9" s="5"/>
      <c r="H9" s="5"/>
      <c r="I9" s="5"/>
      <c r="J9" s="5"/>
      <c r="K9" s="5"/>
    </row>
    <row r="10" spans="1:11" x14ac:dyDescent="0.35">
      <c r="A10" s="4" t="s">
        <v>28</v>
      </c>
      <c r="B10" s="4">
        <f>60*(PI()/180)</f>
        <v>1.0471975511965976</v>
      </c>
      <c r="C10" s="4" t="s">
        <v>5</v>
      </c>
      <c r="D10" s="5"/>
      <c r="E10" s="5"/>
      <c r="F10" s="5"/>
      <c r="G10" s="5"/>
      <c r="H10" s="5"/>
      <c r="I10" s="5"/>
      <c r="J10" s="5"/>
      <c r="K10" s="5"/>
    </row>
    <row r="11" spans="1:11" x14ac:dyDescent="0.35">
      <c r="A11" s="4" t="s">
        <v>29</v>
      </c>
      <c r="B11" s="4">
        <f>0.8</f>
        <v>0.8</v>
      </c>
      <c r="C11" s="4"/>
      <c r="D11" s="5"/>
      <c r="E11" s="5"/>
      <c r="F11" s="5"/>
      <c r="G11" s="5"/>
      <c r="H11" s="5"/>
      <c r="I11" s="5"/>
      <c r="J11" s="5"/>
      <c r="K11" s="5"/>
    </row>
    <row r="12" spans="1:11" x14ac:dyDescent="0.35">
      <c r="A12" s="6" t="s">
        <v>3</v>
      </c>
      <c r="B12" s="6">
        <f>(B5*B6*B7)+(B8*B6*B11)+(B9*COS(B10)*B6*B11)</f>
        <v>1666.5000000000002</v>
      </c>
      <c r="C12" s="6" t="s">
        <v>4</v>
      </c>
      <c r="D12" s="5"/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s="1" customFormat="1" x14ac:dyDescent="0.35">
      <c r="A14" s="7" t="s">
        <v>10</v>
      </c>
      <c r="B14" s="7">
        <f>B12+F8+J7</f>
        <v>6406.5</v>
      </c>
      <c r="C14" s="7"/>
      <c r="D14" s="7"/>
      <c r="E14" s="7"/>
      <c r="F14" s="7"/>
      <c r="G14" s="7"/>
      <c r="H14" s="7"/>
      <c r="I14" s="7"/>
      <c r="J14" s="7"/>
      <c r="K1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Air_Radiator</vt:lpstr>
      <vt:lpstr>Coolant_Radiator</vt:lpstr>
      <vt:lpstr>Refrigerant_Condenser</vt:lpstr>
      <vt:lpstr>Air_Condenser</vt:lpstr>
      <vt:lpstr>Motor</vt:lpstr>
      <vt:lpstr>Battery</vt:lpstr>
      <vt:lpstr>Heat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Ayushman Dutta</dc:creator>
  <cp:lastModifiedBy>Ayushman Dutta</cp:lastModifiedBy>
  <dcterms:created xsi:type="dcterms:W3CDTF">2024-03-30T12:03:53Z</dcterms:created>
  <dcterms:modified xsi:type="dcterms:W3CDTF">2024-04-03T03:40:54Z</dcterms:modified>
</cp:coreProperties>
</file>