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 PIVOT" sheetId="1" r:id="rId4"/>
    <sheet state="visible" name="Import answer from python code" sheetId="2" r:id="rId5"/>
    <sheet state="visible" name="BSE500" sheetId="3" r:id="rId6"/>
    <sheet state="visible" name="Dashboard" sheetId="4" r:id="rId7"/>
    <sheet state="visible" name="investment company risk wise" sheetId="5" r:id="rId8"/>
  </sheets>
  <definedNames/>
  <calcPr/>
</workbook>
</file>

<file path=xl/sharedStrings.xml><?xml version="1.0" encoding="utf-8"?>
<sst xmlns="http://schemas.openxmlformats.org/spreadsheetml/2006/main" count="183" uniqueCount="85">
  <si>
    <t>Low Risk Taking</t>
  </si>
  <si>
    <t xml:space="preserve">Sector </t>
  </si>
  <si>
    <t>industry</t>
  </si>
  <si>
    <t>Price_to_Earnings</t>
  </si>
  <si>
    <t>Page Industries Ltd.</t>
  </si>
  <si>
    <t>Abbott India Ltd.</t>
  </si>
  <si>
    <t>MRF Ltd.</t>
  </si>
  <si>
    <t>Bajaj Holdings &amp; Investment Ltd.</t>
  </si>
  <si>
    <t>Honeywell Automation India Ltd.</t>
  </si>
  <si>
    <t>Risk Taking</t>
  </si>
  <si>
    <t>The Great Eastern Shipping Company Ltd.</t>
  </si>
  <si>
    <t>Welspun Corp Ltd.</t>
  </si>
  <si>
    <t>Jyothy Labs Ltd.</t>
  </si>
  <si>
    <t>Gujarat State Fertilizers &amp; Chemicals Ltd.</t>
  </si>
  <si>
    <t>Sunteck Realty Ltd.</t>
  </si>
  <si>
    <t>Moderate Risk Taking</t>
  </si>
  <si>
    <t>Cyient Ltd.</t>
  </si>
  <si>
    <t>Chambal Fertilisers &amp; Chemicals Ltd.</t>
  </si>
  <si>
    <t>BASF India Ltd.</t>
  </si>
  <si>
    <t>Allcargo Logistics Ltd.</t>
  </si>
  <si>
    <t>High Risk Taking</t>
  </si>
  <si>
    <t>Mahindra CIE Automotive Ltd.</t>
  </si>
  <si>
    <t>VST Industries Limited</t>
  </si>
  <si>
    <t>MOIL Ltd.</t>
  </si>
  <si>
    <t>Gujarat Pipavav Port Ltd</t>
  </si>
  <si>
    <t>Rallis India Ltd.</t>
  </si>
  <si>
    <t>Engineers India Ltd.</t>
  </si>
  <si>
    <t>SUNCLAYLTD</t>
  </si>
  <si>
    <t>Automobile</t>
  </si>
  <si>
    <t>FINCABLES</t>
  </si>
  <si>
    <t>Capital Goods</t>
  </si>
  <si>
    <t>GNFC</t>
  </si>
  <si>
    <t>Chemicals</t>
  </si>
  <si>
    <t>HFCL</t>
  </si>
  <si>
    <t>Communication</t>
  </si>
  <si>
    <t>KNRCON</t>
  </si>
  <si>
    <t>Construction</t>
  </si>
  <si>
    <t>WHIRLPOOL</t>
  </si>
  <si>
    <t>Consumer Discretionary</t>
  </si>
  <si>
    <t>JKPAPER</t>
  </si>
  <si>
    <t>Consumer Staples</t>
  </si>
  <si>
    <t>SRF</t>
  </si>
  <si>
    <t>Diversified</t>
  </si>
  <si>
    <t>ADANIPOWER</t>
  </si>
  <si>
    <t>Energy</t>
  </si>
  <si>
    <t>MOTILALOFS</t>
  </si>
  <si>
    <t>Financial</t>
  </si>
  <si>
    <t>AUROPHARMA</t>
  </si>
  <si>
    <t>Healthcare</t>
  </si>
  <si>
    <t>UFLEX</t>
  </si>
  <si>
    <t>Materials</t>
  </si>
  <si>
    <t>JSWSTEEL</t>
  </si>
  <si>
    <t>Metals &amp; Mining</t>
  </si>
  <si>
    <t>NAUKRI</t>
  </si>
  <si>
    <t>Services</t>
  </si>
  <si>
    <t>MASTEK</t>
  </si>
  <si>
    <t>Technology</t>
  </si>
  <si>
    <t>VTL</t>
  </si>
  <si>
    <t>Textiles</t>
  </si>
  <si>
    <r>
      <rPr>
        <rFont val="Arial"/>
        <b/>
        <color rgb="FF1155CC"/>
        <u/>
      </rPr>
      <t>S.No</t>
    </r>
    <r>
      <rPr>
        <rFont val="Arial"/>
        <b/>
        <color rgb="FF1155CC"/>
        <u/>
      </rPr>
      <t>.</t>
    </r>
  </si>
  <si>
    <t>Investment Company</t>
  </si>
  <si>
    <t>Amount to be invested</t>
  </si>
  <si>
    <t>Net Income</t>
  </si>
  <si>
    <t>Net Expense</t>
  </si>
  <si>
    <r>
      <rPr>
        <rFont val="Arial"/>
        <b/>
        <color rgb="FF1155CC"/>
        <u/>
      </rPr>
      <t>S.No</t>
    </r>
    <r>
      <rPr>
        <rFont val="Arial"/>
        <b/>
        <color rgb="FF1155CC"/>
        <u/>
      </rPr>
      <t>.</t>
    </r>
  </si>
  <si>
    <t>Food</t>
  </si>
  <si>
    <t>Other</t>
  </si>
  <si>
    <t>Transportation</t>
  </si>
  <si>
    <t>Social Life</t>
  </si>
  <si>
    <t>Household</t>
  </si>
  <si>
    <t>Apparel</t>
  </si>
  <si>
    <t>Education</t>
  </si>
  <si>
    <t>Salary</t>
  </si>
  <si>
    <r>
      <rPr>
        <rFont val="Arial"/>
        <b/>
        <color rgb="FF1155CC"/>
        <u/>
      </rPr>
      <t>S.No</t>
    </r>
    <r>
      <rPr>
        <rFont val="Arial"/>
        <b/>
        <color rgb="FF1155CC"/>
        <u/>
      </rPr>
      <t>.</t>
    </r>
  </si>
  <si>
    <t>Allowance</t>
  </si>
  <si>
    <t>Beauty</t>
  </si>
  <si>
    <t>Gift</t>
  </si>
  <si>
    <t>Petty cash</t>
  </si>
  <si>
    <t>Available for investment</t>
  </si>
  <si>
    <r>
      <rPr>
        <rFont val="Arial"/>
        <b/>
        <color rgb="FF1155CC"/>
        <u/>
      </rPr>
      <t>S.No</t>
    </r>
    <r>
      <rPr>
        <rFont val="Arial"/>
        <b/>
        <color rgb="FF1155CC"/>
        <u/>
      </rPr>
      <t>.</t>
    </r>
  </si>
  <si>
    <t>Investment Profile</t>
  </si>
  <si>
    <t xml:space="preserve"> NSE_code</t>
  </si>
  <si>
    <t>Sector</t>
  </si>
  <si>
    <r>
      <rPr>
        <rFont val="Arial"/>
        <b/>
        <color rgb="FF1155CC"/>
        <u/>
      </rPr>
      <t>S.No</t>
    </r>
    <r>
      <rPr>
        <rFont val="Arial"/>
        <b/>
        <color rgb="FF1155CC"/>
        <u/>
      </rPr>
      <t>.</t>
    </r>
  </si>
  <si>
    <t>Share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</si>
</sst>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#0.00"/>
    <numFmt numFmtId="165" formatCode="yyyy-mm-dd"/>
  </numFmts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rgb="FF000000"/>
      <name val="Roboto"/>
    </font>
    <font>
      <b/>
      <u/>
      <color rgb="FF1155CC"/>
      <name val="Arial"/>
    </font>
    <font>
      <sz val="11.0"/>
      <color rgb="FF000000"/>
      <name val="Arial"/>
    </font>
    <font>
      <sz val="11.0"/>
      <color rgb="FF000000"/>
      <name val="Monospace"/>
    </font>
    <font>
      <sz val="11.0"/>
      <color rgb="FF000000"/>
      <name val="Inconsolata"/>
    </font>
    <font>
      <sz val="14.0"/>
      <color rgb="FF000000"/>
      <name val="Arial"/>
    </font>
    <font>
      <b/>
      <color theme="1"/>
      <name val="Arial"/>
      <scheme val="minor"/>
    </font>
    <font>
      <b/>
      <color rgb="FFFFFF00"/>
      <name val="Arial"/>
      <scheme val="minor"/>
    </font>
    <font>
      <b/>
      <u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20124D"/>
        <bgColor rgb="FF20124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vertical="bottom"/>
    </xf>
    <xf borderId="1" fillId="0" fontId="2" numFmtId="0" xfId="0" applyBorder="1" applyFont="1"/>
    <xf borderId="1" fillId="0" fontId="2" numFmtId="164" xfId="0" applyBorder="1" applyFont="1" applyNumberFormat="1"/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2" fontId="4" numFmtId="0" xfId="0" applyAlignment="1" applyBorder="1" applyFill="1" applyFont="1">
      <alignment readingOrder="0"/>
    </xf>
    <xf borderId="1" fillId="3" fontId="4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4" fontId="5" numFmtId="0" xfId="0" applyAlignment="1" applyBorder="1" applyFill="1" applyFont="1">
      <alignment vertical="bottom"/>
    </xf>
    <xf borderId="1" fillId="4" fontId="1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readingOrder="0" vertical="bottom"/>
    </xf>
    <xf borderId="1" fillId="5" fontId="3" numFmtId="0" xfId="0" applyAlignment="1" applyBorder="1" applyFill="1" applyFont="1">
      <alignment vertical="bottom"/>
    </xf>
    <xf borderId="1" fillId="5" fontId="3" numFmtId="2" xfId="0" applyAlignment="1" applyBorder="1" applyFont="1" applyNumberFormat="1">
      <alignment horizontal="right" readingOrder="0" vertical="bottom"/>
    </xf>
    <xf borderId="1" fillId="6" fontId="3" numFmtId="0" xfId="0" applyAlignment="1" applyBorder="1" applyFill="1" applyFont="1">
      <alignment vertical="bottom"/>
    </xf>
    <xf borderId="1" fillId="6" fontId="3" numFmtId="0" xfId="0" applyAlignment="1" applyBorder="1" applyFont="1">
      <alignment horizontal="right" readingOrder="0" vertical="bottom"/>
    </xf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1" fillId="5" fontId="3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0" fillId="3" fontId="6" numFmtId="0" xfId="0" applyAlignment="1" applyFont="1">
      <alignment horizontal="left"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vertical="bottom"/>
    </xf>
    <xf borderId="1" fillId="3" fontId="8" numFmtId="0" xfId="0" applyAlignment="1" applyBorder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Font="1"/>
    <xf borderId="0" fillId="0" fontId="9" numFmtId="0" xfId="0" applyFont="1"/>
    <xf borderId="1" fillId="7" fontId="10" numFmtId="0" xfId="0" applyBorder="1" applyFill="1" applyFont="1"/>
    <xf borderId="1" fillId="8" fontId="11" numFmtId="0" xfId="0" applyBorder="1" applyFill="1" applyFont="1"/>
    <xf borderId="0" fillId="0" fontId="2" numFmtId="0" xfId="0" applyFont="1"/>
    <xf borderId="0" fillId="4" fontId="12" numFmtId="0" xfId="0" applyAlignment="1" applyFont="1">
      <alignment vertical="bottom"/>
    </xf>
    <xf borderId="1" fillId="4" fontId="1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1" fillId="0" fontId="3" numFmtId="164" xfId="0" applyAlignment="1" applyBorder="1" applyFont="1" applyNumberForma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FF00"/>
                </a:solidFill>
                <a:latin typeface="+mn-lt"/>
              </a:defRPr>
            </a:pPr>
            <a:r>
              <a:rPr b="1" sz="2400">
                <a:solidFill>
                  <a:srgbClr val="00FF00"/>
                </a:solidFill>
                <a:latin typeface="+mn-lt"/>
              </a:rPr>
              <a:t>Low Risk Taking stocks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'FOR PIVOT'!$B$1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'FOR PIVOT'!$A$2:$A$6</c:f>
            </c:strRef>
          </c:cat>
          <c:val>
            <c:numRef>
              <c:f>'FOR PIVOT'!$B$2:$B$6</c:f>
              <c:numCache/>
            </c:numRef>
          </c:val>
        </c:ser>
        <c:ser>
          <c:idx val="1"/>
          <c:order val="1"/>
          <c:tx>
            <c:strRef>
              <c:f>'FOR PIVOT'!$C$1</c:f>
            </c:strRef>
          </c:tx>
          <c:cat>
            <c:strRef>
              <c:f>'FOR PIVOT'!$A$2:$A$6</c:f>
            </c:strRef>
          </c:cat>
          <c:val>
            <c:numRef>
              <c:f>'FOR PIVOT'!$C$2:$C$6</c:f>
              <c:numCache/>
            </c:numRef>
          </c:val>
        </c:ser>
        <c:ser>
          <c:idx val="2"/>
          <c:order val="2"/>
          <c:tx>
            <c:strRef>
              <c:f>'FOR PIVOT'!$D$1</c:f>
            </c:strRef>
          </c:tx>
          <c:cat>
            <c:strRef>
              <c:f>'FOR PIVOT'!$A$2:$A$6</c:f>
            </c:strRef>
          </c:cat>
          <c:val>
            <c:numRef>
              <c:f>'FOR PIVOT'!$D$2:$D$6</c:f>
              <c:numCache/>
            </c:numRef>
          </c:val>
        </c:ser>
        <c:axId val="1024956600"/>
        <c:axId val="177493317"/>
      </c:barChart>
      <c:catAx>
        <c:axId val="10249566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</a:p>
        </c:txPr>
        <c:crossAx val="177493317"/>
      </c:catAx>
      <c:valAx>
        <c:axId val="1774933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</a:p>
        </c:txPr>
        <c:crossAx val="102495660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20124D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FF00"/>
                </a:solidFill>
                <a:latin typeface="+mn-lt"/>
              </a:defRPr>
            </a:pPr>
            <a:r>
              <a:rPr b="1">
                <a:solidFill>
                  <a:srgbClr val="00FF00"/>
                </a:solidFill>
                <a:latin typeface="+mn-lt"/>
              </a:rPr>
              <a:t>Risk Taking Stocks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'FOR PIVOT'!$B$8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'FOR PIVOT'!$A$9:$A$13</c:f>
            </c:strRef>
          </c:cat>
          <c:val>
            <c:numRef>
              <c:f>'FOR PIVOT'!$B$9:$B$13</c:f>
              <c:numCache/>
            </c:numRef>
          </c:val>
        </c:ser>
        <c:ser>
          <c:idx val="1"/>
          <c:order val="1"/>
          <c:tx>
            <c:strRef>
              <c:f>'FOR PIVOT'!$C$8</c:f>
            </c:strRef>
          </c:tx>
          <c:cat>
            <c:strRef>
              <c:f>'FOR PIVOT'!$A$9:$A$13</c:f>
            </c:strRef>
          </c:cat>
          <c:val>
            <c:numRef>
              <c:f>'FOR PIVOT'!$C$9:$C$13</c:f>
              <c:numCache/>
            </c:numRef>
          </c:val>
        </c:ser>
        <c:ser>
          <c:idx val="2"/>
          <c:order val="2"/>
          <c:tx>
            <c:strRef>
              <c:f>'FOR PIVOT'!$D$8</c:f>
            </c:strRef>
          </c:tx>
          <c:cat>
            <c:strRef>
              <c:f>'FOR PIVOT'!$A$9:$A$13</c:f>
            </c:strRef>
          </c:cat>
          <c:val>
            <c:numRef>
              <c:f>'FOR PIVOT'!$D$9:$D$13</c:f>
              <c:numCache/>
            </c:numRef>
          </c:val>
        </c:ser>
        <c:axId val="645416571"/>
        <c:axId val="352787867"/>
      </c:barChart>
      <c:catAx>
        <c:axId val="6454165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Arial black"/>
              </a:defRPr>
            </a:pPr>
          </a:p>
        </c:txPr>
        <c:crossAx val="352787867"/>
      </c:catAx>
      <c:valAx>
        <c:axId val="3527878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</a:p>
        </c:txPr>
        <c:crossAx val="64541657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20124D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FF00"/>
                </a:solidFill>
                <a:latin typeface="+mn-lt"/>
              </a:defRPr>
            </a:pPr>
            <a:r>
              <a:rPr b="1">
                <a:solidFill>
                  <a:srgbClr val="00FF00"/>
                </a:solidFill>
                <a:latin typeface="+mn-lt"/>
              </a:rPr>
              <a:t>Moderate Risk Taking Stocks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'FOR PIVOT'!$B$15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'FOR PIVOT'!$A$16:$A$20</c:f>
            </c:strRef>
          </c:cat>
          <c:val>
            <c:numRef>
              <c:f>'FOR PIVOT'!$B$16:$B$20</c:f>
              <c:numCache/>
            </c:numRef>
          </c:val>
        </c:ser>
        <c:ser>
          <c:idx val="1"/>
          <c:order val="1"/>
          <c:tx>
            <c:strRef>
              <c:f>'FOR PIVOT'!$C$15</c:f>
            </c:strRef>
          </c:tx>
          <c:cat>
            <c:strRef>
              <c:f>'FOR PIVOT'!$A$16:$A$20</c:f>
            </c:strRef>
          </c:cat>
          <c:val>
            <c:numRef>
              <c:f>'FOR PIVOT'!$C$16:$C$20</c:f>
              <c:numCache/>
            </c:numRef>
          </c:val>
        </c:ser>
        <c:ser>
          <c:idx val="2"/>
          <c:order val="2"/>
          <c:tx>
            <c:strRef>
              <c:f>'FOR PIVOT'!$D$15</c:f>
            </c:strRef>
          </c:tx>
          <c:cat>
            <c:strRef>
              <c:f>'FOR PIVOT'!$A$16:$A$20</c:f>
            </c:strRef>
          </c:cat>
          <c:val>
            <c:numRef>
              <c:f>'FOR PIVOT'!$D$16:$D$20</c:f>
              <c:numCache/>
            </c:numRef>
          </c:val>
        </c:ser>
        <c:axId val="1815974621"/>
        <c:axId val="1863773397"/>
      </c:barChart>
      <c:catAx>
        <c:axId val="18159746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863773397"/>
      </c:catAx>
      <c:valAx>
        <c:axId val="18637733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chemeClr val="lt1"/>
                </a:solidFill>
                <a:latin typeface="+mn-lt"/>
              </a:defRPr>
            </a:pPr>
          </a:p>
        </c:txPr>
        <c:crossAx val="181597462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20124D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FF00"/>
                </a:solidFill>
                <a:latin typeface="+mn-lt"/>
              </a:defRPr>
            </a:pPr>
            <a:r>
              <a:rPr b="1">
                <a:solidFill>
                  <a:srgbClr val="00FF00"/>
                </a:solidFill>
                <a:latin typeface="+mn-lt"/>
              </a:rPr>
              <a:t>High Risk taking stocks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'FOR PIVOT'!$B$22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  <a:prstDash val="sysDot"/>
            </a:ln>
          </c:spPr>
          <c:cat>
            <c:strRef>
              <c:f>'FOR PIVOT'!$A$23:$A$28</c:f>
            </c:strRef>
          </c:cat>
          <c:val>
            <c:numRef>
              <c:f>'FOR PIVOT'!$B$23:$B$28</c:f>
              <c:numCache/>
            </c:numRef>
          </c:val>
        </c:ser>
        <c:ser>
          <c:idx val="1"/>
          <c:order val="1"/>
          <c:tx>
            <c:strRef>
              <c:f>'FOR PIVOT'!$C$22</c:f>
            </c:strRef>
          </c:tx>
          <c:cat>
            <c:strRef>
              <c:f>'FOR PIVOT'!$A$23:$A$28</c:f>
            </c:strRef>
          </c:cat>
          <c:val>
            <c:numRef>
              <c:f>'FOR PIVOT'!$C$23:$C$28</c:f>
              <c:numCache/>
            </c:numRef>
          </c:val>
        </c:ser>
        <c:ser>
          <c:idx val="2"/>
          <c:order val="2"/>
          <c:tx>
            <c:strRef>
              <c:f>'FOR PIVOT'!$D$22</c:f>
            </c:strRef>
          </c:tx>
          <c:cat>
            <c:strRef>
              <c:f>'FOR PIVOT'!$A$23:$A$28</c:f>
            </c:strRef>
          </c:cat>
          <c:val>
            <c:numRef>
              <c:f>'FOR PIVOT'!$D$23:$D$28</c:f>
              <c:numCache/>
            </c:numRef>
          </c:val>
        </c:ser>
        <c:axId val="1228755881"/>
        <c:axId val="608782404"/>
      </c:barChart>
      <c:catAx>
        <c:axId val="12287558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lt1"/>
                </a:solidFill>
                <a:latin typeface="+mn-lt"/>
              </a:defRPr>
            </a:pPr>
          </a:p>
        </c:txPr>
        <c:crossAx val="608782404"/>
      </c:catAx>
      <c:valAx>
        <c:axId val="6087824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22875588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20124D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FF00"/>
                </a:solidFill>
                <a:latin typeface="+mn-lt"/>
              </a:defRPr>
            </a:pPr>
            <a:r>
              <a:rPr b="1" sz="2400">
                <a:solidFill>
                  <a:srgbClr val="00FF00"/>
                </a:solidFill>
                <a:latin typeface="+mn-lt"/>
              </a:rPr>
              <a:t>Low Risk Taking stocks 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'FOR PIVOT'!$B$1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'FOR PIVOT'!$A$2:$A$6</c:f>
            </c:strRef>
          </c:cat>
          <c:val>
            <c:numRef>
              <c:f>'FOR PIVOT'!$B$2:$B$6</c:f>
              <c:numCache/>
            </c:numRef>
          </c:val>
        </c:ser>
        <c:ser>
          <c:idx val="1"/>
          <c:order val="1"/>
          <c:tx>
            <c:strRef>
              <c:f>'FOR PIVOT'!$C$1</c:f>
            </c:strRef>
          </c:tx>
          <c:cat>
            <c:strRef>
              <c:f>'FOR PIVOT'!$A$2:$A$6</c:f>
            </c:strRef>
          </c:cat>
          <c:val>
            <c:numRef>
              <c:f>'FOR PIVOT'!$C$2:$C$6</c:f>
              <c:numCache/>
            </c:numRef>
          </c:val>
        </c:ser>
        <c:ser>
          <c:idx val="2"/>
          <c:order val="2"/>
          <c:tx>
            <c:strRef>
              <c:f>'FOR PIVOT'!$D$1</c:f>
            </c:strRef>
          </c:tx>
          <c:cat>
            <c:strRef>
              <c:f>'FOR PIVOT'!$A$2:$A$6</c:f>
            </c:strRef>
          </c:cat>
          <c:val>
            <c:numRef>
              <c:f>'FOR PIVOT'!$D$2:$D$6</c:f>
              <c:numCache/>
            </c:numRef>
          </c:val>
        </c:ser>
        <c:axId val="1024409172"/>
        <c:axId val="853107730"/>
      </c:barChart>
      <c:catAx>
        <c:axId val="10244091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</a:p>
        </c:txPr>
        <c:crossAx val="853107730"/>
      </c:catAx>
      <c:valAx>
        <c:axId val="8531077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FFFFFF"/>
                    </a:solidFill>
                    <a:latin typeface="+mn-lt"/>
                  </a:defRPr>
                </a:pPr>
                <a:r>
                  <a:rPr b="1" sz="1600">
                    <a:solidFill>
                      <a:srgbClr val="FFFFFF"/>
                    </a:solidFill>
                    <a:latin typeface="+mn-lt"/>
                  </a:rPr>
                  <a:t>Price to earning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</a:p>
        </c:txPr>
        <c:crossAx val="102440917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20124D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FF00"/>
                </a:solidFill>
                <a:latin typeface="+mn-lt"/>
              </a:defRPr>
            </a:pPr>
            <a:r>
              <a:rPr b="1">
                <a:solidFill>
                  <a:srgbClr val="00FF00"/>
                </a:solidFill>
                <a:latin typeface="+mn-lt"/>
              </a:rPr>
              <a:t>High Risk taking stocks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'FOR PIVOT'!$B$22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  <a:prstDash val="sysDot"/>
            </a:ln>
          </c:spPr>
          <c:cat>
            <c:strRef>
              <c:f>'FOR PIVOT'!$A$23:$A$28</c:f>
            </c:strRef>
          </c:cat>
          <c:val>
            <c:numRef>
              <c:f>'FOR PIVOT'!$B$23:$B$28</c:f>
              <c:numCache/>
            </c:numRef>
          </c:val>
        </c:ser>
        <c:ser>
          <c:idx val="1"/>
          <c:order val="1"/>
          <c:tx>
            <c:strRef>
              <c:f>'FOR PIVOT'!$C$22</c:f>
            </c:strRef>
          </c:tx>
          <c:cat>
            <c:strRef>
              <c:f>'FOR PIVOT'!$A$23:$A$28</c:f>
            </c:strRef>
          </c:cat>
          <c:val>
            <c:numRef>
              <c:f>'FOR PIVOT'!$C$23:$C$28</c:f>
              <c:numCache/>
            </c:numRef>
          </c:val>
        </c:ser>
        <c:ser>
          <c:idx val="2"/>
          <c:order val="2"/>
          <c:tx>
            <c:strRef>
              <c:f>'FOR PIVOT'!$D$22</c:f>
            </c:strRef>
          </c:tx>
          <c:cat>
            <c:strRef>
              <c:f>'FOR PIVOT'!$A$23:$A$28</c:f>
            </c:strRef>
          </c:cat>
          <c:val>
            <c:numRef>
              <c:f>'FOR PIVOT'!$D$23:$D$28</c:f>
              <c:numCache/>
            </c:numRef>
          </c:val>
        </c:ser>
        <c:axId val="1971991359"/>
        <c:axId val="1882627365"/>
      </c:barChart>
      <c:catAx>
        <c:axId val="19719913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lt1"/>
                </a:solidFill>
                <a:latin typeface="+mn-lt"/>
              </a:defRPr>
            </a:pPr>
          </a:p>
        </c:txPr>
        <c:crossAx val="1882627365"/>
      </c:catAx>
      <c:valAx>
        <c:axId val="18826273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FFFFFF"/>
                    </a:solidFill>
                    <a:latin typeface="+mn-lt"/>
                  </a:defRPr>
                </a:pPr>
                <a:r>
                  <a:rPr b="1" sz="1600">
                    <a:solidFill>
                      <a:srgbClr val="FFFFFF"/>
                    </a:solidFill>
                    <a:latin typeface="+mn-lt"/>
                  </a:rPr>
                  <a:t>Price  to earning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97199135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20124D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FF00"/>
                </a:solidFill>
                <a:latin typeface="+mn-lt"/>
              </a:defRPr>
            </a:pPr>
            <a:r>
              <a:rPr b="1">
                <a:solidFill>
                  <a:srgbClr val="00FF00"/>
                </a:solidFill>
                <a:latin typeface="+mn-lt"/>
              </a:rPr>
              <a:t>Risk Taking Stocks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'FOR PIVOT'!$A$8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'FOR PIVOT'!$B$9:$B$13</c:f>
            </c:strRef>
          </c:cat>
          <c:val>
            <c:numRef>
              <c:f>'FOR PIVOT'!$A$9:$A$13</c:f>
              <c:numCache/>
            </c:numRef>
          </c:val>
        </c:ser>
        <c:ser>
          <c:idx val="1"/>
          <c:order val="1"/>
          <c:tx>
            <c:strRef>
              <c:f>'FOR PIVOT'!$C$8</c:f>
            </c:strRef>
          </c:tx>
          <c:cat>
            <c:strRef>
              <c:f>'FOR PIVOT'!$B$9:$B$13</c:f>
            </c:strRef>
          </c:cat>
          <c:val>
            <c:numRef>
              <c:f>'FOR PIVOT'!$C$9:$C$13</c:f>
              <c:numCache/>
            </c:numRef>
          </c:val>
        </c:ser>
        <c:ser>
          <c:idx val="2"/>
          <c:order val="2"/>
          <c:tx>
            <c:strRef>
              <c:f>'FOR PIVOT'!$D$8</c:f>
            </c:strRef>
          </c:tx>
          <c:cat>
            <c:strRef>
              <c:f>'FOR PIVOT'!$B$9:$B$13</c:f>
            </c:strRef>
          </c:cat>
          <c:val>
            <c:numRef>
              <c:f>'FOR PIVOT'!$D$9:$D$13</c:f>
              <c:numCache/>
            </c:numRef>
          </c:val>
        </c:ser>
        <c:axId val="79747102"/>
        <c:axId val="768023542"/>
      </c:barChart>
      <c:catAx>
        <c:axId val="7974710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Arial black"/>
              </a:defRPr>
            </a:pPr>
          </a:p>
        </c:txPr>
        <c:crossAx val="768023542"/>
      </c:catAx>
      <c:valAx>
        <c:axId val="7680235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FFFFFF"/>
                    </a:solidFill>
                    <a:latin typeface="+mn-lt"/>
                  </a:defRPr>
                </a:pPr>
                <a:r>
                  <a:rPr b="1" sz="1600">
                    <a:solidFill>
                      <a:srgbClr val="FFFFFF"/>
                    </a:solidFill>
                    <a:latin typeface="+mn-lt"/>
                  </a:rPr>
                  <a:t>Price to earning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</a:p>
        </c:txPr>
        <c:crossAx val="7974710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20124D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FF00"/>
                </a:solidFill>
                <a:latin typeface="+mn-lt"/>
              </a:defRPr>
            </a:pPr>
            <a:r>
              <a:rPr b="1">
                <a:solidFill>
                  <a:srgbClr val="00FF00"/>
                </a:solidFill>
                <a:latin typeface="+mn-lt"/>
              </a:rPr>
              <a:t>Moderate Risk Taking Stocks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'FOR PIVOT'!$B$15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'FOR PIVOT'!$A$16:$A$20</c:f>
            </c:strRef>
          </c:cat>
          <c:val>
            <c:numRef>
              <c:f>'FOR PIVOT'!$B$16:$B$20</c:f>
              <c:numCache/>
            </c:numRef>
          </c:val>
        </c:ser>
        <c:ser>
          <c:idx val="1"/>
          <c:order val="1"/>
          <c:tx>
            <c:strRef>
              <c:f>'FOR PIVOT'!$C$15</c:f>
            </c:strRef>
          </c:tx>
          <c:cat>
            <c:strRef>
              <c:f>'FOR PIVOT'!$A$16:$A$20</c:f>
            </c:strRef>
          </c:cat>
          <c:val>
            <c:numRef>
              <c:f>'FOR PIVOT'!$C$16:$C$20</c:f>
              <c:numCache/>
            </c:numRef>
          </c:val>
        </c:ser>
        <c:ser>
          <c:idx val="2"/>
          <c:order val="2"/>
          <c:tx>
            <c:strRef>
              <c:f>'FOR PIVOT'!$D$15</c:f>
            </c:strRef>
          </c:tx>
          <c:cat>
            <c:strRef>
              <c:f>'FOR PIVOT'!$A$16:$A$20</c:f>
            </c:strRef>
          </c:cat>
          <c:val>
            <c:numRef>
              <c:f>'FOR PIVOT'!$D$16:$D$20</c:f>
              <c:numCache/>
            </c:numRef>
          </c:val>
        </c:ser>
        <c:axId val="694577148"/>
        <c:axId val="45373981"/>
      </c:barChart>
      <c:catAx>
        <c:axId val="6945771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+mn-lt"/>
              </a:defRPr>
            </a:pPr>
          </a:p>
        </c:txPr>
        <c:crossAx val="45373981"/>
      </c:catAx>
      <c:valAx>
        <c:axId val="453739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FFFFFF"/>
                    </a:solidFill>
                    <a:latin typeface="+mn-lt"/>
                  </a:defRPr>
                </a:pPr>
                <a:r>
                  <a:rPr b="1" sz="1800">
                    <a:solidFill>
                      <a:srgbClr val="FFFFFF"/>
                    </a:solidFill>
                    <a:latin typeface="+mn-lt"/>
                  </a:rPr>
                  <a:t>Price  to earning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chemeClr val="lt1"/>
                </a:solidFill>
                <a:latin typeface="+mn-lt"/>
              </a:defRPr>
            </a:pPr>
          </a:p>
        </c:txPr>
        <c:crossAx val="69457714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20124D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image" Target="../media/image2.jpg"/><Relationship Id="rId6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175</xdr:row>
      <xdr:rowOff>57150</xdr:rowOff>
    </xdr:from>
    <xdr:ext cx="1095375" cy="476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175</xdr:row>
      <xdr:rowOff>57150</xdr:rowOff>
    </xdr:from>
    <xdr:ext cx="771525" cy="476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175</xdr:row>
      <xdr:rowOff>66675</xdr:rowOff>
    </xdr:from>
    <xdr:ext cx="6629400" cy="4095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1057275</xdr:colOff>
      <xdr:row>197</xdr:row>
      <xdr:rowOff>123825</xdr:rowOff>
    </xdr:from>
    <xdr:ext cx="3714750" cy="22860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66675</xdr:rowOff>
    </xdr:from>
    <xdr:ext cx="5715000" cy="37528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57150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914400</xdr:colOff>
      <xdr:row>2</xdr:row>
      <xdr:rowOff>66675</xdr:rowOff>
    </xdr:from>
    <xdr:ext cx="5838825" cy="37528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914400</xdr:colOff>
      <xdr:row>19</xdr:row>
      <xdr:rowOff>57150</xdr:rowOff>
    </xdr:from>
    <xdr:ext cx="5838825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11582400" cy="1343025"/>
    <xdr:grpSp>
      <xdr:nvGrpSpPr>
        <xdr:cNvPr id="2" name="Shape 2" title="Drawing"/>
        <xdr:cNvGrpSpPr/>
      </xdr:nvGrpSpPr>
      <xdr:grpSpPr>
        <a:xfrm>
          <a:off x="143700" y="421525"/>
          <a:ext cx="7332600" cy="1274400"/>
          <a:chOff x="143700" y="421525"/>
          <a:chExt cx="7332600" cy="1274400"/>
        </a:xfrm>
      </xdr:grpSpPr>
      <xdr:sp>
        <xdr:nvSpPr>
          <xdr:cNvPr id="3" name="Shape 3"/>
          <xdr:cNvSpPr/>
        </xdr:nvSpPr>
        <xdr:spPr>
          <a:xfrm>
            <a:off x="143700" y="421525"/>
            <a:ext cx="7332600" cy="1274400"/>
          </a:xfrm>
          <a:prstGeom prst="rect">
            <a:avLst/>
          </a:prstGeom>
          <a:solidFill>
            <a:srgbClr val="FFFF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pic>
        <xdr:nvPicPr>
          <xdr:cNvPr descr="Free Images : stocks, stock exchange, trade, business man ..." id="4" name="Shape 4"/>
          <xdr:cNvPicPr preferRelativeResize="0"/>
        </xdr:nvPicPr>
        <xdr:blipFill>
          <a:blip r:embed="rId5">
            <a:alphaModFix/>
          </a:blip>
          <a:stretch>
            <a:fillRect/>
          </a:stretch>
        </xdr:blipFill>
        <xdr:spPr>
          <a:xfrm>
            <a:off x="143700" y="442500"/>
            <a:ext cx="1674303" cy="1232476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descr="Stock market | Free SVG" id="5" name="Shape 5"/>
          <xdr:cNvPicPr preferRelativeResize="0"/>
        </xdr:nvPicPr>
        <xdr:blipFill>
          <a:blip r:embed="rId6">
            <a:alphaModFix/>
          </a:blip>
          <a:stretch>
            <a:fillRect/>
          </a:stretch>
        </xdr:blipFill>
        <xdr:spPr>
          <a:xfrm>
            <a:off x="1818000" y="442512"/>
            <a:ext cx="1215550" cy="1215551"/>
          </a:xfrm>
          <a:prstGeom prst="rect">
            <a:avLst/>
          </a:prstGeom>
          <a:noFill/>
          <a:ln cap="flat" cmpd="sng" w="9525">
            <a:solidFill>
              <a:srgbClr val="00FF00"/>
            </a:solidFill>
            <a:prstDash val="solid"/>
            <a:round/>
            <a:headEnd len="sm" w="sm" type="none"/>
            <a:tailEnd len="sm" w="sm" type="none"/>
          </a:ln>
        </xdr:spPr>
      </xdr:pic>
      <xdr:sp>
        <xdr:nvSpPr>
          <xdr:cNvPr id="6" name="Shape 6"/>
          <xdr:cNvSpPr txBox="1"/>
        </xdr:nvSpPr>
        <xdr:spPr>
          <a:xfrm>
            <a:off x="3166275" y="735200"/>
            <a:ext cx="4234800" cy="6465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600">
                <a:latin typeface="Times New Roman"/>
                <a:ea typeface="Times New Roman"/>
                <a:cs typeface="Times New Roman"/>
                <a:sym typeface="Times New Roman"/>
              </a:rPr>
              <a:t> </a:t>
            </a:r>
            <a:r>
              <a:rPr b="1" lang="en-US" sz="3000">
                <a:latin typeface="Times New Roman"/>
                <a:ea typeface="Times New Roman"/>
                <a:cs typeface="Times New Roman"/>
                <a:sym typeface="Times New Roman"/>
              </a:rPr>
              <a:t>Stock Market Annalysis</a:t>
            </a:r>
            <a:endParaRPr sz="3100"/>
          </a:p>
        </xdr:txBody>
      </xdr: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hyperlink" Target="http://s.no/" TargetMode="External"/><Relationship Id="rId3" Type="http://schemas.openxmlformats.org/officeDocument/2006/relationships/hyperlink" Target="http://s.no/" TargetMode="External"/><Relationship Id="rId4" Type="http://schemas.openxmlformats.org/officeDocument/2006/relationships/hyperlink" Target="http://s.no/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8.63"/>
    <col customWidth="1" min="3" max="3" width="23.13"/>
    <col customWidth="1" min="4" max="4" width="15.5"/>
    <col hidden="1" min="6" max="6" width="12.63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tr">
        <f>'Import answer from python code'!F2</f>
        <v>Page Industries Ltd.</v>
      </c>
      <c r="B2" s="4" t="str">
        <f>VLOOKUP(A2, 'BSE500'!$A$2:$H$503, 5, FALSE)</f>
        <v>Textiles</v>
      </c>
      <c r="C2" s="4" t="str">
        <f>VLOOKUP(B2, 'BSE500'!$E$2:$I$503, 2, FALSE)</f>
        <v>Readymade Garments</v>
      </c>
      <c r="D2" s="5">
        <f>vlookup(A2,'BSE500'!1:1000,27,0)</f>
        <v>75.788</v>
      </c>
      <c r="E2" s="4"/>
      <c r="F2" s="6" t="s">
        <v>4</v>
      </c>
    </row>
    <row r="3">
      <c r="A3" s="4" t="str">
        <f>'Import answer from python code'!F3</f>
        <v>Abbott India Ltd.</v>
      </c>
      <c r="B3" s="4" t="str">
        <f>VLOOKUP(A3, 'BSE500'!$A$2:$H$503, 5, FALSE)</f>
        <v>Healthcare</v>
      </c>
      <c r="C3" s="4" t="str">
        <f>VLOOKUP(B3, 'BSE500'!$E$2:$I$503, 2, FALSE)</f>
        <v>Drugs &amp; Pharma</v>
      </c>
      <c r="D3" s="5">
        <f>vlookup(A3,'BSE500'!2:1001,27,0)</f>
        <v>47.8602</v>
      </c>
      <c r="F3" s="6" t="s">
        <v>5</v>
      </c>
    </row>
    <row r="4">
      <c r="A4" s="4" t="str">
        <f>'Import answer from python code'!F4</f>
        <v>MRF Ltd.</v>
      </c>
      <c r="B4" s="4" t="str">
        <f>VLOOKUP(A4, 'BSE500'!$A$2:$H$503, 5, FALSE)</f>
        <v>Automobile</v>
      </c>
      <c r="C4" s="4" t="str">
        <f>VLOOKUP(B4, 'BSE500'!$E$2:$I$503, 2, FALSE)</f>
        <v>Auto Ancillaries</v>
      </c>
      <c r="D4" s="5">
        <f>vlookup(A4,'BSE500'!3:1002,27,0)</f>
        <v>56.9191</v>
      </c>
      <c r="F4" s="6" t="s">
        <v>6</v>
      </c>
    </row>
    <row r="5">
      <c r="A5" s="4" t="str">
        <f>'Import answer from python code'!F5</f>
        <v>Bajaj Holdings &amp; Investment Ltd.</v>
      </c>
      <c r="B5" s="4" t="str">
        <f>VLOOKUP(A5, 'BSE500'!$A$2:$H$503, 5, FALSE)</f>
        <v>Financial</v>
      </c>
      <c r="C5" s="4" t="str">
        <f>VLOOKUP(B5, 'BSE500'!$E$2:$I$503, 2, FALSE)</f>
        <v>Investment Services</v>
      </c>
      <c r="D5" s="5">
        <f>vlookup(A5,'BSE500'!4:1003,27,0)</f>
        <v>14.8794</v>
      </c>
      <c r="F5" s="6" t="s">
        <v>7</v>
      </c>
    </row>
    <row r="6">
      <c r="A6" s="4" t="str">
        <f>'Import answer from python code'!F6</f>
        <v>Honeywell Automation India Ltd.</v>
      </c>
      <c r="B6" s="4" t="str">
        <f>VLOOKUP(A6, 'BSE500'!$A$2:$H$503, 5, FALSE)</f>
        <v>Capital Goods</v>
      </c>
      <c r="C6" s="4" t="str">
        <f>VLOOKUP(B6, 'BSE500'!$E$2:$I$503, 2, FALSE)</f>
        <v>Electronic Components</v>
      </c>
      <c r="D6" s="5">
        <f>vlookup(A6,'BSE500'!5:1004,27,0)</f>
        <v>105.9836</v>
      </c>
      <c r="F6" s="6" t="s">
        <v>8</v>
      </c>
    </row>
    <row r="7">
      <c r="A7" s="4" t="str">
        <f>'Import answer from python code'!F7</f>
        <v/>
      </c>
      <c r="B7" s="4"/>
      <c r="C7" s="7"/>
      <c r="D7" s="4"/>
    </row>
    <row r="8">
      <c r="A8" s="1" t="s">
        <v>9</v>
      </c>
      <c r="B8" s="4"/>
      <c r="C8" s="7"/>
      <c r="D8" s="4"/>
    </row>
    <row r="9">
      <c r="A9" s="4" t="str">
        <f>'Import answer from python code'!F10</f>
        <v>The Great Eastern Shipping Company Ltd.</v>
      </c>
      <c r="B9" s="4" t="str">
        <f>VLOOKUP(A9, 'BSE500'!$A$2:$H$503, 5, FALSE)</f>
        <v>Services</v>
      </c>
      <c r="C9" s="4" t="str">
        <f>VLOOKUP(B9, 'BSE500'!$E$2:$I$503, 2, FALSE)</f>
        <v>Courier Services</v>
      </c>
      <c r="D9" s="5">
        <f>vlookup(A9,'BSE500'!8:1007,27,0)</f>
        <v>7.1413</v>
      </c>
    </row>
    <row r="10">
      <c r="A10" s="4" t="str">
        <f>'Import answer from python code'!F11</f>
        <v>Welspun Corp Ltd.</v>
      </c>
      <c r="B10" s="4" t="str">
        <f>VLOOKUP(A10, 'BSE500'!$A$2:$H$503, 5, FALSE)</f>
        <v>Metals &amp; Mining</v>
      </c>
      <c r="C10" s="4" t="str">
        <f>VLOOKUP(B10, 'BSE500'!$E$2:$I$503, 2, FALSE)</f>
        <v>Non-Ferrous Metal</v>
      </c>
      <c r="D10" s="5">
        <f>vlookup(A10,'BSE500'!9:1008,27,0)</f>
        <v>17.1238</v>
      </c>
      <c r="F10" s="6" t="s">
        <v>10</v>
      </c>
    </row>
    <row r="11">
      <c r="A11" s="4" t="str">
        <f>'Import answer from python code'!F12</f>
        <v>Jyothy Labs Ltd.</v>
      </c>
      <c r="B11" s="4" t="str">
        <f>VLOOKUP(A11, 'BSE500'!$A$2:$H$503, 5, FALSE)</f>
        <v>Consumer Staples</v>
      </c>
      <c r="C11" s="4" t="str">
        <f>VLOOKUP(B11, 'BSE500'!$E$2:$I$503, 2, FALSE)</f>
        <v>Household &amp; Personal Products</v>
      </c>
      <c r="D11" s="5">
        <f>vlookup(A11,'BSE500'!10:1009,27,0)</f>
        <v>41.179</v>
      </c>
      <c r="F11" s="6" t="s">
        <v>11</v>
      </c>
    </row>
    <row r="12">
      <c r="A12" s="4" t="str">
        <f>'Import answer from python code'!F13</f>
        <v>Gujarat State Fertilizers &amp; Chemicals Ltd.</v>
      </c>
      <c r="B12" s="4" t="str">
        <f>VLOOKUP(A12, 'BSE500'!$A$2:$H$503, 5, FALSE)</f>
        <v>Chemicals</v>
      </c>
      <c r="C12" s="4" t="str">
        <f>VLOOKUP(B12, 'BSE500'!$E$2:$I$503, 2, FALSE)</f>
        <v>Pesticides</v>
      </c>
      <c r="D12" s="5">
        <f>vlookup(A12,'BSE500'!11:1010,27,0)</f>
        <v>5.6485</v>
      </c>
      <c r="F12" s="6" t="s">
        <v>12</v>
      </c>
    </row>
    <row r="13">
      <c r="A13" s="4" t="str">
        <f>'Import answer from python code'!F14</f>
        <v>Sunteck Realty Ltd.</v>
      </c>
      <c r="B13" s="4" t="str">
        <f>VLOOKUP(A13, 'BSE500'!$A$2:$H$503, 5, FALSE)</f>
        <v>Construction</v>
      </c>
      <c r="C13" s="4" t="str">
        <f>VLOOKUP(B13, 'BSE500'!$E$2:$I$503, 2, FALSE)</f>
        <v>Infrastructure</v>
      </c>
      <c r="D13" s="5">
        <f>vlookup(A13,'BSE500'!12:1011,27,0)</f>
        <v>146.9423</v>
      </c>
      <c r="F13" s="6" t="s">
        <v>13</v>
      </c>
    </row>
    <row r="14">
      <c r="A14" s="4" t="str">
        <f>'Import answer from python code'!F15</f>
        <v/>
      </c>
      <c r="B14" s="4"/>
      <c r="C14" s="4"/>
      <c r="D14" s="4"/>
      <c r="F14" s="6" t="s">
        <v>14</v>
      </c>
    </row>
    <row r="15">
      <c r="A15" s="1" t="s">
        <v>15</v>
      </c>
      <c r="B15" s="4"/>
      <c r="C15" s="4"/>
      <c r="D15" s="4"/>
    </row>
    <row r="16">
      <c r="A16" s="4" t="str">
        <f>'Import answer from python code'!F18</f>
        <v>Cyient Ltd.</v>
      </c>
      <c r="B16" s="4" t="str">
        <f>VLOOKUP(A16, 'BSE500'!$A$2:$H$503, 5, FALSE)</f>
        <v>Technology</v>
      </c>
      <c r="C16" s="4" t="str">
        <f>VLOOKUP(B16, 'BSE500'!$E$2:$I$503, 2, FALSE)</f>
        <v>Software</v>
      </c>
      <c r="D16" s="5">
        <f>vlookup(A16,'BSE500'!15:1014,27,0)</f>
        <v>17.6215</v>
      </c>
    </row>
    <row r="17">
      <c r="A17" s="4" t="str">
        <f>'Import answer from python code'!F19</f>
        <v>Chambal Fertilisers &amp; Chemicals Ltd.</v>
      </c>
      <c r="B17" s="4" t="str">
        <f>VLOOKUP(A17, 'BSE500'!$A$2:$H$503, 5, FALSE)</f>
        <v>Chemicals</v>
      </c>
      <c r="C17" s="4" t="str">
        <f>VLOOKUP(B17, 'BSE500'!$E$2:$I$503, 2, FALSE)</f>
        <v>Pesticides</v>
      </c>
      <c r="D17" s="5">
        <f>vlookup(A17,'BSE500'!16:1015,27,0)</f>
        <v>9.4483</v>
      </c>
    </row>
    <row r="18">
      <c r="A18" s="4" t="str">
        <f>'Import answer from python code'!F20</f>
        <v>BASF India Ltd.</v>
      </c>
      <c r="B18" s="4" t="str">
        <f>VLOOKUP(A18, 'BSE500'!$A$2:$H$503, 5, FALSE)</f>
        <v>Chemicals</v>
      </c>
      <c r="C18" s="4" t="str">
        <f>VLOOKUP(B18, 'BSE500'!$E$2:$I$503, 2, FALSE)</f>
        <v>Pesticides</v>
      </c>
      <c r="D18" s="5">
        <f>vlookup(A18,'BSE500'!17:1016,27,0)</f>
        <v>23.2135</v>
      </c>
      <c r="F18" s="6" t="s">
        <v>16</v>
      </c>
    </row>
    <row r="19">
      <c r="A19" s="4" t="str">
        <f>'Import answer from python code'!F21</f>
        <v>Allcargo Logistics Ltd.</v>
      </c>
      <c r="B19" s="4" t="str">
        <f>VLOOKUP(A19, 'BSE500'!$A$2:$H$503, 5, FALSE)</f>
        <v>Services</v>
      </c>
      <c r="C19" s="4" t="str">
        <f>VLOOKUP(B19, 'BSE500'!$E$2:$I$503, 2, FALSE)</f>
        <v>Courier Services</v>
      </c>
      <c r="D19" s="5">
        <f>vlookup(A19,'BSE500'!18:1017,27,0)</f>
        <v>7.7437</v>
      </c>
      <c r="F19" s="6" t="s">
        <v>17</v>
      </c>
    </row>
    <row r="20">
      <c r="A20" s="4" t="str">
        <f>'Import answer from python code'!F22</f>
        <v>Mahindra CIE Automotive Ltd.</v>
      </c>
      <c r="B20" s="4" t="str">
        <f>VLOOKUP(A20, 'BSE500'!$A$2:$H$503, 5, FALSE)</f>
        <v>Metals &amp; Mining</v>
      </c>
      <c r="C20" s="4" t="str">
        <f>VLOOKUP(B20, 'BSE500'!$E$2:$I$503, 2, FALSE)</f>
        <v>Non-Ferrous Metal</v>
      </c>
      <c r="D20" s="5">
        <f>vlookup(A20,'BSE500'!19:1018,27,0)</f>
        <v>17.3951</v>
      </c>
      <c r="F20" s="6" t="s">
        <v>18</v>
      </c>
    </row>
    <row r="21">
      <c r="A21" s="4" t="str">
        <f>'Import answer from python code'!F23</f>
        <v/>
      </c>
      <c r="B21" s="4"/>
      <c r="C21" s="4"/>
      <c r="D21" s="4"/>
      <c r="F21" s="6" t="s">
        <v>19</v>
      </c>
    </row>
    <row r="22">
      <c r="A22" s="1" t="s">
        <v>20</v>
      </c>
      <c r="B22" s="4"/>
      <c r="C22" s="4"/>
      <c r="D22" s="4"/>
      <c r="F22" s="6" t="s">
        <v>21</v>
      </c>
    </row>
    <row r="23">
      <c r="A23" s="8" t="str">
        <f>'Import answer from python code'!F26</f>
        <v>VST Industries Limited</v>
      </c>
      <c r="B23" s="4" t="str">
        <f>vlookup(A23,'BSE500'!1:1000,5,0)</f>
        <v>Consumer Staples</v>
      </c>
      <c r="C23" s="4" t="str">
        <f>VLOOKUP(B23, 'BSE500'!$E$2:$I$503, 2, FALSE)</f>
        <v>Household &amp; Personal Products</v>
      </c>
      <c r="D23" s="5">
        <f>VLOOKUP(A23,'BSE500'!1:1000,27,0)</f>
        <v>14.6745</v>
      </c>
    </row>
    <row r="24">
      <c r="A24" s="9" t="str">
        <f>'Import answer from python code'!F27</f>
        <v>MOIL Ltd.</v>
      </c>
      <c r="B24" s="4" t="str">
        <f>VLOOKUP(A24, 'BSE500'!$A$2:$H$503, 5, FALSE)</f>
        <v>Metals &amp; Mining</v>
      </c>
      <c r="C24" s="4" t="str">
        <f>VLOOKUP(B24, 'BSE500'!$E$2:$I$503, 2, FALSE)</f>
        <v>Non-Ferrous Metal</v>
      </c>
      <c r="D24" s="5">
        <f>vlookup(A24,'BSE500'!23:1022,27,0)</f>
        <v>8.1789</v>
      </c>
    </row>
    <row r="25">
      <c r="A25" s="9" t="str">
        <f>'Import answer from python code'!F28</f>
        <v>Gujarat Pipavav Port Ltd</v>
      </c>
      <c r="B25" s="4" t="str">
        <f>VLOOKUP(A25, 'BSE500'!$A$2:$H$503, 5, FALSE)</f>
        <v>Services</v>
      </c>
      <c r="C25" s="4" t="str">
        <f>VLOOKUP(B25, 'BSE500'!$E$2:$I$503, 2, FALSE)</f>
        <v>Courier Services</v>
      </c>
      <c r="D25" s="5">
        <f>vlookup(A25,'BSE500'!24:1023,27,0)</f>
        <v>18.763</v>
      </c>
    </row>
    <row r="26">
      <c r="A26" s="9" t="str">
        <f>'Import answer from python code'!F29</f>
        <v>Rallis India Ltd.</v>
      </c>
      <c r="B26" s="4" t="str">
        <f>VLOOKUP(A26, 'BSE500'!$A$2:$H$503, 5, FALSE)</f>
        <v>Chemicals</v>
      </c>
      <c r="C26" s="4" t="str">
        <f>VLOOKUP(B26, 'BSE500'!$E$2:$I$503, 2, FALSE)</f>
        <v>Pesticides</v>
      </c>
      <c r="D26" s="5">
        <f>vlookup(A26,'BSE500'!25:1024,27,0)</f>
        <v>29.3533</v>
      </c>
      <c r="F26" s="6" t="s">
        <v>22</v>
      </c>
    </row>
    <row r="27">
      <c r="A27" s="9" t="str">
        <f>'Import answer from python code'!F30</f>
        <v>Engineers India Ltd.</v>
      </c>
      <c r="B27" s="4" t="str">
        <f>VLOOKUP(A27, 'BSE500'!$A$2:$H$503, 5, FALSE)</f>
        <v>Construction</v>
      </c>
      <c r="C27" s="4" t="str">
        <f>VLOOKUP(B27, 'BSE500'!$E$2:$I$503, 2, FALSE)</f>
        <v>Infrastructure</v>
      </c>
      <c r="D27" s="5">
        <f>vlookup(A27,'BSE500'!26:1025,27,0)</f>
        <v>20.0401</v>
      </c>
      <c r="F27" s="6" t="s">
        <v>23</v>
      </c>
    </row>
    <row r="28">
      <c r="A28" s="4" t="str">
        <f>'Import answer from python code'!F31</f>
        <v/>
      </c>
      <c r="B28" s="4"/>
      <c r="C28" s="4"/>
      <c r="D28" s="4"/>
      <c r="F28" s="6" t="s">
        <v>24</v>
      </c>
    </row>
    <row r="29">
      <c r="F29" s="6" t="s">
        <v>25</v>
      </c>
    </row>
    <row r="30">
      <c r="F30" s="6" t="s">
        <v>26</v>
      </c>
    </row>
    <row r="33" hidden="1"/>
    <row r="34" hidden="1">
      <c r="A34" s="6" t="s">
        <v>27</v>
      </c>
      <c r="B34" s="6" t="s">
        <v>28</v>
      </c>
      <c r="C34" s="10">
        <v>15.73</v>
      </c>
    </row>
    <row r="35" hidden="1">
      <c r="A35" s="6" t="s">
        <v>29</v>
      </c>
      <c r="B35" s="6" t="s">
        <v>30</v>
      </c>
      <c r="C35" s="10">
        <v>11.26</v>
      </c>
    </row>
    <row r="36" hidden="1">
      <c r="A36" s="6" t="s">
        <v>31</v>
      </c>
      <c r="B36" s="6" t="s">
        <v>32</v>
      </c>
      <c r="C36" s="10">
        <v>5.66</v>
      </c>
    </row>
    <row r="37" hidden="1">
      <c r="A37" s="6" t="s">
        <v>33</v>
      </c>
      <c r="B37" s="6" t="s">
        <v>34</v>
      </c>
      <c r="C37" s="10">
        <v>39.22</v>
      </c>
    </row>
    <row r="38" hidden="1">
      <c r="A38" s="6" t="s">
        <v>35</v>
      </c>
      <c r="B38" s="6" t="s">
        <v>36</v>
      </c>
      <c r="C38" s="10">
        <v>20.01</v>
      </c>
    </row>
    <row r="39" hidden="1">
      <c r="A39" s="6" t="s">
        <v>37</v>
      </c>
      <c r="B39" s="6" t="s">
        <v>38</v>
      </c>
      <c r="C39" s="10">
        <v>36.27</v>
      </c>
    </row>
    <row r="40" hidden="1">
      <c r="A40" s="6" t="s">
        <v>39</v>
      </c>
      <c r="B40" s="6" t="s">
        <v>40</v>
      </c>
      <c r="C40" s="10">
        <v>10.16</v>
      </c>
    </row>
    <row r="41" hidden="1">
      <c r="A41" s="6" t="s">
        <v>41</v>
      </c>
      <c r="B41" s="6" t="s">
        <v>42</v>
      </c>
      <c r="C41" s="10">
        <v>36.79</v>
      </c>
    </row>
    <row r="42" hidden="1">
      <c r="A42" s="6" t="s">
        <v>43</v>
      </c>
      <c r="B42" s="6" t="s">
        <v>44</v>
      </c>
      <c r="C42" s="10">
        <v>15.99</v>
      </c>
    </row>
    <row r="43" hidden="1">
      <c r="A43" s="6" t="s">
        <v>45</v>
      </c>
      <c r="B43" s="6" t="s">
        <v>46</v>
      </c>
      <c r="C43" s="10">
        <v>10.39</v>
      </c>
    </row>
    <row r="44" hidden="1">
      <c r="A44" s="6" t="s">
        <v>47</v>
      </c>
      <c r="B44" s="6" t="s">
        <v>48</v>
      </c>
      <c r="C44" s="10">
        <v>13.2</v>
      </c>
    </row>
    <row r="45" hidden="1">
      <c r="A45" s="6" t="s">
        <v>49</v>
      </c>
      <c r="B45" s="6" t="s">
        <v>50</v>
      </c>
      <c r="C45" s="10">
        <v>4.56</v>
      </c>
    </row>
    <row r="46" hidden="1">
      <c r="A46" s="6" t="s">
        <v>51</v>
      </c>
      <c r="B46" s="6" t="s">
        <v>52</v>
      </c>
      <c r="C46" s="10">
        <v>10.57</v>
      </c>
    </row>
    <row r="47" hidden="1">
      <c r="A47" s="6" t="s">
        <v>53</v>
      </c>
      <c r="B47" s="6" t="s">
        <v>54</v>
      </c>
      <c r="C47" s="10">
        <v>4.3</v>
      </c>
    </row>
    <row r="48" hidden="1">
      <c r="A48" s="6" t="s">
        <v>55</v>
      </c>
      <c r="B48" s="6" t="s">
        <v>56</v>
      </c>
      <c r="C48" s="10">
        <v>18.49</v>
      </c>
    </row>
    <row r="49" hidden="1">
      <c r="A49" s="6" t="s">
        <v>57</v>
      </c>
      <c r="B49" s="6" t="s">
        <v>58</v>
      </c>
      <c r="C49" s="10">
        <v>6.09</v>
      </c>
    </row>
    <row r="116" hidden="1"/>
    <row r="117" hidden="1"/>
    <row r="118" hidden="1">
      <c r="A118" s="6" t="s">
        <v>27</v>
      </c>
      <c r="B118" s="6" t="s">
        <v>28</v>
      </c>
      <c r="C118" s="10">
        <v>15.73</v>
      </c>
    </row>
    <row r="119" hidden="1">
      <c r="A119" s="6" t="s">
        <v>29</v>
      </c>
      <c r="B119" s="6" t="s">
        <v>30</v>
      </c>
      <c r="C119" s="10">
        <v>11.26</v>
      </c>
    </row>
    <row r="120" hidden="1">
      <c r="A120" s="6" t="s">
        <v>31</v>
      </c>
      <c r="B120" s="6" t="s">
        <v>32</v>
      </c>
      <c r="C120" s="10">
        <v>5.66</v>
      </c>
    </row>
    <row r="121" hidden="1">
      <c r="A121" s="6" t="s">
        <v>33</v>
      </c>
      <c r="B121" s="6" t="s">
        <v>34</v>
      </c>
      <c r="C121" s="10">
        <v>39.22</v>
      </c>
    </row>
    <row r="122" hidden="1">
      <c r="A122" s="6" t="s">
        <v>35</v>
      </c>
      <c r="B122" s="6" t="s">
        <v>36</v>
      </c>
      <c r="C122" s="10">
        <v>20.01</v>
      </c>
    </row>
    <row r="123" hidden="1">
      <c r="A123" s="6" t="s">
        <v>37</v>
      </c>
      <c r="B123" s="6" t="s">
        <v>38</v>
      </c>
      <c r="C123" s="10">
        <v>36.27</v>
      </c>
    </row>
    <row r="124" hidden="1">
      <c r="A124" s="6" t="s">
        <v>39</v>
      </c>
      <c r="B124" s="6" t="s">
        <v>40</v>
      </c>
      <c r="C124" s="10">
        <v>10.16</v>
      </c>
    </row>
    <row r="125" hidden="1">
      <c r="A125" s="6" t="s">
        <v>41</v>
      </c>
      <c r="B125" s="6" t="s">
        <v>42</v>
      </c>
      <c r="C125" s="10">
        <v>36.79</v>
      </c>
    </row>
    <row r="126" hidden="1">
      <c r="A126" s="6" t="s">
        <v>43</v>
      </c>
      <c r="B126" s="6" t="s">
        <v>44</v>
      </c>
      <c r="C126" s="10">
        <v>15.99</v>
      </c>
    </row>
    <row r="127" hidden="1">
      <c r="A127" s="6" t="s">
        <v>45</v>
      </c>
      <c r="B127" s="6" t="s">
        <v>46</v>
      </c>
      <c r="C127" s="10">
        <v>10.39</v>
      </c>
    </row>
    <row r="128" hidden="1">
      <c r="A128" s="6" t="s">
        <v>47</v>
      </c>
      <c r="B128" s="6" t="s">
        <v>48</v>
      </c>
      <c r="C128" s="10">
        <v>13.2</v>
      </c>
    </row>
    <row r="129" hidden="1">
      <c r="A129" s="6" t="s">
        <v>49</v>
      </c>
      <c r="B129" s="6" t="s">
        <v>50</v>
      </c>
      <c r="C129" s="10">
        <v>4.56</v>
      </c>
    </row>
    <row r="130" hidden="1">
      <c r="A130" s="6" t="s">
        <v>51</v>
      </c>
      <c r="B130" s="6" t="s">
        <v>52</v>
      </c>
      <c r="C130" s="10">
        <v>10.57</v>
      </c>
    </row>
    <row r="131" hidden="1">
      <c r="A131" s="6" t="s">
        <v>53</v>
      </c>
      <c r="B131" s="6" t="s">
        <v>54</v>
      </c>
      <c r="C131" s="10">
        <v>4.3</v>
      </c>
    </row>
    <row r="132" hidden="1">
      <c r="A132" s="6" t="s">
        <v>55</v>
      </c>
      <c r="B132" s="6" t="s">
        <v>56</v>
      </c>
      <c r="C132" s="10">
        <v>18.49</v>
      </c>
    </row>
    <row r="133" hidden="1">
      <c r="A133" s="6" t="s">
        <v>57</v>
      </c>
      <c r="B133" s="6" t="s">
        <v>58</v>
      </c>
      <c r="C133" s="10">
        <v>6.09</v>
      </c>
    </row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3" max="3" width="22.5"/>
    <col hidden="1" min="4" max="5" width="12.63"/>
    <col customWidth="1" hidden="1" min="6" max="6" width="32.38"/>
    <col customWidth="1" hidden="1" min="7" max="7" width="25.63"/>
  </cols>
  <sheetData>
    <row r="1">
      <c r="A1" s="3"/>
      <c r="B1" s="3"/>
      <c r="C1" s="3"/>
      <c r="D1" s="3" t="s">
        <v>0</v>
      </c>
      <c r="E1" s="11" t="s">
        <v>59</v>
      </c>
      <c r="F1" s="12" t="s">
        <v>60</v>
      </c>
      <c r="G1" s="12" t="s">
        <v>61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3"/>
      <c r="B2" s="3"/>
      <c r="C2" s="3"/>
      <c r="D2" s="3"/>
      <c r="E2" s="14">
        <v>1.0</v>
      </c>
      <c r="F2" s="15" t="s">
        <v>4</v>
      </c>
      <c r="G2" s="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3"/>
      <c r="B3" s="3"/>
      <c r="C3" s="3"/>
      <c r="D3" s="3"/>
      <c r="E3" s="14">
        <v>2.0</v>
      </c>
      <c r="F3" s="15" t="s">
        <v>5</v>
      </c>
      <c r="G3" s="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3"/>
      <c r="B4" s="3"/>
      <c r="C4" s="3"/>
      <c r="D4" s="3"/>
      <c r="E4" s="14">
        <v>3.0</v>
      </c>
      <c r="F4" s="15" t="s">
        <v>6</v>
      </c>
      <c r="G4" s="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3"/>
      <c r="B5" s="3"/>
      <c r="C5" s="3"/>
      <c r="D5" s="3"/>
      <c r="E5" s="14">
        <v>4.0</v>
      </c>
      <c r="F5" s="15" t="s">
        <v>7</v>
      </c>
      <c r="G5" s="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3"/>
      <c r="B6" s="3"/>
      <c r="C6" s="3"/>
      <c r="D6" s="3"/>
      <c r="E6" s="14">
        <v>5.0</v>
      </c>
      <c r="F6" s="15" t="s">
        <v>8</v>
      </c>
      <c r="G6" s="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3"/>
      <c r="B7" s="16" t="s">
        <v>62</v>
      </c>
      <c r="C7" s="17">
        <v>82654.0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3"/>
      <c r="B8" s="18" t="s">
        <v>63</v>
      </c>
      <c r="C8" s="19">
        <v>57918.28</v>
      </c>
      <c r="D8" s="20"/>
      <c r="E8" s="21"/>
      <c r="F8" s="22"/>
      <c r="G8" s="2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3"/>
      <c r="B9" s="3"/>
      <c r="C9" s="3"/>
      <c r="D9" s="20" t="s">
        <v>9</v>
      </c>
      <c r="E9" s="11" t="s">
        <v>64</v>
      </c>
      <c r="F9" s="12" t="s">
        <v>60</v>
      </c>
      <c r="G9" s="12" t="s">
        <v>61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3"/>
      <c r="B10" s="18" t="s">
        <v>65</v>
      </c>
      <c r="C10" s="19">
        <v>23396.76</v>
      </c>
      <c r="D10" s="3"/>
      <c r="E10" s="14">
        <v>1.0</v>
      </c>
      <c r="F10" s="15" t="s">
        <v>10</v>
      </c>
      <c r="G10" s="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3"/>
      <c r="B11" s="18" t="s">
        <v>66</v>
      </c>
      <c r="C11" s="19">
        <v>65768.0</v>
      </c>
      <c r="D11" s="3"/>
      <c r="E11" s="14">
        <v>2.0</v>
      </c>
      <c r="F11" s="15" t="s">
        <v>11</v>
      </c>
      <c r="G11" s="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3"/>
      <c r="B12" s="18" t="s">
        <v>67</v>
      </c>
      <c r="C12" s="19">
        <v>9203.8</v>
      </c>
      <c r="D12" s="3"/>
      <c r="E12" s="14">
        <v>3.0</v>
      </c>
      <c r="F12" s="15" t="s">
        <v>12</v>
      </c>
      <c r="G12" s="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3"/>
      <c r="B13" s="18" t="s">
        <v>68</v>
      </c>
      <c r="C13" s="19">
        <v>2513.7200000000003</v>
      </c>
      <c r="D13" s="3"/>
      <c r="E13" s="14">
        <v>4.0</v>
      </c>
      <c r="F13" s="15" t="s">
        <v>13</v>
      </c>
      <c r="G13" s="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3"/>
      <c r="B14" s="18" t="s">
        <v>69</v>
      </c>
      <c r="C14" s="19">
        <v>12188.0</v>
      </c>
      <c r="D14" s="3"/>
      <c r="E14" s="14">
        <v>5.0</v>
      </c>
      <c r="F14" s="15" t="s">
        <v>14</v>
      </c>
      <c r="G14" s="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3"/>
      <c r="B15" s="18" t="s">
        <v>70</v>
      </c>
      <c r="C15" s="19">
        <v>3388.0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3"/>
      <c r="B16" s="18" t="s">
        <v>71</v>
      </c>
      <c r="C16" s="19">
        <v>1400.0</v>
      </c>
      <c r="D16" s="20"/>
      <c r="E16" s="21"/>
      <c r="F16" s="22"/>
      <c r="G16" s="22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3"/>
      <c r="B17" s="18" t="s">
        <v>72</v>
      </c>
      <c r="C17" s="19">
        <v>8000.0</v>
      </c>
      <c r="D17" s="20" t="s">
        <v>15</v>
      </c>
      <c r="E17" s="11" t="s">
        <v>73</v>
      </c>
      <c r="F17" s="12" t="s">
        <v>60</v>
      </c>
      <c r="G17" s="12" t="s">
        <v>61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3"/>
      <c r="B18" s="18" t="s">
        <v>74</v>
      </c>
      <c r="C18" s="19">
        <v>14000.0</v>
      </c>
      <c r="D18" s="3"/>
      <c r="E18" s="14">
        <v>1.0</v>
      </c>
      <c r="F18" s="15" t="s">
        <v>16</v>
      </c>
      <c r="G18" s="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3"/>
      <c r="B19" s="18" t="s">
        <v>75</v>
      </c>
      <c r="C19" s="19">
        <v>196.0</v>
      </c>
      <c r="D19" s="3"/>
      <c r="E19" s="14">
        <v>2.0</v>
      </c>
      <c r="F19" s="15" t="s">
        <v>17</v>
      </c>
      <c r="G19" s="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3"/>
      <c r="B20" s="18" t="s">
        <v>76</v>
      </c>
      <c r="C20" s="19">
        <v>115.0</v>
      </c>
      <c r="D20" s="3"/>
      <c r="E20" s="14">
        <v>3.0</v>
      </c>
      <c r="F20" s="15" t="s">
        <v>18</v>
      </c>
      <c r="G20" s="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3"/>
      <c r="B21" s="18" t="s">
        <v>77</v>
      </c>
      <c r="C21" s="19">
        <v>3.0</v>
      </c>
      <c r="D21" s="3"/>
      <c r="E21" s="14">
        <v>4.0</v>
      </c>
      <c r="F21" s="15" t="s">
        <v>19</v>
      </c>
      <c r="G21" s="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3"/>
      <c r="B22" s="13"/>
      <c r="C22" s="13"/>
      <c r="D22" s="3"/>
      <c r="E22" s="14">
        <v>5.0</v>
      </c>
      <c r="F22" s="15" t="s">
        <v>21</v>
      </c>
      <c r="G22" s="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3"/>
      <c r="B23" s="3"/>
      <c r="C23" s="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3"/>
      <c r="B24" s="16" t="s">
        <v>78</v>
      </c>
      <c r="C24" s="23">
        <v>24735.72</v>
      </c>
      <c r="D24" s="20"/>
      <c r="E24" s="21"/>
      <c r="F24" s="22"/>
      <c r="G24" s="22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20" t="s">
        <v>20</v>
      </c>
      <c r="E25" s="11" t="s">
        <v>79</v>
      </c>
      <c r="F25" s="12" t="s">
        <v>60</v>
      </c>
      <c r="G25" s="12" t="s">
        <v>61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3"/>
      <c r="C26" s="3"/>
      <c r="D26" s="3"/>
      <c r="E26" s="14">
        <v>1.0</v>
      </c>
      <c r="F26" s="15" t="s">
        <v>22</v>
      </c>
      <c r="G26" s="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3"/>
      <c r="B27" s="24" t="s">
        <v>80</v>
      </c>
      <c r="C27" s="15" t="s">
        <v>15</v>
      </c>
      <c r="D27" s="3"/>
      <c r="E27" s="14">
        <v>2.0</v>
      </c>
      <c r="F27" s="15" t="s">
        <v>23</v>
      </c>
      <c r="G27" s="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3"/>
      <c r="B28" s="3"/>
      <c r="C28" s="3"/>
      <c r="D28" s="3"/>
      <c r="E28" s="14">
        <v>3.0</v>
      </c>
      <c r="F28" s="15" t="s">
        <v>24</v>
      </c>
      <c r="G28" s="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3"/>
      <c r="B29" s="3"/>
      <c r="C29" s="3"/>
      <c r="D29" s="3"/>
      <c r="E29" s="14">
        <v>4.0</v>
      </c>
      <c r="F29" s="15" t="s">
        <v>25</v>
      </c>
      <c r="G29" s="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3"/>
      <c r="B30" s="3"/>
      <c r="C30" s="3"/>
      <c r="D30" s="3"/>
      <c r="E30" s="14">
        <v>5.0</v>
      </c>
      <c r="F30" s="15" t="s">
        <v>26</v>
      </c>
      <c r="G30" s="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3"/>
      <c r="B31" s="3"/>
      <c r="C31" s="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idden="1">
      <c r="A33" s="25" t="s">
        <v>81</v>
      </c>
      <c r="B33" s="26" t="s">
        <v>82</v>
      </c>
      <c r="C33" s="27" t="s">
        <v>3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idden="1">
      <c r="A34" s="25" t="s">
        <v>27</v>
      </c>
      <c r="B34" s="25" t="s">
        <v>28</v>
      </c>
      <c r="C34" s="28">
        <v>15.73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idden="1">
      <c r="A35" s="25" t="s">
        <v>29</v>
      </c>
      <c r="B35" s="25" t="s">
        <v>30</v>
      </c>
      <c r="C35" s="28">
        <v>11.26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idden="1">
      <c r="A36" s="25" t="s">
        <v>31</v>
      </c>
      <c r="B36" s="25" t="s">
        <v>32</v>
      </c>
      <c r="C36" s="28">
        <v>5.66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idden="1">
      <c r="A37" s="25" t="s">
        <v>33</v>
      </c>
      <c r="B37" s="25" t="s">
        <v>34</v>
      </c>
      <c r="C37" s="28">
        <v>39.22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idden="1">
      <c r="A38" s="25" t="s">
        <v>35</v>
      </c>
      <c r="B38" s="25" t="s">
        <v>36</v>
      </c>
      <c r="C38" s="28">
        <v>20.01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idden="1">
      <c r="A39" s="25" t="s">
        <v>37</v>
      </c>
      <c r="B39" s="25" t="s">
        <v>38</v>
      </c>
      <c r="C39" s="28">
        <v>36.27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idden="1">
      <c r="A40" s="25" t="s">
        <v>39</v>
      </c>
      <c r="B40" s="25" t="s">
        <v>40</v>
      </c>
      <c r="C40" s="28">
        <v>10.16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idden="1">
      <c r="A41" s="25" t="s">
        <v>41</v>
      </c>
      <c r="B41" s="25" t="s">
        <v>42</v>
      </c>
      <c r="C41" s="28">
        <v>36.79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idden="1">
      <c r="A42" s="25" t="s">
        <v>43</v>
      </c>
      <c r="B42" s="25" t="s">
        <v>44</v>
      </c>
      <c r="C42" s="28">
        <v>15.99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idden="1">
      <c r="A43" s="25" t="s">
        <v>45</v>
      </c>
      <c r="B43" s="25" t="s">
        <v>46</v>
      </c>
      <c r="C43" s="28">
        <v>10.39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idden="1">
      <c r="A44" s="25" t="s">
        <v>47</v>
      </c>
      <c r="B44" s="25" t="s">
        <v>48</v>
      </c>
      <c r="C44" s="28">
        <v>13.2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idden="1">
      <c r="A45" s="25" t="s">
        <v>49</v>
      </c>
      <c r="B45" s="25" t="s">
        <v>50</v>
      </c>
      <c r="C45" s="28">
        <v>4.56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idden="1">
      <c r="A46" s="25" t="s">
        <v>51</v>
      </c>
      <c r="B46" s="25" t="s">
        <v>52</v>
      </c>
      <c r="C46" s="28">
        <v>10.57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idden="1">
      <c r="A47" s="25" t="s">
        <v>53</v>
      </c>
      <c r="B47" s="25" t="s">
        <v>54</v>
      </c>
      <c r="C47" s="28">
        <v>4.3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idden="1">
      <c r="A48" s="25" t="s">
        <v>55</v>
      </c>
      <c r="B48" s="25" t="s">
        <v>56</v>
      </c>
      <c r="C48" s="28">
        <v>18.49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idden="1">
      <c r="A49" s="25" t="s">
        <v>57</v>
      </c>
      <c r="B49" s="25" t="s">
        <v>58</v>
      </c>
      <c r="C49" s="28">
        <v>6.09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idden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idden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idden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idden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idden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idden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ataValidations>
    <dataValidation type="list" allowBlank="1" sqref="C27">
      <formula1>"High Risk Taking,Risk Taking,Moderate Risk Taking,Low Risk Taking"</formula1>
    </dataValidation>
  </dataValidations>
  <hyperlinks>
    <hyperlink r:id="rId1" ref="E1"/>
    <hyperlink r:id="rId2" ref="E9"/>
    <hyperlink r:id="rId3" ref="E17"/>
    <hyperlink r:id="rId4" ref="E25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29" t="str">
        <f>IFERROR(__xludf.DUMMYFUNCTION("IMPORTRANGE(""https://docs.google.com/spreadsheets/d/1jhpwgka7r7G-pvVxwTgTsjeO6tyKvt0rtJU-bBzgajc/edit#gid=1547461811"",""A1:AP502"")"),"Hello world")</f>
        <v>Hello world</v>
      </c>
      <c r="B1" s="3" t="str">
        <f>IFERROR(__xludf.DUMMYFUNCTION("""COMPUTED_VALUE"""),"BSE_code")</f>
        <v>BSE_code</v>
      </c>
      <c r="C1" s="3" t="str">
        <f>IFERROR(__xludf.DUMMYFUNCTION("""COMPUTED_VALUE"""),"NSE_code")</f>
        <v>NSE_code</v>
      </c>
      <c r="D1" s="3" t="str">
        <f>IFERROR(__xludf.DUMMYFUNCTION("""COMPUTED_VALUE"""),"ISIN")</f>
        <v>ISIN</v>
      </c>
      <c r="E1" s="3" t="str">
        <f>IFERROR(__xludf.DUMMYFUNCTION("""COMPUTED_VALUE"""),"Sector")</f>
        <v>Sector</v>
      </c>
      <c r="F1" s="3" t="str">
        <f>IFERROR(__xludf.DUMMYFUNCTION("""COMPUTED_VALUE"""),"Industry")</f>
        <v>Industry</v>
      </c>
      <c r="G1" s="3" t="str">
        <f>IFERROR(__xludf.DUMMYFUNCTION("""COMPUTED_VALUE"""),"Date")</f>
        <v>Date</v>
      </c>
      <c r="H1" s="3" t="str">
        <f>IFERROR(__xludf.DUMMYFUNCTION("""COMPUTED_VALUE"""),"Price")</f>
        <v>Price</v>
      </c>
      <c r="I1" s="3" t="str">
        <f>IFERROR(__xludf.DUMMYFUNCTION("""COMPUTED_VALUE"""),"_1_day_change_per")</f>
        <v>_1_day_change_per</v>
      </c>
      <c r="J1" s="3" t="str">
        <f>IFERROR(__xludf.DUMMYFUNCTION("""COMPUTED_VALUE"""),"_52_Week_Low")</f>
        <v>_52_Week_Low</v>
      </c>
      <c r="K1" s="3" t="str">
        <f>IFERROR(__xludf.DUMMYFUNCTION("""COMPUTED_VALUE"""),"_52_Week_High")</f>
        <v>_52_Week_High</v>
      </c>
      <c r="L1" s="3" t="str">
        <f>IFERROR(__xludf.DUMMYFUNCTION("""COMPUTED_VALUE"""),"_3_Year_Low")</f>
        <v>_3_Year_Low</v>
      </c>
      <c r="M1" s="3" t="str">
        <f>IFERROR(__xludf.DUMMYFUNCTION("""COMPUTED_VALUE"""),"_3_Year_High")</f>
        <v>_3_Year_High</v>
      </c>
      <c r="N1" s="3" t="str">
        <f>IFERROR(__xludf.DUMMYFUNCTION("""COMPUTED_VALUE"""),"_5_Year_Low")</f>
        <v>_5_Year_Low</v>
      </c>
      <c r="O1" s="3" t="str">
        <f>IFERROR(__xludf.DUMMYFUNCTION("""COMPUTED_VALUE"""),"_5_Year_High")</f>
        <v>_5_Year_High</v>
      </c>
      <c r="P1" s="3" t="str">
        <f>IFERROR(__xludf.DUMMYFUNCTION("""COMPUTED_VALUE"""),"All_Time_Low")</f>
        <v>All_Time_Low</v>
      </c>
      <c r="Q1" s="3" t="str">
        <f>IFERROR(__xludf.DUMMYFUNCTION("""COMPUTED_VALUE"""),"All_Time_High")</f>
        <v>All_Time_High</v>
      </c>
      <c r="R1" s="3" t="str">
        <f>IFERROR(__xludf.DUMMYFUNCTION("""COMPUTED_VALUE"""),"Market_Cap_Cr")</f>
        <v>Market_Cap_Cr</v>
      </c>
      <c r="S1" s="3" t="str">
        <f>IFERROR(__xludf.DUMMYFUNCTION("""COMPUTED_VALUE"""),"Enterprise_Value_Cr")</f>
        <v>Enterprise_Value_Cr</v>
      </c>
      <c r="T1" s="3" t="str">
        <f>IFERROR(__xludf.DUMMYFUNCTION("""COMPUTED_VALUE"""),"_1_Week_Return")</f>
        <v>_1_Week_Return</v>
      </c>
      <c r="U1" s="3" t="str">
        <f>IFERROR(__xludf.DUMMYFUNCTION("""COMPUTED_VALUE"""),"_1_Month_Return")</f>
        <v>_1_Month_Return</v>
      </c>
      <c r="V1" s="3" t="str">
        <f>IFERROR(__xludf.DUMMYFUNCTION("""COMPUTED_VALUE"""),"_3_Month_Return_per")</f>
        <v>_3_Month_Return_per</v>
      </c>
      <c r="W1" s="3" t="str">
        <f>IFERROR(__xludf.DUMMYFUNCTION("""COMPUTED_VALUE"""),"_1_Year_Return_per")</f>
        <v>_1_Year_Return_per</v>
      </c>
      <c r="X1" s="3" t="str">
        <f>IFERROR(__xludf.DUMMYFUNCTION("""COMPUTED_VALUE"""),"_3_Year_Return")</f>
        <v>_3_Year_Return</v>
      </c>
      <c r="Y1" s="3" t="str">
        <f>IFERROR(__xludf.DUMMYFUNCTION("""COMPUTED_VALUE"""),"_5_Year_Return_per")</f>
        <v>_5_Year_Return_per</v>
      </c>
      <c r="Z1" s="3" t="str">
        <f>IFERROR(__xludf.DUMMYFUNCTION("""COMPUTED_VALUE"""),"_10_Year_Return_per")</f>
        <v>_10_Year_Return_per</v>
      </c>
      <c r="AA1" s="3" t="str">
        <f>IFERROR(__xludf.DUMMYFUNCTION("""COMPUTED_VALUE"""),"Price_to_Earnings")</f>
        <v>Price_to_Earnings</v>
      </c>
      <c r="AB1" s="3" t="str">
        <f>IFERROR(__xludf.DUMMYFUNCTION("""COMPUTED_VALUE"""),"Median_P/E")</f>
        <v>Median_P/E</v>
      </c>
      <c r="AC1" s="3" t="str">
        <f>IFERROR(__xludf.DUMMYFUNCTION("""COMPUTED_VALUE"""),"Price_to_Book")</f>
        <v>Price_to_Book</v>
      </c>
      <c r="AD1" s="3" t="str">
        <f>IFERROR(__xludf.DUMMYFUNCTION("""COMPUTED_VALUE"""),"Median_P/B")</f>
        <v>Median_P/B</v>
      </c>
      <c r="AE1" s="3" t="str">
        <f>IFERROR(__xludf.DUMMYFUNCTION("""COMPUTED_VALUE"""),"Earning_Yield_per")</f>
        <v>Earning_Yield_per</v>
      </c>
      <c r="AF1" s="3" t="str">
        <f>IFERROR(__xludf.DUMMYFUNCTION("""COMPUTED_VALUE"""),"Price_earnings_to_growth")</f>
        <v>Price_earnings_to_growth</v>
      </c>
      <c r="AG1" s="3" t="str">
        <f>IFERROR(__xludf.DUMMYFUNCTION("""COMPUTED_VALUE"""),"Dividend_Yield_per")</f>
        <v>Dividend_Yield_per</v>
      </c>
      <c r="AH1" s="3" t="str">
        <f>IFERROR(__xludf.DUMMYFUNCTION("""COMPUTED_VALUE"""),"EV_/_EBITDA")</f>
        <v>EV_/_EBITDA</v>
      </c>
      <c r="AI1" s="3" t="str">
        <f>IFERROR(__xludf.DUMMYFUNCTION("""COMPUTED_VALUE"""),"Price_/_Sales")</f>
        <v>Price_/_Sales</v>
      </c>
      <c r="AJ1" s="3" t="str">
        <f>IFERROR(__xludf.DUMMYFUNCTION("""COMPUTED_VALUE"""),"Price_/_Cash_Flow")</f>
        <v>Price_/_Cash_Flow</v>
      </c>
      <c r="AK1" s="3" t="str">
        <f>IFERROR(__xludf.DUMMYFUNCTION("""COMPUTED_VALUE"""),"Earning_Per_Share")</f>
        <v>Earning_Per_Share</v>
      </c>
      <c r="AL1" s="3" t="str">
        <f>IFERROR(__xludf.DUMMYFUNCTION("""COMPUTED_VALUE"""),"Book_Value_Per_Share")</f>
        <v>Book_Value_Per_Share</v>
      </c>
      <c r="AM1" s="3" t="str">
        <f>IFERROR(__xludf.DUMMYFUNCTION("""COMPUTED_VALUE"""),"Cash_Flow_Per_Share")</f>
        <v>Cash_Flow_Per_Share</v>
      </c>
      <c r="AN1" s="3" t="str">
        <f>IFERROR(__xludf.DUMMYFUNCTION("""COMPUTED_VALUE"""),"Free_Cash_Flow_Per_Share")</f>
        <v>Free_Cash_Flow_Per_Share</v>
      </c>
      <c r="AO1" s="3" t="str">
        <f>IFERROR(__xludf.DUMMYFUNCTION("""COMPUTED_VALUE"""),"Dividend_Per_Share")</f>
        <v>Dividend_Per_Share</v>
      </c>
      <c r="AP1" s="3" t="str">
        <f>IFERROR(__xludf.DUMMYFUNCTION("""COMPUTED_VALUE"""),"Delta")</f>
        <v>Delta</v>
      </c>
      <c r="AQ1" s="13"/>
      <c r="AR1" s="13"/>
      <c r="AS1" s="13"/>
      <c r="AT1" s="13"/>
      <c r="AU1" s="13"/>
      <c r="AV1" s="13"/>
      <c r="AW1" s="13"/>
      <c r="AX1" s="13"/>
      <c r="AY1" s="13"/>
      <c r="AZ1" s="13"/>
    </row>
    <row r="2">
      <c r="A2" s="13" t="str">
        <f>IFERROR(__xludf.DUMMYFUNCTION("""COMPUTED_VALUE"""),"Sanofi India Ltd.")</f>
        <v>Sanofi India Ltd.</v>
      </c>
      <c r="B2" s="30">
        <f>IFERROR(__xludf.DUMMYFUNCTION("""COMPUTED_VALUE"""),500674.0)</f>
        <v>500674</v>
      </c>
      <c r="C2" s="13" t="str">
        <f>IFERROR(__xludf.DUMMYFUNCTION("""COMPUTED_VALUE"""),"SANOFI")</f>
        <v>SANOFI</v>
      </c>
      <c r="D2" s="13" t="str">
        <f>IFERROR(__xludf.DUMMYFUNCTION("""COMPUTED_VALUE"""),"INE058A01010")</f>
        <v>INE058A01010</v>
      </c>
      <c r="E2" s="13" t="str">
        <f>IFERROR(__xludf.DUMMYFUNCTION("""COMPUTED_VALUE"""),"Healthcare")</f>
        <v>Healthcare</v>
      </c>
      <c r="F2" s="13" t="str">
        <f>IFERROR(__xludf.DUMMYFUNCTION("""COMPUTED_VALUE"""),"Drugs &amp; Pharma")</f>
        <v>Drugs &amp; Pharma</v>
      </c>
      <c r="G2" s="31">
        <f>IFERROR(__xludf.DUMMYFUNCTION("""COMPUTED_VALUE"""),44809.0)</f>
        <v>44809</v>
      </c>
      <c r="H2" s="32">
        <f>IFERROR(__xludf.DUMMYFUNCTION("""COMPUTED_VALUE"""),6158.7)</f>
        <v>6158.7</v>
      </c>
      <c r="I2" s="32">
        <f>IFERROR(__xludf.DUMMYFUNCTION("""COMPUTED_VALUE"""),0.59)</f>
        <v>0.59</v>
      </c>
      <c r="J2" s="32">
        <f>IFERROR(__xludf.DUMMYFUNCTION("""COMPUTED_VALUE"""),6086.3)</f>
        <v>6086.3</v>
      </c>
      <c r="K2" s="32">
        <f>IFERROR(__xludf.DUMMYFUNCTION("""COMPUTED_VALUE"""),8542.75)</f>
        <v>8542.75</v>
      </c>
      <c r="L2" s="32">
        <f>IFERROR(__xludf.DUMMYFUNCTION("""COMPUTED_VALUE"""),5607.0)</f>
        <v>5607</v>
      </c>
      <c r="M2" s="32">
        <f>IFERROR(__xludf.DUMMYFUNCTION("""COMPUTED_VALUE"""),9300.0)</f>
        <v>9300</v>
      </c>
      <c r="N2" s="32">
        <f>IFERROR(__xludf.DUMMYFUNCTION("""COMPUTED_VALUE"""),3901.0)</f>
        <v>3901</v>
      </c>
      <c r="O2" s="32">
        <f>IFERROR(__xludf.DUMMYFUNCTION("""COMPUTED_VALUE"""),9300.0)</f>
        <v>9300</v>
      </c>
      <c r="P2" s="32">
        <f>IFERROR(__xludf.DUMMYFUNCTION("""COMPUTED_VALUE"""),235.05)</f>
        <v>235.05</v>
      </c>
      <c r="Q2" s="32">
        <f>IFERROR(__xludf.DUMMYFUNCTION("""COMPUTED_VALUE"""),9300.0)</f>
        <v>9300</v>
      </c>
      <c r="R2" s="32">
        <f>IFERROR(__xludf.DUMMYFUNCTION("""COMPUTED_VALUE"""),14189.17)</f>
        <v>14189.17</v>
      </c>
      <c r="S2" s="32">
        <f>IFERROR(__xludf.DUMMYFUNCTION("""COMPUTED_VALUE"""),12556.76)</f>
        <v>12556.76</v>
      </c>
      <c r="T2" s="32">
        <f>IFERROR(__xludf.DUMMYFUNCTION("""COMPUTED_VALUE"""),-1.36)</f>
        <v>-1.36</v>
      </c>
      <c r="U2" s="32">
        <f>IFERROR(__xludf.DUMMYFUNCTION("""COMPUTED_VALUE"""),-6.6)</f>
        <v>-6.6</v>
      </c>
      <c r="V2" s="32">
        <f>IFERROR(__xludf.DUMMYFUNCTION("""COMPUTED_VALUE"""),-10.19)</f>
        <v>-10.19</v>
      </c>
      <c r="W2" s="32">
        <f>IFERROR(__xludf.DUMMYFUNCTION("""COMPUTED_VALUE"""),-26.69)</f>
        <v>-26.69</v>
      </c>
      <c r="X2" s="32">
        <f>IFERROR(__xludf.DUMMYFUNCTION("""COMPUTED_VALUE"""),0.16)</f>
        <v>0.16</v>
      </c>
      <c r="Y2" s="32">
        <f>IFERROR(__xludf.DUMMYFUNCTION("""COMPUTED_VALUE"""),8.88)</f>
        <v>8.88</v>
      </c>
      <c r="Z2" s="32">
        <f>IFERROR(__xludf.DUMMYFUNCTION("""COMPUTED_VALUE"""),10.97)</f>
        <v>10.97</v>
      </c>
      <c r="AA2" s="32">
        <f>IFERROR(__xludf.DUMMYFUNCTION("""COMPUTED_VALUE"""),14.49)</f>
        <v>14.49</v>
      </c>
      <c r="AB2" s="32">
        <f>IFERROR(__xludf.DUMMYFUNCTION("""COMPUTED_VALUE"""),35.91)</f>
        <v>35.91</v>
      </c>
      <c r="AC2" s="32">
        <f>IFERROR(__xludf.DUMMYFUNCTION("""COMPUTED_VALUE"""),9.75)</f>
        <v>9.75</v>
      </c>
      <c r="AD2" s="32">
        <f>IFERROR(__xludf.DUMMYFUNCTION("""COMPUTED_VALUE"""),6.71)</f>
        <v>6.71</v>
      </c>
      <c r="AE2" s="32">
        <f>IFERROR(__xludf.DUMMYFUNCTION("""COMPUTED_VALUE"""),6.15)</f>
        <v>6.15</v>
      </c>
      <c r="AF2" s="32">
        <f>IFERROR(__xludf.DUMMYFUNCTION("""COMPUTED_VALUE"""),0.49)</f>
        <v>0.49</v>
      </c>
      <c r="AG2" s="32">
        <f>IFERROR(__xludf.DUMMYFUNCTION("""COMPUTED_VALUE"""),7.95)</f>
        <v>7.95</v>
      </c>
      <c r="AH2" s="32">
        <f>IFERROR(__xludf.DUMMYFUNCTION("""COMPUTED_VALUE"""),16.68)</f>
        <v>16.68</v>
      </c>
      <c r="AI2" s="32">
        <f>IFERROR(__xludf.DUMMYFUNCTION("""COMPUTED_VALUE"""),4.98)</f>
        <v>4.98</v>
      </c>
      <c r="AJ2" s="32">
        <f>IFERROR(__xludf.DUMMYFUNCTION("""COMPUTED_VALUE"""),25.39)</f>
        <v>25.39</v>
      </c>
      <c r="AK2" s="32">
        <f>IFERROR(__xludf.DUMMYFUNCTION("""COMPUTED_VALUE"""),425.09)</f>
        <v>425.09</v>
      </c>
      <c r="AL2" s="32">
        <f>IFERROR(__xludf.DUMMYFUNCTION("""COMPUTED_VALUE"""),631.65)</f>
        <v>631.65</v>
      </c>
      <c r="AM2" s="32">
        <f>IFERROR(__xludf.DUMMYFUNCTION("""COMPUTED_VALUE"""),242.96)</f>
        <v>242.96</v>
      </c>
      <c r="AN2" s="32">
        <f>IFERROR(__xludf.DUMMYFUNCTION("""COMPUTED_VALUE"""),459.22)</f>
        <v>459.22</v>
      </c>
      <c r="AO2" s="32">
        <f>IFERROR(__xludf.DUMMYFUNCTION("""COMPUTED_VALUE"""),490.0)</f>
        <v>490</v>
      </c>
      <c r="AP2" s="32">
        <f>IFERROR(__xludf.DUMMYFUNCTION("""COMPUTED_VALUE"""),0.2790728980714641)</f>
        <v>0.2790728981</v>
      </c>
      <c r="AQ2" s="13"/>
      <c r="AR2" s="13"/>
      <c r="AS2" s="13"/>
      <c r="AT2" s="13"/>
      <c r="AU2" s="13"/>
      <c r="AV2" s="13"/>
      <c r="AW2" s="13"/>
      <c r="AX2" s="13"/>
      <c r="AY2" s="13"/>
      <c r="AZ2" s="13"/>
    </row>
    <row r="3">
      <c r="A3" s="13" t="str">
        <f>IFERROR(__xludf.DUMMYFUNCTION("""COMPUTED_VALUE"""),"Page Industries Ltd.")</f>
        <v>Page Industries Ltd.</v>
      </c>
      <c r="B3" s="30">
        <f>IFERROR(__xludf.DUMMYFUNCTION("""COMPUTED_VALUE"""),532827.0)</f>
        <v>532827</v>
      </c>
      <c r="C3" s="13" t="str">
        <f>IFERROR(__xludf.DUMMYFUNCTION("""COMPUTED_VALUE"""),"PAGEIND")</f>
        <v>PAGEIND</v>
      </c>
      <c r="D3" s="13" t="str">
        <f>IFERROR(__xludf.DUMMYFUNCTION("""COMPUTED_VALUE"""),"INE761H01022")</f>
        <v>INE761H01022</v>
      </c>
      <c r="E3" s="13" t="str">
        <f>IFERROR(__xludf.DUMMYFUNCTION("""COMPUTED_VALUE"""),"Textiles")</f>
        <v>Textiles</v>
      </c>
      <c r="F3" s="13" t="str">
        <f>IFERROR(__xludf.DUMMYFUNCTION("""COMPUTED_VALUE"""),"Readymade Garments")</f>
        <v>Readymade Garments</v>
      </c>
      <c r="G3" s="31">
        <f>IFERROR(__xludf.DUMMYFUNCTION("""COMPUTED_VALUE"""),44809.0)</f>
        <v>44809</v>
      </c>
      <c r="H3" s="32">
        <f>IFERROR(__xludf.DUMMYFUNCTION("""COMPUTED_VALUE"""),49786.2)</f>
        <v>49786.2</v>
      </c>
      <c r="I3" s="32">
        <f>IFERROR(__xludf.DUMMYFUNCTION("""COMPUTED_VALUE"""),-0.259937)</f>
        <v>-0.259937</v>
      </c>
      <c r="J3" s="32">
        <f>IFERROR(__xludf.DUMMYFUNCTION("""COMPUTED_VALUE"""),31500.0)</f>
        <v>31500</v>
      </c>
      <c r="K3" s="32">
        <f>IFERROR(__xludf.DUMMYFUNCTION("""COMPUTED_VALUE"""),51500.0)</f>
        <v>51500</v>
      </c>
      <c r="L3" s="32">
        <f>IFERROR(__xludf.DUMMYFUNCTION("""COMPUTED_VALUE"""),16186.75)</f>
        <v>16186.75</v>
      </c>
      <c r="M3" s="32">
        <f>IFERROR(__xludf.DUMMYFUNCTION("""COMPUTED_VALUE"""),51500.0)</f>
        <v>51500</v>
      </c>
      <c r="N3" s="32">
        <f>IFERROR(__xludf.DUMMYFUNCTION("""COMPUTED_VALUE"""),16186.75)</f>
        <v>16186.75</v>
      </c>
      <c r="O3" s="32">
        <f>IFERROR(__xludf.DUMMYFUNCTION("""COMPUTED_VALUE"""),51500.0)</f>
        <v>51500</v>
      </c>
      <c r="P3" s="32">
        <f>IFERROR(__xludf.DUMMYFUNCTION("""COMPUTED_VALUE"""),240.0)</f>
        <v>240</v>
      </c>
      <c r="Q3" s="32">
        <f>IFERROR(__xludf.DUMMYFUNCTION("""COMPUTED_VALUE"""),51500.0)</f>
        <v>51500</v>
      </c>
      <c r="R3" s="32">
        <f>IFERROR(__xludf.DUMMYFUNCTION("""COMPUTED_VALUE"""),55523.76169452001)</f>
        <v>55523.76169</v>
      </c>
      <c r="S3" s="32">
        <f>IFERROR(__xludf.DUMMYFUNCTION("""COMPUTED_VALUE"""),55398.96055217001)</f>
        <v>55398.96055</v>
      </c>
      <c r="T3" s="32">
        <f>IFERROR(__xludf.DUMMYFUNCTION("""COMPUTED_VALUE"""),-0.303178)</f>
        <v>-0.303178</v>
      </c>
      <c r="U3" s="32">
        <f>IFERROR(__xludf.DUMMYFUNCTION("""COMPUTED_VALUE"""),1.549156)</f>
        <v>1.549156</v>
      </c>
      <c r="V3" s="32">
        <f>IFERROR(__xludf.DUMMYFUNCTION("""COMPUTED_VALUE"""),17.328551)</f>
        <v>17.328551</v>
      </c>
      <c r="W3" s="32">
        <f>IFERROR(__xludf.DUMMYFUNCTION("""COMPUTED_VALUE"""),53.314261)</f>
        <v>53.314261</v>
      </c>
      <c r="X3" s="32">
        <f>IFERROR(__xludf.DUMMYFUNCTION("""COMPUTED_VALUE"""),41.307665)</f>
        <v>41.307665</v>
      </c>
      <c r="Y3" s="32">
        <f>IFERROR(__xludf.DUMMYFUNCTION("""COMPUTED_VALUE"""),22.38349)</f>
        <v>22.38349</v>
      </c>
      <c r="Z3" s="32">
        <f>IFERROR(__xludf.DUMMYFUNCTION("""COMPUTED_VALUE"""),32.248047)</f>
        <v>32.248047</v>
      </c>
      <c r="AA3" s="32">
        <f>IFERROR(__xludf.DUMMYFUNCTION("""COMPUTED_VALUE"""),75.788)</f>
        <v>75.788</v>
      </c>
      <c r="AB3" s="32">
        <f>IFERROR(__xludf.DUMMYFUNCTION("""COMPUTED_VALUE"""),84.56275)</f>
        <v>84.56275</v>
      </c>
      <c r="AC3" s="32">
        <f>IFERROR(__xludf.DUMMYFUNCTION("""COMPUTED_VALUE"""),42.8536)</f>
        <v>42.8536</v>
      </c>
      <c r="AD3" s="32">
        <f>IFERROR(__xludf.DUMMYFUNCTION("""COMPUTED_VALUE"""),31.82405)</f>
        <v>31.82405</v>
      </c>
      <c r="AE3" s="32">
        <f>IFERROR(__xludf.DUMMYFUNCTION("""COMPUTED_VALUE"""),1.851741)</f>
        <v>1.851741</v>
      </c>
      <c r="AF3" s="32">
        <f>IFERROR(__xludf.DUMMYFUNCTION("""COMPUTED_VALUE"""),3.626347)</f>
        <v>3.626347</v>
      </c>
      <c r="AG3" s="32">
        <f>IFERROR(__xludf.DUMMYFUNCTION("""COMPUTED_VALUE"""),0.7433)</f>
        <v>0.7433</v>
      </c>
      <c r="AH3" s="32">
        <f>IFERROR(__xludf.DUMMYFUNCTION("""COMPUTED_VALUE"""),51.785329)</f>
        <v>51.785329</v>
      </c>
      <c r="AI3" s="32">
        <f>IFERROR(__xludf.DUMMYFUNCTION("""COMPUTED_VALUE"""),11.748089466160412)</f>
        <v>11.74808947</v>
      </c>
      <c r="AJ3" s="32">
        <f>IFERROR(__xludf.DUMMYFUNCTION("""COMPUTED_VALUE"""),169.84366293737443)</f>
        <v>169.8436629</v>
      </c>
      <c r="AK3" s="32">
        <f>IFERROR(__xludf.DUMMYFUNCTION("""COMPUTED_VALUE"""),656.8292)</f>
        <v>656.8292</v>
      </c>
      <c r="AL3" s="32">
        <f>IFERROR(__xludf.DUMMYFUNCTION("""COMPUTED_VALUE"""),1161.6259)</f>
        <v>1161.6259</v>
      </c>
      <c r="AM3" s="32">
        <f>IFERROR(__xludf.DUMMYFUNCTION("""COMPUTED_VALUE"""),293.088578)</f>
        <v>293.088578</v>
      </c>
      <c r="AN3" s="32">
        <f>IFERROR(__xludf.DUMMYFUNCTION("""COMPUTED_VALUE"""),191.031917)</f>
        <v>191.031917</v>
      </c>
      <c r="AO3" s="32">
        <f>IFERROR(__xludf.DUMMYFUNCTION("""COMPUTED_VALUE"""),370.0)</f>
        <v>370</v>
      </c>
      <c r="AP3" s="32">
        <f>IFERROR(__xludf.DUMMYFUNCTION("""COMPUTED_VALUE"""),0.03327766990291268)</f>
        <v>0.0332776699</v>
      </c>
      <c r="AQ3" s="13"/>
      <c r="AR3" s="13"/>
      <c r="AS3" s="13"/>
      <c r="AT3" s="13"/>
      <c r="AU3" s="13"/>
      <c r="AV3" s="13"/>
      <c r="AW3" s="13"/>
      <c r="AX3" s="13"/>
      <c r="AY3" s="13"/>
      <c r="AZ3" s="13"/>
    </row>
    <row r="4">
      <c r="A4" s="13" t="str">
        <f>IFERROR(__xludf.DUMMYFUNCTION("""COMPUTED_VALUE"""),"Procter &amp; Gamble Hygiene &amp; Health Care Ltd.")</f>
        <v>Procter &amp; Gamble Hygiene &amp; Health Care Ltd.</v>
      </c>
      <c r="B4" s="30">
        <f>IFERROR(__xludf.DUMMYFUNCTION("""COMPUTED_VALUE"""),500459.0)</f>
        <v>500459</v>
      </c>
      <c r="C4" s="13" t="str">
        <f>IFERROR(__xludf.DUMMYFUNCTION("""COMPUTED_VALUE"""),"PGHH")</f>
        <v>PGHH</v>
      </c>
      <c r="D4" s="13" t="str">
        <f>IFERROR(__xludf.DUMMYFUNCTION("""COMPUTED_VALUE"""),"INE179A01014")</f>
        <v>INE179A01014</v>
      </c>
      <c r="E4" s="13" t="str">
        <f>IFERROR(__xludf.DUMMYFUNCTION("""COMPUTED_VALUE"""),"Consumer Staples")</f>
        <v>Consumer Staples</v>
      </c>
      <c r="F4" s="13" t="str">
        <f>IFERROR(__xludf.DUMMYFUNCTION("""COMPUTED_VALUE"""),"Household &amp; Personal Products")</f>
        <v>Household &amp; Personal Products</v>
      </c>
      <c r="G4" s="31">
        <f>IFERROR(__xludf.DUMMYFUNCTION("""COMPUTED_VALUE"""),44809.0)</f>
        <v>44809</v>
      </c>
      <c r="H4" s="32">
        <f>IFERROR(__xludf.DUMMYFUNCTION("""COMPUTED_VALUE"""),14125.65)</f>
        <v>14125.65</v>
      </c>
      <c r="I4" s="32">
        <f>IFERROR(__xludf.DUMMYFUNCTION("""COMPUTED_VALUE"""),0.235943)</f>
        <v>0.235943</v>
      </c>
      <c r="J4" s="32">
        <f>IFERROR(__xludf.DUMMYFUNCTION("""COMPUTED_VALUE"""),12801.0)</f>
        <v>12801</v>
      </c>
      <c r="K4" s="32">
        <f>IFERROR(__xludf.DUMMYFUNCTION("""COMPUTED_VALUE"""),16466.4)</f>
        <v>16466.4</v>
      </c>
      <c r="L4" s="32">
        <f>IFERROR(__xludf.DUMMYFUNCTION("""COMPUTED_VALUE"""),8400.0)</f>
        <v>8400</v>
      </c>
      <c r="M4" s="32">
        <f>IFERROR(__xludf.DUMMYFUNCTION("""COMPUTED_VALUE"""),16466.4)</f>
        <v>16466.4</v>
      </c>
      <c r="N4" s="32">
        <f>IFERROR(__xludf.DUMMYFUNCTION("""COMPUTED_VALUE"""),8131.05)</f>
        <v>8131.05</v>
      </c>
      <c r="O4" s="32">
        <f>IFERROR(__xludf.DUMMYFUNCTION("""COMPUTED_VALUE"""),16466.4)</f>
        <v>16466.4</v>
      </c>
      <c r="P4" s="32">
        <f>IFERROR(__xludf.DUMMYFUNCTION("""COMPUTED_VALUE"""),217.7)</f>
        <v>217.7</v>
      </c>
      <c r="Q4" s="32">
        <f>IFERROR(__xludf.DUMMYFUNCTION("""COMPUTED_VALUE"""),16466.4)</f>
        <v>16466.4</v>
      </c>
      <c r="R4" s="32">
        <f>IFERROR(__xludf.DUMMYFUNCTION("""COMPUTED_VALUE"""),45890.87860896)</f>
        <v>45890.87861</v>
      </c>
      <c r="S4" s="32">
        <f>IFERROR(__xludf.DUMMYFUNCTION("""COMPUTED_VALUE"""),45026.94749056)</f>
        <v>45026.94749</v>
      </c>
      <c r="T4" s="32">
        <f>IFERROR(__xludf.DUMMYFUNCTION("""COMPUTED_VALUE"""),1.062448)</f>
        <v>1.062448</v>
      </c>
      <c r="U4" s="32">
        <f>IFERROR(__xludf.DUMMYFUNCTION("""COMPUTED_VALUE"""),-4.195859)</f>
        <v>-4.195859</v>
      </c>
      <c r="V4" s="32">
        <f>IFERROR(__xludf.DUMMYFUNCTION("""COMPUTED_VALUE"""),0.89786)</f>
        <v>0.89786</v>
      </c>
      <c r="W4" s="32">
        <f>IFERROR(__xludf.DUMMYFUNCTION("""COMPUTED_VALUE"""),3.830336)</f>
        <v>3.830336</v>
      </c>
      <c r="X4" s="32">
        <f>IFERROR(__xludf.DUMMYFUNCTION("""COMPUTED_VALUE"""),11.824211)</f>
        <v>11.824211</v>
      </c>
      <c r="Y4" s="32">
        <f>IFERROR(__xludf.DUMMYFUNCTION("""COMPUTED_VALUE"""),10.957375)</f>
        <v>10.957375</v>
      </c>
      <c r="Z4" s="32">
        <f>IFERROR(__xludf.DUMMYFUNCTION("""COMPUTED_VALUE"""),19.004787)</f>
        <v>19.004787</v>
      </c>
      <c r="AA4" s="32">
        <f>IFERROR(__xludf.DUMMYFUNCTION("""COMPUTED_VALUE"""),79.7063)</f>
        <v>79.7063</v>
      </c>
      <c r="AB4" s="32">
        <f>IFERROR(__xludf.DUMMYFUNCTION("""COMPUTED_VALUE"""),78.01405)</f>
        <v>78.01405</v>
      </c>
      <c r="AC4" s="32">
        <f>IFERROR(__xludf.DUMMYFUNCTION("""COMPUTED_VALUE"""),62.2189)</f>
        <v>62.2189</v>
      </c>
      <c r="AD4" s="32">
        <f>IFERROR(__xludf.DUMMYFUNCTION("""COMPUTED_VALUE"""),36.23795)</f>
        <v>36.23795</v>
      </c>
      <c r="AE4" s="32">
        <f>IFERROR(__xludf.DUMMYFUNCTION("""COMPUTED_VALUE"""),1.825422)</f>
        <v>1.825422</v>
      </c>
      <c r="AF4" s="32">
        <f>IFERROR(__xludf.DUMMYFUNCTION("""COMPUTED_VALUE"""),13.561423)</f>
        <v>13.561423</v>
      </c>
      <c r="AG4" s="32">
        <f>IFERROR(__xludf.DUMMYFUNCTION("""COMPUTED_VALUE"""),1.1318)</f>
        <v>1.1318</v>
      </c>
      <c r="AH4" s="32">
        <f>IFERROR(__xludf.DUMMYFUNCTION("""COMPUTED_VALUE"""),52.711801)</f>
        <v>52.711801</v>
      </c>
      <c r="AI4" s="32">
        <f>IFERROR(__xludf.DUMMYFUNCTION("""COMPUTED_VALUE"""),12.100588962006091)</f>
        <v>12.10058896</v>
      </c>
      <c r="AJ4" s="32">
        <f>IFERROR(__xludf.DUMMYFUNCTION("""COMPUTED_VALUE"""),53.168596034108816)</f>
        <v>53.16859603</v>
      </c>
      <c r="AK4" s="32">
        <f>IFERROR(__xludf.DUMMYFUNCTION("""COMPUTED_VALUE"""),177.3681)</f>
        <v>177.3681</v>
      </c>
      <c r="AL4" s="32">
        <f>IFERROR(__xludf.DUMMYFUNCTION("""COMPUTED_VALUE"""),227.2194)</f>
        <v>227.2194</v>
      </c>
      <c r="AM4" s="32">
        <f>IFERROR(__xludf.DUMMYFUNCTION("""COMPUTED_VALUE"""),265.902649)</f>
        <v>265.902649</v>
      </c>
      <c r="AN4" s="32">
        <f>IFERROR(__xludf.DUMMYFUNCTION("""COMPUTED_VALUE"""),270.468269)</f>
        <v>270.468269</v>
      </c>
      <c r="AO4" s="32">
        <f>IFERROR(__xludf.DUMMYFUNCTION("""COMPUTED_VALUE"""),315.0)</f>
        <v>315</v>
      </c>
      <c r="AP4" s="32">
        <f>IFERROR(__xludf.DUMMYFUNCTION("""COMPUTED_VALUE"""),0.14215311179128418)</f>
        <v>0.1421531118</v>
      </c>
      <c r="AQ4" s="13"/>
      <c r="AR4" s="13"/>
      <c r="AS4" s="13"/>
      <c r="AT4" s="13"/>
      <c r="AU4" s="13"/>
      <c r="AV4" s="13"/>
      <c r="AW4" s="13"/>
      <c r="AX4" s="13"/>
      <c r="AY4" s="13"/>
      <c r="AZ4" s="13"/>
    </row>
    <row r="5">
      <c r="A5" s="13" t="str">
        <f>IFERROR(__xludf.DUMMYFUNCTION("""COMPUTED_VALUE"""),"Abbott India Ltd.")</f>
        <v>Abbott India Ltd.</v>
      </c>
      <c r="B5" s="30">
        <f>IFERROR(__xludf.DUMMYFUNCTION("""COMPUTED_VALUE"""),500488.0)</f>
        <v>500488</v>
      </c>
      <c r="C5" s="13" t="str">
        <f>IFERROR(__xludf.DUMMYFUNCTION("""COMPUTED_VALUE"""),"ABBOTINDIA")</f>
        <v>ABBOTINDIA</v>
      </c>
      <c r="D5" s="13" t="str">
        <f>IFERROR(__xludf.DUMMYFUNCTION("""COMPUTED_VALUE"""),"INE358A01014")</f>
        <v>INE358A01014</v>
      </c>
      <c r="E5" s="13" t="str">
        <f>IFERROR(__xludf.DUMMYFUNCTION("""COMPUTED_VALUE"""),"Healthcare")</f>
        <v>Healthcare</v>
      </c>
      <c r="F5" s="13" t="str">
        <f>IFERROR(__xludf.DUMMYFUNCTION("""COMPUTED_VALUE"""),"Drugs &amp; Pharma")</f>
        <v>Drugs &amp; Pharma</v>
      </c>
      <c r="G5" s="31">
        <f>IFERROR(__xludf.DUMMYFUNCTION("""COMPUTED_VALUE"""),44809.0)</f>
        <v>44809</v>
      </c>
      <c r="H5" s="32">
        <f>IFERROR(__xludf.DUMMYFUNCTION("""COMPUTED_VALUE"""),18209.0)</f>
        <v>18209</v>
      </c>
      <c r="I5" s="32">
        <f>IFERROR(__xludf.DUMMYFUNCTION("""COMPUTED_VALUE"""),-1.264759)</f>
        <v>-1.264759</v>
      </c>
      <c r="J5" s="32">
        <f>IFERROR(__xludf.DUMMYFUNCTION("""COMPUTED_VALUE"""),15514.0)</f>
        <v>15514</v>
      </c>
      <c r="K5" s="32">
        <f>IFERROR(__xludf.DUMMYFUNCTION("""COMPUTED_VALUE"""),23934.45)</f>
        <v>23934.45</v>
      </c>
      <c r="L5" s="32">
        <f>IFERROR(__xludf.DUMMYFUNCTION("""COMPUTED_VALUE"""),9470.0)</f>
        <v>9470</v>
      </c>
      <c r="M5" s="32">
        <f>IFERROR(__xludf.DUMMYFUNCTION("""COMPUTED_VALUE"""),23934.45)</f>
        <v>23934.45</v>
      </c>
      <c r="N5" s="32">
        <f>IFERROR(__xludf.DUMMYFUNCTION("""COMPUTED_VALUE"""),4001.0)</f>
        <v>4001</v>
      </c>
      <c r="O5" s="32">
        <f>IFERROR(__xludf.DUMMYFUNCTION("""COMPUTED_VALUE"""),23934.45)</f>
        <v>23934.45</v>
      </c>
      <c r="P5" s="32">
        <f>IFERROR(__xludf.DUMMYFUNCTION("""COMPUTED_VALUE"""),220.0)</f>
        <v>220</v>
      </c>
      <c r="Q5" s="32">
        <f>IFERROR(__xludf.DUMMYFUNCTION("""COMPUTED_VALUE"""),23934.45)</f>
        <v>23934.45</v>
      </c>
      <c r="R5" s="32">
        <f>IFERROR(__xludf.DUMMYFUNCTION("""COMPUTED_VALUE"""),38698.80381636)</f>
        <v>38698.80382</v>
      </c>
      <c r="S5" s="32">
        <f>IFERROR(__xludf.DUMMYFUNCTION("""COMPUTED_VALUE"""),36476.35401294)</f>
        <v>36476.35401</v>
      </c>
      <c r="T5" s="32">
        <f>IFERROR(__xludf.DUMMYFUNCTION("""COMPUTED_VALUE"""),-1.981208)</f>
        <v>-1.981208</v>
      </c>
      <c r="U5" s="32">
        <f>IFERROR(__xludf.DUMMYFUNCTION("""COMPUTED_VALUE"""),-10.798789)</f>
        <v>-10.798789</v>
      </c>
      <c r="V5" s="32">
        <f>IFERROR(__xludf.DUMMYFUNCTION("""COMPUTED_VALUE"""),2.13365)</f>
        <v>2.13365</v>
      </c>
      <c r="W5" s="32">
        <f>IFERROR(__xludf.DUMMYFUNCTION("""COMPUTED_VALUE"""),-8.270699)</f>
        <v>-8.270699</v>
      </c>
      <c r="X5" s="32">
        <f>IFERROR(__xludf.DUMMYFUNCTION("""COMPUTED_VALUE"""),24.183564)</f>
        <v>24.183564</v>
      </c>
      <c r="Y5" s="32">
        <f>IFERROR(__xludf.DUMMYFUNCTION("""COMPUTED_VALUE"""),33.82459)</f>
        <v>33.82459</v>
      </c>
      <c r="Z5" s="32">
        <f>IFERROR(__xludf.DUMMYFUNCTION("""COMPUTED_VALUE"""),27.474794)</f>
        <v>27.474794</v>
      </c>
      <c r="AA5" s="32">
        <f>IFERROR(__xludf.DUMMYFUNCTION("""COMPUTED_VALUE"""),47.8602)</f>
        <v>47.8602</v>
      </c>
      <c r="AB5" s="32">
        <f>IFERROR(__xludf.DUMMYFUNCTION("""COMPUTED_VALUE"""),48.7529)</f>
        <v>48.7529</v>
      </c>
      <c r="AC5" s="32">
        <f>IFERROR(__xludf.DUMMYFUNCTION("""COMPUTED_VALUE"""),12.9806)</f>
        <v>12.9806</v>
      </c>
      <c r="AD5" s="32">
        <f>IFERROR(__xludf.DUMMYFUNCTION("""COMPUTED_VALUE"""),13.12135)</f>
        <v>13.12135</v>
      </c>
      <c r="AE5" s="32">
        <f>IFERROR(__xludf.DUMMYFUNCTION("""COMPUTED_VALUE"""),3.321235)</f>
        <v>3.321235</v>
      </c>
      <c r="AF5" s="32">
        <f>IFERROR(__xludf.DUMMYFUNCTION("""COMPUTED_VALUE"""),1.81487)</f>
        <v>1.81487</v>
      </c>
      <c r="AG5" s="32">
        <f>IFERROR(__xludf.DUMMYFUNCTION("""COMPUTED_VALUE"""),1.51)</f>
        <v>1.51</v>
      </c>
      <c r="AH5" s="32">
        <f>IFERROR(__xludf.DUMMYFUNCTION("""COMPUTED_VALUE"""),30.982268)</f>
        <v>30.982268</v>
      </c>
      <c r="AI5" s="32">
        <f>IFERROR(__xludf.DUMMYFUNCTION("""COMPUTED_VALUE"""),7.730777599701147)</f>
        <v>7.7307776</v>
      </c>
      <c r="AJ5" s="32">
        <f>IFERROR(__xludf.DUMMYFUNCTION("""COMPUTED_VALUE"""),40.83616889639744)</f>
        <v>40.8361689</v>
      </c>
      <c r="AK5" s="32">
        <f>IFERROR(__xludf.DUMMYFUNCTION("""COMPUTED_VALUE"""),380.5207)</f>
        <v>380.5207</v>
      </c>
      <c r="AL5" s="32">
        <f>IFERROR(__xludf.DUMMYFUNCTION("""COMPUTED_VALUE"""),1402.9963)</f>
        <v>1402.9963</v>
      </c>
      <c r="AM5" s="32">
        <f>IFERROR(__xludf.DUMMYFUNCTION("""COMPUTED_VALUE"""),445.957647)</f>
        <v>445.957647</v>
      </c>
      <c r="AN5" s="32">
        <f>IFERROR(__xludf.DUMMYFUNCTION("""COMPUTED_VALUE"""),446.903529)</f>
        <v>446.903529</v>
      </c>
      <c r="AO5" s="32">
        <f>IFERROR(__xludf.DUMMYFUNCTION("""COMPUTED_VALUE"""),275.0)</f>
        <v>275</v>
      </c>
      <c r="AP5" s="32">
        <f>IFERROR(__xludf.DUMMYFUNCTION("""COMPUTED_VALUE"""),0.2392137692739963)</f>
        <v>0.2392137693</v>
      </c>
      <c r="AQ5" s="13"/>
      <c r="AR5" s="13"/>
      <c r="AS5" s="13"/>
      <c r="AT5" s="13"/>
      <c r="AU5" s="13"/>
      <c r="AV5" s="13"/>
      <c r="AW5" s="13"/>
      <c r="AX5" s="13"/>
      <c r="AY5" s="13"/>
      <c r="AZ5" s="13"/>
    </row>
    <row r="6">
      <c r="A6" s="13" t="str">
        <f>IFERROR(__xludf.DUMMYFUNCTION("""COMPUTED_VALUE"""),"Bosch Ltd.")</f>
        <v>Bosch Ltd.</v>
      </c>
      <c r="B6" s="30">
        <f>IFERROR(__xludf.DUMMYFUNCTION("""COMPUTED_VALUE"""),500530.0)</f>
        <v>500530</v>
      </c>
      <c r="C6" s="13" t="str">
        <f>IFERROR(__xludf.DUMMYFUNCTION("""COMPUTED_VALUE"""),"BOSCHLTD")</f>
        <v>BOSCHLTD</v>
      </c>
      <c r="D6" s="13" t="str">
        <f>IFERROR(__xludf.DUMMYFUNCTION("""COMPUTED_VALUE"""),"INE323A01026")</f>
        <v>INE323A01026</v>
      </c>
      <c r="E6" s="13" t="str">
        <f>IFERROR(__xludf.DUMMYFUNCTION("""COMPUTED_VALUE"""),"Automobile")</f>
        <v>Automobile</v>
      </c>
      <c r="F6" s="13" t="str">
        <f>IFERROR(__xludf.DUMMYFUNCTION("""COMPUTED_VALUE"""),"Auto Ancillaries")</f>
        <v>Auto Ancillaries</v>
      </c>
      <c r="G6" s="31">
        <f>IFERROR(__xludf.DUMMYFUNCTION("""COMPUTED_VALUE"""),44809.0)</f>
        <v>44809</v>
      </c>
      <c r="H6" s="32">
        <f>IFERROR(__xludf.DUMMYFUNCTION("""COMPUTED_VALUE"""),17591.1)</f>
        <v>17591.1</v>
      </c>
      <c r="I6" s="32">
        <f>IFERROR(__xludf.DUMMYFUNCTION("""COMPUTED_VALUE"""),0.130919)</f>
        <v>0.130919</v>
      </c>
      <c r="J6" s="32">
        <f>IFERROR(__xludf.DUMMYFUNCTION("""COMPUTED_VALUE"""),12932.45)</f>
        <v>12932.45</v>
      </c>
      <c r="K6" s="32">
        <f>IFERROR(__xludf.DUMMYFUNCTION("""COMPUTED_VALUE"""),19250.0)</f>
        <v>19250</v>
      </c>
      <c r="L6" s="32">
        <f>IFERROR(__xludf.DUMMYFUNCTION("""COMPUTED_VALUE"""),7850.0)</f>
        <v>7850</v>
      </c>
      <c r="M6" s="32">
        <f>IFERROR(__xludf.DUMMYFUNCTION("""COMPUTED_VALUE"""),19250.0)</f>
        <v>19250</v>
      </c>
      <c r="N6" s="32">
        <f>IFERROR(__xludf.DUMMYFUNCTION("""COMPUTED_VALUE"""),7850.0)</f>
        <v>7850</v>
      </c>
      <c r="O6" s="32">
        <f>IFERROR(__xludf.DUMMYFUNCTION("""COMPUTED_VALUE"""),22400.0)</f>
        <v>22400</v>
      </c>
      <c r="P6" s="32">
        <f>IFERROR(__xludf.DUMMYFUNCTION("""COMPUTED_VALUE"""),140.5)</f>
        <v>140.5</v>
      </c>
      <c r="Q6" s="32">
        <f>IFERROR(__xludf.DUMMYFUNCTION("""COMPUTED_VALUE"""),27990.0)</f>
        <v>27990</v>
      </c>
      <c r="R6" s="32">
        <f>IFERROR(__xludf.DUMMYFUNCTION("""COMPUTED_VALUE"""),51882.55706039999)</f>
        <v>51882.55706</v>
      </c>
      <c r="S6" s="32">
        <f>IFERROR(__xludf.DUMMYFUNCTION("""COMPUTED_VALUE"""),48919.8958198)</f>
        <v>48919.89582</v>
      </c>
      <c r="T6" s="32">
        <f>IFERROR(__xludf.DUMMYFUNCTION("""COMPUTED_VALUE"""),1.964683)</f>
        <v>1.964683</v>
      </c>
      <c r="U6" s="32">
        <f>IFERROR(__xludf.DUMMYFUNCTION("""COMPUTED_VALUE"""),0.167125)</f>
        <v>0.167125</v>
      </c>
      <c r="V6" s="32">
        <f>IFERROR(__xludf.DUMMYFUNCTION("""COMPUTED_VALUE"""),22.609132)</f>
        <v>22.609132</v>
      </c>
      <c r="W6" s="32">
        <f>IFERROR(__xludf.DUMMYFUNCTION("""COMPUTED_VALUE"""),22.925285)</f>
        <v>22.925285</v>
      </c>
      <c r="X6" s="32">
        <f>IFERROR(__xludf.DUMMYFUNCTION("""COMPUTED_VALUE"""),9.510297)</f>
        <v>9.510297</v>
      </c>
      <c r="Y6" s="32">
        <f>IFERROR(__xludf.DUMMYFUNCTION("""COMPUTED_VALUE"""),-4.77679)</f>
        <v>-4.77679</v>
      </c>
      <c r="Z6" s="32">
        <f>IFERROR(__xludf.DUMMYFUNCTION("""COMPUTED_VALUE"""),7.515056)</f>
        <v>7.515056</v>
      </c>
      <c r="AA6" s="32">
        <f>IFERROR(__xludf.DUMMYFUNCTION("""COMPUTED_VALUE"""),40.1027)</f>
        <v>40.1027</v>
      </c>
      <c r="AB6" s="32">
        <f>IFERROR(__xludf.DUMMYFUNCTION("""COMPUTED_VALUE"""),39.96885)</f>
        <v>39.96885</v>
      </c>
      <c r="AC6" s="32">
        <f>IFERROR(__xludf.DUMMYFUNCTION("""COMPUTED_VALUE"""),4.7048)</f>
        <v>4.7048</v>
      </c>
      <c r="AD6" s="32">
        <f>IFERROR(__xludf.DUMMYFUNCTION("""COMPUTED_VALUE"""),4.7953)</f>
        <v>4.7953</v>
      </c>
      <c r="AE6" s="32">
        <f>IFERROR(__xludf.DUMMYFUNCTION("""COMPUTED_VALUE"""),4.046257)</f>
        <v>4.046257</v>
      </c>
      <c r="AF6" s="32">
        <f>IFERROR(__xludf.DUMMYFUNCTION("""COMPUTED_VALUE"""),-5.801836)</f>
        <v>-5.801836</v>
      </c>
      <c r="AG6" s="32">
        <f>IFERROR(__xludf.DUMMYFUNCTION("""COMPUTED_VALUE"""),1.1937)</f>
        <v>1.1937</v>
      </c>
      <c r="AH6" s="32">
        <f>IFERROR(__xludf.DUMMYFUNCTION("""COMPUTED_VALUE"""),25.043204)</f>
        <v>25.043204</v>
      </c>
      <c r="AI6" s="32">
        <f>IFERROR(__xludf.DUMMYFUNCTION("""COMPUTED_VALUE"""),4.027382761850424)</f>
        <v>4.027382762</v>
      </c>
      <c r="AJ6" s="32">
        <f>IFERROR(__xludf.DUMMYFUNCTION("""COMPUTED_VALUE"""),192.65710011288522)</f>
        <v>192.6571001</v>
      </c>
      <c r="AK6" s="32">
        <f>IFERROR(__xludf.DUMMYFUNCTION("""COMPUTED_VALUE"""),438.108)</f>
        <v>438.108</v>
      </c>
      <c r="AL6" s="32">
        <f>IFERROR(__xludf.DUMMYFUNCTION("""COMPUTED_VALUE"""),3734.3284)</f>
        <v>3734.3284</v>
      </c>
      <c r="AM6" s="32">
        <f>IFERROR(__xludf.DUMMYFUNCTION("""COMPUTED_VALUE"""),91.288136)</f>
        <v>91.288136</v>
      </c>
      <c r="AN6" s="32">
        <f>IFERROR(__xludf.DUMMYFUNCTION("""COMPUTED_VALUE"""),46.677966)</f>
        <v>46.677966</v>
      </c>
      <c r="AO6" s="32">
        <f>IFERROR(__xludf.DUMMYFUNCTION("""COMPUTED_VALUE"""),210.0)</f>
        <v>210</v>
      </c>
      <c r="AP6" s="32">
        <f>IFERROR(__xludf.DUMMYFUNCTION("""COMPUTED_VALUE"""),0.08617662337662345)</f>
        <v>0.08617662338</v>
      </c>
      <c r="AQ6" s="13"/>
      <c r="AR6" s="13"/>
      <c r="AS6" s="13"/>
      <c r="AT6" s="13"/>
      <c r="AU6" s="13"/>
      <c r="AV6" s="13"/>
      <c r="AW6" s="13"/>
      <c r="AX6" s="13"/>
      <c r="AY6" s="13"/>
      <c r="AZ6" s="13"/>
    </row>
    <row r="7">
      <c r="A7" s="13" t="str">
        <f>IFERROR(__xludf.DUMMYFUNCTION("""COMPUTED_VALUE"""),"Nestle India Ltd.")</f>
        <v>Nestle India Ltd.</v>
      </c>
      <c r="B7" s="30">
        <f>IFERROR(__xludf.DUMMYFUNCTION("""COMPUTED_VALUE"""),500790.0)</f>
        <v>500790</v>
      </c>
      <c r="C7" s="13" t="str">
        <f>IFERROR(__xludf.DUMMYFUNCTION("""COMPUTED_VALUE"""),"NESTLEIND")</f>
        <v>NESTLEIND</v>
      </c>
      <c r="D7" s="13" t="str">
        <f>IFERROR(__xludf.DUMMYFUNCTION("""COMPUTED_VALUE"""),"INE239A01016")</f>
        <v>INE239A01016</v>
      </c>
      <c r="E7" s="13" t="str">
        <f>IFERROR(__xludf.DUMMYFUNCTION("""COMPUTED_VALUE"""),"Consumer Staples")</f>
        <v>Consumer Staples</v>
      </c>
      <c r="F7" s="13" t="str">
        <f>IFERROR(__xludf.DUMMYFUNCTION("""COMPUTED_VALUE"""),"Dairy products")</f>
        <v>Dairy products</v>
      </c>
      <c r="G7" s="31">
        <f>IFERROR(__xludf.DUMMYFUNCTION("""COMPUTED_VALUE"""),44809.0)</f>
        <v>44809</v>
      </c>
      <c r="H7" s="32">
        <f>IFERROR(__xludf.DUMMYFUNCTION("""COMPUTED_VALUE"""),19259.7)</f>
        <v>19259.7</v>
      </c>
      <c r="I7" s="32">
        <f>IFERROR(__xludf.DUMMYFUNCTION("""COMPUTED_VALUE"""),-1.544336)</f>
        <v>-1.544336</v>
      </c>
      <c r="J7" s="32">
        <f>IFERROR(__xludf.DUMMYFUNCTION("""COMPUTED_VALUE"""),16000.0)</f>
        <v>16000</v>
      </c>
      <c r="K7" s="32">
        <f>IFERROR(__xludf.DUMMYFUNCTION("""COMPUTED_VALUE"""),20609.15)</f>
        <v>20609.15</v>
      </c>
      <c r="L7" s="32">
        <f>IFERROR(__xludf.DUMMYFUNCTION("""COMPUTED_VALUE"""),12200.0)</f>
        <v>12200</v>
      </c>
      <c r="M7" s="32">
        <f>IFERROR(__xludf.DUMMYFUNCTION("""COMPUTED_VALUE"""),20609.15)</f>
        <v>20609.15</v>
      </c>
      <c r="N7" s="32">
        <f>IFERROR(__xludf.DUMMYFUNCTION("""COMPUTED_VALUE"""),6800.0)</f>
        <v>6800</v>
      </c>
      <c r="O7" s="32">
        <f>IFERROR(__xludf.DUMMYFUNCTION("""COMPUTED_VALUE"""),20609.15)</f>
        <v>20609.15</v>
      </c>
      <c r="P7" s="32">
        <f>IFERROR(__xludf.DUMMYFUNCTION("""COMPUTED_VALUE"""),285.0)</f>
        <v>285</v>
      </c>
      <c r="Q7" s="32">
        <f>IFERROR(__xludf.DUMMYFUNCTION("""COMPUTED_VALUE"""),20609.15)</f>
        <v>20609.15</v>
      </c>
      <c r="R7" s="32">
        <f>IFERROR(__xludf.DUMMYFUNCTION("""COMPUTED_VALUE"""),185733.30698808)</f>
        <v>185733.307</v>
      </c>
      <c r="S7" s="32">
        <f>IFERROR(__xludf.DUMMYFUNCTION("""COMPUTED_VALUE"""),187823.54633884)</f>
        <v>187823.5463</v>
      </c>
      <c r="T7" s="32">
        <f>IFERROR(__xludf.DUMMYFUNCTION("""COMPUTED_VALUE"""),-1.37443)</f>
        <v>-1.37443</v>
      </c>
      <c r="U7" s="32">
        <f>IFERROR(__xludf.DUMMYFUNCTION("""COMPUTED_VALUE"""),-2.973804)</f>
        <v>-2.973804</v>
      </c>
      <c r="V7" s="32">
        <f>IFERROR(__xludf.DUMMYFUNCTION("""COMPUTED_VALUE"""),12.164114)</f>
        <v>12.164114</v>
      </c>
      <c r="W7" s="32">
        <f>IFERROR(__xludf.DUMMYFUNCTION("""COMPUTED_VALUE"""),-4.968507)</f>
        <v>-4.968507</v>
      </c>
      <c r="X7" s="32">
        <f>IFERROR(__xludf.DUMMYFUNCTION("""COMPUTED_VALUE"""),15.558779)</f>
        <v>15.558779</v>
      </c>
      <c r="Y7" s="32">
        <f>IFERROR(__xludf.DUMMYFUNCTION("""COMPUTED_VALUE"""),22.914842)</f>
        <v>22.914842</v>
      </c>
      <c r="Z7" s="32">
        <f>IFERROR(__xludf.DUMMYFUNCTION("""COMPUTED_VALUE"""),15.340784)</f>
        <v>15.340784</v>
      </c>
      <c r="AA7" s="32">
        <f>IFERROR(__xludf.DUMMYFUNCTION("""COMPUTED_VALUE"""),87.8554)</f>
        <v>87.8554</v>
      </c>
      <c r="AB7" s="32">
        <f>IFERROR(__xludf.DUMMYFUNCTION("""COMPUTED_VALUE"""),76.48885)</f>
        <v>76.48885</v>
      </c>
      <c r="AC7" s="32">
        <f>IFERROR(__xludf.DUMMYFUNCTION("""COMPUTED_VALUE"""),79.775)</f>
        <v>79.775</v>
      </c>
      <c r="AD7" s="32">
        <f>IFERROR(__xludf.DUMMYFUNCTION("""COMPUTED_VALUE"""),57.58615)</f>
        <v>57.58615</v>
      </c>
      <c r="AE7" s="32">
        <f>IFERROR(__xludf.DUMMYFUNCTION("""COMPUTED_VALUE"""),1.813442)</f>
        <v>1.813442</v>
      </c>
      <c r="AF7" s="32">
        <f>IFERROR(__xludf.DUMMYFUNCTION("""COMPUTED_VALUE"""),5.797067)</f>
        <v>5.797067</v>
      </c>
      <c r="AG7" s="32">
        <f>IFERROR(__xludf.DUMMYFUNCTION("""COMPUTED_VALUE"""),1.0382)</f>
        <v>1.0382</v>
      </c>
      <c r="AH7" s="32">
        <f>IFERROR(__xludf.DUMMYFUNCTION("""COMPUTED_VALUE"""),51.323378)</f>
        <v>51.323378</v>
      </c>
      <c r="AI7" s="32">
        <f>IFERROR(__xludf.DUMMYFUNCTION("""COMPUTED_VALUE"""),11.960470360036396)</f>
        <v>11.96047036</v>
      </c>
      <c r="AJ7" s="32">
        <f>IFERROR(__xludf.DUMMYFUNCTION("""COMPUTED_VALUE"""),81.77148900799077)</f>
        <v>81.77148901</v>
      </c>
      <c r="AK7" s="32">
        <f>IFERROR(__xludf.DUMMYFUNCTION("""COMPUTED_VALUE"""),219.2672)</f>
        <v>219.2672</v>
      </c>
      <c r="AL7" s="32">
        <f>IFERROR(__xludf.DUMMYFUNCTION("""COMPUTED_VALUE"""),241.4768)</f>
        <v>241.4768</v>
      </c>
      <c r="AM7" s="32">
        <f>IFERROR(__xludf.DUMMYFUNCTION("""COMPUTED_VALUE"""),235.570421)</f>
        <v>235.570421</v>
      </c>
      <c r="AN7" s="32">
        <f>IFERROR(__xludf.DUMMYFUNCTION("""COMPUTED_VALUE"""),170.917859)</f>
        <v>170.917859</v>
      </c>
      <c r="AO7" s="32">
        <f>IFERROR(__xludf.DUMMYFUNCTION("""COMPUTED_VALUE"""),200.0)</f>
        <v>200</v>
      </c>
      <c r="AP7" s="32">
        <f>IFERROR(__xludf.DUMMYFUNCTION("""COMPUTED_VALUE"""),0.06547819779078713)</f>
        <v>0.06547819779</v>
      </c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>
      <c r="A8" s="13" t="str">
        <f>IFERROR(__xludf.DUMMYFUNCTION("""COMPUTED_VALUE"""),"Oracle Financial Services Software Ltd.")</f>
        <v>Oracle Financial Services Software Ltd.</v>
      </c>
      <c r="B8" s="30">
        <f>IFERROR(__xludf.DUMMYFUNCTION("""COMPUTED_VALUE"""),532466.0)</f>
        <v>532466</v>
      </c>
      <c r="C8" s="13" t="str">
        <f>IFERROR(__xludf.DUMMYFUNCTION("""COMPUTED_VALUE"""),"OFSS")</f>
        <v>OFSS</v>
      </c>
      <c r="D8" s="13" t="str">
        <f>IFERROR(__xludf.DUMMYFUNCTION("""COMPUTED_VALUE"""),"INE881D01027")</f>
        <v>INE881D01027</v>
      </c>
      <c r="E8" s="13" t="str">
        <f>IFERROR(__xludf.DUMMYFUNCTION("""COMPUTED_VALUE"""),"Technology")</f>
        <v>Technology</v>
      </c>
      <c r="F8" s="13" t="str">
        <f>IFERROR(__xludf.DUMMYFUNCTION("""COMPUTED_VALUE"""),"Software")</f>
        <v>Software</v>
      </c>
      <c r="G8" s="31">
        <f>IFERROR(__xludf.DUMMYFUNCTION("""COMPUTED_VALUE"""),44809.0)</f>
        <v>44809</v>
      </c>
      <c r="H8" s="32">
        <f>IFERROR(__xludf.DUMMYFUNCTION("""COMPUTED_VALUE"""),3123.55)</f>
        <v>3123.55</v>
      </c>
      <c r="I8" s="32">
        <f>IFERROR(__xludf.DUMMYFUNCTION("""COMPUTED_VALUE"""),-0.767227)</f>
        <v>-0.767227</v>
      </c>
      <c r="J8" s="32">
        <f>IFERROR(__xludf.DUMMYFUNCTION("""COMPUTED_VALUE"""),2950.0)</f>
        <v>2950</v>
      </c>
      <c r="K8" s="32">
        <f>IFERROR(__xludf.DUMMYFUNCTION("""COMPUTED_VALUE"""),5145.0)</f>
        <v>5145</v>
      </c>
      <c r="L8" s="32">
        <f>IFERROR(__xludf.DUMMYFUNCTION("""COMPUTED_VALUE"""),1506.0)</f>
        <v>1506</v>
      </c>
      <c r="M8" s="32">
        <f>IFERROR(__xludf.DUMMYFUNCTION("""COMPUTED_VALUE"""),5145.0)</f>
        <v>5145</v>
      </c>
      <c r="N8" s="32">
        <f>IFERROR(__xludf.DUMMYFUNCTION("""COMPUTED_VALUE"""),1506.0)</f>
        <v>1506</v>
      </c>
      <c r="O8" s="32">
        <f>IFERROR(__xludf.DUMMYFUNCTION("""COMPUTED_VALUE"""),5145.0)</f>
        <v>5145</v>
      </c>
      <c r="P8" s="32">
        <f>IFERROR(__xludf.DUMMYFUNCTION("""COMPUTED_VALUE"""),200.5)</f>
        <v>200.5</v>
      </c>
      <c r="Q8" s="32">
        <f>IFERROR(__xludf.DUMMYFUNCTION("""COMPUTED_VALUE"""),5145.0)</f>
        <v>5145</v>
      </c>
      <c r="R8" s="32">
        <f>IFERROR(__xludf.DUMMYFUNCTION("""COMPUTED_VALUE"""),26928.2976944)</f>
        <v>26928.29769</v>
      </c>
      <c r="S8" s="32">
        <f>IFERROR(__xludf.DUMMYFUNCTION("""COMPUTED_VALUE"""),22062.30679816)</f>
        <v>22062.3068</v>
      </c>
      <c r="T8" s="32">
        <f>IFERROR(__xludf.DUMMYFUNCTION("""COMPUTED_VALUE"""),-3.273206)</f>
        <v>-3.273206</v>
      </c>
      <c r="U8" s="32">
        <f>IFERROR(__xludf.DUMMYFUNCTION("""COMPUTED_VALUE"""),-5.910084)</f>
        <v>-5.910084</v>
      </c>
      <c r="V8" s="32">
        <f>IFERROR(__xludf.DUMMYFUNCTION("""COMPUTED_VALUE"""),-4.87712)</f>
        <v>-4.87712</v>
      </c>
      <c r="W8" s="32">
        <f>IFERROR(__xludf.DUMMYFUNCTION("""COMPUTED_VALUE"""),-34.227206)</f>
        <v>-34.227206</v>
      </c>
      <c r="X8" s="32">
        <f>IFERROR(__xludf.DUMMYFUNCTION("""COMPUTED_VALUE"""),0.668341)</f>
        <v>0.668341</v>
      </c>
      <c r="Y8" s="32">
        <f>IFERROR(__xludf.DUMMYFUNCTION("""COMPUTED_VALUE"""),-2.701308)</f>
        <v>-2.701308</v>
      </c>
      <c r="Z8" s="32">
        <f>IFERROR(__xludf.DUMMYFUNCTION("""COMPUTED_VALUE"""),0.52263)</f>
        <v>0.52263</v>
      </c>
      <c r="AA8" s="32">
        <f>IFERROR(__xludf.DUMMYFUNCTION("""COMPUTED_VALUE"""),14.5057)</f>
        <v>14.5057</v>
      </c>
      <c r="AB8" s="32">
        <f>IFERROR(__xludf.DUMMYFUNCTION("""COMPUTED_VALUE"""),18.96805)</f>
        <v>18.96805</v>
      </c>
      <c r="AC8" s="32">
        <f>IFERROR(__xludf.DUMMYFUNCTION("""COMPUTED_VALUE"""),3.6216)</f>
        <v>3.6216</v>
      </c>
      <c r="AD8" s="32">
        <f>IFERROR(__xludf.DUMMYFUNCTION("""COMPUTED_VALUE"""),5.0562)</f>
        <v>5.0562</v>
      </c>
      <c r="AE8" s="32">
        <f>IFERROR(__xludf.DUMMYFUNCTION("""COMPUTED_VALUE"""),12.091161)</f>
        <v>12.091161</v>
      </c>
      <c r="AF8" s="32">
        <f>IFERROR(__xludf.DUMMYFUNCTION("""COMPUTED_VALUE"""),1.619518)</f>
        <v>1.619518</v>
      </c>
      <c r="AG8" s="32">
        <f>IFERROR(__xludf.DUMMYFUNCTION("""COMPUTED_VALUE"""),6.0865)</f>
        <v>6.0865</v>
      </c>
      <c r="AH8" s="32">
        <f>IFERROR(__xludf.DUMMYFUNCTION("""COMPUTED_VALUE"""),8.570276)</f>
        <v>8.570276</v>
      </c>
      <c r="AI8" s="32">
        <f>IFERROR(__xludf.DUMMYFUNCTION("""COMPUTED_VALUE"""),5.152220664140841)</f>
        <v>5.152220664</v>
      </c>
      <c r="AJ8" s="32">
        <f>IFERROR(__xludf.DUMMYFUNCTION("""COMPUTED_VALUE"""),14.507585147560572)</f>
        <v>14.50758515</v>
      </c>
      <c r="AK8" s="32">
        <f>IFERROR(__xludf.DUMMYFUNCTION("""COMPUTED_VALUE"""),214.9497)</f>
        <v>214.9497</v>
      </c>
      <c r="AL8" s="32">
        <f>IFERROR(__xludf.DUMMYFUNCTION("""COMPUTED_VALUE"""),860.9341)</f>
        <v>860.9341</v>
      </c>
      <c r="AM8" s="32">
        <f>IFERROR(__xludf.DUMMYFUNCTION("""COMPUTED_VALUE"""),215.216126)</f>
        <v>215.216126</v>
      </c>
      <c r="AN8" s="32">
        <f>IFERROR(__xludf.DUMMYFUNCTION("""COMPUTED_VALUE"""),221.513346)</f>
        <v>221.513346</v>
      </c>
      <c r="AO8" s="32">
        <f>IFERROR(__xludf.DUMMYFUNCTION("""COMPUTED_VALUE"""),190.0)</f>
        <v>190</v>
      </c>
      <c r="AP8" s="32">
        <f>IFERROR(__xludf.DUMMYFUNCTION("""COMPUTED_VALUE"""),0.3928960155490767)</f>
        <v>0.3928960155</v>
      </c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>
      <c r="A9" s="13" t="str">
        <f>IFERROR(__xludf.DUMMYFUNCTION("""COMPUTED_VALUE"""),"Bayer CropScience Ltd.")</f>
        <v>Bayer CropScience Ltd.</v>
      </c>
      <c r="B9" s="30">
        <f>IFERROR(__xludf.DUMMYFUNCTION("""COMPUTED_VALUE"""),506285.0)</f>
        <v>506285</v>
      </c>
      <c r="C9" s="13" t="str">
        <f>IFERROR(__xludf.DUMMYFUNCTION("""COMPUTED_VALUE"""),"BAYERCROP")</f>
        <v>BAYERCROP</v>
      </c>
      <c r="D9" s="13" t="str">
        <f>IFERROR(__xludf.DUMMYFUNCTION("""COMPUTED_VALUE"""),"INE462A01022")</f>
        <v>INE462A01022</v>
      </c>
      <c r="E9" s="13" t="str">
        <f>IFERROR(__xludf.DUMMYFUNCTION("""COMPUTED_VALUE"""),"Chemicals")</f>
        <v>Chemicals</v>
      </c>
      <c r="F9" s="13" t="str">
        <f>IFERROR(__xludf.DUMMYFUNCTION("""COMPUTED_VALUE"""),"Pesticides")</f>
        <v>Pesticides</v>
      </c>
      <c r="G9" s="31">
        <f>IFERROR(__xludf.DUMMYFUNCTION("""COMPUTED_VALUE"""),44809.0)</f>
        <v>44809</v>
      </c>
      <c r="H9" s="32">
        <f>IFERROR(__xludf.DUMMYFUNCTION("""COMPUTED_VALUE"""),5347.6)</f>
        <v>5347.6</v>
      </c>
      <c r="I9" s="32">
        <f>IFERROR(__xludf.DUMMYFUNCTION("""COMPUTED_VALUE"""),-0.126998)</f>
        <v>-0.126998</v>
      </c>
      <c r="J9" s="32">
        <f>IFERROR(__xludf.DUMMYFUNCTION("""COMPUTED_VALUE"""),4218.05)</f>
        <v>4218.05</v>
      </c>
      <c r="K9" s="32">
        <f>IFERROR(__xludf.DUMMYFUNCTION("""COMPUTED_VALUE"""),5667.75)</f>
        <v>5667.75</v>
      </c>
      <c r="L9" s="32">
        <f>IFERROR(__xludf.DUMMYFUNCTION("""COMPUTED_VALUE"""),2925.0)</f>
        <v>2925</v>
      </c>
      <c r="M9" s="32">
        <f>IFERROR(__xludf.DUMMYFUNCTION("""COMPUTED_VALUE"""),6601.25)</f>
        <v>6601.25</v>
      </c>
      <c r="N9" s="32">
        <f>IFERROR(__xludf.DUMMYFUNCTION("""COMPUTED_VALUE"""),2925.0)</f>
        <v>2925</v>
      </c>
      <c r="O9" s="32">
        <f>IFERROR(__xludf.DUMMYFUNCTION("""COMPUTED_VALUE"""),6601.25)</f>
        <v>6601.25</v>
      </c>
      <c r="P9" s="32">
        <f>IFERROR(__xludf.DUMMYFUNCTION("""COMPUTED_VALUE"""),34.0)</f>
        <v>34</v>
      </c>
      <c r="Q9" s="32">
        <f>IFERROR(__xludf.DUMMYFUNCTION("""COMPUTED_VALUE"""),6601.25)</f>
        <v>6601.25</v>
      </c>
      <c r="R9" s="32">
        <f>IFERROR(__xludf.DUMMYFUNCTION("""COMPUTED_VALUE"""),24010.08794054)</f>
        <v>24010.08794</v>
      </c>
      <c r="S9" s="32">
        <f>IFERROR(__xludf.DUMMYFUNCTION("""COMPUTED_VALUE"""),23263.96015384)</f>
        <v>23263.96015</v>
      </c>
      <c r="T9" s="32">
        <f>IFERROR(__xludf.DUMMYFUNCTION("""COMPUTED_VALUE"""),0.211757)</f>
        <v>0.211757</v>
      </c>
      <c r="U9" s="32">
        <f>IFERROR(__xludf.DUMMYFUNCTION("""COMPUTED_VALUE"""),1.146208)</f>
        <v>1.146208</v>
      </c>
      <c r="V9" s="32">
        <f>IFERROR(__xludf.DUMMYFUNCTION("""COMPUTED_VALUE"""),-0.224828)</f>
        <v>-0.224828</v>
      </c>
      <c r="W9" s="32">
        <f>IFERROR(__xludf.DUMMYFUNCTION("""COMPUTED_VALUE"""),-2.428522)</f>
        <v>-2.428522</v>
      </c>
      <c r="X9" s="32">
        <f>IFERROR(__xludf.DUMMYFUNCTION("""COMPUTED_VALUE"""),19.642503)</f>
        <v>19.642503</v>
      </c>
      <c r="Y9" s="32">
        <f>IFERROR(__xludf.DUMMYFUNCTION("""COMPUTED_VALUE"""),5.52907)</f>
        <v>5.52907</v>
      </c>
      <c r="Z9" s="32">
        <f>IFERROR(__xludf.DUMMYFUNCTION("""COMPUTED_VALUE"""),18.255197)</f>
        <v>18.255197</v>
      </c>
      <c r="AA9" s="32">
        <f>IFERROR(__xludf.DUMMYFUNCTION("""COMPUTED_VALUE"""),34.5867)</f>
        <v>34.5867</v>
      </c>
      <c r="AB9" s="32">
        <f>IFERROR(__xludf.DUMMYFUNCTION("""COMPUTED_VALUE"""),49.9136)</f>
        <v>49.9136</v>
      </c>
      <c r="AC9" s="32">
        <f>IFERROR(__xludf.DUMMYFUNCTION("""COMPUTED_VALUE"""),8.4933)</f>
        <v>8.4933</v>
      </c>
      <c r="AD9" s="32">
        <f>IFERROR(__xludf.DUMMYFUNCTION("""COMPUTED_VALUE"""),7.90905)</f>
        <v>7.90905</v>
      </c>
      <c r="AE9" s="32">
        <f>IFERROR(__xludf.DUMMYFUNCTION("""COMPUTED_VALUE"""),3.96434)</f>
        <v>3.96434</v>
      </c>
      <c r="AF9" s="32">
        <f>IFERROR(__xludf.DUMMYFUNCTION("""COMPUTED_VALUE"""),1.674549)</f>
        <v>1.674549</v>
      </c>
      <c r="AG9" s="32">
        <f>IFERROR(__xludf.DUMMYFUNCTION("""COMPUTED_VALUE"""),2.8077)</f>
        <v>2.8077</v>
      </c>
      <c r="AH9" s="32">
        <f>IFERROR(__xludf.DUMMYFUNCTION("""COMPUTED_VALUE"""),24.804308)</f>
        <v>24.804308</v>
      </c>
      <c r="AI9" s="32">
        <f>IFERROR(__xludf.DUMMYFUNCTION("""COMPUTED_VALUE"""),4.815597573264606)</f>
        <v>4.815597573</v>
      </c>
      <c r="AJ9" s="32">
        <f>IFERROR(__xludf.DUMMYFUNCTION("""COMPUTED_VALUE"""),111.41572130180974)</f>
        <v>111.4157213</v>
      </c>
      <c r="AK9" s="32">
        <f>IFERROR(__xludf.DUMMYFUNCTION("""COMPUTED_VALUE"""),154.4654)</f>
        <v>154.4654</v>
      </c>
      <c r="AL9" s="32">
        <f>IFERROR(__xludf.DUMMYFUNCTION("""COMPUTED_VALUE"""),629.0188)</f>
        <v>629.0188</v>
      </c>
      <c r="AM9" s="32">
        <f>IFERROR(__xludf.DUMMYFUNCTION("""COMPUTED_VALUE"""),47.995546)</f>
        <v>47.995546</v>
      </c>
      <c r="AN9" s="32">
        <f>IFERROR(__xludf.DUMMYFUNCTION("""COMPUTED_VALUE"""),55.278396)</f>
        <v>55.278396</v>
      </c>
      <c r="AO9" s="32">
        <f>IFERROR(__xludf.DUMMYFUNCTION("""COMPUTED_VALUE"""),150.0)</f>
        <v>150</v>
      </c>
      <c r="AP9" s="32">
        <f>IFERROR(__xludf.DUMMYFUNCTION("""COMPUTED_VALUE"""),0.0564862599797097)</f>
        <v>0.05648625998</v>
      </c>
      <c r="AQ9" s="13"/>
      <c r="AR9" s="13"/>
      <c r="AS9" s="13"/>
      <c r="AT9" s="13"/>
      <c r="AU9" s="13"/>
      <c r="AV9" s="13"/>
      <c r="AW9" s="13"/>
      <c r="AX9" s="13"/>
      <c r="AY9" s="13"/>
      <c r="AZ9" s="13"/>
    </row>
    <row r="10">
      <c r="A10" s="13" t="str">
        <f>IFERROR(__xludf.DUMMYFUNCTION("""COMPUTED_VALUE"""),"MRF Ltd.")</f>
        <v>MRF Ltd.</v>
      </c>
      <c r="B10" s="30">
        <f>IFERROR(__xludf.DUMMYFUNCTION("""COMPUTED_VALUE"""),500290.0)</f>
        <v>500290</v>
      </c>
      <c r="C10" s="13" t="str">
        <f>IFERROR(__xludf.DUMMYFUNCTION("""COMPUTED_VALUE"""),"MRF")</f>
        <v>MRF</v>
      </c>
      <c r="D10" s="13" t="str">
        <f>IFERROR(__xludf.DUMMYFUNCTION("""COMPUTED_VALUE"""),"INE883A01011")</f>
        <v>INE883A01011</v>
      </c>
      <c r="E10" s="13" t="str">
        <f>IFERROR(__xludf.DUMMYFUNCTION("""COMPUTED_VALUE"""),"Automobile")</f>
        <v>Automobile</v>
      </c>
      <c r="F10" s="13" t="str">
        <f>IFERROR(__xludf.DUMMYFUNCTION("""COMPUTED_VALUE"""),"Tyres &amp; Tubes")</f>
        <v>Tyres &amp; Tubes</v>
      </c>
      <c r="G10" s="31">
        <f>IFERROR(__xludf.DUMMYFUNCTION("""COMPUTED_VALUE"""),44809.0)</f>
        <v>44809</v>
      </c>
      <c r="H10" s="32">
        <f>IFERROR(__xludf.DUMMYFUNCTION("""COMPUTED_VALUE"""),84254.05)</f>
        <v>84254.05</v>
      </c>
      <c r="I10" s="32">
        <f>IFERROR(__xludf.DUMMYFUNCTION("""COMPUTED_VALUE"""),-0.121922)</f>
        <v>-0.121922</v>
      </c>
      <c r="J10" s="32">
        <f>IFERROR(__xludf.DUMMYFUNCTION("""COMPUTED_VALUE"""),63000.0)</f>
        <v>63000</v>
      </c>
      <c r="K10" s="32">
        <f>IFERROR(__xludf.DUMMYFUNCTION("""COMPUTED_VALUE"""),89499.9)</f>
        <v>89499.9</v>
      </c>
      <c r="L10" s="32">
        <f>IFERROR(__xludf.DUMMYFUNCTION("""COMPUTED_VALUE"""),49915.1)</f>
        <v>49915.1</v>
      </c>
      <c r="M10" s="32">
        <f>IFERROR(__xludf.DUMMYFUNCTION("""COMPUTED_VALUE"""),98599.95)</f>
        <v>98599.95</v>
      </c>
      <c r="N10" s="32">
        <f>IFERROR(__xludf.DUMMYFUNCTION("""COMPUTED_VALUE"""),49915.1)</f>
        <v>49915.1</v>
      </c>
      <c r="O10" s="32">
        <f>IFERROR(__xludf.DUMMYFUNCTION("""COMPUTED_VALUE"""),98599.95)</f>
        <v>98599.95</v>
      </c>
      <c r="P10" s="32">
        <f>IFERROR(__xludf.DUMMYFUNCTION("""COMPUTED_VALUE"""),401.0)</f>
        <v>401</v>
      </c>
      <c r="Q10" s="32">
        <f>IFERROR(__xludf.DUMMYFUNCTION("""COMPUTED_VALUE"""),98599.95)</f>
        <v>98599.95</v>
      </c>
      <c r="R10" s="32">
        <f>IFERROR(__xludf.DUMMYFUNCTION("""COMPUTED_VALUE"""),35733.347437915)</f>
        <v>35733.34744</v>
      </c>
      <c r="S10" s="32">
        <f>IFERROR(__xludf.DUMMYFUNCTION("""COMPUTED_VALUE"""),35909.05898878)</f>
        <v>35909.05899</v>
      </c>
      <c r="T10" s="32">
        <f>IFERROR(__xludf.DUMMYFUNCTION("""COMPUTED_VALUE"""),-1.194058)</f>
        <v>-1.194058</v>
      </c>
      <c r="U10" s="32">
        <f>IFERROR(__xludf.DUMMYFUNCTION("""COMPUTED_VALUE"""),-5.02498)</f>
        <v>-5.02498</v>
      </c>
      <c r="V10" s="32">
        <f>IFERROR(__xludf.DUMMYFUNCTION("""COMPUTED_VALUE"""),10.193126)</f>
        <v>10.193126</v>
      </c>
      <c r="W10" s="32">
        <f>IFERROR(__xludf.DUMMYFUNCTION("""COMPUTED_VALUE"""),2.252729)</f>
        <v>2.252729</v>
      </c>
      <c r="X10" s="32">
        <f>IFERROR(__xludf.DUMMYFUNCTION("""COMPUTED_VALUE"""),13.455896)</f>
        <v>13.455896</v>
      </c>
      <c r="Y10" s="32">
        <f>IFERROR(__xludf.DUMMYFUNCTION("""COMPUTED_VALUE"""),5.573969)</f>
        <v>5.573969</v>
      </c>
      <c r="Z10" s="32">
        <f>IFERROR(__xludf.DUMMYFUNCTION("""COMPUTED_VALUE"""),23.647473)</f>
        <v>23.647473</v>
      </c>
      <c r="AA10" s="32">
        <f>IFERROR(__xludf.DUMMYFUNCTION("""COMPUTED_VALUE"""),56.9191)</f>
        <v>56.9191</v>
      </c>
      <c r="AB10" s="32">
        <f>IFERROR(__xludf.DUMMYFUNCTION("""COMPUTED_VALUE"""),24.76305)</f>
        <v>24.76305</v>
      </c>
      <c r="AC10" s="32">
        <f>IFERROR(__xludf.DUMMYFUNCTION("""COMPUTED_VALUE"""),2.5222)</f>
        <v>2.5222</v>
      </c>
      <c r="AD10" s="32">
        <f>IFERROR(__xludf.DUMMYFUNCTION("""COMPUTED_VALUE"""),2.47865)</f>
        <v>2.47865</v>
      </c>
      <c r="AE10" s="32">
        <f>IFERROR(__xludf.DUMMYFUNCTION("""COMPUTED_VALUE"""),3.805896)</f>
        <v>3.805896</v>
      </c>
      <c r="AF10" s="32">
        <f>IFERROR(__xludf.DUMMYFUNCTION("""COMPUTED_VALUE"""),-3.859198)</f>
        <v>-3.859198</v>
      </c>
      <c r="AG10" s="32">
        <f>IFERROR(__xludf.DUMMYFUNCTION("""COMPUTED_VALUE"""),0.1782)</f>
        <v>0.1782</v>
      </c>
      <c r="AH10" s="32">
        <f>IFERROR(__xludf.DUMMYFUNCTION("""COMPUTED_VALUE"""),15.568839)</f>
        <v>15.568839</v>
      </c>
      <c r="AI10" s="32">
        <f>IFERROR(__xludf.DUMMYFUNCTION("""COMPUTED_VALUE"""),1.7155830461692503)</f>
        <v>1.715583046</v>
      </c>
      <c r="AJ10" s="32">
        <f>IFERROR(__xludf.DUMMYFUNCTION("""COMPUTED_VALUE"""),-61.81919180304656)</f>
        <v>-61.8191918</v>
      </c>
      <c r="AK10" s="32">
        <f>IFERROR(__xludf.DUMMYFUNCTION("""COMPUTED_VALUE"""),1478.9881)</f>
        <v>1478.9881</v>
      </c>
      <c r="AL10" s="32">
        <f>IFERROR(__xludf.DUMMYFUNCTION("""COMPUTED_VALUE"""),33376.2647)</f>
        <v>33376.2647</v>
      </c>
      <c r="AM10" s="32">
        <f>IFERROR(__xludf.DUMMYFUNCTION("""COMPUTED_VALUE"""),-1363.278302)</f>
        <v>-1363.278302</v>
      </c>
      <c r="AN10" s="32">
        <f>IFERROR(__xludf.DUMMYFUNCTION("""COMPUTED_VALUE"""),-5522.358491)</f>
        <v>-5522.358491</v>
      </c>
      <c r="AO10" s="32">
        <f>IFERROR(__xludf.DUMMYFUNCTION("""COMPUTED_VALUE"""),150.0)</f>
        <v>150</v>
      </c>
      <c r="AP10" s="32">
        <f>IFERROR(__xludf.DUMMYFUNCTION("""COMPUTED_VALUE"""),0.058612914651301196)</f>
        <v>0.05861291465</v>
      </c>
      <c r="AQ10" s="13"/>
      <c r="AR10" s="13"/>
      <c r="AS10" s="13"/>
      <c r="AT10" s="13"/>
      <c r="AU10" s="13"/>
      <c r="AV10" s="13"/>
      <c r="AW10" s="13"/>
      <c r="AX10" s="13"/>
      <c r="AY10" s="13"/>
      <c r="AZ10" s="13"/>
    </row>
    <row r="11">
      <c r="A11" s="13" t="str">
        <f>IFERROR(__xludf.DUMMYFUNCTION("""COMPUTED_VALUE"""),"Bajaj Auto Ltd.")</f>
        <v>Bajaj Auto Ltd.</v>
      </c>
      <c r="B11" s="30">
        <f>IFERROR(__xludf.DUMMYFUNCTION("""COMPUTED_VALUE"""),532977.0)</f>
        <v>532977</v>
      </c>
      <c r="C11" s="13" t="str">
        <f>IFERROR(__xludf.DUMMYFUNCTION("""COMPUTED_VALUE"""),"BAJAJ-AUTO")</f>
        <v>BAJAJ-AUTO</v>
      </c>
      <c r="D11" s="13" t="str">
        <f>IFERROR(__xludf.DUMMYFUNCTION("""COMPUTED_VALUE"""),"INE917I01010")</f>
        <v>INE917I01010</v>
      </c>
      <c r="E11" s="13" t="str">
        <f>IFERROR(__xludf.DUMMYFUNCTION("""COMPUTED_VALUE"""),"Automobile")</f>
        <v>Automobile</v>
      </c>
      <c r="F11" s="13" t="str">
        <f>IFERROR(__xludf.DUMMYFUNCTION("""COMPUTED_VALUE"""),"Two &amp; Three Wheelers")</f>
        <v>Two &amp; Three Wheelers</v>
      </c>
      <c r="G11" s="31">
        <f>IFERROR(__xludf.DUMMYFUNCTION("""COMPUTED_VALUE"""),44809.0)</f>
        <v>44809</v>
      </c>
      <c r="H11" s="32">
        <f>IFERROR(__xludf.DUMMYFUNCTION("""COMPUTED_VALUE"""),3956.65)</f>
        <v>3956.65</v>
      </c>
      <c r="I11" s="32">
        <f>IFERROR(__xludf.DUMMYFUNCTION("""COMPUTED_VALUE"""),-1.84202)</f>
        <v>-1.84202</v>
      </c>
      <c r="J11" s="32">
        <f>IFERROR(__xludf.DUMMYFUNCTION("""COMPUTED_VALUE"""),3027.05)</f>
        <v>3027.05</v>
      </c>
      <c r="K11" s="32">
        <f>IFERROR(__xludf.DUMMYFUNCTION("""COMPUTED_VALUE"""),4131.75)</f>
        <v>4131.75</v>
      </c>
      <c r="L11" s="32">
        <f>IFERROR(__xludf.DUMMYFUNCTION("""COMPUTED_VALUE"""),1788.65)</f>
        <v>1788.65</v>
      </c>
      <c r="M11" s="32">
        <f>IFERROR(__xludf.DUMMYFUNCTION("""COMPUTED_VALUE"""),4361.4)</f>
        <v>4361.4</v>
      </c>
      <c r="N11" s="32">
        <f>IFERROR(__xludf.DUMMYFUNCTION("""COMPUTED_VALUE"""),1788.65)</f>
        <v>1788.65</v>
      </c>
      <c r="O11" s="32">
        <f>IFERROR(__xludf.DUMMYFUNCTION("""COMPUTED_VALUE"""),4361.4)</f>
        <v>4361.4</v>
      </c>
      <c r="P11" s="32">
        <f>IFERROR(__xludf.DUMMYFUNCTION("""COMPUTED_VALUE"""),131.0)</f>
        <v>131</v>
      </c>
      <c r="Q11" s="32">
        <f>IFERROR(__xludf.DUMMYFUNCTION("""COMPUTED_VALUE"""),4361.4)</f>
        <v>4361.4</v>
      </c>
      <c r="R11" s="32">
        <f>IFERROR(__xludf.DUMMYFUNCTION("""COMPUTED_VALUE"""),112890.78151098)</f>
        <v>112890.7815</v>
      </c>
      <c r="S11" s="32">
        <f>IFERROR(__xludf.DUMMYFUNCTION("""COMPUTED_VALUE"""),109302.81442932)</f>
        <v>109302.8144</v>
      </c>
      <c r="T11" s="32">
        <f>IFERROR(__xludf.DUMMYFUNCTION("""COMPUTED_VALUE"""),-2.410961)</f>
        <v>-2.410961</v>
      </c>
      <c r="U11" s="32">
        <f>IFERROR(__xludf.DUMMYFUNCTION("""COMPUTED_VALUE"""),-1.372236)</f>
        <v>-1.372236</v>
      </c>
      <c r="V11" s="32">
        <f>IFERROR(__xludf.DUMMYFUNCTION("""COMPUTED_VALUE"""),7.731369)</f>
        <v>7.731369</v>
      </c>
      <c r="W11" s="32">
        <f>IFERROR(__xludf.DUMMYFUNCTION("""COMPUTED_VALUE"""),5.300067)</f>
        <v>5.300067</v>
      </c>
      <c r="X11" s="32">
        <f>IFERROR(__xludf.DUMMYFUNCTION("""COMPUTED_VALUE"""),13.088833)</f>
        <v>13.088833</v>
      </c>
      <c r="Y11" s="32">
        <f>IFERROR(__xludf.DUMMYFUNCTION("""COMPUTED_VALUE"""),6.30002)</f>
        <v>6.30002</v>
      </c>
      <c r="Z11" s="32">
        <f>IFERROR(__xludf.DUMMYFUNCTION("""COMPUTED_VALUE"""),9.156987)</f>
        <v>9.156987</v>
      </c>
      <c r="AA11" s="32">
        <f>IFERROR(__xludf.DUMMYFUNCTION("""COMPUTED_VALUE"""),18.3293)</f>
        <v>18.3293</v>
      </c>
      <c r="AB11" s="32">
        <f>IFERROR(__xludf.DUMMYFUNCTION("""COMPUTED_VALUE"""),18.12315)</f>
        <v>18.12315</v>
      </c>
      <c r="AC11" s="32">
        <f>IFERROR(__xludf.DUMMYFUNCTION("""COMPUTED_VALUE"""),3.6417)</f>
        <v>3.6417</v>
      </c>
      <c r="AD11" s="32">
        <f>IFERROR(__xludf.DUMMYFUNCTION("""COMPUTED_VALUE"""),3.83465)</f>
        <v>3.83465</v>
      </c>
      <c r="AE11" s="32">
        <f>IFERROR(__xludf.DUMMYFUNCTION("""COMPUTED_VALUE"""),7.185051)</f>
        <v>7.185051</v>
      </c>
      <c r="AF11" s="32">
        <f>IFERROR(__xludf.DUMMYFUNCTION("""COMPUTED_VALUE"""),1.956468)</f>
        <v>1.956468</v>
      </c>
      <c r="AG11" s="32">
        <f>IFERROR(__xludf.DUMMYFUNCTION("""COMPUTED_VALUE"""),3.5383)</f>
        <v>3.5383</v>
      </c>
      <c r="AH11" s="32">
        <f>IFERROR(__xludf.DUMMYFUNCTION("""COMPUTED_VALUE"""),16.33133)</f>
        <v>16.33133</v>
      </c>
      <c r="AI11" s="32">
        <f>IFERROR(__xludf.DUMMYFUNCTION("""COMPUTED_VALUE"""),3.453553152381127)</f>
        <v>3.453553152</v>
      </c>
      <c r="AJ11" s="32">
        <f>IFERROR(__xludf.DUMMYFUNCTION("""COMPUTED_VALUE"""),26.896624546062743)</f>
        <v>26.89662455</v>
      </c>
      <c r="AK11" s="32">
        <f>IFERROR(__xludf.DUMMYFUNCTION("""COMPUTED_VALUE"""),215.7291)</f>
        <v>215.7291</v>
      </c>
      <c r="AL11" s="32">
        <f>IFERROR(__xludf.DUMMYFUNCTION("""COMPUTED_VALUE"""),1086.4898)</f>
        <v>1086.4898</v>
      </c>
      <c r="AM11" s="32">
        <f>IFERROR(__xludf.DUMMYFUNCTION("""COMPUTED_VALUE"""),145.04648)</f>
        <v>145.04648</v>
      </c>
      <c r="AN11" s="32">
        <f>IFERROR(__xludf.DUMMYFUNCTION("""COMPUTED_VALUE"""),204.039119)</f>
        <v>204.039119</v>
      </c>
      <c r="AO11" s="32">
        <f>IFERROR(__xludf.DUMMYFUNCTION("""COMPUTED_VALUE"""),140.0)</f>
        <v>140</v>
      </c>
      <c r="AP11" s="32">
        <f>IFERROR(__xludf.DUMMYFUNCTION("""COMPUTED_VALUE"""),0.042379137169480226)</f>
        <v>0.04237913717</v>
      </c>
      <c r="AQ11" s="13"/>
      <c r="AR11" s="13"/>
      <c r="AS11" s="13"/>
      <c r="AT11" s="13"/>
      <c r="AU11" s="13"/>
      <c r="AV11" s="13"/>
      <c r="AW11" s="13"/>
      <c r="AX11" s="13"/>
      <c r="AY11" s="13"/>
      <c r="AZ11" s="13"/>
    </row>
    <row r="12">
      <c r="A12" s="13" t="str">
        <f>IFERROR(__xludf.DUMMYFUNCTION("""COMPUTED_VALUE"""),"VST Industries Limited")</f>
        <v>VST Industries Limited</v>
      </c>
      <c r="B12" s="30">
        <f>IFERROR(__xludf.DUMMYFUNCTION("""COMPUTED_VALUE"""),509966.0)</f>
        <v>509966</v>
      </c>
      <c r="C12" s="13" t="str">
        <f>IFERROR(__xludf.DUMMYFUNCTION("""COMPUTED_VALUE"""),"VSTIND")</f>
        <v>VSTIND</v>
      </c>
      <c r="D12" s="13" t="str">
        <f>IFERROR(__xludf.DUMMYFUNCTION("""COMPUTED_VALUE"""),"INE710A01016")</f>
        <v>INE710A01016</v>
      </c>
      <c r="E12" s="13" t="str">
        <f>IFERROR(__xludf.DUMMYFUNCTION("""COMPUTED_VALUE"""),"Consumer Staples")</f>
        <v>Consumer Staples</v>
      </c>
      <c r="F12" s="13" t="str">
        <f>IFERROR(__xludf.DUMMYFUNCTION("""COMPUTED_VALUE"""),"Tobacco Products")</f>
        <v>Tobacco Products</v>
      </c>
      <c r="G12" s="31">
        <f>IFERROR(__xludf.DUMMYFUNCTION("""COMPUTED_VALUE"""),44809.0)</f>
        <v>44809</v>
      </c>
      <c r="H12" s="32">
        <f>IFERROR(__xludf.DUMMYFUNCTION("""COMPUTED_VALUE"""),3199.85)</f>
        <v>3199.85</v>
      </c>
      <c r="I12" s="32">
        <f>IFERROR(__xludf.DUMMYFUNCTION("""COMPUTED_VALUE"""),-1.277285)</f>
        <v>-1.277285</v>
      </c>
      <c r="J12" s="32">
        <f>IFERROR(__xludf.DUMMYFUNCTION("""COMPUTED_VALUE"""),2794.0)</f>
        <v>2794</v>
      </c>
      <c r="K12" s="32">
        <f>IFERROR(__xludf.DUMMYFUNCTION("""COMPUTED_VALUE"""),3895.0)</f>
        <v>3895</v>
      </c>
      <c r="L12" s="32">
        <f>IFERROR(__xludf.DUMMYFUNCTION("""COMPUTED_VALUE"""),2536.05)</f>
        <v>2536.05</v>
      </c>
      <c r="M12" s="32">
        <f>IFERROR(__xludf.DUMMYFUNCTION("""COMPUTED_VALUE"""),4856.45)</f>
        <v>4856.45</v>
      </c>
      <c r="N12" s="32">
        <f>IFERROR(__xludf.DUMMYFUNCTION("""COMPUTED_VALUE"""),2470.0)</f>
        <v>2470</v>
      </c>
      <c r="O12" s="32">
        <f>IFERROR(__xludf.DUMMYFUNCTION("""COMPUTED_VALUE"""),4856.45)</f>
        <v>4856.45</v>
      </c>
      <c r="P12" s="32">
        <f>IFERROR(__xludf.DUMMYFUNCTION("""COMPUTED_VALUE"""),49.7)</f>
        <v>49.7</v>
      </c>
      <c r="Q12" s="32">
        <f>IFERROR(__xludf.DUMMYFUNCTION("""COMPUTED_VALUE"""),4856.45)</f>
        <v>4856.45</v>
      </c>
      <c r="R12" s="32">
        <f>IFERROR(__xludf.DUMMYFUNCTION("""COMPUTED_VALUE"""),4944.2711552)</f>
        <v>4944.271155</v>
      </c>
      <c r="S12" s="32">
        <f>IFERROR(__xludf.DUMMYFUNCTION("""COMPUTED_VALUE"""),4210.3580608)</f>
        <v>4210.358061</v>
      </c>
      <c r="T12" s="32">
        <f>IFERROR(__xludf.DUMMYFUNCTION("""COMPUTED_VALUE"""),0.3906)</f>
        <v>0.3906</v>
      </c>
      <c r="U12" s="32">
        <f>IFERROR(__xludf.DUMMYFUNCTION("""COMPUTED_VALUE"""),-7.287004)</f>
        <v>-7.287004</v>
      </c>
      <c r="V12" s="32">
        <f>IFERROR(__xludf.DUMMYFUNCTION("""COMPUTED_VALUE"""),0.11733)</f>
        <v>0.11733</v>
      </c>
      <c r="W12" s="32">
        <f>IFERROR(__xludf.DUMMYFUNCTION("""COMPUTED_VALUE"""),-5.017958)</f>
        <v>-5.017958</v>
      </c>
      <c r="X12" s="32">
        <f>IFERROR(__xludf.DUMMYFUNCTION("""COMPUTED_VALUE"""),-2.859228)</f>
        <v>-2.859228</v>
      </c>
      <c r="Y12" s="32">
        <f>IFERROR(__xludf.DUMMYFUNCTION("""COMPUTED_VALUE"""),3.218704)</f>
        <v>3.218704</v>
      </c>
      <c r="Z12" s="32">
        <f>IFERROR(__xludf.DUMMYFUNCTION("""COMPUTED_VALUE"""),6.632372)</f>
        <v>6.632372</v>
      </c>
      <c r="AA12" s="32">
        <f>IFERROR(__xludf.DUMMYFUNCTION("""COMPUTED_VALUE"""),14.6745)</f>
        <v>14.6745</v>
      </c>
      <c r="AB12" s="32">
        <f>IFERROR(__xludf.DUMMYFUNCTION("""COMPUTED_VALUE"""),18.27765)</f>
        <v>18.27765</v>
      </c>
      <c r="AC12" s="32">
        <f>IFERROR(__xludf.DUMMYFUNCTION("""COMPUTED_VALUE"""),4.2607)</f>
        <v>4.2607</v>
      </c>
      <c r="AD12" s="32">
        <f>IFERROR(__xludf.DUMMYFUNCTION("""COMPUTED_VALUE"""),6.8928)</f>
        <v>6.8928</v>
      </c>
      <c r="AE12" s="32">
        <f>IFERROR(__xludf.DUMMYFUNCTION("""COMPUTED_VALUE"""),11.997829)</f>
        <v>11.997829</v>
      </c>
      <c r="AF12" s="32">
        <f>IFERROR(__xludf.DUMMYFUNCTION("""COMPUTED_VALUE"""),0.817611)</f>
        <v>0.817611</v>
      </c>
      <c r="AG12" s="32">
        <f>IFERROR(__xludf.DUMMYFUNCTION("""COMPUTED_VALUE"""),4.3725)</f>
        <v>4.3725</v>
      </c>
      <c r="AH12" s="32">
        <f>IFERROR(__xludf.DUMMYFUNCTION("""COMPUTED_VALUE"""),8.74607)</f>
        <v>8.74607</v>
      </c>
      <c r="AI12" s="32">
        <f>IFERROR(__xludf.DUMMYFUNCTION("""COMPUTED_VALUE"""),3.104449941731967)</f>
        <v>3.104449942</v>
      </c>
      <c r="AJ12" s="32">
        <f>IFERROR(__xludf.DUMMYFUNCTION("""COMPUTED_VALUE"""),17.83535649349572)</f>
        <v>17.83535649</v>
      </c>
      <c r="AK12" s="32">
        <f>IFERROR(__xludf.DUMMYFUNCTION("""COMPUTED_VALUE"""),218.1918)</f>
        <v>218.1918</v>
      </c>
      <c r="AL12" s="32">
        <f>IFERROR(__xludf.DUMMYFUNCTION("""COMPUTED_VALUE"""),751.4901)</f>
        <v>751.4901</v>
      </c>
      <c r="AM12" s="32">
        <f>IFERROR(__xludf.DUMMYFUNCTION("""COMPUTED_VALUE"""),179.522857)</f>
        <v>179.522857</v>
      </c>
      <c r="AN12" s="32">
        <f>IFERROR(__xludf.DUMMYFUNCTION("""COMPUTED_VALUE"""),175.320265)</f>
        <v>175.320265</v>
      </c>
      <c r="AO12" s="32">
        <f>IFERROR(__xludf.DUMMYFUNCTION("""COMPUTED_VALUE"""),140.0)</f>
        <v>140</v>
      </c>
      <c r="AP12" s="32">
        <f>IFERROR(__xludf.DUMMYFUNCTION("""COMPUTED_VALUE"""),0.17847240051347885)</f>
        <v>0.1784724005</v>
      </c>
      <c r="AQ12" s="13"/>
      <c r="AR12" s="13"/>
      <c r="AS12" s="13"/>
      <c r="AT12" s="13"/>
      <c r="AU12" s="13"/>
      <c r="AV12" s="13"/>
      <c r="AW12" s="13"/>
      <c r="AX12" s="13"/>
      <c r="AY12" s="13"/>
      <c r="AZ12" s="13"/>
    </row>
    <row r="13">
      <c r="A13" s="13" t="str">
        <f>IFERROR(__xludf.DUMMYFUNCTION("""COMPUTED_VALUE"""),"Procter &amp; Gamble Health Ltd.")</f>
        <v>Procter &amp; Gamble Health Ltd.</v>
      </c>
      <c r="B13" s="30">
        <f>IFERROR(__xludf.DUMMYFUNCTION("""COMPUTED_VALUE"""),500126.0)</f>
        <v>500126</v>
      </c>
      <c r="C13" s="13" t="str">
        <f>IFERROR(__xludf.DUMMYFUNCTION("""COMPUTED_VALUE"""),"PGHL")</f>
        <v>PGHL</v>
      </c>
      <c r="D13" s="13" t="str">
        <f>IFERROR(__xludf.DUMMYFUNCTION("""COMPUTED_VALUE"""),"INE199A01012")</f>
        <v>INE199A01012</v>
      </c>
      <c r="E13" s="13" t="str">
        <f>IFERROR(__xludf.DUMMYFUNCTION("""COMPUTED_VALUE"""),"Healthcare")</f>
        <v>Healthcare</v>
      </c>
      <c r="F13" s="13" t="str">
        <f>IFERROR(__xludf.DUMMYFUNCTION("""COMPUTED_VALUE"""),"Drugs &amp; Pharma")</f>
        <v>Drugs &amp; Pharma</v>
      </c>
      <c r="G13" s="31">
        <f>IFERROR(__xludf.DUMMYFUNCTION("""COMPUTED_VALUE"""),44809.0)</f>
        <v>44809</v>
      </c>
      <c r="H13" s="32">
        <f>IFERROR(__xludf.DUMMYFUNCTION("""COMPUTED_VALUE"""),4274.15)</f>
        <v>4274.15</v>
      </c>
      <c r="I13" s="32">
        <f>IFERROR(__xludf.DUMMYFUNCTION("""COMPUTED_VALUE"""),1.402119)</f>
        <v>1.402119</v>
      </c>
      <c r="J13" s="32">
        <f>IFERROR(__xludf.DUMMYFUNCTION("""COMPUTED_VALUE"""),3901.05)</f>
        <v>3901.05</v>
      </c>
      <c r="K13" s="32">
        <f>IFERROR(__xludf.DUMMYFUNCTION("""COMPUTED_VALUE"""),5851.75)</f>
        <v>5851.75</v>
      </c>
      <c r="L13" s="32">
        <f>IFERROR(__xludf.DUMMYFUNCTION("""COMPUTED_VALUE"""),2891.45)</f>
        <v>2891.45</v>
      </c>
      <c r="M13" s="32">
        <f>IFERROR(__xludf.DUMMYFUNCTION("""COMPUTED_VALUE"""),7500.0)</f>
        <v>7500</v>
      </c>
      <c r="N13" s="32">
        <f>IFERROR(__xludf.DUMMYFUNCTION("""COMPUTED_VALUE"""),1001.0)</f>
        <v>1001</v>
      </c>
      <c r="O13" s="32">
        <f>IFERROR(__xludf.DUMMYFUNCTION("""COMPUTED_VALUE"""),7500.0)</f>
        <v>7500</v>
      </c>
      <c r="P13" s="32">
        <f>IFERROR(__xludf.DUMMYFUNCTION("""COMPUTED_VALUE"""),214.85)</f>
        <v>214.85</v>
      </c>
      <c r="Q13" s="32">
        <f>IFERROR(__xludf.DUMMYFUNCTION("""COMPUTED_VALUE"""),7500.0)</f>
        <v>7500</v>
      </c>
      <c r="R13" s="32">
        <f>IFERROR(__xludf.DUMMYFUNCTION("""COMPUTED_VALUE"""),7083.7862685)</f>
        <v>7083.786269</v>
      </c>
      <c r="S13" s="32">
        <f>IFERROR(__xludf.DUMMYFUNCTION("""COMPUTED_VALUE"""),6533.45629979)</f>
        <v>6533.4563</v>
      </c>
      <c r="T13" s="32">
        <f>IFERROR(__xludf.DUMMYFUNCTION("""COMPUTED_VALUE"""),1.379269)</f>
        <v>1.379269</v>
      </c>
      <c r="U13" s="32">
        <f>IFERROR(__xludf.DUMMYFUNCTION("""COMPUTED_VALUE"""),-3.619226)</f>
        <v>-3.619226</v>
      </c>
      <c r="V13" s="32">
        <f>IFERROR(__xludf.DUMMYFUNCTION("""COMPUTED_VALUE"""),-1.14258)</f>
        <v>-1.14258</v>
      </c>
      <c r="W13" s="32">
        <f>IFERROR(__xludf.DUMMYFUNCTION("""COMPUTED_VALUE"""),-20.142185)</f>
        <v>-20.142185</v>
      </c>
      <c r="X13" s="32">
        <f>IFERROR(__xludf.DUMMYFUNCTION("""COMPUTED_VALUE"""),1.926469)</f>
        <v>1.926469</v>
      </c>
      <c r="Y13" s="32">
        <f>IFERROR(__xludf.DUMMYFUNCTION("""COMPUTED_VALUE"""),28.609358)</f>
        <v>28.609358</v>
      </c>
      <c r="Z13" s="32">
        <f>IFERROR(__xludf.DUMMYFUNCTION("""COMPUTED_VALUE"""),20.932126)</f>
        <v>20.932126</v>
      </c>
      <c r="AA13" s="32">
        <f>IFERROR(__xludf.DUMMYFUNCTION("""COMPUTED_VALUE"""),36.7951)</f>
        <v>36.7951</v>
      </c>
      <c r="AB13" s="32">
        <f>IFERROR(__xludf.DUMMYFUNCTION("""COMPUTED_VALUE"""),47.62965)</f>
        <v>47.62965</v>
      </c>
      <c r="AC13" s="32">
        <f>IFERROR(__xludf.DUMMYFUNCTION("""COMPUTED_VALUE"""),11.4905)</f>
        <v>11.4905</v>
      </c>
      <c r="AD13" s="32">
        <f>IFERROR(__xludf.DUMMYFUNCTION("""COMPUTED_VALUE"""),9.15855)</f>
        <v>9.15855</v>
      </c>
      <c r="AE13" s="32">
        <f>IFERROR(__xludf.DUMMYFUNCTION("""COMPUTED_VALUE"""),4.036659)</f>
        <v>4.036659</v>
      </c>
      <c r="AF13" s="32">
        <f>IFERROR(__xludf.DUMMYFUNCTION("""COMPUTED_VALUE"""),2.004138)</f>
        <v>2.004138</v>
      </c>
      <c r="AG13" s="32">
        <f>IFERROR(__xludf.DUMMYFUNCTION("""COMPUTED_VALUE"""),1.2302)</f>
        <v>1.2302</v>
      </c>
      <c r="AH13" s="32">
        <f>IFERROR(__xludf.DUMMYFUNCTION("""COMPUTED_VALUE"""),23.258183)</f>
        <v>23.258183</v>
      </c>
      <c r="AI13" s="32">
        <f>IFERROR(__xludf.DUMMYFUNCTION("""COMPUTED_VALUE"""),6.356535088970846)</f>
        <v>6.356535089</v>
      </c>
      <c r="AJ13" s="32">
        <f>IFERROR(__xludf.DUMMYFUNCTION("""COMPUTED_VALUE"""),28.649139644503762)</f>
        <v>28.64913964</v>
      </c>
      <c r="AK13" s="32">
        <f>IFERROR(__xludf.DUMMYFUNCTION("""COMPUTED_VALUE"""),115.9802)</f>
        <v>115.9802</v>
      </c>
      <c r="AL13" s="32">
        <f>IFERROR(__xludf.DUMMYFUNCTION("""COMPUTED_VALUE"""),371.393)</f>
        <v>371.393</v>
      </c>
      <c r="AM13" s="32">
        <f>IFERROR(__xludf.DUMMYFUNCTION("""COMPUTED_VALUE"""),148.951807)</f>
        <v>148.951807</v>
      </c>
      <c r="AN13" s="32">
        <f>IFERROR(__xludf.DUMMYFUNCTION("""COMPUTED_VALUE"""),124.584337)</f>
        <v>124.584337</v>
      </c>
      <c r="AO13" s="32">
        <f>IFERROR(__xludf.DUMMYFUNCTION("""COMPUTED_VALUE"""),130.0)</f>
        <v>130</v>
      </c>
      <c r="AP13" s="32">
        <f>IFERROR(__xludf.DUMMYFUNCTION("""COMPUTED_VALUE"""),0.269594565728201)</f>
        <v>0.2695945657</v>
      </c>
      <c r="AQ13" s="13"/>
      <c r="AR13" s="13"/>
      <c r="AS13" s="13"/>
      <c r="AT13" s="13"/>
      <c r="AU13" s="13"/>
      <c r="AV13" s="13"/>
      <c r="AW13" s="13"/>
      <c r="AX13" s="13"/>
      <c r="AY13" s="13"/>
      <c r="AZ13" s="13"/>
    </row>
    <row r="14">
      <c r="A14" s="13" t="str">
        <f>IFERROR(__xludf.DUMMYFUNCTION("""COMPUTED_VALUE"""),"Gillette India Ltd.")</f>
        <v>Gillette India Ltd.</v>
      </c>
      <c r="B14" s="30">
        <f>IFERROR(__xludf.DUMMYFUNCTION("""COMPUTED_VALUE"""),507815.0)</f>
        <v>507815</v>
      </c>
      <c r="C14" s="13" t="str">
        <f>IFERROR(__xludf.DUMMYFUNCTION("""COMPUTED_VALUE"""),"GILLETTE")</f>
        <v>GILLETTE</v>
      </c>
      <c r="D14" s="13" t="str">
        <f>IFERROR(__xludf.DUMMYFUNCTION("""COMPUTED_VALUE"""),"INE322A01010")</f>
        <v>INE322A01010</v>
      </c>
      <c r="E14" s="13" t="str">
        <f>IFERROR(__xludf.DUMMYFUNCTION("""COMPUTED_VALUE"""),"Consumer Staples")</f>
        <v>Consumer Staples</v>
      </c>
      <c r="F14" s="13" t="str">
        <f>IFERROR(__xludf.DUMMYFUNCTION("""COMPUTED_VALUE"""),"Household &amp; Personal Products")</f>
        <v>Household &amp; Personal Products</v>
      </c>
      <c r="G14" s="31">
        <f>IFERROR(__xludf.DUMMYFUNCTION("""COMPUTED_VALUE"""),44809.0)</f>
        <v>44809</v>
      </c>
      <c r="H14" s="32">
        <f>IFERROR(__xludf.DUMMYFUNCTION("""COMPUTED_VALUE"""),5377.25)</f>
        <v>5377.25</v>
      </c>
      <c r="I14" s="32">
        <f>IFERROR(__xludf.DUMMYFUNCTION("""COMPUTED_VALUE"""),-1.170751)</f>
        <v>-1.170751</v>
      </c>
      <c r="J14" s="32">
        <f>IFERROR(__xludf.DUMMYFUNCTION("""COMPUTED_VALUE"""),4748.0)</f>
        <v>4748</v>
      </c>
      <c r="K14" s="32">
        <f>IFERROR(__xludf.DUMMYFUNCTION("""COMPUTED_VALUE"""),6275.0)</f>
        <v>6275</v>
      </c>
      <c r="L14" s="32">
        <f>IFERROR(__xludf.DUMMYFUNCTION("""COMPUTED_VALUE"""),4420.0)</f>
        <v>4420</v>
      </c>
      <c r="M14" s="32">
        <f>IFERROR(__xludf.DUMMYFUNCTION("""COMPUTED_VALUE"""),8200.0)</f>
        <v>8200</v>
      </c>
      <c r="N14" s="32">
        <f>IFERROR(__xludf.DUMMYFUNCTION("""COMPUTED_VALUE"""),4420.0)</f>
        <v>4420</v>
      </c>
      <c r="O14" s="32">
        <f>IFERROR(__xludf.DUMMYFUNCTION("""COMPUTED_VALUE"""),8200.0)</f>
        <v>8200</v>
      </c>
      <c r="P14" s="32">
        <f>IFERROR(__xludf.DUMMYFUNCTION("""COMPUTED_VALUE"""),210.05)</f>
        <v>210.05</v>
      </c>
      <c r="Q14" s="32">
        <f>IFERROR(__xludf.DUMMYFUNCTION("""COMPUTED_VALUE"""),8200.0)</f>
        <v>8200</v>
      </c>
      <c r="R14" s="32">
        <f>IFERROR(__xludf.DUMMYFUNCTION("""COMPUTED_VALUE"""),17553.98225007)</f>
        <v>17553.98225</v>
      </c>
      <c r="S14" s="32">
        <f>IFERROR(__xludf.DUMMYFUNCTION("""COMPUTED_VALUE"""),17600.280790995)</f>
        <v>17600.28079</v>
      </c>
      <c r="T14" s="32">
        <f>IFERROR(__xludf.DUMMYFUNCTION("""COMPUTED_VALUE"""),-1.038887)</f>
        <v>-1.038887</v>
      </c>
      <c r="U14" s="32">
        <f>IFERROR(__xludf.DUMMYFUNCTION("""COMPUTED_VALUE"""),6.696761)</f>
        <v>6.696761</v>
      </c>
      <c r="V14" s="32">
        <f>IFERROR(__xludf.DUMMYFUNCTION("""COMPUTED_VALUE"""),9.818238)</f>
        <v>9.818238</v>
      </c>
      <c r="W14" s="32">
        <f>IFERROR(__xludf.DUMMYFUNCTION("""COMPUTED_VALUE"""),-7.660539)</f>
        <v>-7.660539</v>
      </c>
      <c r="X14" s="32">
        <f>IFERROR(__xludf.DUMMYFUNCTION("""COMPUTED_VALUE"""),-9.390092)</f>
        <v>-9.390092</v>
      </c>
      <c r="Y14" s="32">
        <f>IFERROR(__xludf.DUMMYFUNCTION("""COMPUTED_VALUE"""),0.210161)</f>
        <v>0.210161</v>
      </c>
      <c r="Z14" s="32">
        <f>IFERROR(__xludf.DUMMYFUNCTION("""COMPUTED_VALUE"""),9.33284)</f>
        <v>9.33284</v>
      </c>
      <c r="AA14" s="32">
        <f>IFERROR(__xludf.DUMMYFUNCTION("""COMPUTED_VALUE"""),60.6711)</f>
        <v>60.6711</v>
      </c>
      <c r="AB14" s="32">
        <f>IFERROR(__xludf.DUMMYFUNCTION("""COMPUTED_VALUE"""),75.1999)</f>
        <v>75.1999</v>
      </c>
      <c r="AC14" s="32">
        <f>IFERROR(__xludf.DUMMYFUNCTION("""COMPUTED_VALUE"""),20.3833)</f>
        <v>20.3833</v>
      </c>
      <c r="AD14" s="32">
        <f>IFERROR(__xludf.DUMMYFUNCTION("""COMPUTED_VALUE"""),23.57335)</f>
        <v>23.57335</v>
      </c>
      <c r="AE14" s="32">
        <f>IFERROR(__xludf.DUMMYFUNCTION("""COMPUTED_VALUE"""),2.470717)</f>
        <v>2.470717</v>
      </c>
      <c r="AF14" s="32">
        <f>IFERROR(__xludf.DUMMYFUNCTION("""COMPUTED_VALUE"""),22.359766)</f>
        <v>22.359766</v>
      </c>
      <c r="AG14" s="32">
        <f>IFERROR(__xludf.DUMMYFUNCTION("""COMPUTED_VALUE"""),1.2808)</f>
        <v>1.2808</v>
      </c>
      <c r="AH14" s="32">
        <f>IFERROR(__xludf.DUMMYFUNCTION("""COMPUTED_VALUE"""),35.902821)</f>
        <v>35.902821</v>
      </c>
      <c r="AI14" s="32">
        <f>IFERROR(__xludf.DUMMYFUNCTION("""COMPUTED_VALUE"""),7.780468694627154)</f>
        <v>7.780468695</v>
      </c>
      <c r="AJ14" s="32">
        <f>IFERROR(__xludf.DUMMYFUNCTION("""COMPUTED_VALUE"""),39.61093566673436)</f>
        <v>39.61093567</v>
      </c>
      <c r="AK14" s="32">
        <f>IFERROR(__xludf.DUMMYFUNCTION("""COMPUTED_VALUE"""),88.7918)</f>
        <v>88.7918</v>
      </c>
      <c r="AL14" s="32">
        <f>IFERROR(__xludf.DUMMYFUNCTION("""COMPUTED_VALUE"""),264.2902)</f>
        <v>264.2902</v>
      </c>
      <c r="AM14" s="32">
        <f>IFERROR(__xludf.DUMMYFUNCTION("""COMPUTED_VALUE"""),135.980362)</f>
        <v>135.980362</v>
      </c>
      <c r="AN14" s="32">
        <f>IFERROR(__xludf.DUMMYFUNCTION("""COMPUTED_VALUE"""),104.397054)</f>
        <v>104.397054</v>
      </c>
      <c r="AO14" s="32">
        <f>IFERROR(__xludf.DUMMYFUNCTION("""COMPUTED_VALUE"""),119.0)</f>
        <v>119</v>
      </c>
      <c r="AP14" s="32">
        <f>IFERROR(__xludf.DUMMYFUNCTION("""COMPUTED_VALUE"""),0.14306772908366533)</f>
        <v>0.1430677291</v>
      </c>
      <c r="AQ14" s="13"/>
      <c r="AR14" s="13"/>
      <c r="AS14" s="13"/>
      <c r="AT14" s="13"/>
      <c r="AU14" s="13"/>
      <c r="AV14" s="13"/>
      <c r="AW14" s="13"/>
      <c r="AX14" s="13"/>
      <c r="AY14" s="13"/>
      <c r="AZ14" s="13"/>
    </row>
    <row r="15">
      <c r="A15" s="13" t="str">
        <f>IFERROR(__xludf.DUMMYFUNCTION("""COMPUTED_VALUE"""),"Bajaj Holdings &amp; Investment Ltd.")</f>
        <v>Bajaj Holdings &amp; Investment Ltd.</v>
      </c>
      <c r="B15" s="30">
        <f>IFERROR(__xludf.DUMMYFUNCTION("""COMPUTED_VALUE"""),500490.0)</f>
        <v>500490</v>
      </c>
      <c r="C15" s="13" t="str">
        <f>IFERROR(__xludf.DUMMYFUNCTION("""COMPUTED_VALUE"""),"BAJAJHLDNG")</f>
        <v>BAJAJHLDNG</v>
      </c>
      <c r="D15" s="13" t="str">
        <f>IFERROR(__xludf.DUMMYFUNCTION("""COMPUTED_VALUE"""),"INE118A01012")</f>
        <v>INE118A01012</v>
      </c>
      <c r="E15" s="13" t="str">
        <f>IFERROR(__xludf.DUMMYFUNCTION("""COMPUTED_VALUE"""),"Financial")</f>
        <v>Financial</v>
      </c>
      <c r="F15" s="13" t="str">
        <f>IFERROR(__xludf.DUMMYFUNCTION("""COMPUTED_VALUE"""),"Investment Services")</f>
        <v>Investment Services</v>
      </c>
      <c r="G15" s="31">
        <f>IFERROR(__xludf.DUMMYFUNCTION("""COMPUTED_VALUE"""),44809.0)</f>
        <v>44809</v>
      </c>
      <c r="H15" s="32">
        <f>IFERROR(__xludf.DUMMYFUNCTION("""COMPUTED_VALUE"""),5672.75)</f>
        <v>5672.75</v>
      </c>
      <c r="I15" s="32">
        <f>IFERROR(__xludf.DUMMYFUNCTION("""COMPUTED_VALUE"""),0.403543)</f>
        <v>0.403543</v>
      </c>
      <c r="J15" s="32">
        <f>IFERROR(__xludf.DUMMYFUNCTION("""COMPUTED_VALUE"""),4231.25)</f>
        <v>4231.25</v>
      </c>
      <c r="K15" s="32">
        <f>IFERROR(__xludf.DUMMYFUNCTION("""COMPUTED_VALUE"""),6598.0)</f>
        <v>6598</v>
      </c>
      <c r="L15" s="32">
        <f>IFERROR(__xludf.DUMMYFUNCTION("""COMPUTED_VALUE"""),1460.15)</f>
        <v>1460.15</v>
      </c>
      <c r="M15" s="32">
        <f>IFERROR(__xludf.DUMMYFUNCTION("""COMPUTED_VALUE"""),6598.0)</f>
        <v>6598</v>
      </c>
      <c r="N15" s="32">
        <f>IFERROR(__xludf.DUMMYFUNCTION("""COMPUTED_VALUE"""),1460.15)</f>
        <v>1460.15</v>
      </c>
      <c r="O15" s="32">
        <f>IFERROR(__xludf.DUMMYFUNCTION("""COMPUTED_VALUE"""),6598.0)</f>
        <v>6598</v>
      </c>
      <c r="P15" s="32">
        <f>IFERROR(__xludf.DUMMYFUNCTION("""COMPUTED_VALUE"""),208.0)</f>
        <v>208</v>
      </c>
      <c r="Q15" s="32">
        <f>IFERROR(__xludf.DUMMYFUNCTION("""COMPUTED_VALUE"""),6598.0)</f>
        <v>6598</v>
      </c>
      <c r="R15" s="32">
        <f>IFERROR(__xludf.DUMMYFUNCTION("""COMPUTED_VALUE"""),63134.02588525)</f>
        <v>63134.02589</v>
      </c>
      <c r="S15" s="32">
        <f>IFERROR(__xludf.DUMMYFUNCTION("""COMPUTED_VALUE"""),62495.9908639)</f>
        <v>62495.99086</v>
      </c>
      <c r="T15" s="32">
        <f>IFERROR(__xludf.DUMMYFUNCTION("""COMPUTED_VALUE"""),4.793793)</f>
        <v>4.793793</v>
      </c>
      <c r="U15" s="32">
        <f>IFERROR(__xludf.DUMMYFUNCTION("""COMPUTED_VALUE"""),6.133885)</f>
        <v>6.133885</v>
      </c>
      <c r="V15" s="32">
        <f>IFERROR(__xludf.DUMMYFUNCTION("""COMPUTED_VALUE"""),13.603821)</f>
        <v>13.603821</v>
      </c>
      <c r="W15" s="32">
        <f>IFERROR(__xludf.DUMMYFUNCTION("""COMPUTED_VALUE"""),30.304701)</f>
        <v>30.304701</v>
      </c>
      <c r="X15" s="32">
        <f>IFERROR(__xludf.DUMMYFUNCTION("""COMPUTED_VALUE"""),19.737255)</f>
        <v>19.737255</v>
      </c>
      <c r="Y15" s="32">
        <f>IFERROR(__xludf.DUMMYFUNCTION("""COMPUTED_VALUE"""),14.804541)</f>
        <v>14.804541</v>
      </c>
      <c r="Z15" s="32">
        <f>IFERROR(__xludf.DUMMYFUNCTION("""COMPUTED_VALUE"""),22.380269)</f>
        <v>22.380269</v>
      </c>
      <c r="AA15" s="32">
        <f>IFERROR(__xludf.DUMMYFUNCTION("""COMPUTED_VALUE"""),14.8794)</f>
        <v>14.8794</v>
      </c>
      <c r="AB15" s="32">
        <f>IFERROR(__xludf.DUMMYFUNCTION("""COMPUTED_VALUE"""),11.7791)</f>
        <v>11.7791</v>
      </c>
      <c r="AC15" s="32">
        <f>IFERROR(__xludf.DUMMYFUNCTION("""COMPUTED_VALUE"""),1.4733)</f>
        <v>1.4733</v>
      </c>
      <c r="AD15" s="32">
        <f>IFERROR(__xludf.DUMMYFUNCTION("""COMPUTED_VALUE"""),1.34685)</f>
        <v>1.34685</v>
      </c>
      <c r="AE15" s="32">
        <f>IFERROR(__xludf.DUMMYFUNCTION("""COMPUTED_VALUE"""),0.65502)</f>
        <v>0.65502</v>
      </c>
      <c r="AF15" s="32">
        <f>IFERROR(__xludf.DUMMYFUNCTION("""COMPUTED_VALUE"""),-1.140759)</f>
        <v>-1.140759</v>
      </c>
      <c r="AG15" s="32">
        <f>IFERROR(__xludf.DUMMYFUNCTION("""COMPUTED_VALUE"""),2.0256)</f>
        <v>2.0256</v>
      </c>
      <c r="AH15" s="32">
        <f>IFERROR(__xludf.DUMMYFUNCTION("""COMPUTED_VALUE"""),176.362995)</f>
        <v>176.362995</v>
      </c>
      <c r="AI15" s="32">
        <f>IFERROR(__xludf.DUMMYFUNCTION("""COMPUTED_VALUE"""),163.58508028514794)</f>
        <v>163.5850803</v>
      </c>
      <c r="AJ15" s="32">
        <f>IFERROR(__xludf.DUMMYFUNCTION("""COMPUTED_VALUE"""),39.22220724085982)</f>
        <v>39.22220724</v>
      </c>
      <c r="AK15" s="32">
        <f>IFERROR(__xludf.DUMMYFUNCTION("""COMPUTED_VALUE"""),381.5541)</f>
        <v>381.5541</v>
      </c>
      <c r="AL15" s="32">
        <f>IFERROR(__xludf.DUMMYFUNCTION("""COMPUTED_VALUE"""),3853.5071)</f>
        <v>3853.5071</v>
      </c>
      <c r="AM15" s="32">
        <f>IFERROR(__xludf.DUMMYFUNCTION("""COMPUTED_VALUE"""),144.635637)</f>
        <v>144.635637</v>
      </c>
      <c r="AN15" s="32">
        <f>IFERROR(__xludf.DUMMYFUNCTION("""COMPUTED_VALUE"""),29.017881)</f>
        <v>29.017881</v>
      </c>
      <c r="AO15" s="32">
        <f>IFERROR(__xludf.DUMMYFUNCTION("""COMPUTED_VALUE"""),115.0)</f>
        <v>115</v>
      </c>
      <c r="AP15" s="32">
        <f>IFERROR(__xludf.DUMMYFUNCTION("""COMPUTED_VALUE"""),0.14023188845104578)</f>
        <v>0.1402318885</v>
      </c>
      <c r="AQ15" s="13"/>
      <c r="AR15" s="13"/>
      <c r="AS15" s="13"/>
      <c r="AT15" s="13"/>
      <c r="AU15" s="13"/>
      <c r="AV15" s="13"/>
      <c r="AW15" s="13"/>
      <c r="AX15" s="13"/>
      <c r="AY15" s="13"/>
      <c r="AZ15" s="13"/>
    </row>
    <row r="16">
      <c r="A16" s="13" t="str">
        <f>IFERROR(__xludf.DUMMYFUNCTION("""COMPUTED_VALUE"""),"Hero MotoCorp Ltd.")</f>
        <v>Hero MotoCorp Ltd.</v>
      </c>
      <c r="B16" s="30">
        <f>IFERROR(__xludf.DUMMYFUNCTION("""COMPUTED_VALUE"""),500182.0)</f>
        <v>500182</v>
      </c>
      <c r="C16" s="13" t="str">
        <f>IFERROR(__xludf.DUMMYFUNCTION("""COMPUTED_VALUE"""),"HEROMOTOCO")</f>
        <v>HEROMOTOCO</v>
      </c>
      <c r="D16" s="13" t="str">
        <f>IFERROR(__xludf.DUMMYFUNCTION("""COMPUTED_VALUE"""),"INE158A01026")</f>
        <v>INE158A01026</v>
      </c>
      <c r="E16" s="13" t="str">
        <f>IFERROR(__xludf.DUMMYFUNCTION("""COMPUTED_VALUE"""),"Automobile")</f>
        <v>Automobile</v>
      </c>
      <c r="F16" s="13" t="str">
        <f>IFERROR(__xludf.DUMMYFUNCTION("""COMPUTED_VALUE"""),"Two &amp; Three Wheelers")</f>
        <v>Two &amp; Three Wheelers</v>
      </c>
      <c r="G16" s="31">
        <f>IFERROR(__xludf.DUMMYFUNCTION("""COMPUTED_VALUE"""),44809.0)</f>
        <v>44809</v>
      </c>
      <c r="H16" s="32">
        <f>IFERROR(__xludf.DUMMYFUNCTION("""COMPUTED_VALUE"""),2842.05)</f>
        <v>2842.05</v>
      </c>
      <c r="I16" s="32">
        <f>IFERROR(__xludf.DUMMYFUNCTION("""COMPUTED_VALUE"""),0.598198)</f>
        <v>0.598198</v>
      </c>
      <c r="J16" s="32">
        <f>IFERROR(__xludf.DUMMYFUNCTION("""COMPUTED_VALUE"""),2146.85)</f>
        <v>2146.85</v>
      </c>
      <c r="K16" s="32">
        <f>IFERROR(__xludf.DUMMYFUNCTION("""COMPUTED_VALUE"""),2954.45)</f>
        <v>2954.45</v>
      </c>
      <c r="L16" s="32">
        <f>IFERROR(__xludf.DUMMYFUNCTION("""COMPUTED_VALUE"""),1475.0)</f>
        <v>1475</v>
      </c>
      <c r="M16" s="32">
        <f>IFERROR(__xludf.DUMMYFUNCTION("""COMPUTED_VALUE"""),3629.05)</f>
        <v>3629.05</v>
      </c>
      <c r="N16" s="32">
        <f>IFERROR(__xludf.DUMMYFUNCTION("""COMPUTED_VALUE"""),1475.0)</f>
        <v>1475</v>
      </c>
      <c r="O16" s="32">
        <f>IFERROR(__xludf.DUMMYFUNCTION("""COMPUTED_VALUE"""),4025.0)</f>
        <v>4025</v>
      </c>
      <c r="P16" s="32">
        <f>IFERROR(__xludf.DUMMYFUNCTION("""COMPUTED_VALUE"""),115.05)</f>
        <v>115.05</v>
      </c>
      <c r="Q16" s="32">
        <f>IFERROR(__xludf.DUMMYFUNCTION("""COMPUTED_VALUE"""),4200.0)</f>
        <v>4200</v>
      </c>
      <c r="R16" s="32">
        <f>IFERROR(__xludf.DUMMYFUNCTION("""COMPUTED_VALUE"""),56790.477729765)</f>
        <v>56790.47773</v>
      </c>
      <c r="S16" s="32">
        <f>IFERROR(__xludf.DUMMYFUNCTION("""COMPUTED_VALUE"""),50633.2108225)</f>
        <v>50633.21082</v>
      </c>
      <c r="T16" s="32">
        <f>IFERROR(__xludf.DUMMYFUNCTION("""COMPUTED_VALUE"""),0.541258)</f>
        <v>0.541258</v>
      </c>
      <c r="U16" s="32">
        <f>IFERROR(__xludf.DUMMYFUNCTION("""COMPUTED_VALUE"""),1.248664)</f>
        <v>1.248664</v>
      </c>
      <c r="V16" s="32">
        <f>IFERROR(__xludf.DUMMYFUNCTION("""COMPUTED_VALUE"""),9.997097)</f>
        <v>9.997097</v>
      </c>
      <c r="W16" s="32">
        <f>IFERROR(__xludf.DUMMYFUNCTION("""COMPUTED_VALUE"""),1.521727)</f>
        <v>1.521727</v>
      </c>
      <c r="X16" s="32">
        <f>IFERROR(__xludf.DUMMYFUNCTION("""COMPUTED_VALUE"""),3.463233)</f>
        <v>3.463233</v>
      </c>
      <c r="Y16" s="32">
        <f>IFERROR(__xludf.DUMMYFUNCTION("""COMPUTED_VALUE"""),-6.508153)</f>
        <v>-6.508153</v>
      </c>
      <c r="Z16" s="32">
        <f>IFERROR(__xludf.DUMMYFUNCTION("""COMPUTED_VALUE"""),4.627761)</f>
        <v>4.627761</v>
      </c>
      <c r="AA16" s="32">
        <f>IFERROR(__xludf.DUMMYFUNCTION("""COMPUTED_VALUE"""),21.4077)</f>
        <v>21.4077</v>
      </c>
      <c r="AB16" s="32">
        <f>IFERROR(__xludf.DUMMYFUNCTION("""COMPUTED_VALUE"""),17.9544)</f>
        <v>17.9544</v>
      </c>
      <c r="AC16" s="32">
        <f>IFERROR(__xludf.DUMMYFUNCTION("""COMPUTED_VALUE"""),3.4546)</f>
        <v>3.4546</v>
      </c>
      <c r="AD16" s="32">
        <f>IFERROR(__xludf.DUMMYFUNCTION("""COMPUTED_VALUE"""),3.8105)</f>
        <v>3.8105</v>
      </c>
      <c r="AE16" s="32">
        <f>IFERROR(__xludf.DUMMYFUNCTION("""COMPUTED_VALUE"""),8.057456)</f>
        <v>8.057456</v>
      </c>
      <c r="AF16" s="32">
        <f>IFERROR(__xludf.DUMMYFUNCTION("""COMPUTED_VALUE"""),-4.480502)</f>
        <v>-4.480502</v>
      </c>
      <c r="AG16" s="32">
        <f>IFERROR(__xludf.DUMMYFUNCTION("""COMPUTED_VALUE"""),3.343)</f>
        <v>3.343</v>
      </c>
      <c r="AH16" s="32">
        <f>IFERROR(__xludf.DUMMYFUNCTION("""COMPUTED_VALUE"""),11.689344)</f>
        <v>11.689344</v>
      </c>
      <c r="AI16" s="32">
        <f>IFERROR(__xludf.DUMMYFUNCTION("""COMPUTED_VALUE"""),1.7476133301790495)</f>
        <v>1.74761333</v>
      </c>
      <c r="AJ16" s="32">
        <f>IFERROR(__xludf.DUMMYFUNCTION("""COMPUTED_VALUE"""),26.995521096052194)</f>
        <v>26.9955211</v>
      </c>
      <c r="AK16" s="32">
        <f>IFERROR(__xludf.DUMMYFUNCTION("""COMPUTED_VALUE"""),132.6764)</f>
        <v>132.6764</v>
      </c>
      <c r="AL16" s="32">
        <f>IFERROR(__xludf.DUMMYFUNCTION("""COMPUTED_VALUE"""),822.176)</f>
        <v>822.176</v>
      </c>
      <c r="AM16" s="32">
        <f>IFERROR(__xludf.DUMMYFUNCTION("""COMPUTED_VALUE"""),105.29029)</f>
        <v>105.29029</v>
      </c>
      <c r="AN16" s="32">
        <f>IFERROR(__xludf.DUMMYFUNCTION("""COMPUTED_VALUE"""),99.073574)</f>
        <v>99.073574</v>
      </c>
      <c r="AO16" s="32">
        <f>IFERROR(__xludf.DUMMYFUNCTION("""COMPUTED_VALUE"""),95.0)</f>
        <v>95</v>
      </c>
      <c r="AP16" s="32">
        <f>IFERROR(__xludf.DUMMYFUNCTION("""COMPUTED_VALUE"""),0.038044306046810625)</f>
        <v>0.03804430605</v>
      </c>
      <c r="AQ16" s="13"/>
      <c r="AR16" s="13"/>
      <c r="AS16" s="13"/>
      <c r="AT16" s="13"/>
      <c r="AU16" s="13"/>
      <c r="AV16" s="13"/>
      <c r="AW16" s="13"/>
      <c r="AX16" s="13"/>
      <c r="AY16" s="13"/>
      <c r="AZ16" s="13"/>
    </row>
    <row r="17">
      <c r="A17" s="13" t="str">
        <f>IFERROR(__xludf.DUMMYFUNCTION("""COMPUTED_VALUE"""),"Glaxosmithkline Pharmaceuticals Ltd.")</f>
        <v>Glaxosmithkline Pharmaceuticals Ltd.</v>
      </c>
      <c r="B17" s="30">
        <f>IFERROR(__xludf.DUMMYFUNCTION("""COMPUTED_VALUE"""),500660.0)</f>
        <v>500660</v>
      </c>
      <c r="C17" s="13" t="str">
        <f>IFERROR(__xludf.DUMMYFUNCTION("""COMPUTED_VALUE"""),"GLAXO")</f>
        <v>GLAXO</v>
      </c>
      <c r="D17" s="13" t="str">
        <f>IFERROR(__xludf.DUMMYFUNCTION("""COMPUTED_VALUE"""),"INE159A01016")</f>
        <v>INE159A01016</v>
      </c>
      <c r="E17" s="13" t="str">
        <f>IFERROR(__xludf.DUMMYFUNCTION("""COMPUTED_VALUE"""),"Healthcare")</f>
        <v>Healthcare</v>
      </c>
      <c r="F17" s="13" t="str">
        <f>IFERROR(__xludf.DUMMYFUNCTION("""COMPUTED_VALUE"""),"Drugs &amp; Pharma")</f>
        <v>Drugs &amp; Pharma</v>
      </c>
      <c r="G17" s="31">
        <f>IFERROR(__xludf.DUMMYFUNCTION("""COMPUTED_VALUE"""),44809.0)</f>
        <v>44809</v>
      </c>
      <c r="H17" s="32">
        <f>IFERROR(__xludf.DUMMYFUNCTION("""COMPUTED_VALUE"""),1440.15)</f>
        <v>1440.15</v>
      </c>
      <c r="I17" s="32">
        <f>IFERROR(__xludf.DUMMYFUNCTION("""COMPUTED_VALUE"""),0.446382)</f>
        <v>0.446382</v>
      </c>
      <c r="J17" s="32">
        <f>IFERROR(__xludf.DUMMYFUNCTION("""COMPUTED_VALUE"""),1372.05)</f>
        <v>1372.05</v>
      </c>
      <c r="K17" s="32">
        <f>IFERROR(__xludf.DUMMYFUNCTION("""COMPUTED_VALUE"""),1918.75)</f>
        <v>1918.75</v>
      </c>
      <c r="L17" s="32">
        <f>IFERROR(__xludf.DUMMYFUNCTION("""COMPUTED_VALUE"""),962.65)</f>
        <v>962.65</v>
      </c>
      <c r="M17" s="32">
        <f>IFERROR(__xludf.DUMMYFUNCTION("""COMPUTED_VALUE"""),1918.75)</f>
        <v>1918.75</v>
      </c>
      <c r="N17" s="32">
        <f>IFERROR(__xludf.DUMMYFUNCTION("""COMPUTED_VALUE"""),962.65)</f>
        <v>962.65</v>
      </c>
      <c r="O17" s="32">
        <f>IFERROR(__xludf.DUMMYFUNCTION("""COMPUTED_VALUE"""),1918.75)</f>
        <v>1918.75</v>
      </c>
      <c r="P17" s="32">
        <f>IFERROR(__xludf.DUMMYFUNCTION("""COMPUTED_VALUE"""),48.05)</f>
        <v>48.05</v>
      </c>
      <c r="Q17" s="32">
        <f>IFERROR(__xludf.DUMMYFUNCTION("""COMPUTED_VALUE"""),1936.0)</f>
        <v>1936</v>
      </c>
      <c r="R17" s="32">
        <f>IFERROR(__xludf.DUMMYFUNCTION("""COMPUTED_VALUE"""),24397.00998651)</f>
        <v>24397.00999</v>
      </c>
      <c r="S17" s="32">
        <f>IFERROR(__xludf.DUMMYFUNCTION("""COMPUTED_VALUE"""),21464.74796002)</f>
        <v>21464.74796</v>
      </c>
      <c r="T17" s="32">
        <f>IFERROR(__xludf.DUMMYFUNCTION("""COMPUTED_VALUE"""),-2.060594)</f>
        <v>-2.060594</v>
      </c>
      <c r="U17" s="32">
        <f>IFERROR(__xludf.DUMMYFUNCTION("""COMPUTED_VALUE"""),3.188478)</f>
        <v>3.188478</v>
      </c>
      <c r="V17" s="32">
        <f>IFERROR(__xludf.DUMMYFUNCTION("""COMPUTED_VALUE"""),-4.009198)</f>
        <v>-4.009198</v>
      </c>
      <c r="W17" s="32">
        <f>IFERROR(__xludf.DUMMYFUNCTION("""COMPUTED_VALUE"""),-4.71102)</f>
        <v>-4.71102</v>
      </c>
      <c r="X17" s="32">
        <f>IFERROR(__xludf.DUMMYFUNCTION("""COMPUTED_VALUE"""),4.796979)</f>
        <v>4.796979</v>
      </c>
      <c r="Y17" s="32">
        <f>IFERROR(__xludf.DUMMYFUNCTION("""COMPUTED_VALUE"""),3.464914)</f>
        <v>3.464914</v>
      </c>
      <c r="Z17" s="32">
        <f>IFERROR(__xludf.DUMMYFUNCTION("""COMPUTED_VALUE"""),3.20805)</f>
        <v>3.20805</v>
      </c>
      <c r="AA17" s="32">
        <f>IFERROR(__xludf.DUMMYFUNCTION("""COMPUTED_VALUE"""),14.4187)</f>
        <v>14.4187</v>
      </c>
      <c r="AB17" s="32">
        <f>IFERROR(__xludf.DUMMYFUNCTION("""COMPUTED_VALUE"""),57.7894)</f>
        <v>57.7894</v>
      </c>
      <c r="AC17" s="32">
        <f>IFERROR(__xludf.DUMMYFUNCTION("""COMPUTED_VALUE"""),8.783)</f>
        <v>8.783</v>
      </c>
      <c r="AD17" s="32">
        <f>IFERROR(__xludf.DUMMYFUNCTION("""COMPUTED_VALUE"""),12.7019)</f>
        <v>12.7019</v>
      </c>
      <c r="AE17" s="32">
        <f>IFERROR(__xludf.DUMMYFUNCTION("""COMPUTED_VALUE"""),4.061603)</f>
        <v>4.061603</v>
      </c>
      <c r="AF17" s="32">
        <f>IFERROR(__xludf.DUMMYFUNCTION("""COMPUTED_VALUE"""),5.805338)</f>
        <v>5.805338</v>
      </c>
      <c r="AG17" s="32">
        <f>IFERROR(__xludf.DUMMYFUNCTION("""COMPUTED_VALUE"""),6.2461)</f>
        <v>6.2461</v>
      </c>
      <c r="AH17" s="32">
        <f>IFERROR(__xludf.DUMMYFUNCTION("""COMPUTED_VALUE"""),24.668438)</f>
        <v>24.668438</v>
      </c>
      <c r="AI17" s="32">
        <f>IFERROR(__xludf.DUMMYFUNCTION("""COMPUTED_VALUE"""),7.21693999340634)</f>
        <v>7.216939993</v>
      </c>
      <c r="AJ17" s="32">
        <f>IFERROR(__xludf.DUMMYFUNCTION("""COMPUTED_VALUE"""),30.091984198427674)</f>
        <v>30.0919842</v>
      </c>
      <c r="AK17" s="32">
        <f>IFERROR(__xludf.DUMMYFUNCTION("""COMPUTED_VALUE"""),99.9327)</f>
        <v>99.9327</v>
      </c>
      <c r="AL17" s="32">
        <f>IFERROR(__xludf.DUMMYFUNCTION("""COMPUTED_VALUE"""),164.0547)</f>
        <v>164.0547</v>
      </c>
      <c r="AM17" s="32">
        <f>IFERROR(__xludf.DUMMYFUNCTION("""COMPUTED_VALUE"""),47.858269)</f>
        <v>47.858269</v>
      </c>
      <c r="AN17" s="32">
        <f>IFERROR(__xludf.DUMMYFUNCTION("""COMPUTED_VALUE"""),31.556238)</f>
        <v>31.556238</v>
      </c>
      <c r="AO17" s="32">
        <f>IFERROR(__xludf.DUMMYFUNCTION("""COMPUTED_VALUE"""),90.0)</f>
        <v>90</v>
      </c>
      <c r="AP17" s="32">
        <f>IFERROR(__xludf.DUMMYFUNCTION("""COMPUTED_VALUE"""),0.2494332247557003)</f>
        <v>0.2494332248</v>
      </c>
      <c r="AQ17" s="13"/>
      <c r="AR17" s="13"/>
      <c r="AS17" s="13"/>
      <c r="AT17" s="13"/>
      <c r="AU17" s="13"/>
      <c r="AV17" s="13"/>
      <c r="AW17" s="13"/>
      <c r="AX17" s="13"/>
      <c r="AY17" s="13"/>
      <c r="AZ17" s="13"/>
    </row>
    <row r="18">
      <c r="A18" s="13" t="str">
        <f>IFERROR(__xludf.DUMMYFUNCTION("""COMPUTED_VALUE"""),"Honeywell Automation India Ltd.")</f>
        <v>Honeywell Automation India Ltd.</v>
      </c>
      <c r="B18" s="30">
        <f>IFERROR(__xludf.DUMMYFUNCTION("""COMPUTED_VALUE"""),517174.0)</f>
        <v>517174</v>
      </c>
      <c r="C18" s="13" t="str">
        <f>IFERROR(__xludf.DUMMYFUNCTION("""COMPUTED_VALUE"""),"HONAUT")</f>
        <v>HONAUT</v>
      </c>
      <c r="D18" s="13" t="str">
        <f>IFERROR(__xludf.DUMMYFUNCTION("""COMPUTED_VALUE"""),"INE671A01010")</f>
        <v>INE671A01010</v>
      </c>
      <c r="E18" s="13" t="str">
        <f>IFERROR(__xludf.DUMMYFUNCTION("""COMPUTED_VALUE"""),"Capital Goods")</f>
        <v>Capital Goods</v>
      </c>
      <c r="F18" s="13" t="str">
        <f>IFERROR(__xludf.DUMMYFUNCTION("""COMPUTED_VALUE"""),"Electronic Components")</f>
        <v>Electronic Components</v>
      </c>
      <c r="G18" s="31">
        <f>IFERROR(__xludf.DUMMYFUNCTION("""COMPUTED_VALUE"""),44809.0)</f>
        <v>44809</v>
      </c>
      <c r="H18" s="32">
        <f>IFERROR(__xludf.DUMMYFUNCTION("""COMPUTED_VALUE"""),41954.05)</f>
        <v>41954.05</v>
      </c>
      <c r="I18" s="32">
        <f>IFERROR(__xludf.DUMMYFUNCTION("""COMPUTED_VALUE"""),-0.588591)</f>
        <v>-0.588591</v>
      </c>
      <c r="J18" s="32">
        <f>IFERROR(__xludf.DUMMYFUNCTION("""COMPUTED_VALUE"""),30185.35)</f>
        <v>30185.35</v>
      </c>
      <c r="K18" s="32">
        <f>IFERROR(__xludf.DUMMYFUNCTION("""COMPUTED_VALUE"""),47400.0)</f>
        <v>47400</v>
      </c>
      <c r="L18" s="32">
        <f>IFERROR(__xludf.DUMMYFUNCTION("""COMPUTED_VALUE"""),20142.0)</f>
        <v>20142</v>
      </c>
      <c r="M18" s="32">
        <f>IFERROR(__xludf.DUMMYFUNCTION("""COMPUTED_VALUE"""),49990.0)</f>
        <v>49990</v>
      </c>
      <c r="N18" s="32">
        <f>IFERROR(__xludf.DUMMYFUNCTION("""COMPUTED_VALUE"""),13300.0)</f>
        <v>13300</v>
      </c>
      <c r="O18" s="32">
        <f>IFERROR(__xludf.DUMMYFUNCTION("""COMPUTED_VALUE"""),49990.0)</f>
        <v>49990</v>
      </c>
      <c r="P18" s="32">
        <f>IFERROR(__xludf.DUMMYFUNCTION("""COMPUTED_VALUE"""),90.0)</f>
        <v>90</v>
      </c>
      <c r="Q18" s="32">
        <f>IFERROR(__xludf.DUMMYFUNCTION("""COMPUTED_VALUE"""),49990.0)</f>
        <v>49990</v>
      </c>
      <c r="R18" s="32">
        <f>IFERROR(__xludf.DUMMYFUNCTION("""COMPUTED_VALUE"""),37048.678034515)</f>
        <v>37048.67803</v>
      </c>
      <c r="S18" s="32">
        <f>IFERROR(__xludf.DUMMYFUNCTION("""COMPUTED_VALUE"""),35295.148761855)</f>
        <v>35295.14876</v>
      </c>
      <c r="T18" s="32">
        <f>IFERROR(__xludf.DUMMYFUNCTION("""COMPUTED_VALUE"""),-1.870709)</f>
        <v>-1.870709</v>
      </c>
      <c r="U18" s="32">
        <f>IFERROR(__xludf.DUMMYFUNCTION("""COMPUTED_VALUE"""),1.453707)</f>
        <v>1.453707</v>
      </c>
      <c r="V18" s="32">
        <f>IFERROR(__xludf.DUMMYFUNCTION("""COMPUTED_VALUE"""),31.250166)</f>
        <v>31.250166</v>
      </c>
      <c r="W18" s="32">
        <f>IFERROR(__xludf.DUMMYFUNCTION("""COMPUTED_VALUE"""),4.463094)</f>
        <v>4.463094</v>
      </c>
      <c r="X18" s="32">
        <f>IFERROR(__xludf.DUMMYFUNCTION("""COMPUTED_VALUE"""),19.489305)</f>
        <v>19.489305</v>
      </c>
      <c r="Y18" s="32">
        <f>IFERROR(__xludf.DUMMYFUNCTION("""COMPUTED_VALUE"""),25.543391)</f>
        <v>25.543391</v>
      </c>
      <c r="Z18" s="32">
        <f>IFERROR(__xludf.DUMMYFUNCTION("""COMPUTED_VALUE"""),33.018488)</f>
        <v>33.018488</v>
      </c>
      <c r="AA18" s="32">
        <f>IFERROR(__xludf.DUMMYFUNCTION("""COMPUTED_VALUE"""),105.9836)</f>
        <v>105.9836</v>
      </c>
      <c r="AB18" s="32">
        <f>IFERROR(__xludf.DUMMYFUNCTION("""COMPUTED_VALUE"""),66.26)</f>
        <v>66.26</v>
      </c>
      <c r="AC18" s="32">
        <f>IFERROR(__xludf.DUMMYFUNCTION("""COMPUTED_VALUE"""),12.6469)</f>
        <v>12.6469</v>
      </c>
      <c r="AD18" s="32">
        <f>IFERROR(__xludf.DUMMYFUNCTION("""COMPUTED_VALUE"""),12.5458)</f>
        <v>12.5458</v>
      </c>
      <c r="AE18" s="32">
        <f>IFERROR(__xludf.DUMMYFUNCTION("""COMPUTED_VALUE"""),1.615269)</f>
        <v>1.615269</v>
      </c>
      <c r="AF18" s="32">
        <f>IFERROR(__xludf.DUMMYFUNCTION("""COMPUTED_VALUE"""),7.925053)</f>
        <v>7.925053</v>
      </c>
      <c r="AG18" s="32">
        <f>IFERROR(__xludf.DUMMYFUNCTION("""COMPUTED_VALUE"""),0.2148)</f>
        <v>0.2148</v>
      </c>
      <c r="AH18" s="32">
        <f>IFERROR(__xludf.DUMMYFUNCTION("""COMPUTED_VALUE"""),66.821561)</f>
        <v>66.821561</v>
      </c>
      <c r="AI18" s="32">
        <f>IFERROR(__xludf.DUMMYFUNCTION("""COMPUTED_VALUE"""),12.141972095249878)</f>
        <v>12.1419721</v>
      </c>
      <c r="AJ18" s="32">
        <f>IFERROR(__xludf.DUMMYFUNCTION("""COMPUTED_VALUE"""),140.55951906258062)</f>
        <v>140.5595191</v>
      </c>
      <c r="AK18" s="32">
        <f>IFERROR(__xludf.DUMMYFUNCTION("""COMPUTED_VALUE"""),395.3731)</f>
        <v>395.3731</v>
      </c>
      <c r="AL18" s="32">
        <f>IFERROR(__xludf.DUMMYFUNCTION("""COMPUTED_VALUE"""),3313.311)</f>
        <v>3313.311</v>
      </c>
      <c r="AM18" s="32">
        <f>IFERROR(__xludf.DUMMYFUNCTION("""COMPUTED_VALUE"""),298.167421)</f>
        <v>298.167421</v>
      </c>
      <c r="AN18" s="32">
        <f>IFERROR(__xludf.DUMMYFUNCTION("""COMPUTED_VALUE"""),384.59276)</f>
        <v>384.59276</v>
      </c>
      <c r="AO18" s="32">
        <f>IFERROR(__xludf.DUMMYFUNCTION("""COMPUTED_VALUE"""),90.0)</f>
        <v>90</v>
      </c>
      <c r="AP18" s="32">
        <f>IFERROR(__xludf.DUMMYFUNCTION("""COMPUTED_VALUE"""),0.11489345991561176)</f>
        <v>0.1148934599</v>
      </c>
      <c r="AQ18" s="13"/>
      <c r="AR18" s="13"/>
      <c r="AS18" s="13"/>
      <c r="AT18" s="13"/>
      <c r="AU18" s="13"/>
      <c r="AV18" s="13"/>
      <c r="AW18" s="13"/>
      <c r="AX18" s="13"/>
      <c r="AY18" s="13"/>
      <c r="AZ18" s="13"/>
    </row>
    <row r="19">
      <c r="A19" s="13" t="str">
        <f>IFERROR(__xludf.DUMMYFUNCTION("""COMPUTED_VALUE"""),"Shree Cement Ltd.")</f>
        <v>Shree Cement Ltd.</v>
      </c>
      <c r="B19" s="30">
        <f>IFERROR(__xludf.DUMMYFUNCTION("""COMPUTED_VALUE"""),500387.0)</f>
        <v>500387</v>
      </c>
      <c r="C19" s="13" t="str">
        <f>IFERROR(__xludf.DUMMYFUNCTION("""COMPUTED_VALUE"""),"SHREECEM")</f>
        <v>SHREECEM</v>
      </c>
      <c r="D19" s="13" t="str">
        <f>IFERROR(__xludf.DUMMYFUNCTION("""COMPUTED_VALUE"""),"INE070A01015")</f>
        <v>INE070A01015</v>
      </c>
      <c r="E19" s="13" t="str">
        <f>IFERROR(__xludf.DUMMYFUNCTION("""COMPUTED_VALUE"""),"Materials")</f>
        <v>Materials</v>
      </c>
      <c r="F19" s="13" t="str">
        <f>IFERROR(__xludf.DUMMYFUNCTION("""COMPUTED_VALUE"""),"Cement")</f>
        <v>Cement</v>
      </c>
      <c r="G19" s="31">
        <f>IFERROR(__xludf.DUMMYFUNCTION("""COMPUTED_VALUE"""),44809.0)</f>
        <v>44809</v>
      </c>
      <c r="H19" s="32">
        <f>IFERROR(__xludf.DUMMYFUNCTION("""COMPUTED_VALUE"""),21293.65)</f>
        <v>21293.65</v>
      </c>
      <c r="I19" s="32">
        <f>IFERROR(__xludf.DUMMYFUNCTION("""COMPUTED_VALUE"""),0.973284)</f>
        <v>0.973284</v>
      </c>
      <c r="J19" s="32">
        <f>IFERROR(__xludf.DUMMYFUNCTION("""COMPUTED_VALUE"""),17865.2)</f>
        <v>17865.2</v>
      </c>
      <c r="K19" s="32">
        <f>IFERROR(__xludf.DUMMYFUNCTION("""COMPUTED_VALUE"""),31469.95)</f>
        <v>31469.95</v>
      </c>
      <c r="L19" s="32">
        <f>IFERROR(__xludf.DUMMYFUNCTION("""COMPUTED_VALUE"""),15410.0)</f>
        <v>15410</v>
      </c>
      <c r="M19" s="32">
        <f>IFERROR(__xludf.DUMMYFUNCTION("""COMPUTED_VALUE"""),32050.0)</f>
        <v>32050</v>
      </c>
      <c r="N19" s="32">
        <f>IFERROR(__xludf.DUMMYFUNCTION("""COMPUTED_VALUE"""),13100.0)</f>
        <v>13100</v>
      </c>
      <c r="O19" s="32">
        <f>IFERROR(__xludf.DUMMYFUNCTION("""COMPUTED_VALUE"""),32050.0)</f>
        <v>32050</v>
      </c>
      <c r="P19" s="32">
        <f>IFERROR(__xludf.DUMMYFUNCTION("""COMPUTED_VALUE"""),20.0)</f>
        <v>20</v>
      </c>
      <c r="Q19" s="32">
        <f>IFERROR(__xludf.DUMMYFUNCTION("""COMPUTED_VALUE"""),32050.0)</f>
        <v>32050</v>
      </c>
      <c r="R19" s="32">
        <f>IFERROR(__xludf.DUMMYFUNCTION("""COMPUTED_VALUE"""),76829.08196502001)</f>
        <v>76829.08197</v>
      </c>
      <c r="S19" s="32">
        <f>IFERROR(__xludf.DUMMYFUNCTION("""COMPUTED_VALUE"""),74271.60069816)</f>
        <v>74271.6007</v>
      </c>
      <c r="T19" s="32">
        <f>IFERROR(__xludf.DUMMYFUNCTION("""COMPUTED_VALUE"""),-3.639486)</f>
        <v>-3.639486</v>
      </c>
      <c r="U19" s="32">
        <f>IFERROR(__xludf.DUMMYFUNCTION("""COMPUTED_VALUE"""),2.92804)</f>
        <v>2.92804</v>
      </c>
      <c r="V19" s="32">
        <f>IFERROR(__xludf.DUMMYFUNCTION("""COMPUTED_VALUE"""),3.176907)</f>
        <v>3.176907</v>
      </c>
      <c r="W19" s="32">
        <f>IFERROR(__xludf.DUMMYFUNCTION("""COMPUTED_VALUE"""),-30.04898)</f>
        <v>-30.04898</v>
      </c>
      <c r="X19" s="32">
        <f>IFERROR(__xludf.DUMMYFUNCTION("""COMPUTED_VALUE"""),6.332931)</f>
        <v>6.332931</v>
      </c>
      <c r="Y19" s="32">
        <f>IFERROR(__xludf.DUMMYFUNCTION("""COMPUTED_VALUE"""),3.574842)</f>
        <v>3.574842</v>
      </c>
      <c r="Z19" s="32">
        <f>IFERROR(__xludf.DUMMYFUNCTION("""COMPUTED_VALUE"""),20.382758)</f>
        <v>20.382758</v>
      </c>
      <c r="AA19" s="32">
        <f>IFERROR(__xludf.DUMMYFUNCTION("""COMPUTED_VALUE"""),38.875)</f>
        <v>38.875</v>
      </c>
      <c r="AB19" s="32">
        <f>IFERROR(__xludf.DUMMYFUNCTION("""COMPUTED_VALUE"""),49.5022)</f>
        <v>49.5022</v>
      </c>
      <c r="AC19" s="32">
        <f>IFERROR(__xludf.DUMMYFUNCTION("""COMPUTED_VALUE"""),4.3425)</f>
        <v>4.3425</v>
      </c>
      <c r="AD19" s="32">
        <f>IFERROR(__xludf.DUMMYFUNCTION("""COMPUTED_VALUE"""),6.3411)</f>
        <v>6.3411</v>
      </c>
      <c r="AE19" s="32">
        <f>IFERROR(__xludf.DUMMYFUNCTION("""COMPUTED_VALUE"""),4.042714)</f>
        <v>4.042714</v>
      </c>
      <c r="AF19" s="32">
        <f>IFERROR(__xludf.DUMMYFUNCTION("""COMPUTED_VALUE"""),3.300674)</f>
        <v>3.300674</v>
      </c>
      <c r="AG19" s="32">
        <f>IFERROR(__xludf.DUMMYFUNCTION("""COMPUTED_VALUE"""),0.4225)</f>
        <v>0.4225</v>
      </c>
      <c r="AH19" s="32">
        <f>IFERROR(__xludf.DUMMYFUNCTION("""COMPUTED_VALUE"""),19.189298)</f>
        <v>19.189298</v>
      </c>
      <c r="AI19" s="32">
        <f>IFERROR(__xludf.DUMMYFUNCTION("""COMPUTED_VALUE"""),4.86580909467003)</f>
        <v>4.865809095</v>
      </c>
      <c r="AJ19" s="32">
        <f>IFERROR(__xludf.DUMMYFUNCTION("""COMPUTED_VALUE"""),28.796723350632316)</f>
        <v>28.79672335</v>
      </c>
      <c r="AK19" s="32">
        <f>IFERROR(__xludf.DUMMYFUNCTION("""COMPUTED_VALUE"""),549.1959)</f>
        <v>549.1959</v>
      </c>
      <c r="AL19" s="32">
        <f>IFERROR(__xludf.DUMMYFUNCTION("""COMPUTED_VALUE"""),4916.5114)</f>
        <v>4916.5114</v>
      </c>
      <c r="AM19" s="32">
        <f>IFERROR(__xludf.DUMMYFUNCTION("""COMPUTED_VALUE"""),739.462306)</f>
        <v>739.462306</v>
      </c>
      <c r="AN19" s="32">
        <f>IFERROR(__xludf.DUMMYFUNCTION("""COMPUTED_VALUE"""),115.468404)</f>
        <v>115.468404</v>
      </c>
      <c r="AO19" s="32">
        <f>IFERROR(__xludf.DUMMYFUNCTION("""COMPUTED_VALUE"""),90.0)</f>
        <v>90</v>
      </c>
      <c r="AP19" s="32">
        <f>IFERROR(__xludf.DUMMYFUNCTION("""COMPUTED_VALUE"""),0.32336562339628755)</f>
        <v>0.3233656234</v>
      </c>
      <c r="AQ19" s="13"/>
      <c r="AR19" s="13"/>
      <c r="AS19" s="13"/>
      <c r="AT19" s="13"/>
      <c r="AU19" s="13"/>
      <c r="AV19" s="13"/>
      <c r="AW19" s="13"/>
      <c r="AX19" s="13"/>
      <c r="AY19" s="13"/>
      <c r="AZ19" s="13"/>
    </row>
    <row r="20">
      <c r="A20" s="13" t="str">
        <f>IFERROR(__xludf.DUMMYFUNCTION("""COMPUTED_VALUE"""),"Maharashtra Scooters Ltd.")</f>
        <v>Maharashtra Scooters Ltd.</v>
      </c>
      <c r="B20" s="30">
        <f>IFERROR(__xludf.DUMMYFUNCTION("""COMPUTED_VALUE"""),500266.0)</f>
        <v>500266</v>
      </c>
      <c r="C20" s="13" t="str">
        <f>IFERROR(__xludf.DUMMYFUNCTION("""COMPUTED_VALUE"""),"MAHSCOOTER")</f>
        <v>MAHSCOOTER</v>
      </c>
      <c r="D20" s="13" t="str">
        <f>IFERROR(__xludf.DUMMYFUNCTION("""COMPUTED_VALUE"""),"INE288A01013")</f>
        <v>INE288A01013</v>
      </c>
      <c r="E20" s="13" t="str">
        <f>IFERROR(__xludf.DUMMYFUNCTION("""COMPUTED_VALUE"""),"Automobile")</f>
        <v>Automobile</v>
      </c>
      <c r="F20" s="13" t="str">
        <f>IFERROR(__xludf.DUMMYFUNCTION("""COMPUTED_VALUE"""),"Two &amp; Three Wheelers")</f>
        <v>Two &amp; Three Wheelers</v>
      </c>
      <c r="G20" s="31">
        <f>IFERROR(__xludf.DUMMYFUNCTION("""COMPUTED_VALUE"""),44809.0)</f>
        <v>44809</v>
      </c>
      <c r="H20" s="32">
        <f>IFERROR(__xludf.DUMMYFUNCTION("""COMPUTED_VALUE"""),4484.4)</f>
        <v>4484.4</v>
      </c>
      <c r="I20" s="32">
        <f>IFERROR(__xludf.DUMMYFUNCTION("""COMPUTED_VALUE"""),7.881062)</f>
        <v>7.881062</v>
      </c>
      <c r="J20" s="32">
        <f>IFERROR(__xludf.DUMMYFUNCTION("""COMPUTED_VALUE"""),3325.0)</f>
        <v>3325</v>
      </c>
      <c r="K20" s="32">
        <f>IFERROR(__xludf.DUMMYFUNCTION("""COMPUTED_VALUE"""),5050.0)</f>
        <v>5050</v>
      </c>
      <c r="L20" s="32">
        <f>IFERROR(__xludf.DUMMYFUNCTION("""COMPUTED_VALUE"""),1813.0)</f>
        <v>1813</v>
      </c>
      <c r="M20" s="32">
        <f>IFERROR(__xludf.DUMMYFUNCTION("""COMPUTED_VALUE"""),5050.0)</f>
        <v>5050</v>
      </c>
      <c r="N20" s="32">
        <f>IFERROR(__xludf.DUMMYFUNCTION("""COMPUTED_VALUE"""),1813.0)</f>
        <v>1813</v>
      </c>
      <c r="O20" s="32">
        <f>IFERROR(__xludf.DUMMYFUNCTION("""COMPUTED_VALUE"""),5050.0)</f>
        <v>5050</v>
      </c>
      <c r="P20" s="32">
        <f>IFERROR(__xludf.DUMMYFUNCTION("""COMPUTED_VALUE"""),13.1)</f>
        <v>13.1</v>
      </c>
      <c r="Q20" s="32">
        <f>IFERROR(__xludf.DUMMYFUNCTION("""COMPUTED_VALUE"""),5050.0)</f>
        <v>5050</v>
      </c>
      <c r="R20" s="32">
        <f>IFERROR(__xludf.DUMMYFUNCTION("""COMPUTED_VALUE"""),5107.65561056)</f>
        <v>5107.655611</v>
      </c>
      <c r="S20" s="32">
        <f>IFERROR(__xludf.DUMMYFUNCTION("""COMPUTED_VALUE"""),4637.09031868)</f>
        <v>4637.090319</v>
      </c>
      <c r="T20" s="32">
        <f>IFERROR(__xludf.DUMMYFUNCTION("""COMPUTED_VALUE"""),8.689013)</f>
        <v>8.689013</v>
      </c>
      <c r="U20" s="32">
        <f>IFERROR(__xludf.DUMMYFUNCTION("""COMPUTED_VALUE"""),15.115966)</f>
        <v>15.115966</v>
      </c>
      <c r="V20" s="32">
        <f>IFERROR(__xludf.DUMMYFUNCTION("""COMPUTED_VALUE"""),15.252059)</f>
        <v>15.252059</v>
      </c>
      <c r="W20" s="32">
        <f>IFERROR(__xludf.DUMMYFUNCTION("""COMPUTED_VALUE"""),-1.665442)</f>
        <v>-1.665442</v>
      </c>
      <c r="X20" s="32">
        <f>IFERROR(__xludf.DUMMYFUNCTION("""COMPUTED_VALUE"""),5.720319)</f>
        <v>5.720319</v>
      </c>
      <c r="Y20" s="32">
        <f>IFERROR(__xludf.DUMMYFUNCTION("""COMPUTED_VALUE"""),12.580855)</f>
        <v>12.580855</v>
      </c>
      <c r="Z20" s="32">
        <f>IFERROR(__xludf.DUMMYFUNCTION("""COMPUTED_VALUE"""),29.397787)</f>
        <v>29.397787</v>
      </c>
      <c r="AA20" s="32">
        <f>IFERROR(__xludf.DUMMYFUNCTION("""COMPUTED_VALUE"""),35.9694)</f>
        <v>35.9694</v>
      </c>
      <c r="AB20" s="32">
        <f>IFERROR(__xludf.DUMMYFUNCTION("""COMPUTED_VALUE"""),46.262)</f>
        <v>46.262</v>
      </c>
      <c r="AC20" s="32">
        <f>IFERROR(__xludf.DUMMYFUNCTION("""COMPUTED_VALUE"""),0.2235)</f>
        <v>0.2235</v>
      </c>
      <c r="AD20" s="32">
        <f>IFERROR(__xludf.DUMMYFUNCTION("""COMPUTED_VALUE"""),0.3609)</f>
        <v>0.3609</v>
      </c>
      <c r="AE20" s="32">
        <f>IFERROR(__xludf.DUMMYFUNCTION("""COMPUTED_VALUE"""),6.983706)</f>
        <v>6.983706</v>
      </c>
      <c r="AF20" s="32">
        <f>IFERROR(__xludf.DUMMYFUNCTION("""COMPUTED_VALUE"""),0.577848)</f>
        <v>0.577848</v>
      </c>
      <c r="AG20" s="32">
        <f>IFERROR(__xludf.DUMMYFUNCTION("""COMPUTED_VALUE"""),1.79)</f>
        <v>1.79</v>
      </c>
      <c r="AH20" s="32">
        <f>IFERROR(__xludf.DUMMYFUNCTION("""COMPUTED_VALUE"""),26.737533)</f>
        <v>26.737533</v>
      </c>
      <c r="AI20" s="32">
        <f>IFERROR(__xludf.DUMMYFUNCTION("""COMPUTED_VALUE"""),295.4109664869867)</f>
        <v>295.4109665</v>
      </c>
      <c r="AJ20" s="32">
        <f>IFERROR(__xludf.DUMMYFUNCTION("""COMPUTED_VALUE"""),-133.7975771931525)</f>
        <v>-133.7975772</v>
      </c>
      <c r="AK20" s="32">
        <f>IFERROR(__xludf.DUMMYFUNCTION("""COMPUTED_VALUE"""),124.25)</f>
        <v>124.25</v>
      </c>
      <c r="AL20" s="32">
        <f>IFERROR(__xludf.DUMMYFUNCTION("""COMPUTED_VALUE"""),19997.589)</f>
        <v>19997.589</v>
      </c>
      <c r="AM20" s="32">
        <f>IFERROR(__xludf.DUMMYFUNCTION("""COMPUTED_VALUE"""),-33.402604)</f>
        <v>-33.402604</v>
      </c>
      <c r="AN20" s="32">
        <f>IFERROR(__xludf.DUMMYFUNCTION("""COMPUTED_VALUE"""),119.200252)</f>
        <v>119.200252</v>
      </c>
      <c r="AO20" s="32">
        <f>IFERROR(__xludf.DUMMYFUNCTION("""COMPUTED_VALUE"""),80.0)</f>
        <v>80</v>
      </c>
      <c r="AP20" s="32">
        <f>IFERROR(__xludf.DUMMYFUNCTION("""COMPUTED_VALUE"""),0.11200000000000007)</f>
        <v>0.112</v>
      </c>
      <c r="AQ20" s="13"/>
      <c r="AR20" s="13"/>
      <c r="AS20" s="13"/>
      <c r="AT20" s="13"/>
      <c r="AU20" s="13"/>
      <c r="AV20" s="13"/>
      <c r="AW20" s="13"/>
      <c r="AX20" s="13"/>
      <c r="AY20" s="13"/>
      <c r="AZ20" s="13"/>
    </row>
    <row r="21">
      <c r="A21" s="13" t="str">
        <f>IFERROR(__xludf.DUMMYFUNCTION("""COMPUTED_VALUE"""),"Akzo Nobel India Ltd.")</f>
        <v>Akzo Nobel India Ltd.</v>
      </c>
      <c r="B21" s="30">
        <f>IFERROR(__xludf.DUMMYFUNCTION("""COMPUTED_VALUE"""),500710.0)</f>
        <v>500710</v>
      </c>
      <c r="C21" s="13" t="str">
        <f>IFERROR(__xludf.DUMMYFUNCTION("""COMPUTED_VALUE"""),"AKZOINDIA")</f>
        <v>AKZOINDIA</v>
      </c>
      <c r="D21" s="13" t="str">
        <f>IFERROR(__xludf.DUMMYFUNCTION("""COMPUTED_VALUE"""),"INE133A01011")</f>
        <v>INE133A01011</v>
      </c>
      <c r="E21" s="13" t="str">
        <f>IFERROR(__xludf.DUMMYFUNCTION("""COMPUTED_VALUE"""),"Materials")</f>
        <v>Materials</v>
      </c>
      <c r="F21" s="13" t="str">
        <f>IFERROR(__xludf.DUMMYFUNCTION("""COMPUTED_VALUE"""),"Paints &amp; Varnishes")</f>
        <v>Paints &amp; Varnishes</v>
      </c>
      <c r="G21" s="31">
        <f>IFERROR(__xludf.DUMMYFUNCTION("""COMPUTED_VALUE"""),44809.0)</f>
        <v>44809</v>
      </c>
      <c r="H21" s="32">
        <f>IFERROR(__xludf.DUMMYFUNCTION("""COMPUTED_VALUE"""),1944.85)</f>
        <v>1944.85</v>
      </c>
      <c r="I21" s="32">
        <f>IFERROR(__xludf.DUMMYFUNCTION("""COMPUTED_VALUE"""),0.231917)</f>
        <v>0.231917</v>
      </c>
      <c r="J21" s="32">
        <f>IFERROR(__xludf.DUMMYFUNCTION("""COMPUTED_VALUE"""),1687.6)</f>
        <v>1687.6</v>
      </c>
      <c r="K21" s="32">
        <f>IFERROR(__xludf.DUMMYFUNCTION("""COMPUTED_VALUE"""),2319.0)</f>
        <v>2319</v>
      </c>
      <c r="L21" s="32">
        <f>IFERROR(__xludf.DUMMYFUNCTION("""COMPUTED_VALUE"""),1685.0)</f>
        <v>1685</v>
      </c>
      <c r="M21" s="32">
        <f>IFERROR(__xludf.DUMMYFUNCTION("""COMPUTED_VALUE"""),2530.0)</f>
        <v>2530</v>
      </c>
      <c r="N21" s="32">
        <f>IFERROR(__xludf.DUMMYFUNCTION("""COMPUTED_VALUE"""),1471.0)</f>
        <v>1471</v>
      </c>
      <c r="O21" s="32">
        <f>IFERROR(__xludf.DUMMYFUNCTION("""COMPUTED_VALUE"""),2530.0)</f>
        <v>2530</v>
      </c>
      <c r="P21" s="32">
        <f>IFERROR(__xludf.DUMMYFUNCTION("""COMPUTED_VALUE"""),48.3)</f>
        <v>48.3</v>
      </c>
      <c r="Q21" s="32">
        <f>IFERROR(__xludf.DUMMYFUNCTION("""COMPUTED_VALUE"""),2530.0)</f>
        <v>2530</v>
      </c>
      <c r="R21" s="32">
        <f>IFERROR(__xludf.DUMMYFUNCTION("""COMPUTED_VALUE"""),8856.90796829)</f>
        <v>8856.907968</v>
      </c>
      <c r="S21" s="32">
        <f>IFERROR(__xludf.DUMMYFUNCTION("""COMPUTED_VALUE"""),8380.19184269)</f>
        <v>8380.191843</v>
      </c>
      <c r="T21" s="32">
        <f>IFERROR(__xludf.DUMMYFUNCTION("""COMPUTED_VALUE"""),0.301702)</f>
        <v>0.301702</v>
      </c>
      <c r="U21" s="32">
        <f>IFERROR(__xludf.DUMMYFUNCTION("""COMPUTED_VALUE"""),2.091864)</f>
        <v>2.091864</v>
      </c>
      <c r="V21" s="32">
        <f>IFERROR(__xludf.DUMMYFUNCTION("""COMPUTED_VALUE"""),8.305953)</f>
        <v>8.305953</v>
      </c>
      <c r="W21" s="32">
        <f>IFERROR(__xludf.DUMMYFUNCTION("""COMPUTED_VALUE"""),-13.738579)</f>
        <v>-13.738579</v>
      </c>
      <c r="X21" s="32">
        <f>IFERROR(__xludf.DUMMYFUNCTION("""COMPUTED_VALUE"""),4.449268)</f>
        <v>4.449268</v>
      </c>
      <c r="Y21" s="32">
        <f>IFERROR(__xludf.DUMMYFUNCTION("""COMPUTED_VALUE"""),1.202707)</f>
        <v>1.202707</v>
      </c>
      <c r="Z21" s="32">
        <f>IFERROR(__xludf.DUMMYFUNCTION("""COMPUTED_VALUE"""),8.178346)</f>
        <v>8.178346</v>
      </c>
      <c r="AA21" s="32">
        <f>IFERROR(__xludf.DUMMYFUNCTION("""COMPUTED_VALUE"""),30.4543)</f>
        <v>30.4543</v>
      </c>
      <c r="AB21" s="32">
        <f>IFERROR(__xludf.DUMMYFUNCTION("""COMPUTED_VALUE"""),37.6323)</f>
        <v>37.6323</v>
      </c>
      <c r="AC21" s="32">
        <f>IFERROR(__xludf.DUMMYFUNCTION("""COMPUTED_VALUE"""),6.6448)</f>
        <v>6.6448</v>
      </c>
      <c r="AD21" s="32">
        <f>IFERROR(__xludf.DUMMYFUNCTION("""COMPUTED_VALUE"""),7.4868)</f>
        <v>7.4868</v>
      </c>
      <c r="AE21" s="32">
        <f>IFERROR(__xludf.DUMMYFUNCTION("""COMPUTED_VALUE"""),5.000114)</f>
        <v>5.000114</v>
      </c>
      <c r="AF21" s="32">
        <f>IFERROR(__xludf.DUMMYFUNCTION("""COMPUTED_VALUE"""),9.315965)</f>
        <v>9.315965</v>
      </c>
      <c r="AG21" s="32">
        <f>IFERROR(__xludf.DUMMYFUNCTION("""COMPUTED_VALUE"""),3.8555)</f>
        <v>3.8555</v>
      </c>
      <c r="AH21" s="32">
        <f>IFERROR(__xludf.DUMMYFUNCTION("""COMPUTED_VALUE"""),17.453279)</f>
        <v>17.453279</v>
      </c>
      <c r="AI21" s="32">
        <f>IFERROR(__xludf.DUMMYFUNCTION("""COMPUTED_VALUE"""),2.5598517797440987)</f>
        <v>2.55985178</v>
      </c>
      <c r="AJ21" s="32">
        <f>IFERROR(__xludf.DUMMYFUNCTION("""COMPUTED_VALUE"""),72.95640830551895)</f>
        <v>72.95640831</v>
      </c>
      <c r="AK21" s="32">
        <f>IFERROR(__xludf.DUMMYFUNCTION("""COMPUTED_VALUE"""),63.9302)</f>
        <v>63.9302</v>
      </c>
      <c r="AL21" s="32">
        <f>IFERROR(__xludf.DUMMYFUNCTION("""COMPUTED_VALUE"""),293.002)</f>
        <v>293.002</v>
      </c>
      <c r="AM21" s="32">
        <f>IFERROR(__xludf.DUMMYFUNCTION("""COMPUTED_VALUE"""),26.681319)</f>
        <v>26.681319</v>
      </c>
      <c r="AN21" s="32">
        <f>IFERROR(__xludf.DUMMYFUNCTION("""COMPUTED_VALUE"""),29.494505)</f>
        <v>29.494505</v>
      </c>
      <c r="AO21" s="32">
        <f>IFERROR(__xludf.DUMMYFUNCTION("""COMPUTED_VALUE"""),75.0)</f>
        <v>75</v>
      </c>
      <c r="AP21" s="32">
        <f>IFERROR(__xludf.DUMMYFUNCTION("""COMPUTED_VALUE"""),0.16134109529969817)</f>
        <v>0.1613410953</v>
      </c>
      <c r="AQ21" s="13"/>
      <c r="AR21" s="13"/>
      <c r="AS21" s="13"/>
      <c r="AT21" s="13"/>
      <c r="AU21" s="13"/>
      <c r="AV21" s="13"/>
      <c r="AW21" s="13"/>
      <c r="AX21" s="13"/>
      <c r="AY21" s="13"/>
      <c r="AZ21" s="13"/>
    </row>
    <row r="22">
      <c r="A22" s="13" t="str">
        <f>IFERROR(__xludf.DUMMYFUNCTION("""COMPUTED_VALUE"""),"IIFL Wealth Management Ltd")</f>
        <v>IIFL Wealth Management Ltd</v>
      </c>
      <c r="B22" s="30">
        <f>IFERROR(__xludf.DUMMYFUNCTION("""COMPUTED_VALUE"""),542772.0)</f>
        <v>542772</v>
      </c>
      <c r="C22" s="13" t="str">
        <f>IFERROR(__xludf.DUMMYFUNCTION("""COMPUTED_VALUE"""),"IIFLWAM")</f>
        <v>IIFLWAM</v>
      </c>
      <c r="D22" s="13" t="str">
        <f>IFERROR(__xludf.DUMMYFUNCTION("""COMPUTED_VALUE"""),"INE466L01020")</f>
        <v>INE466L01020</v>
      </c>
      <c r="E22" s="13" t="str">
        <f>IFERROR(__xludf.DUMMYFUNCTION("""COMPUTED_VALUE"""),"Financial")</f>
        <v>Financial</v>
      </c>
      <c r="F22" s="13" t="str">
        <f>IFERROR(__xludf.DUMMYFUNCTION("""COMPUTED_VALUE"""),"Misc. Fin.services")</f>
        <v>Misc. Fin.services</v>
      </c>
      <c r="G22" s="31">
        <f>IFERROR(__xludf.DUMMYFUNCTION("""COMPUTED_VALUE"""),44809.0)</f>
        <v>44809</v>
      </c>
      <c r="H22" s="32">
        <f>IFERROR(__xludf.DUMMYFUNCTION("""COMPUTED_VALUE"""),1669.8)</f>
        <v>1669.8</v>
      </c>
      <c r="I22" s="32">
        <f>IFERROR(__xludf.DUMMYFUNCTION("""COMPUTED_VALUE"""),0.523749)</f>
        <v>0.523749</v>
      </c>
      <c r="J22" s="32">
        <f>IFERROR(__xludf.DUMMYFUNCTION("""COMPUTED_VALUE"""),1235.8)</f>
        <v>1235.8</v>
      </c>
      <c r="K22" s="32">
        <f>IFERROR(__xludf.DUMMYFUNCTION("""COMPUTED_VALUE"""),1908.3)</f>
        <v>1908.3</v>
      </c>
      <c r="L22" s="13"/>
      <c r="M22" s="13"/>
      <c r="N22" s="13"/>
      <c r="O22" s="13"/>
      <c r="P22" s="32">
        <f>IFERROR(__xludf.DUMMYFUNCTION("""COMPUTED_VALUE"""),710.0)</f>
        <v>710</v>
      </c>
      <c r="Q22" s="32">
        <f>IFERROR(__xludf.DUMMYFUNCTION("""COMPUTED_VALUE"""),1908.3)</f>
        <v>1908.3</v>
      </c>
      <c r="R22" s="32">
        <f>IFERROR(__xludf.DUMMYFUNCTION("""COMPUTED_VALUE"""),14698.961223705)</f>
        <v>14698.96122</v>
      </c>
      <c r="S22" s="32">
        <f>IFERROR(__xludf.DUMMYFUNCTION("""COMPUTED_VALUE"""),17106.255935005)</f>
        <v>17106.25594</v>
      </c>
      <c r="T22" s="32">
        <f>IFERROR(__xludf.DUMMYFUNCTION("""COMPUTED_VALUE"""),0.149943)</f>
        <v>0.149943</v>
      </c>
      <c r="U22" s="32">
        <f>IFERROR(__xludf.DUMMYFUNCTION("""COMPUTED_VALUE"""),0.675268)</f>
        <v>0.675268</v>
      </c>
      <c r="V22" s="32">
        <f>IFERROR(__xludf.DUMMYFUNCTION("""COMPUTED_VALUE"""),8.626073)</f>
        <v>8.626073</v>
      </c>
      <c r="W22" s="32">
        <f>IFERROR(__xludf.DUMMYFUNCTION("""COMPUTED_VALUE"""),5.586645)</f>
        <v>5.586645</v>
      </c>
      <c r="X22" s="13"/>
      <c r="Y22" s="13"/>
      <c r="Z22" s="13"/>
      <c r="AA22" s="32">
        <f>IFERROR(__xludf.DUMMYFUNCTION("""COMPUTED_VALUE"""),23.8053)</f>
        <v>23.8053</v>
      </c>
      <c r="AB22" s="32">
        <f>IFERROR(__xludf.DUMMYFUNCTION("""COMPUTED_VALUE"""),30.5802)</f>
        <v>30.5802</v>
      </c>
      <c r="AC22" s="32">
        <f>IFERROR(__xludf.DUMMYFUNCTION("""COMPUTED_VALUE"""),4.6602)</f>
        <v>4.6602</v>
      </c>
      <c r="AD22" s="32">
        <f>IFERROR(__xludf.DUMMYFUNCTION("""COMPUTED_VALUE"""),3.6928)</f>
        <v>3.6928</v>
      </c>
      <c r="AE22" s="32">
        <f>IFERROR(__xludf.DUMMYFUNCTION("""COMPUTED_VALUE"""),8.159101)</f>
        <v>8.159101</v>
      </c>
      <c r="AF22" s="32">
        <f>IFERROR(__xludf.DUMMYFUNCTION("""COMPUTED_VALUE"""),1.007562)</f>
        <v>1.007562</v>
      </c>
      <c r="AG22" s="32">
        <f>IFERROR(__xludf.DUMMYFUNCTION("""COMPUTED_VALUE"""),4.1915)</f>
        <v>4.1915</v>
      </c>
      <c r="AH22" s="32">
        <f>IFERROR(__xludf.DUMMYFUNCTION("""COMPUTED_VALUE"""),14.265889)</f>
        <v>14.265889</v>
      </c>
      <c r="AI22" s="32">
        <f>IFERROR(__xludf.DUMMYFUNCTION("""COMPUTED_VALUE"""),7.617186636181084)</f>
        <v>7.617186636</v>
      </c>
      <c r="AJ22" s="32">
        <f>IFERROR(__xludf.DUMMYFUNCTION("""COMPUTED_VALUE"""),35.65804964267867)</f>
        <v>35.65804964</v>
      </c>
      <c r="AK22" s="32">
        <f>IFERROR(__xludf.DUMMYFUNCTION("""COMPUTED_VALUE"""),69.5201)</f>
        <v>69.5201</v>
      </c>
      <c r="AL22" s="32">
        <f>IFERROR(__xludf.DUMMYFUNCTION("""COMPUTED_VALUE"""),355.1269)</f>
        <v>355.1269</v>
      </c>
      <c r="AM22" s="32">
        <f>IFERROR(__xludf.DUMMYFUNCTION("""COMPUTED_VALUE"""),46.904477)</f>
        <v>46.904477</v>
      </c>
      <c r="AN22" s="32">
        <f>IFERROR(__xludf.DUMMYFUNCTION("""COMPUTED_VALUE"""),52.346703)</f>
        <v>52.346703</v>
      </c>
      <c r="AO22" s="32">
        <f>IFERROR(__xludf.DUMMYFUNCTION("""COMPUTED_VALUE"""),70.0)</f>
        <v>70</v>
      </c>
      <c r="AP22" s="32">
        <f>IFERROR(__xludf.DUMMYFUNCTION("""COMPUTED_VALUE"""),0.12498034900172929)</f>
        <v>0.124980349</v>
      </c>
      <c r="AQ22" s="13"/>
      <c r="AR22" s="13"/>
      <c r="AS22" s="13"/>
      <c r="AT22" s="13"/>
      <c r="AU22" s="13"/>
      <c r="AV22" s="13"/>
      <c r="AW22" s="13"/>
      <c r="AX22" s="13"/>
      <c r="AY22" s="13"/>
      <c r="AZ22" s="13"/>
    </row>
    <row r="23">
      <c r="A23" s="13" t="str">
        <f>IFERROR(__xludf.DUMMYFUNCTION("""COMPUTED_VALUE"""),"Blue Dart Express Ltd.")</f>
        <v>Blue Dart Express Ltd.</v>
      </c>
      <c r="B23" s="30">
        <f>IFERROR(__xludf.DUMMYFUNCTION("""COMPUTED_VALUE"""),526612.0)</f>
        <v>526612</v>
      </c>
      <c r="C23" s="13" t="str">
        <f>IFERROR(__xludf.DUMMYFUNCTION("""COMPUTED_VALUE"""),"BLUEDART")</f>
        <v>BLUEDART</v>
      </c>
      <c r="D23" s="13" t="str">
        <f>IFERROR(__xludf.DUMMYFUNCTION("""COMPUTED_VALUE"""),"INE233B01017")</f>
        <v>INE233B01017</v>
      </c>
      <c r="E23" s="13" t="str">
        <f>IFERROR(__xludf.DUMMYFUNCTION("""COMPUTED_VALUE"""),"Services")</f>
        <v>Services</v>
      </c>
      <c r="F23" s="13" t="str">
        <f>IFERROR(__xludf.DUMMYFUNCTION("""COMPUTED_VALUE"""),"Courier Services")</f>
        <v>Courier Services</v>
      </c>
      <c r="G23" s="31">
        <f>IFERROR(__xludf.DUMMYFUNCTION("""COMPUTED_VALUE"""),44809.0)</f>
        <v>44809</v>
      </c>
      <c r="H23" s="32">
        <f>IFERROR(__xludf.DUMMYFUNCTION("""COMPUTED_VALUE"""),8822.75)</f>
        <v>8822.75</v>
      </c>
      <c r="I23" s="32">
        <f>IFERROR(__xludf.DUMMYFUNCTION("""COMPUTED_VALUE"""),0.642795)</f>
        <v>0.642795</v>
      </c>
      <c r="J23" s="32">
        <f>IFERROR(__xludf.DUMMYFUNCTION("""COMPUTED_VALUE"""),5425.25)</f>
        <v>5425.25</v>
      </c>
      <c r="K23" s="32">
        <f>IFERROR(__xludf.DUMMYFUNCTION("""COMPUTED_VALUE"""),9171.9)</f>
        <v>9171.9</v>
      </c>
      <c r="L23" s="32">
        <f>IFERROR(__xludf.DUMMYFUNCTION("""COMPUTED_VALUE"""),1822.35)</f>
        <v>1822.35</v>
      </c>
      <c r="M23" s="32">
        <f>IFERROR(__xludf.DUMMYFUNCTION("""COMPUTED_VALUE"""),9171.9)</f>
        <v>9171.9</v>
      </c>
      <c r="N23" s="32">
        <f>IFERROR(__xludf.DUMMYFUNCTION("""COMPUTED_VALUE"""),1822.35)</f>
        <v>1822.35</v>
      </c>
      <c r="O23" s="32">
        <f>IFERROR(__xludf.DUMMYFUNCTION("""COMPUTED_VALUE"""),9171.9)</f>
        <v>9171.9</v>
      </c>
      <c r="P23" s="32">
        <f>IFERROR(__xludf.DUMMYFUNCTION("""COMPUTED_VALUE"""),52.15)</f>
        <v>52.15</v>
      </c>
      <c r="Q23" s="32">
        <f>IFERROR(__xludf.DUMMYFUNCTION("""COMPUTED_VALUE"""),9171.9)</f>
        <v>9171.9</v>
      </c>
      <c r="R23" s="32">
        <f>IFERROR(__xludf.DUMMYFUNCTION("""COMPUTED_VALUE"""),20882.9547134)</f>
        <v>20882.95471</v>
      </c>
      <c r="S23" s="32">
        <f>IFERROR(__xludf.DUMMYFUNCTION("""COMPUTED_VALUE"""),20586.8318038)</f>
        <v>20586.8318</v>
      </c>
      <c r="T23" s="32">
        <f>IFERROR(__xludf.DUMMYFUNCTION("""COMPUTED_VALUE"""),1.926998)</f>
        <v>1.926998</v>
      </c>
      <c r="U23" s="32">
        <f>IFERROR(__xludf.DUMMYFUNCTION("""COMPUTED_VALUE"""),-0.495675)</f>
        <v>-0.495675</v>
      </c>
      <c r="V23" s="32">
        <f>IFERROR(__xludf.DUMMYFUNCTION("""COMPUTED_VALUE"""),15.9416)</f>
        <v>15.9416</v>
      </c>
      <c r="W23" s="32">
        <f>IFERROR(__xludf.DUMMYFUNCTION("""COMPUTED_VALUE"""),40.112595)</f>
        <v>40.112595</v>
      </c>
      <c r="X23" s="32">
        <f>IFERROR(__xludf.DUMMYFUNCTION("""COMPUTED_VALUE"""),59.483186)</f>
        <v>59.483186</v>
      </c>
      <c r="Y23" s="32">
        <f>IFERROR(__xludf.DUMMYFUNCTION("""COMPUTED_VALUE"""),15.180253)</f>
        <v>15.180253</v>
      </c>
      <c r="Z23" s="32">
        <f>IFERROR(__xludf.DUMMYFUNCTION("""COMPUTED_VALUE"""),18.01621)</f>
        <v>18.01621</v>
      </c>
      <c r="AA23" s="32">
        <f>IFERROR(__xludf.DUMMYFUNCTION("""COMPUTED_VALUE"""),44.4574)</f>
        <v>44.4574</v>
      </c>
      <c r="AB23" s="32">
        <f>IFERROR(__xludf.DUMMYFUNCTION("""COMPUTED_VALUE"""),60.9769)</f>
        <v>60.9769</v>
      </c>
      <c r="AC23" s="32">
        <f>IFERROR(__xludf.DUMMYFUNCTION("""COMPUTED_VALUE"""),21.0829)</f>
        <v>21.0829</v>
      </c>
      <c r="AD23" s="32">
        <f>IFERROR(__xludf.DUMMYFUNCTION("""COMPUTED_VALUE"""),16.10755)</f>
        <v>16.10755</v>
      </c>
      <c r="AE23" s="32">
        <f>IFERROR(__xludf.DUMMYFUNCTION("""COMPUTED_VALUE"""),3.75067)</f>
        <v>3.75067</v>
      </c>
      <c r="AF23" s="32">
        <f>IFERROR(__xludf.DUMMYFUNCTION("""COMPUTED_VALUE"""),1.995932)</f>
        <v>1.995932</v>
      </c>
      <c r="AG23" s="32">
        <f>IFERROR(__xludf.DUMMYFUNCTION("""COMPUTED_VALUE"""),0.6802)</f>
        <v>0.6802</v>
      </c>
      <c r="AH23" s="32">
        <f>IFERROR(__xludf.DUMMYFUNCTION("""COMPUTED_VALUE"""),18.076542)</f>
        <v>18.076542</v>
      </c>
      <c r="AI23" s="32">
        <f>IFERROR(__xludf.DUMMYFUNCTION("""COMPUTED_VALUE"""),4.316818473989061)</f>
        <v>4.316818474</v>
      </c>
      <c r="AJ23" s="32">
        <f>IFERROR(__xludf.DUMMYFUNCTION("""COMPUTED_VALUE"""),24.288436377952756)</f>
        <v>24.28843638</v>
      </c>
      <c r="AK23" s="32">
        <f>IFERROR(__xludf.DUMMYFUNCTION("""COMPUTED_VALUE"""),197.965)</f>
        <v>197.965</v>
      </c>
      <c r="AL23" s="32">
        <f>IFERROR(__xludf.DUMMYFUNCTION("""COMPUTED_VALUE"""),417.448)</f>
        <v>417.448</v>
      </c>
      <c r="AM23" s="32">
        <f>IFERROR(__xludf.DUMMYFUNCTION("""COMPUTED_VALUE"""),362.321955)</f>
        <v>362.321955</v>
      </c>
      <c r="AN23" s="32">
        <f>IFERROR(__xludf.DUMMYFUNCTION("""COMPUTED_VALUE"""),264.424779)</f>
        <v>264.424779</v>
      </c>
      <c r="AO23" s="32">
        <f>IFERROR(__xludf.DUMMYFUNCTION("""COMPUTED_VALUE"""),60.0)</f>
        <v>60</v>
      </c>
      <c r="AP23" s="32">
        <f>IFERROR(__xludf.DUMMYFUNCTION("""COMPUTED_VALUE"""),0.03806735790839408)</f>
        <v>0.03806735791</v>
      </c>
      <c r="AQ23" s="13"/>
      <c r="AR23" s="13"/>
      <c r="AS23" s="13"/>
      <c r="AT23" s="13"/>
      <c r="AU23" s="13"/>
      <c r="AV23" s="13"/>
      <c r="AW23" s="13"/>
      <c r="AX23" s="13"/>
      <c r="AY23" s="13"/>
      <c r="AZ23" s="13"/>
    </row>
    <row r="24">
      <c r="A24" s="13" t="str">
        <f>IFERROR(__xludf.DUMMYFUNCTION("""COMPUTED_VALUE"""),"Esab India Ltd.")</f>
        <v>Esab India Ltd.</v>
      </c>
      <c r="B24" s="30">
        <f>IFERROR(__xludf.DUMMYFUNCTION("""COMPUTED_VALUE"""),500133.0)</f>
        <v>500133</v>
      </c>
      <c r="C24" s="13" t="str">
        <f>IFERROR(__xludf.DUMMYFUNCTION("""COMPUTED_VALUE"""),"ESABINDIA")</f>
        <v>ESABINDIA</v>
      </c>
      <c r="D24" s="13" t="str">
        <f>IFERROR(__xludf.DUMMYFUNCTION("""COMPUTED_VALUE"""),"INE284A01012")</f>
        <v>INE284A01012</v>
      </c>
      <c r="E24" s="13" t="str">
        <f>IFERROR(__xludf.DUMMYFUNCTION("""COMPUTED_VALUE"""),"Capital Goods")</f>
        <v>Capital Goods</v>
      </c>
      <c r="F24" s="13" t="str">
        <f>IFERROR(__xludf.DUMMYFUNCTION("""COMPUTED_VALUE"""),"Welding machinery")</f>
        <v>Welding machinery</v>
      </c>
      <c r="G24" s="31">
        <f>IFERROR(__xludf.DUMMYFUNCTION("""COMPUTED_VALUE"""),44809.0)</f>
        <v>44809</v>
      </c>
      <c r="H24" s="32">
        <f>IFERROR(__xludf.DUMMYFUNCTION("""COMPUTED_VALUE"""),3335.8)</f>
        <v>3335.8</v>
      </c>
      <c r="I24" s="32">
        <f>IFERROR(__xludf.DUMMYFUNCTION("""COMPUTED_VALUE"""),3.312325)</f>
        <v>3.312325</v>
      </c>
      <c r="J24" s="32">
        <f>IFERROR(__xludf.DUMMYFUNCTION("""COMPUTED_VALUE"""),2083.35)</f>
        <v>2083.35</v>
      </c>
      <c r="K24" s="32">
        <f>IFERROR(__xludf.DUMMYFUNCTION("""COMPUTED_VALUE"""),4250.05)</f>
        <v>4250.05</v>
      </c>
      <c r="L24" s="32">
        <f>IFERROR(__xludf.DUMMYFUNCTION("""COMPUTED_VALUE"""),867.9)</f>
        <v>867.9</v>
      </c>
      <c r="M24" s="32">
        <f>IFERROR(__xludf.DUMMYFUNCTION("""COMPUTED_VALUE"""),4250.05)</f>
        <v>4250.05</v>
      </c>
      <c r="N24" s="32">
        <f>IFERROR(__xludf.DUMMYFUNCTION("""COMPUTED_VALUE"""),578.6)</f>
        <v>578.6</v>
      </c>
      <c r="O24" s="32">
        <f>IFERROR(__xludf.DUMMYFUNCTION("""COMPUTED_VALUE"""),4250.05)</f>
        <v>4250.05</v>
      </c>
      <c r="P24" s="32">
        <f>IFERROR(__xludf.DUMMYFUNCTION("""COMPUTED_VALUE"""),28.0)</f>
        <v>28</v>
      </c>
      <c r="Q24" s="32">
        <f>IFERROR(__xludf.DUMMYFUNCTION("""COMPUTED_VALUE"""),4250.05)</f>
        <v>4250.05</v>
      </c>
      <c r="R24" s="32">
        <f>IFERROR(__xludf.DUMMYFUNCTION("""COMPUTED_VALUE"""),5122.8740211)</f>
        <v>5122.874021</v>
      </c>
      <c r="S24" s="32">
        <f>IFERROR(__xludf.DUMMYFUNCTION("""COMPUTED_VALUE"""),4905.2721673)</f>
        <v>4905.272167</v>
      </c>
      <c r="T24" s="32">
        <f>IFERROR(__xludf.DUMMYFUNCTION("""COMPUTED_VALUE"""),3.506268)</f>
        <v>3.506268</v>
      </c>
      <c r="U24" s="32">
        <f>IFERROR(__xludf.DUMMYFUNCTION("""COMPUTED_VALUE"""),5.381541)</f>
        <v>5.381541</v>
      </c>
      <c r="V24" s="32">
        <f>IFERROR(__xludf.DUMMYFUNCTION("""COMPUTED_VALUE"""),-0.028471)</f>
        <v>-0.028471</v>
      </c>
      <c r="W24" s="32">
        <f>IFERROR(__xludf.DUMMYFUNCTION("""COMPUTED_VALUE"""),57.639053)</f>
        <v>57.639053</v>
      </c>
      <c r="X24" s="32">
        <f>IFERROR(__xludf.DUMMYFUNCTION("""COMPUTED_VALUE"""),49.604236)</f>
        <v>49.604236</v>
      </c>
      <c r="Y24" s="32">
        <f>IFERROR(__xludf.DUMMYFUNCTION("""COMPUTED_VALUE"""),35.846022)</f>
        <v>35.846022</v>
      </c>
      <c r="Z24" s="32">
        <f>IFERROR(__xludf.DUMMYFUNCTION("""COMPUTED_VALUE"""),22.454495)</f>
        <v>22.454495</v>
      </c>
      <c r="AA24" s="32">
        <f>IFERROR(__xludf.DUMMYFUNCTION("""COMPUTED_VALUE"""),57.2005)</f>
        <v>57.2005</v>
      </c>
      <c r="AB24" s="32">
        <f>IFERROR(__xludf.DUMMYFUNCTION("""COMPUTED_VALUE"""),35.08865)</f>
        <v>35.08865</v>
      </c>
      <c r="AC24" s="32">
        <f>IFERROR(__xludf.DUMMYFUNCTION("""COMPUTED_VALUE"""),18.9861)</f>
        <v>18.9861</v>
      </c>
      <c r="AD24" s="32">
        <f>IFERROR(__xludf.DUMMYFUNCTION("""COMPUTED_VALUE"""),6.4777)</f>
        <v>6.4777</v>
      </c>
      <c r="AE24" s="32">
        <f>IFERROR(__xludf.DUMMYFUNCTION("""COMPUTED_VALUE"""),2.549966)</f>
        <v>2.549966</v>
      </c>
      <c r="AF24" s="32">
        <f>IFERROR(__xludf.DUMMYFUNCTION("""COMPUTED_VALUE"""),2.087974)</f>
        <v>2.087974</v>
      </c>
      <c r="AG24" s="32">
        <f>IFERROR(__xludf.DUMMYFUNCTION("""COMPUTED_VALUE"""),1.8029)</f>
        <v>1.8029</v>
      </c>
      <c r="AH24" s="32">
        <f>IFERROR(__xludf.DUMMYFUNCTION("""COMPUTED_VALUE"""),37.034897)</f>
        <v>37.034897</v>
      </c>
      <c r="AI24" s="32">
        <f>IFERROR(__xludf.DUMMYFUNCTION("""COMPUTED_VALUE"""),5.363760505397397)</f>
        <v>5.363760505</v>
      </c>
      <c r="AJ24" s="32">
        <f>IFERROR(__xludf.DUMMYFUNCTION("""COMPUTED_VALUE"""),60.6042117721519)</f>
        <v>60.60421177</v>
      </c>
      <c r="AK24" s="32">
        <f>IFERROR(__xludf.DUMMYFUNCTION("""COMPUTED_VALUE"""),58.1822)</f>
        <v>58.1822</v>
      </c>
      <c r="AL24" s="32">
        <f>IFERROR(__xludf.DUMMYFUNCTION("""COMPUTED_VALUE"""),175.2892)</f>
        <v>175.2892</v>
      </c>
      <c r="AM24" s="32">
        <f>IFERROR(__xludf.DUMMYFUNCTION("""COMPUTED_VALUE"""),54.925276)</f>
        <v>54.925276</v>
      </c>
      <c r="AN24" s="32">
        <f>IFERROR(__xludf.DUMMYFUNCTION("""COMPUTED_VALUE"""),45.821962)</f>
        <v>45.821962</v>
      </c>
      <c r="AO24" s="32">
        <f>IFERROR(__xludf.DUMMYFUNCTION("""COMPUTED_VALUE"""),60.0)</f>
        <v>60</v>
      </c>
      <c r="AP24" s="32">
        <f>IFERROR(__xludf.DUMMYFUNCTION("""COMPUTED_VALUE"""),0.2151151162927495)</f>
        <v>0.2151151163</v>
      </c>
      <c r="AQ24" s="13"/>
      <c r="AR24" s="13"/>
      <c r="AS24" s="13"/>
      <c r="AT24" s="13"/>
      <c r="AU24" s="13"/>
      <c r="AV24" s="13"/>
      <c r="AW24" s="13"/>
      <c r="AX24" s="13"/>
      <c r="AY24" s="13"/>
      <c r="AZ24" s="13"/>
    </row>
    <row r="25">
      <c r="A25" s="13" t="str">
        <f>IFERROR(__xludf.DUMMYFUNCTION("""COMPUTED_VALUE"""),"Maruti Suzuki India Ltd.")</f>
        <v>Maruti Suzuki India Ltd.</v>
      </c>
      <c r="B25" s="30">
        <f>IFERROR(__xludf.DUMMYFUNCTION("""COMPUTED_VALUE"""),532500.0)</f>
        <v>532500</v>
      </c>
      <c r="C25" s="13" t="str">
        <f>IFERROR(__xludf.DUMMYFUNCTION("""COMPUTED_VALUE"""),"MARUTI")</f>
        <v>MARUTI</v>
      </c>
      <c r="D25" s="13" t="str">
        <f>IFERROR(__xludf.DUMMYFUNCTION("""COMPUTED_VALUE"""),"INE585B01010")</f>
        <v>INE585B01010</v>
      </c>
      <c r="E25" s="13" t="str">
        <f>IFERROR(__xludf.DUMMYFUNCTION("""COMPUTED_VALUE"""),"Automobile")</f>
        <v>Automobile</v>
      </c>
      <c r="F25" s="13" t="str">
        <f>IFERROR(__xludf.DUMMYFUNCTION("""COMPUTED_VALUE"""),"Cars &amp; Multi Utility Vehicles")</f>
        <v>Cars &amp; Multi Utility Vehicles</v>
      </c>
      <c r="G25" s="31">
        <f>IFERROR(__xludf.DUMMYFUNCTION("""COMPUTED_VALUE"""),44809.0)</f>
        <v>44809</v>
      </c>
      <c r="H25" s="32">
        <f>IFERROR(__xludf.DUMMYFUNCTION("""COMPUTED_VALUE"""),8950.05)</f>
        <v>8950.05</v>
      </c>
      <c r="I25" s="32">
        <f>IFERROR(__xludf.DUMMYFUNCTION("""COMPUTED_VALUE"""),0.341383)</f>
        <v>0.341383</v>
      </c>
      <c r="J25" s="32">
        <f>IFERROR(__xludf.DUMMYFUNCTION("""COMPUTED_VALUE"""),6536.55)</f>
        <v>6536.55</v>
      </c>
      <c r="K25" s="32">
        <f>IFERROR(__xludf.DUMMYFUNCTION("""COMPUTED_VALUE"""),9233.65)</f>
        <v>9233.65</v>
      </c>
      <c r="L25" s="32">
        <f>IFERROR(__xludf.DUMMYFUNCTION("""COMPUTED_VALUE"""),4001.1)</f>
        <v>4001.1</v>
      </c>
      <c r="M25" s="32">
        <f>IFERROR(__xludf.DUMMYFUNCTION("""COMPUTED_VALUE"""),9233.65)</f>
        <v>9233.65</v>
      </c>
      <c r="N25" s="32">
        <f>IFERROR(__xludf.DUMMYFUNCTION("""COMPUTED_VALUE"""),4001.1)</f>
        <v>4001.1</v>
      </c>
      <c r="O25" s="32">
        <f>IFERROR(__xludf.DUMMYFUNCTION("""COMPUTED_VALUE"""),10000.0)</f>
        <v>10000</v>
      </c>
      <c r="P25" s="32">
        <f>IFERROR(__xludf.DUMMYFUNCTION("""COMPUTED_VALUE"""),155.0)</f>
        <v>155</v>
      </c>
      <c r="Q25" s="32">
        <f>IFERROR(__xludf.DUMMYFUNCTION("""COMPUTED_VALUE"""),10000.0)</f>
        <v>10000</v>
      </c>
      <c r="R25" s="32">
        <f>IFERROR(__xludf.DUMMYFUNCTION("""COMPUTED_VALUE"""),270026.3448334)</f>
        <v>270026.3448</v>
      </c>
      <c r="S25" s="32">
        <f>IFERROR(__xludf.DUMMYFUNCTION("""COMPUTED_VALUE"""),262700.7343206)</f>
        <v>262700.7343</v>
      </c>
      <c r="T25" s="32">
        <f>IFERROR(__xludf.DUMMYFUNCTION("""COMPUTED_VALUE"""),2.631126)</f>
        <v>2.631126</v>
      </c>
      <c r="U25" s="32">
        <f>IFERROR(__xludf.DUMMYFUNCTION("""COMPUTED_VALUE"""),-0.185687)</f>
        <v>-0.185687</v>
      </c>
      <c r="V25" s="32">
        <f>IFERROR(__xludf.DUMMYFUNCTION("""COMPUTED_VALUE"""),16.158234)</f>
        <v>16.158234</v>
      </c>
      <c r="W25" s="32">
        <f>IFERROR(__xludf.DUMMYFUNCTION("""COMPUTED_VALUE"""),30.40827)</f>
        <v>30.40827</v>
      </c>
      <c r="X25" s="32">
        <f>IFERROR(__xludf.DUMMYFUNCTION("""COMPUTED_VALUE"""),15.354271)</f>
        <v>15.354271</v>
      </c>
      <c r="Y25" s="32">
        <f>IFERROR(__xludf.DUMMYFUNCTION("""COMPUTED_VALUE"""),2.732317)</f>
        <v>2.732317</v>
      </c>
      <c r="Z25" s="32">
        <f>IFERROR(__xludf.DUMMYFUNCTION("""COMPUTED_VALUE"""),22.515686)</f>
        <v>22.515686</v>
      </c>
      <c r="AA25" s="32">
        <f>IFERROR(__xludf.DUMMYFUNCTION("""COMPUTED_VALUE"""),60.8072)</f>
        <v>60.8072</v>
      </c>
      <c r="AB25" s="32">
        <f>IFERROR(__xludf.DUMMYFUNCTION("""COMPUTED_VALUE"""),36.5547)</f>
        <v>36.5547</v>
      </c>
      <c r="AC25" s="32">
        <f>IFERROR(__xludf.DUMMYFUNCTION("""COMPUTED_VALUE"""),4.7929)</f>
        <v>4.7929</v>
      </c>
      <c r="AD25" s="32">
        <f>IFERROR(__xludf.DUMMYFUNCTION("""COMPUTED_VALUE"""),4.53025)</f>
        <v>4.53025</v>
      </c>
      <c r="AE25" s="32">
        <f>IFERROR(__xludf.DUMMYFUNCTION("""COMPUTED_VALUE"""),2.575316)</f>
        <v>2.575316</v>
      </c>
      <c r="AF25" s="32">
        <f>IFERROR(__xludf.DUMMYFUNCTION("""COMPUTED_VALUE"""),-4.781943)</f>
        <v>-4.781943</v>
      </c>
      <c r="AG25" s="32">
        <f>IFERROR(__xludf.DUMMYFUNCTION("""COMPUTED_VALUE"""),0.6712)</f>
        <v>0.6712</v>
      </c>
      <c r="AH25" s="32">
        <f>IFERROR(__xludf.DUMMYFUNCTION("""COMPUTED_VALUE"""),32.352307)</f>
        <v>32.352307</v>
      </c>
      <c r="AI25" s="32">
        <f>IFERROR(__xludf.DUMMYFUNCTION("""COMPUTED_VALUE"""),2.9258842333349224)</f>
        <v>2.925884233</v>
      </c>
      <c r="AJ25" s="32">
        <f>IFERROR(__xludf.DUMMYFUNCTION("""COMPUTED_VALUE"""),146.71358045824505)</f>
        <v>146.7135805</v>
      </c>
      <c r="AK25" s="32">
        <f>IFERROR(__xludf.DUMMYFUNCTION("""COMPUTED_VALUE"""),147.0041)</f>
        <v>147.0041</v>
      </c>
      <c r="AL25" s="32">
        <f>IFERROR(__xludf.DUMMYFUNCTION("""COMPUTED_VALUE"""),1865.0334)</f>
        <v>1865.0334</v>
      </c>
      <c r="AM25" s="32">
        <f>IFERROR(__xludf.DUMMYFUNCTION("""COMPUTED_VALUE"""),60.943709)</f>
        <v>60.943709</v>
      </c>
      <c r="AN25" s="32">
        <f>IFERROR(__xludf.DUMMYFUNCTION("""COMPUTED_VALUE"""),7.754967)</f>
        <v>7.754967</v>
      </c>
      <c r="AO25" s="32">
        <f>IFERROR(__xludf.DUMMYFUNCTION("""COMPUTED_VALUE"""),60.0)</f>
        <v>60</v>
      </c>
      <c r="AP25" s="32">
        <f>IFERROR(__xludf.DUMMYFUNCTION("""COMPUTED_VALUE"""),0.030713748084452017)</f>
        <v>0.03071374808</v>
      </c>
      <c r="AQ25" s="13"/>
      <c r="AR25" s="13"/>
      <c r="AS25" s="13"/>
      <c r="AT25" s="13"/>
      <c r="AU25" s="13"/>
      <c r="AV25" s="13"/>
      <c r="AW25" s="13"/>
      <c r="AX25" s="13"/>
      <c r="AY25" s="13"/>
      <c r="AZ25" s="13"/>
    </row>
    <row r="26">
      <c r="A26" s="13" t="str">
        <f>IFERROR(__xludf.DUMMYFUNCTION("""COMPUTED_VALUE"""),"ACC Ltd.")</f>
        <v>ACC Ltd.</v>
      </c>
      <c r="B26" s="30">
        <f>IFERROR(__xludf.DUMMYFUNCTION("""COMPUTED_VALUE"""),500410.0)</f>
        <v>500410</v>
      </c>
      <c r="C26" s="13" t="str">
        <f>IFERROR(__xludf.DUMMYFUNCTION("""COMPUTED_VALUE"""),"ACC")</f>
        <v>ACC</v>
      </c>
      <c r="D26" s="13" t="str">
        <f>IFERROR(__xludf.DUMMYFUNCTION("""COMPUTED_VALUE"""),"INE012A01025")</f>
        <v>INE012A01025</v>
      </c>
      <c r="E26" s="13" t="str">
        <f>IFERROR(__xludf.DUMMYFUNCTION("""COMPUTED_VALUE"""),"Materials")</f>
        <v>Materials</v>
      </c>
      <c r="F26" s="13" t="str">
        <f>IFERROR(__xludf.DUMMYFUNCTION("""COMPUTED_VALUE"""),"Cement")</f>
        <v>Cement</v>
      </c>
      <c r="G26" s="31">
        <f>IFERROR(__xludf.DUMMYFUNCTION("""COMPUTED_VALUE"""),44809.0)</f>
        <v>44809</v>
      </c>
      <c r="H26" s="32">
        <f>IFERROR(__xludf.DUMMYFUNCTION("""COMPUTED_VALUE"""),2288.15)</f>
        <v>2288.15</v>
      </c>
      <c r="I26" s="32">
        <f>IFERROR(__xludf.DUMMYFUNCTION("""COMPUTED_VALUE"""),-0.082968)</f>
        <v>-0.082968</v>
      </c>
      <c r="J26" s="32">
        <f>IFERROR(__xludf.DUMMYFUNCTION("""COMPUTED_VALUE"""),1902.0)</f>
        <v>1902</v>
      </c>
      <c r="K26" s="32">
        <f>IFERROR(__xludf.DUMMYFUNCTION("""COMPUTED_VALUE"""),2589.0)</f>
        <v>2589</v>
      </c>
      <c r="L26" s="32">
        <f>IFERROR(__xludf.DUMMYFUNCTION("""COMPUTED_VALUE"""),895.15)</f>
        <v>895.15</v>
      </c>
      <c r="M26" s="32">
        <f>IFERROR(__xludf.DUMMYFUNCTION("""COMPUTED_VALUE"""),2589.0)</f>
        <v>2589</v>
      </c>
      <c r="N26" s="32">
        <f>IFERROR(__xludf.DUMMYFUNCTION("""COMPUTED_VALUE"""),895.15)</f>
        <v>895.15</v>
      </c>
      <c r="O26" s="32">
        <f>IFERROR(__xludf.DUMMYFUNCTION("""COMPUTED_VALUE"""),2589.0)</f>
        <v>2589</v>
      </c>
      <c r="P26" s="32">
        <f>IFERROR(__xludf.DUMMYFUNCTION("""COMPUTED_VALUE"""),82.1)</f>
        <v>82.1</v>
      </c>
      <c r="Q26" s="32">
        <f>IFERROR(__xludf.DUMMYFUNCTION("""COMPUTED_VALUE"""),2589.0)</f>
        <v>2589</v>
      </c>
      <c r="R26" s="32">
        <f>IFERROR(__xludf.DUMMYFUNCTION("""COMPUTED_VALUE"""),42968.542583345)</f>
        <v>42968.54258</v>
      </c>
      <c r="S26" s="32">
        <f>IFERROR(__xludf.DUMMYFUNCTION("""COMPUTED_VALUE"""),35452.344073865)</f>
        <v>35452.34407</v>
      </c>
      <c r="T26" s="32">
        <f>IFERROR(__xludf.DUMMYFUNCTION("""COMPUTED_VALUE"""),0.115948)</f>
        <v>0.115948</v>
      </c>
      <c r="U26" s="32">
        <f>IFERROR(__xludf.DUMMYFUNCTION("""COMPUTED_VALUE"""),2.963146)</f>
        <v>2.963146</v>
      </c>
      <c r="V26" s="32">
        <f>IFERROR(__xludf.DUMMYFUNCTION("""COMPUTED_VALUE"""),7.268764)</f>
        <v>7.268764</v>
      </c>
      <c r="W26" s="32">
        <f>IFERROR(__xludf.DUMMYFUNCTION("""COMPUTED_VALUE"""),-7.324828)</f>
        <v>-7.324828</v>
      </c>
      <c r="X26" s="32">
        <f>IFERROR(__xludf.DUMMYFUNCTION("""COMPUTED_VALUE"""),16.666238)</f>
        <v>16.666238</v>
      </c>
      <c r="Y26" s="32">
        <f>IFERROR(__xludf.DUMMYFUNCTION("""COMPUTED_VALUE"""),5.256344)</f>
        <v>5.256344</v>
      </c>
      <c r="Z26" s="32">
        <f>IFERROR(__xludf.DUMMYFUNCTION("""COMPUTED_VALUE"""),5.793505)</f>
        <v>5.793505</v>
      </c>
      <c r="AA26" s="32">
        <f>IFERROR(__xludf.DUMMYFUNCTION("""COMPUTED_VALUE"""),31.6622)</f>
        <v>31.6622</v>
      </c>
      <c r="AB26" s="32">
        <f>IFERROR(__xludf.DUMMYFUNCTION("""COMPUTED_VALUE"""),22.62155)</f>
        <v>22.62155</v>
      </c>
      <c r="AC26" s="32">
        <f>IFERROR(__xludf.DUMMYFUNCTION("""COMPUTED_VALUE"""),3.0945)</f>
        <v>3.0945</v>
      </c>
      <c r="AD26" s="32">
        <f>IFERROR(__xludf.DUMMYFUNCTION("""COMPUTED_VALUE"""),2.7479)</f>
        <v>2.7479</v>
      </c>
      <c r="AE26" s="32">
        <f>IFERROR(__xludf.DUMMYFUNCTION("""COMPUTED_VALUE"""),6.090846)</f>
        <v>6.090846</v>
      </c>
      <c r="AF26" s="32">
        <f>IFERROR(__xludf.DUMMYFUNCTION("""COMPUTED_VALUE"""),2.321653)</f>
        <v>2.321653</v>
      </c>
      <c r="AG26" s="32">
        <f>IFERROR(__xludf.DUMMYFUNCTION("""COMPUTED_VALUE"""),2.5345)</f>
        <v>2.5345</v>
      </c>
      <c r="AH26" s="32">
        <f>IFERROR(__xludf.DUMMYFUNCTION("""COMPUTED_VALUE"""),13.854417)</f>
        <v>13.854417</v>
      </c>
      <c r="AI26" s="32">
        <f>IFERROR(__xludf.DUMMYFUNCTION("""COMPUTED_VALUE"""),2.603231132195252)</f>
        <v>2.603231132</v>
      </c>
      <c r="AJ26" s="32">
        <f>IFERROR(__xludf.DUMMYFUNCTION("""COMPUTED_VALUE"""),15.153833229298993)</f>
        <v>15.15383323</v>
      </c>
      <c r="AK26" s="32">
        <f>IFERROR(__xludf.DUMMYFUNCTION("""COMPUTED_VALUE"""),72.1364)</f>
        <v>72.1364</v>
      </c>
      <c r="AL26" s="32">
        <f>IFERROR(__xludf.DUMMYFUNCTION("""COMPUTED_VALUE"""),738.0888)</f>
        <v>738.0888</v>
      </c>
      <c r="AM26" s="32">
        <f>IFERROR(__xludf.DUMMYFUNCTION("""COMPUTED_VALUE"""),150.992598)</f>
        <v>150.992598</v>
      </c>
      <c r="AN26" s="32">
        <f>IFERROR(__xludf.DUMMYFUNCTION("""COMPUTED_VALUE"""),137.514777)</f>
        <v>137.514777</v>
      </c>
      <c r="AO26" s="32">
        <f>IFERROR(__xludf.DUMMYFUNCTION("""COMPUTED_VALUE"""),58.0)</f>
        <v>58</v>
      </c>
      <c r="AP26" s="32">
        <f>IFERROR(__xludf.DUMMYFUNCTION("""COMPUTED_VALUE"""),0.1162031672460409)</f>
        <v>0.1162031672</v>
      </c>
      <c r="AQ26" s="13"/>
      <c r="AR26" s="13"/>
      <c r="AS26" s="13"/>
      <c r="AT26" s="13"/>
      <c r="AU26" s="13"/>
      <c r="AV26" s="13"/>
      <c r="AW26" s="13"/>
      <c r="AX26" s="13"/>
      <c r="AY26" s="13"/>
      <c r="AZ26" s="13"/>
    </row>
    <row r="27">
      <c r="A27" s="13" t="str">
        <f>IFERROR(__xludf.DUMMYFUNCTION("""COMPUTED_VALUE"""),"Britannia Industries Ltd.")</f>
        <v>Britannia Industries Ltd.</v>
      </c>
      <c r="B27" s="30">
        <f>IFERROR(__xludf.DUMMYFUNCTION("""COMPUTED_VALUE"""),500825.0)</f>
        <v>500825</v>
      </c>
      <c r="C27" s="13" t="str">
        <f>IFERROR(__xludf.DUMMYFUNCTION("""COMPUTED_VALUE"""),"BRITANNIA")</f>
        <v>BRITANNIA</v>
      </c>
      <c r="D27" s="13" t="str">
        <f>IFERROR(__xludf.DUMMYFUNCTION("""COMPUTED_VALUE"""),"INE216A01030")</f>
        <v>INE216A01030</v>
      </c>
      <c r="E27" s="13" t="str">
        <f>IFERROR(__xludf.DUMMYFUNCTION("""COMPUTED_VALUE"""),"Consumer Staples")</f>
        <v>Consumer Staples</v>
      </c>
      <c r="F27" s="13" t="str">
        <f>IFERROR(__xludf.DUMMYFUNCTION("""COMPUTED_VALUE"""),"Bakery &amp; Milling Prod.")</f>
        <v>Bakery &amp; Milling Prod.</v>
      </c>
      <c r="G27" s="31">
        <f>IFERROR(__xludf.DUMMYFUNCTION("""COMPUTED_VALUE"""),44809.0)</f>
        <v>44809</v>
      </c>
      <c r="H27" s="32">
        <f>IFERROR(__xludf.DUMMYFUNCTION("""COMPUTED_VALUE"""),3662.6)</f>
        <v>3662.6</v>
      </c>
      <c r="I27" s="32">
        <f>IFERROR(__xludf.DUMMYFUNCTION("""COMPUTED_VALUE"""),-1.124384)</f>
        <v>-1.124384</v>
      </c>
      <c r="J27" s="32">
        <f>IFERROR(__xludf.DUMMYFUNCTION("""COMPUTED_VALUE"""),3050.0)</f>
        <v>3050</v>
      </c>
      <c r="K27" s="32">
        <f>IFERROR(__xludf.DUMMYFUNCTION("""COMPUTED_VALUE"""),4153.0)</f>
        <v>4153</v>
      </c>
      <c r="L27" s="32">
        <f>IFERROR(__xludf.DUMMYFUNCTION("""COMPUTED_VALUE"""),2100.0)</f>
        <v>2100</v>
      </c>
      <c r="M27" s="32">
        <f>IFERROR(__xludf.DUMMYFUNCTION("""COMPUTED_VALUE"""),4153.0)</f>
        <v>4153</v>
      </c>
      <c r="N27" s="32">
        <f>IFERROR(__xludf.DUMMYFUNCTION("""COMPUTED_VALUE"""),2100.0)</f>
        <v>2100</v>
      </c>
      <c r="O27" s="32">
        <f>IFERROR(__xludf.DUMMYFUNCTION("""COMPUTED_VALUE"""),4153.0)</f>
        <v>4153</v>
      </c>
      <c r="P27" s="32">
        <f>IFERROR(__xludf.DUMMYFUNCTION("""COMPUTED_VALUE"""),44.9)</f>
        <v>44.9</v>
      </c>
      <c r="Q27" s="32">
        <f>IFERROR(__xludf.DUMMYFUNCTION("""COMPUTED_VALUE"""),4153.0)</f>
        <v>4153</v>
      </c>
      <c r="R27" s="32">
        <f>IFERROR(__xludf.DUMMYFUNCTION("""COMPUTED_VALUE"""),88220.42209296)</f>
        <v>88220.42209</v>
      </c>
      <c r="S27" s="32">
        <f>IFERROR(__xludf.DUMMYFUNCTION("""COMPUTED_VALUE"""),90640.4400088)</f>
        <v>90640.44001</v>
      </c>
      <c r="T27" s="32">
        <f>IFERROR(__xludf.DUMMYFUNCTION("""COMPUTED_VALUE"""),0.341082)</f>
        <v>0.341082</v>
      </c>
      <c r="U27" s="32">
        <f>IFERROR(__xludf.DUMMYFUNCTION("""COMPUTED_VALUE"""),-2.978768)</f>
        <v>-2.978768</v>
      </c>
      <c r="V27" s="32">
        <f>IFERROR(__xludf.DUMMYFUNCTION("""COMPUTED_VALUE"""),3.756374)</f>
        <v>3.756374</v>
      </c>
      <c r="W27" s="32">
        <f>IFERROR(__xludf.DUMMYFUNCTION("""COMPUTED_VALUE"""),-11.192474)</f>
        <v>-11.192474</v>
      </c>
      <c r="X27" s="32">
        <f>IFERROR(__xludf.DUMMYFUNCTION("""COMPUTED_VALUE"""),11.595043)</f>
        <v>11.595043</v>
      </c>
      <c r="Y27" s="32">
        <f>IFERROR(__xludf.DUMMYFUNCTION("""COMPUTED_VALUE"""),11.662825)</f>
        <v>11.662825</v>
      </c>
      <c r="Z27" s="32">
        <f>IFERROR(__xludf.DUMMYFUNCTION("""COMPUTED_VALUE"""),30.62044)</f>
        <v>30.62044</v>
      </c>
      <c r="AA27" s="32">
        <f>IFERROR(__xludf.DUMMYFUNCTION("""COMPUTED_VALUE"""),59.8863)</f>
        <v>59.8863</v>
      </c>
      <c r="AB27" s="32">
        <f>IFERROR(__xludf.DUMMYFUNCTION("""COMPUTED_VALUE"""),57.00725)</f>
        <v>57.00725</v>
      </c>
      <c r="AC27" s="32">
        <f>IFERROR(__xludf.DUMMYFUNCTION("""COMPUTED_VALUE"""),30.4753)</f>
        <v>30.4753</v>
      </c>
      <c r="AD27" s="32">
        <f>IFERROR(__xludf.DUMMYFUNCTION("""COMPUTED_VALUE"""),20.4506)</f>
        <v>20.4506</v>
      </c>
      <c r="AE27" s="32">
        <f>IFERROR(__xludf.DUMMYFUNCTION("""COMPUTED_VALUE"""),2.656218)</f>
        <v>2.656218</v>
      </c>
      <c r="AF27" s="32">
        <f>IFERROR(__xludf.DUMMYFUNCTION("""COMPUTED_VALUE"""),5.593394)</f>
        <v>5.593394</v>
      </c>
      <c r="AG27" s="32">
        <f>IFERROR(__xludf.DUMMYFUNCTION("""COMPUTED_VALUE"""),1.5431)</f>
        <v>1.5431</v>
      </c>
      <c r="AH27" s="32">
        <f>IFERROR(__xludf.DUMMYFUNCTION("""COMPUTED_VALUE"""),38.304226)</f>
        <v>38.304226</v>
      </c>
      <c r="AI27" s="32">
        <f>IFERROR(__xludf.DUMMYFUNCTION("""COMPUTED_VALUE"""),6.192414720845006)</f>
        <v>6.192414721</v>
      </c>
      <c r="AJ27" s="32">
        <f>IFERROR(__xludf.DUMMYFUNCTION("""COMPUTED_VALUE"""),67.88692909147993)</f>
        <v>67.88692909</v>
      </c>
      <c r="AK27" s="32">
        <f>IFERROR(__xludf.DUMMYFUNCTION("""COMPUTED_VALUE"""),61.1417)</f>
        <v>61.1417</v>
      </c>
      <c r="AL27" s="32">
        <f>IFERROR(__xludf.DUMMYFUNCTION("""COMPUTED_VALUE"""),120.1481)</f>
        <v>120.1481</v>
      </c>
      <c r="AM27" s="32">
        <f>IFERROR(__xludf.DUMMYFUNCTION("""COMPUTED_VALUE"""),53.944375)</f>
        <v>53.944375</v>
      </c>
      <c r="AN27" s="32">
        <f>IFERROR(__xludf.DUMMYFUNCTION("""COMPUTED_VALUE"""),34.839768)</f>
        <v>34.839768</v>
      </c>
      <c r="AO27" s="32">
        <f>IFERROR(__xludf.DUMMYFUNCTION("""COMPUTED_VALUE"""),56.5)</f>
        <v>56.5</v>
      </c>
      <c r="AP27" s="32">
        <f>IFERROR(__xludf.DUMMYFUNCTION("""COMPUTED_VALUE"""),0.11808331326751748)</f>
        <v>0.1180833133</v>
      </c>
      <c r="AQ27" s="13"/>
      <c r="AR27" s="13"/>
      <c r="AS27" s="13"/>
      <c r="AT27" s="13"/>
      <c r="AU27" s="13"/>
      <c r="AV27" s="13"/>
      <c r="AW27" s="13"/>
      <c r="AX27" s="13"/>
      <c r="AY27" s="13"/>
      <c r="AZ27" s="13"/>
    </row>
    <row r="28">
      <c r="A28" s="13" t="str">
        <f>IFERROR(__xludf.DUMMYFUNCTION("""COMPUTED_VALUE"""),"Larsen &amp; Toubro Infotech Ltd.")</f>
        <v>Larsen &amp; Toubro Infotech Ltd.</v>
      </c>
      <c r="B28" s="30">
        <f>IFERROR(__xludf.DUMMYFUNCTION("""COMPUTED_VALUE"""),540005.0)</f>
        <v>540005</v>
      </c>
      <c r="C28" s="13" t="str">
        <f>IFERROR(__xludf.DUMMYFUNCTION("""COMPUTED_VALUE"""),"LTI")</f>
        <v>LTI</v>
      </c>
      <c r="D28" s="13" t="str">
        <f>IFERROR(__xludf.DUMMYFUNCTION("""COMPUTED_VALUE"""),"INE214T01019")</f>
        <v>INE214T01019</v>
      </c>
      <c r="E28" s="13" t="str">
        <f>IFERROR(__xludf.DUMMYFUNCTION("""COMPUTED_VALUE"""),"Technology")</f>
        <v>Technology</v>
      </c>
      <c r="F28" s="13" t="str">
        <f>IFERROR(__xludf.DUMMYFUNCTION("""COMPUTED_VALUE"""),"Software")</f>
        <v>Software</v>
      </c>
      <c r="G28" s="31">
        <f>IFERROR(__xludf.DUMMYFUNCTION("""COMPUTED_VALUE"""),44809.0)</f>
        <v>44809</v>
      </c>
      <c r="H28" s="32">
        <f>IFERROR(__xludf.DUMMYFUNCTION("""COMPUTED_VALUE"""),4496.5)</f>
        <v>4496.5</v>
      </c>
      <c r="I28" s="32">
        <f>IFERROR(__xludf.DUMMYFUNCTION("""COMPUTED_VALUE"""),-0.56391)</f>
        <v>-0.56391</v>
      </c>
      <c r="J28" s="32">
        <f>IFERROR(__xludf.DUMMYFUNCTION("""COMPUTED_VALUE"""),3733.3)</f>
        <v>3733.3</v>
      </c>
      <c r="K28" s="32">
        <f>IFERROR(__xludf.DUMMYFUNCTION("""COMPUTED_VALUE"""),7595.25)</f>
        <v>7595.25</v>
      </c>
      <c r="L28" s="32">
        <f>IFERROR(__xludf.DUMMYFUNCTION("""COMPUTED_VALUE"""),1207.6)</f>
        <v>1207.6</v>
      </c>
      <c r="M28" s="32">
        <f>IFERROR(__xludf.DUMMYFUNCTION("""COMPUTED_VALUE"""),7595.25)</f>
        <v>7595.25</v>
      </c>
      <c r="N28" s="32">
        <f>IFERROR(__xludf.DUMMYFUNCTION("""COMPUTED_VALUE"""),744.1)</f>
        <v>744.1</v>
      </c>
      <c r="O28" s="32">
        <f>IFERROR(__xludf.DUMMYFUNCTION("""COMPUTED_VALUE"""),7595.25)</f>
        <v>7595.25</v>
      </c>
      <c r="P28" s="32">
        <f>IFERROR(__xludf.DUMMYFUNCTION("""COMPUTED_VALUE"""),595.0)</f>
        <v>595</v>
      </c>
      <c r="Q28" s="32">
        <f>IFERROR(__xludf.DUMMYFUNCTION("""COMPUTED_VALUE"""),7595.25)</f>
        <v>7595.25</v>
      </c>
      <c r="R28" s="32">
        <f>IFERROR(__xludf.DUMMYFUNCTION("""COMPUTED_VALUE"""),78846.47845073999)</f>
        <v>78846.47845</v>
      </c>
      <c r="S28" s="32">
        <f>IFERROR(__xludf.DUMMYFUNCTION("""COMPUTED_VALUE"""),75454.35061922)</f>
        <v>75454.35062</v>
      </c>
      <c r="T28" s="32">
        <f>IFERROR(__xludf.DUMMYFUNCTION("""COMPUTED_VALUE"""),-3.486837)</f>
        <v>-3.486837</v>
      </c>
      <c r="U28" s="32">
        <f>IFERROR(__xludf.DUMMYFUNCTION("""COMPUTED_VALUE"""),-8.332909)</f>
        <v>-8.332909</v>
      </c>
      <c r="V28" s="32">
        <f>IFERROR(__xludf.DUMMYFUNCTION("""COMPUTED_VALUE"""),3.724294)</f>
        <v>3.724294</v>
      </c>
      <c r="W28" s="32">
        <f>IFERROR(__xludf.DUMMYFUNCTION("""COMPUTED_VALUE"""),-17.66537)</f>
        <v>-17.66537</v>
      </c>
      <c r="X28" s="32">
        <f>IFERROR(__xludf.DUMMYFUNCTION("""COMPUTED_VALUE"""),39.762053)</f>
        <v>39.762053</v>
      </c>
      <c r="Y28" s="32">
        <f>IFERROR(__xludf.DUMMYFUNCTION("""COMPUTED_VALUE"""),42.67924)</f>
        <v>42.67924</v>
      </c>
      <c r="Z28" s="13"/>
      <c r="AA28" s="32">
        <f>IFERROR(__xludf.DUMMYFUNCTION("""COMPUTED_VALUE"""),32.3938)</f>
        <v>32.3938</v>
      </c>
      <c r="AB28" s="32">
        <f>IFERROR(__xludf.DUMMYFUNCTION("""COMPUTED_VALUE"""),25.84805)</f>
        <v>25.84805</v>
      </c>
      <c r="AC28" s="32">
        <f>IFERROR(__xludf.DUMMYFUNCTION("""COMPUTED_VALUE"""),8.3962)</f>
        <v>8.3962</v>
      </c>
      <c r="AD28" s="32">
        <f>IFERROR(__xludf.DUMMYFUNCTION("""COMPUTED_VALUE"""),7.46395)</f>
        <v>7.46395</v>
      </c>
      <c r="AE28" s="32">
        <f>IFERROR(__xludf.DUMMYFUNCTION("""COMPUTED_VALUE"""),5.118393)</f>
        <v>5.118393</v>
      </c>
      <c r="AF28" s="32">
        <f>IFERROR(__xludf.DUMMYFUNCTION("""COMPUTED_VALUE"""),1.666591)</f>
        <v>1.666591</v>
      </c>
      <c r="AG28" s="32">
        <f>IFERROR(__xludf.DUMMYFUNCTION("""COMPUTED_VALUE"""),1.223)</f>
        <v>1.223</v>
      </c>
      <c r="AH28" s="32">
        <f>IFERROR(__xludf.DUMMYFUNCTION("""COMPUTED_VALUE"""),20.225253)</f>
        <v>20.225253</v>
      </c>
      <c r="AI28" s="32">
        <f>IFERROR(__xludf.DUMMYFUNCTION("""COMPUTED_VALUE"""),4.713161483097615)</f>
        <v>4.713161483</v>
      </c>
      <c r="AJ28" s="32">
        <f>IFERROR(__xludf.DUMMYFUNCTION("""COMPUTED_VALUE"""),47.72789252466101)</f>
        <v>47.72789252</v>
      </c>
      <c r="AK28" s="32">
        <f>IFERROR(__xludf.DUMMYFUNCTION("""COMPUTED_VALUE"""),138.8275)</f>
        <v>138.8275</v>
      </c>
      <c r="AL28" s="32">
        <f>IFERROR(__xludf.DUMMYFUNCTION("""COMPUTED_VALUE"""),535.6172)</f>
        <v>535.6172</v>
      </c>
      <c r="AM28" s="32">
        <f>IFERROR(__xludf.DUMMYFUNCTION("""COMPUTED_VALUE"""),94.4)</f>
        <v>94.4</v>
      </c>
      <c r="AN28" s="32">
        <f>IFERROR(__xludf.DUMMYFUNCTION("""COMPUTED_VALUE"""),48.011429)</f>
        <v>48.011429</v>
      </c>
      <c r="AO28" s="32">
        <f>IFERROR(__xludf.DUMMYFUNCTION("""COMPUTED_VALUE"""),55.0)</f>
        <v>55</v>
      </c>
      <c r="AP28" s="32">
        <f>IFERROR(__xludf.DUMMYFUNCTION("""COMPUTED_VALUE"""),0.40798525394160823)</f>
        <v>0.4079852539</v>
      </c>
      <c r="AQ28" s="13"/>
      <c r="AR28" s="13"/>
      <c r="AS28" s="13"/>
      <c r="AT28" s="13"/>
      <c r="AU28" s="13"/>
      <c r="AV28" s="13"/>
      <c r="AW28" s="13"/>
      <c r="AX28" s="13"/>
      <c r="AY28" s="13"/>
      <c r="AZ28" s="13"/>
    </row>
    <row r="29">
      <c r="A29" s="13" t="str">
        <f>IFERROR(__xludf.DUMMYFUNCTION("""COMPUTED_VALUE"""),"Tata Investment Corporation Ltd.")</f>
        <v>Tata Investment Corporation Ltd.</v>
      </c>
      <c r="B29" s="30">
        <f>IFERROR(__xludf.DUMMYFUNCTION("""COMPUTED_VALUE"""),501301.0)</f>
        <v>501301</v>
      </c>
      <c r="C29" s="13" t="str">
        <f>IFERROR(__xludf.DUMMYFUNCTION("""COMPUTED_VALUE"""),"TATAINVEST")</f>
        <v>TATAINVEST</v>
      </c>
      <c r="D29" s="13" t="str">
        <f>IFERROR(__xludf.DUMMYFUNCTION("""COMPUTED_VALUE"""),"INE672A01018")</f>
        <v>INE672A01018</v>
      </c>
      <c r="E29" s="13" t="str">
        <f>IFERROR(__xludf.DUMMYFUNCTION("""COMPUTED_VALUE"""),"Financial")</f>
        <v>Financial</v>
      </c>
      <c r="F29" s="13" t="str">
        <f>IFERROR(__xludf.DUMMYFUNCTION("""COMPUTED_VALUE"""),"Investment Services")</f>
        <v>Investment Services</v>
      </c>
      <c r="G29" s="31">
        <f>IFERROR(__xludf.DUMMYFUNCTION("""COMPUTED_VALUE"""),44809.0)</f>
        <v>44809</v>
      </c>
      <c r="H29" s="32">
        <f>IFERROR(__xludf.DUMMYFUNCTION("""COMPUTED_VALUE"""),1689.1)</f>
        <v>1689.1</v>
      </c>
      <c r="I29" s="32">
        <f>IFERROR(__xludf.DUMMYFUNCTION("""COMPUTED_VALUE"""),2.119041)</f>
        <v>2.119041</v>
      </c>
      <c r="J29" s="32">
        <f>IFERROR(__xludf.DUMMYFUNCTION("""COMPUTED_VALUE"""),1215.95)</f>
        <v>1215.95</v>
      </c>
      <c r="K29" s="32">
        <f>IFERROR(__xludf.DUMMYFUNCTION("""COMPUTED_VALUE"""),1734.0)</f>
        <v>1734</v>
      </c>
      <c r="L29" s="32">
        <f>IFERROR(__xludf.DUMMYFUNCTION("""COMPUTED_VALUE"""),591.0)</f>
        <v>591</v>
      </c>
      <c r="M29" s="32">
        <f>IFERROR(__xludf.DUMMYFUNCTION("""COMPUTED_VALUE"""),1734.0)</f>
        <v>1734</v>
      </c>
      <c r="N29" s="32">
        <f>IFERROR(__xludf.DUMMYFUNCTION("""COMPUTED_VALUE"""),591.0)</f>
        <v>591</v>
      </c>
      <c r="O29" s="32">
        <f>IFERROR(__xludf.DUMMYFUNCTION("""COMPUTED_VALUE"""),1734.0)</f>
        <v>1734</v>
      </c>
      <c r="P29" s="32">
        <f>IFERROR(__xludf.DUMMYFUNCTION("""COMPUTED_VALUE"""),34.866667)</f>
        <v>34.866667</v>
      </c>
      <c r="Q29" s="32">
        <f>IFERROR(__xludf.DUMMYFUNCTION("""COMPUTED_VALUE"""),1734.0)</f>
        <v>1734</v>
      </c>
      <c r="R29" s="32">
        <f>IFERROR(__xludf.DUMMYFUNCTION("""COMPUTED_VALUE"""),8546.05144736)</f>
        <v>8546.051447</v>
      </c>
      <c r="S29" s="32">
        <f>IFERROR(__xludf.DUMMYFUNCTION("""COMPUTED_VALUE"""),7895.09772912)</f>
        <v>7895.097729</v>
      </c>
      <c r="T29" s="32">
        <f>IFERROR(__xludf.DUMMYFUNCTION("""COMPUTED_VALUE"""),8.981225)</f>
        <v>8.981225</v>
      </c>
      <c r="U29" s="32">
        <f>IFERROR(__xludf.DUMMYFUNCTION("""COMPUTED_VALUE"""),14.998638)</f>
        <v>14.998638</v>
      </c>
      <c r="V29" s="32">
        <f>IFERROR(__xludf.DUMMYFUNCTION("""COMPUTED_VALUE"""),14.744744)</f>
        <v>14.744744</v>
      </c>
      <c r="W29" s="32">
        <f>IFERROR(__xludf.DUMMYFUNCTION("""COMPUTED_VALUE"""),33.288617)</f>
        <v>33.288617</v>
      </c>
      <c r="X29" s="32">
        <f>IFERROR(__xludf.DUMMYFUNCTION("""COMPUTED_VALUE"""),30.860732)</f>
        <v>30.860732</v>
      </c>
      <c r="Y29" s="32">
        <f>IFERROR(__xludf.DUMMYFUNCTION("""COMPUTED_VALUE"""),14.800594)</f>
        <v>14.800594</v>
      </c>
      <c r="Z29" s="32">
        <f>IFERROR(__xludf.DUMMYFUNCTION("""COMPUTED_VALUE"""),14.669786)</f>
        <v>14.669786</v>
      </c>
      <c r="AA29" s="32">
        <f>IFERROR(__xludf.DUMMYFUNCTION("""COMPUTED_VALUE"""),34.0862)</f>
        <v>34.0862</v>
      </c>
      <c r="AB29" s="32">
        <f>IFERROR(__xludf.DUMMYFUNCTION("""COMPUTED_VALUE"""),32.62645)</f>
        <v>32.62645</v>
      </c>
      <c r="AC29" s="32">
        <f>IFERROR(__xludf.DUMMYFUNCTION("""COMPUTED_VALUE"""),0.4319)</f>
        <v>0.4319</v>
      </c>
      <c r="AD29" s="32">
        <f>IFERROR(__xludf.DUMMYFUNCTION("""COMPUTED_VALUE"""),0.51305)</f>
        <v>0.51305</v>
      </c>
      <c r="AE29" s="32">
        <f>IFERROR(__xludf.DUMMYFUNCTION("""COMPUTED_VALUE"""),3.273085)</f>
        <v>3.273085</v>
      </c>
      <c r="AF29" s="32">
        <f>IFERROR(__xludf.DUMMYFUNCTION("""COMPUTED_VALUE"""),-152.690638)</f>
        <v>-152.690638</v>
      </c>
      <c r="AG29" s="32">
        <f>IFERROR(__xludf.DUMMYFUNCTION("""COMPUTED_VALUE"""),3.2611)</f>
        <v>3.2611</v>
      </c>
      <c r="AH29" s="32">
        <f>IFERROR(__xludf.DUMMYFUNCTION("""COMPUTED_VALUE"""),29.913605)</f>
        <v>29.913605</v>
      </c>
      <c r="AI29" s="32">
        <f>IFERROR(__xludf.DUMMYFUNCTION("""COMPUTED_VALUE"""),29.08997020682143)</f>
        <v>29.08997021</v>
      </c>
      <c r="AJ29" s="32">
        <f>IFERROR(__xludf.DUMMYFUNCTION("""COMPUTED_VALUE"""),69.77530500883412)</f>
        <v>69.77530501</v>
      </c>
      <c r="AK29" s="32">
        <f>IFERROR(__xludf.DUMMYFUNCTION("""COMPUTED_VALUE"""),49.4789)</f>
        <v>49.4789</v>
      </c>
      <c r="AL29" s="32">
        <f>IFERROR(__xludf.DUMMYFUNCTION("""COMPUTED_VALUE"""),3905.3268)</f>
        <v>3905.3268</v>
      </c>
      <c r="AM29" s="32">
        <f>IFERROR(__xludf.DUMMYFUNCTION("""COMPUTED_VALUE"""),24.207703)</f>
        <v>24.207703</v>
      </c>
      <c r="AN29" s="32">
        <f>IFERROR(__xludf.DUMMYFUNCTION("""COMPUTED_VALUE"""),31.500001)</f>
        <v>31.500001</v>
      </c>
      <c r="AO29" s="32">
        <f>IFERROR(__xludf.DUMMYFUNCTION("""COMPUTED_VALUE"""),55.0)</f>
        <v>55</v>
      </c>
      <c r="AP29" s="32">
        <f>IFERROR(__xludf.DUMMYFUNCTION("""COMPUTED_VALUE"""),0.02589388696655138)</f>
        <v>0.02589388697</v>
      </c>
      <c r="AQ29" s="13"/>
      <c r="AR29" s="13"/>
      <c r="AS29" s="13"/>
      <c r="AT29" s="13"/>
      <c r="AU29" s="13"/>
      <c r="AV29" s="13"/>
      <c r="AW29" s="13"/>
      <c r="AX29" s="13"/>
      <c r="AY29" s="13"/>
      <c r="AZ29" s="13"/>
    </row>
    <row r="30">
      <c r="A30" s="13" t="str">
        <f>IFERROR(__xludf.DUMMYFUNCTION("""COMPUTED_VALUE"""),"Bata India Ltd.")</f>
        <v>Bata India Ltd.</v>
      </c>
      <c r="B30" s="30">
        <f>IFERROR(__xludf.DUMMYFUNCTION("""COMPUTED_VALUE"""),500043.0)</f>
        <v>500043</v>
      </c>
      <c r="C30" s="13" t="str">
        <f>IFERROR(__xludf.DUMMYFUNCTION("""COMPUTED_VALUE"""),"BATAINDIA")</f>
        <v>BATAINDIA</v>
      </c>
      <c r="D30" s="13" t="str">
        <f>IFERROR(__xludf.DUMMYFUNCTION("""COMPUTED_VALUE"""),"INE176A01028")</f>
        <v>INE176A01028</v>
      </c>
      <c r="E30" s="13" t="str">
        <f>IFERROR(__xludf.DUMMYFUNCTION("""COMPUTED_VALUE"""),"Consumer Discretionary")</f>
        <v>Consumer Discretionary</v>
      </c>
      <c r="F30" s="13" t="str">
        <f>IFERROR(__xludf.DUMMYFUNCTION("""COMPUTED_VALUE"""),"Footwear")</f>
        <v>Footwear</v>
      </c>
      <c r="G30" s="31">
        <f>IFERROR(__xludf.DUMMYFUNCTION("""COMPUTED_VALUE"""),44809.0)</f>
        <v>44809</v>
      </c>
      <c r="H30" s="32">
        <f>IFERROR(__xludf.DUMMYFUNCTION("""COMPUTED_VALUE"""),1885.0)</f>
        <v>1885</v>
      </c>
      <c r="I30" s="32">
        <f>IFERROR(__xludf.DUMMYFUNCTION("""COMPUTED_VALUE"""),-1.228746)</f>
        <v>-1.228746</v>
      </c>
      <c r="J30" s="32">
        <f>IFERROR(__xludf.DUMMYFUNCTION("""COMPUTED_VALUE"""),1607.45)</f>
        <v>1607.45</v>
      </c>
      <c r="K30" s="32">
        <f>IFERROR(__xludf.DUMMYFUNCTION("""COMPUTED_VALUE"""),2262.0)</f>
        <v>2262</v>
      </c>
      <c r="L30" s="32">
        <f>IFERROR(__xludf.DUMMYFUNCTION("""COMPUTED_VALUE"""),1000.0)</f>
        <v>1000</v>
      </c>
      <c r="M30" s="32">
        <f>IFERROR(__xludf.DUMMYFUNCTION("""COMPUTED_VALUE"""),2262.0)</f>
        <v>2262</v>
      </c>
      <c r="N30" s="32">
        <f>IFERROR(__xludf.DUMMYFUNCTION("""COMPUTED_VALUE"""),653.1)</f>
        <v>653.1</v>
      </c>
      <c r="O30" s="32">
        <f>IFERROR(__xludf.DUMMYFUNCTION("""COMPUTED_VALUE"""),2262.0)</f>
        <v>2262</v>
      </c>
      <c r="P30" s="32">
        <f>IFERROR(__xludf.DUMMYFUNCTION("""COMPUTED_VALUE"""),11.721629)</f>
        <v>11.721629</v>
      </c>
      <c r="Q30" s="32">
        <f>IFERROR(__xludf.DUMMYFUNCTION("""COMPUTED_VALUE"""),2262.0)</f>
        <v>2262</v>
      </c>
      <c r="R30" s="32">
        <f>IFERROR(__xludf.DUMMYFUNCTION("""COMPUTED_VALUE"""),24227.44129)</f>
        <v>24227.44129</v>
      </c>
      <c r="S30" s="32">
        <f>IFERROR(__xludf.DUMMYFUNCTION("""COMPUTED_VALUE"""),23554.278632)</f>
        <v>23554.27863</v>
      </c>
      <c r="T30" s="32">
        <f>IFERROR(__xludf.DUMMYFUNCTION("""COMPUTED_VALUE"""),0.780582)</f>
        <v>0.780582</v>
      </c>
      <c r="U30" s="32">
        <f>IFERROR(__xludf.DUMMYFUNCTION("""COMPUTED_VALUE"""),-1.507433)</f>
        <v>-1.507433</v>
      </c>
      <c r="V30" s="32">
        <f>IFERROR(__xludf.DUMMYFUNCTION("""COMPUTED_VALUE"""),2.45122)</f>
        <v>2.45122</v>
      </c>
      <c r="W30" s="32">
        <f>IFERROR(__xludf.DUMMYFUNCTION("""COMPUTED_VALUE"""),6.346968)</f>
        <v>6.346968</v>
      </c>
      <c r="X30" s="32">
        <f>IFERROR(__xludf.DUMMYFUNCTION("""COMPUTED_VALUE"""),6.947238)</f>
        <v>6.947238</v>
      </c>
      <c r="Y30" s="32">
        <f>IFERROR(__xludf.DUMMYFUNCTION("""COMPUTED_VALUE"""),22.589136)</f>
        <v>22.589136</v>
      </c>
      <c r="Z30" s="32">
        <f>IFERROR(__xludf.DUMMYFUNCTION("""COMPUTED_VALUE"""),15.448633)</f>
        <v>15.448633</v>
      </c>
      <c r="AA30" s="32">
        <f>IFERROR(__xludf.DUMMYFUNCTION("""COMPUTED_VALUE"""),83.058)</f>
        <v>83.058</v>
      </c>
      <c r="AB30" s="32">
        <f>IFERROR(__xludf.DUMMYFUNCTION("""COMPUTED_VALUE"""),55.9916)</f>
        <v>55.9916</v>
      </c>
      <c r="AC30" s="32">
        <f>IFERROR(__xludf.DUMMYFUNCTION("""COMPUTED_VALUE"""),12.5333)</f>
        <v>12.5333</v>
      </c>
      <c r="AD30" s="32">
        <f>IFERROR(__xludf.DUMMYFUNCTION("""COMPUTED_VALUE"""),10.72325)</f>
        <v>10.72325</v>
      </c>
      <c r="AE30" s="32">
        <f>IFERROR(__xludf.DUMMYFUNCTION("""COMPUTED_VALUE"""),2.320043)</f>
        <v>2.320043</v>
      </c>
      <c r="AF30" s="32">
        <f>IFERROR(__xludf.DUMMYFUNCTION("""COMPUTED_VALUE"""),-9.991625)</f>
        <v>-9.991625</v>
      </c>
      <c r="AG30" s="32">
        <f>IFERROR(__xludf.DUMMYFUNCTION("""COMPUTED_VALUE"""),2.891)</f>
        <v>2.891</v>
      </c>
      <c r="AH30" s="32">
        <f>IFERROR(__xludf.DUMMYFUNCTION("""COMPUTED_VALUE"""),31.500037)</f>
        <v>31.500037</v>
      </c>
      <c r="AI30" s="32">
        <f>IFERROR(__xludf.DUMMYFUNCTION("""COMPUTED_VALUE"""),7.907933604857936)</f>
        <v>7.907933605</v>
      </c>
      <c r="AJ30" s="32">
        <f>IFERROR(__xludf.DUMMYFUNCTION("""COMPUTED_VALUE"""),114.54621711708305)</f>
        <v>114.5462171</v>
      </c>
      <c r="AK30" s="32">
        <f>IFERROR(__xludf.DUMMYFUNCTION("""COMPUTED_VALUE"""),22.7064)</f>
        <v>22.7064</v>
      </c>
      <c r="AL30" s="32">
        <f>IFERROR(__xludf.DUMMYFUNCTION("""COMPUTED_VALUE"""),150.4754)</f>
        <v>150.4754</v>
      </c>
      <c r="AM30" s="32">
        <f>IFERROR(__xludf.DUMMYFUNCTION("""COMPUTED_VALUE"""),16.456181)</f>
        <v>16.456181</v>
      </c>
      <c r="AN30" s="32">
        <f>IFERROR(__xludf.DUMMYFUNCTION("""COMPUTED_VALUE"""),7.189873)</f>
        <v>7.189873</v>
      </c>
      <c r="AO30" s="32">
        <f>IFERROR(__xludf.DUMMYFUNCTION("""COMPUTED_VALUE"""),54.5)</f>
        <v>54.5</v>
      </c>
      <c r="AP30" s="32">
        <f>IFERROR(__xludf.DUMMYFUNCTION("""COMPUTED_VALUE"""),0.16666666666666666)</f>
        <v>0.1666666667</v>
      </c>
      <c r="AQ30" s="13"/>
      <c r="AR30" s="13"/>
      <c r="AS30" s="13"/>
      <c r="AT30" s="13"/>
      <c r="AU30" s="13"/>
      <c r="AV30" s="13"/>
      <c r="AW30" s="13"/>
      <c r="AX30" s="13"/>
      <c r="AY30" s="13"/>
      <c r="AZ30" s="13"/>
    </row>
    <row r="31">
      <c r="A31" s="13" t="str">
        <f>IFERROR(__xludf.DUMMYFUNCTION("""COMPUTED_VALUE"""),"Coforge Ltd.")</f>
        <v>Coforge Ltd.</v>
      </c>
      <c r="B31" s="30">
        <f>IFERROR(__xludf.DUMMYFUNCTION("""COMPUTED_VALUE"""),532541.0)</f>
        <v>532541</v>
      </c>
      <c r="C31" s="13" t="str">
        <f>IFERROR(__xludf.DUMMYFUNCTION("""COMPUTED_VALUE"""),"COFORGE")</f>
        <v>COFORGE</v>
      </c>
      <c r="D31" s="13" t="str">
        <f>IFERROR(__xludf.DUMMYFUNCTION("""COMPUTED_VALUE"""),"INE591G01017")</f>
        <v>INE591G01017</v>
      </c>
      <c r="E31" s="13" t="str">
        <f>IFERROR(__xludf.DUMMYFUNCTION("""COMPUTED_VALUE"""),"Technology")</f>
        <v>Technology</v>
      </c>
      <c r="F31" s="13" t="str">
        <f>IFERROR(__xludf.DUMMYFUNCTION("""COMPUTED_VALUE"""),"Software")</f>
        <v>Software</v>
      </c>
      <c r="G31" s="31">
        <f>IFERROR(__xludf.DUMMYFUNCTION("""COMPUTED_VALUE"""),44809.0)</f>
        <v>44809</v>
      </c>
      <c r="H31" s="32">
        <f>IFERROR(__xludf.DUMMYFUNCTION("""COMPUTED_VALUE"""),3475.15)</f>
        <v>3475.15</v>
      </c>
      <c r="I31" s="32">
        <f>IFERROR(__xludf.DUMMYFUNCTION("""COMPUTED_VALUE"""),0.21773)</f>
        <v>0.21773</v>
      </c>
      <c r="J31" s="32">
        <f>IFERROR(__xludf.DUMMYFUNCTION("""COMPUTED_VALUE"""),3218.1)</f>
        <v>3218.1</v>
      </c>
      <c r="K31" s="32">
        <f>IFERROR(__xludf.DUMMYFUNCTION("""COMPUTED_VALUE"""),6135.0)</f>
        <v>6135</v>
      </c>
      <c r="L31" s="32">
        <f>IFERROR(__xludf.DUMMYFUNCTION("""COMPUTED_VALUE"""),735.35)</f>
        <v>735.35</v>
      </c>
      <c r="M31" s="32">
        <f>IFERROR(__xludf.DUMMYFUNCTION("""COMPUTED_VALUE"""),6135.0)</f>
        <v>6135</v>
      </c>
      <c r="N31" s="32">
        <f>IFERROR(__xludf.DUMMYFUNCTION("""COMPUTED_VALUE"""),486.2)</f>
        <v>486.2</v>
      </c>
      <c r="O31" s="32">
        <f>IFERROR(__xludf.DUMMYFUNCTION("""COMPUTED_VALUE"""),6135.0)</f>
        <v>6135</v>
      </c>
      <c r="P31" s="32">
        <f>IFERROR(__xludf.DUMMYFUNCTION("""COMPUTED_VALUE"""),41.5)</f>
        <v>41.5</v>
      </c>
      <c r="Q31" s="32">
        <f>IFERROR(__xludf.DUMMYFUNCTION("""COMPUTED_VALUE"""),6135.0)</f>
        <v>6135</v>
      </c>
      <c r="R31" s="32">
        <f>IFERROR(__xludf.DUMMYFUNCTION("""COMPUTED_VALUE"""),21188.407615505)</f>
        <v>21188.40762</v>
      </c>
      <c r="S31" s="32">
        <f>IFERROR(__xludf.DUMMYFUNCTION("""COMPUTED_VALUE"""),21037.089175995)</f>
        <v>21037.08918</v>
      </c>
      <c r="T31" s="32">
        <f>IFERROR(__xludf.DUMMYFUNCTION("""COMPUTED_VALUE"""),-5.098516)</f>
        <v>-5.098516</v>
      </c>
      <c r="U31" s="32">
        <f>IFERROR(__xludf.DUMMYFUNCTION("""COMPUTED_VALUE"""),-10.918715)</f>
        <v>-10.918715</v>
      </c>
      <c r="V31" s="32">
        <f>IFERROR(__xludf.DUMMYFUNCTION("""COMPUTED_VALUE"""),-7.578256)</f>
        <v>-7.578256</v>
      </c>
      <c r="W31" s="32">
        <f>IFERROR(__xludf.DUMMYFUNCTION("""COMPUTED_VALUE"""),-33.721451)</f>
        <v>-33.721451</v>
      </c>
      <c r="X31" s="32">
        <f>IFERROR(__xludf.DUMMYFUNCTION("""COMPUTED_VALUE"""),33.446568)</f>
        <v>33.446568</v>
      </c>
      <c r="Y31" s="32">
        <f>IFERROR(__xludf.DUMMYFUNCTION("""COMPUTED_VALUE"""),46.761647)</f>
        <v>46.761647</v>
      </c>
      <c r="Z31" s="32">
        <f>IFERROR(__xludf.DUMMYFUNCTION("""COMPUTED_VALUE"""),28.63245)</f>
        <v>28.63245</v>
      </c>
      <c r="AA31" s="32">
        <f>IFERROR(__xludf.DUMMYFUNCTION("""COMPUTED_VALUE"""),30.8061)</f>
        <v>30.8061</v>
      </c>
      <c r="AB31" s="32">
        <f>IFERROR(__xludf.DUMMYFUNCTION("""COMPUTED_VALUE"""),25.5958)</f>
        <v>25.5958</v>
      </c>
      <c r="AC31" s="32">
        <f>IFERROR(__xludf.DUMMYFUNCTION("""COMPUTED_VALUE"""),7.4403)</f>
        <v>7.4403</v>
      </c>
      <c r="AD31" s="32">
        <f>IFERROR(__xludf.DUMMYFUNCTION("""COMPUTED_VALUE"""),4.43265)</f>
        <v>4.43265</v>
      </c>
      <c r="AE31" s="32">
        <f>IFERROR(__xludf.DUMMYFUNCTION("""COMPUTED_VALUE"""),4.934705)</f>
        <v>4.934705</v>
      </c>
      <c r="AF31" s="32">
        <f>IFERROR(__xludf.DUMMYFUNCTION("""COMPUTED_VALUE"""),1.485414)</f>
        <v>1.485414</v>
      </c>
      <c r="AG31" s="32">
        <f>IFERROR(__xludf.DUMMYFUNCTION("""COMPUTED_VALUE"""),1.4957)</f>
        <v>1.4957</v>
      </c>
      <c r="AH31" s="32">
        <f>IFERROR(__xludf.DUMMYFUNCTION("""COMPUTED_VALUE"""),17.120027)</f>
        <v>17.120027</v>
      </c>
      <c r="AI31" s="32">
        <f>IFERROR(__xludf.DUMMYFUNCTION("""COMPUTED_VALUE"""),3.116033944454984)</f>
        <v>3.116033944</v>
      </c>
      <c r="AJ31" s="32">
        <f>IFERROR(__xludf.DUMMYFUNCTION("""COMPUTED_VALUE"""),27.675558536448538)</f>
        <v>27.67555854</v>
      </c>
      <c r="AK31" s="32">
        <f>IFERROR(__xludf.DUMMYFUNCTION("""COMPUTED_VALUE"""),112.8653)</f>
        <v>112.8653</v>
      </c>
      <c r="AL31" s="32">
        <f>IFERROR(__xludf.DUMMYFUNCTION("""COMPUTED_VALUE"""),467.2702)</f>
        <v>467.2702</v>
      </c>
      <c r="AM31" s="32">
        <f>IFERROR(__xludf.DUMMYFUNCTION("""COMPUTED_VALUE"""),125.714286)</f>
        <v>125.714286</v>
      </c>
      <c r="AN31" s="32">
        <f>IFERROR(__xludf.DUMMYFUNCTION("""COMPUTED_VALUE"""),105.829228)</f>
        <v>105.829228</v>
      </c>
      <c r="AO31" s="32">
        <f>IFERROR(__xludf.DUMMYFUNCTION("""COMPUTED_VALUE"""),52.0)</f>
        <v>52</v>
      </c>
      <c r="AP31" s="32">
        <f>IFERROR(__xludf.DUMMYFUNCTION("""COMPUTED_VALUE"""),0.4335533822330888)</f>
        <v>0.4335533822</v>
      </c>
      <c r="AQ31" s="13"/>
      <c r="AR31" s="13"/>
      <c r="AS31" s="13"/>
      <c r="AT31" s="13"/>
      <c r="AU31" s="13"/>
      <c r="AV31" s="13"/>
      <c r="AW31" s="13"/>
      <c r="AX31" s="13"/>
      <c r="AY31" s="13"/>
      <c r="AZ31" s="13"/>
    </row>
    <row r="32">
      <c r="A32" s="13" t="str">
        <f>IFERROR(__xludf.DUMMYFUNCTION("""COMPUTED_VALUE"""),"Hindustan Aeronautics Ltd.")</f>
        <v>Hindustan Aeronautics Ltd.</v>
      </c>
      <c r="B32" s="30">
        <f>IFERROR(__xludf.DUMMYFUNCTION("""COMPUTED_VALUE"""),541154.0)</f>
        <v>541154</v>
      </c>
      <c r="C32" s="13" t="str">
        <f>IFERROR(__xludf.DUMMYFUNCTION("""COMPUTED_VALUE"""),"HAL")</f>
        <v>HAL</v>
      </c>
      <c r="D32" s="13" t="str">
        <f>IFERROR(__xludf.DUMMYFUNCTION("""COMPUTED_VALUE"""),"INE066F01012")</f>
        <v>INE066F01012</v>
      </c>
      <c r="E32" s="13" t="str">
        <f>IFERROR(__xludf.DUMMYFUNCTION("""COMPUTED_VALUE"""),"Capital Goods")</f>
        <v>Capital Goods</v>
      </c>
      <c r="F32" s="13" t="str">
        <f>IFERROR(__xludf.DUMMYFUNCTION("""COMPUTED_VALUE"""),"Defence &amp; Aerospace")</f>
        <v>Defence &amp; Aerospace</v>
      </c>
      <c r="G32" s="31">
        <f>IFERROR(__xludf.DUMMYFUNCTION("""COMPUTED_VALUE"""),44809.0)</f>
        <v>44809</v>
      </c>
      <c r="H32" s="32">
        <f>IFERROR(__xludf.DUMMYFUNCTION("""COMPUTED_VALUE"""),2377.5)</f>
        <v>2377.5</v>
      </c>
      <c r="I32" s="32">
        <f>IFERROR(__xludf.DUMMYFUNCTION("""COMPUTED_VALUE"""),0.337624)</f>
        <v>0.337624</v>
      </c>
      <c r="J32" s="32">
        <f>IFERROR(__xludf.DUMMYFUNCTION("""COMPUTED_VALUE"""),1181.2)</f>
        <v>1181.2</v>
      </c>
      <c r="K32" s="32">
        <f>IFERROR(__xludf.DUMMYFUNCTION("""COMPUTED_VALUE"""),2425.0)</f>
        <v>2425</v>
      </c>
      <c r="L32" s="32">
        <f>IFERROR(__xludf.DUMMYFUNCTION("""COMPUTED_VALUE"""),448.0)</f>
        <v>448</v>
      </c>
      <c r="M32" s="32">
        <f>IFERROR(__xludf.DUMMYFUNCTION("""COMPUTED_VALUE"""),2425.0)</f>
        <v>2425</v>
      </c>
      <c r="N32" s="13"/>
      <c r="O32" s="13"/>
      <c r="P32" s="32">
        <f>IFERROR(__xludf.DUMMYFUNCTION("""COMPUTED_VALUE"""),448.0)</f>
        <v>448</v>
      </c>
      <c r="Q32" s="32">
        <f>IFERROR(__xludf.DUMMYFUNCTION("""COMPUTED_VALUE"""),2425.0)</f>
        <v>2425</v>
      </c>
      <c r="R32" s="32">
        <f>IFERROR(__xludf.DUMMYFUNCTION("""COMPUTED_VALUE"""),79467.189375)</f>
        <v>79467.18938</v>
      </c>
      <c r="S32" s="32">
        <f>IFERROR(__xludf.DUMMYFUNCTION("""COMPUTED_VALUE"""),64945.553625)</f>
        <v>64945.55363</v>
      </c>
      <c r="T32" s="32">
        <f>IFERROR(__xludf.DUMMYFUNCTION("""COMPUTED_VALUE"""),4.585945)</f>
        <v>4.585945</v>
      </c>
      <c r="U32" s="32">
        <f>IFERROR(__xludf.DUMMYFUNCTION("""COMPUTED_VALUE"""),18.599257)</f>
        <v>18.599257</v>
      </c>
      <c r="V32" s="32">
        <f>IFERROR(__xludf.DUMMYFUNCTION("""COMPUTED_VALUE"""),25.283238)</f>
        <v>25.283238</v>
      </c>
      <c r="W32" s="32">
        <f>IFERROR(__xludf.DUMMYFUNCTION("""COMPUTED_VALUE"""),70.485103)</f>
        <v>70.485103</v>
      </c>
      <c r="X32" s="32">
        <f>IFERROR(__xludf.DUMMYFUNCTION("""COMPUTED_VALUE"""),54.147436)</f>
        <v>54.147436</v>
      </c>
      <c r="Y32" s="13"/>
      <c r="Z32" s="13"/>
      <c r="AA32" s="32">
        <f>IFERROR(__xludf.DUMMYFUNCTION("""COMPUTED_VALUE"""),14.4342)</f>
        <v>14.4342</v>
      </c>
      <c r="AB32" s="32">
        <f>IFERROR(__xludf.DUMMYFUNCTION("""COMPUTED_VALUE"""),11.52355)</f>
        <v>11.52355</v>
      </c>
      <c r="AC32" s="32">
        <f>IFERROR(__xludf.DUMMYFUNCTION("""COMPUTED_VALUE"""),3.9892)</f>
        <v>3.9892</v>
      </c>
      <c r="AD32" s="32">
        <f>IFERROR(__xludf.DUMMYFUNCTION("""COMPUTED_VALUE"""),2.3333)</f>
        <v>2.3333</v>
      </c>
      <c r="AE32" s="32">
        <f>IFERROR(__xludf.DUMMYFUNCTION("""COMPUTED_VALUE"""),10.493162)</f>
        <v>10.493162</v>
      </c>
      <c r="AF32" s="32">
        <f>IFERROR(__xludf.DUMMYFUNCTION("""COMPUTED_VALUE"""),0.491891)</f>
        <v>0.491891</v>
      </c>
      <c r="AG32" s="32">
        <f>IFERROR(__xludf.DUMMYFUNCTION("""COMPUTED_VALUE"""),2.1039)</f>
        <v>2.1039</v>
      </c>
      <c r="AH32" s="32">
        <f>IFERROR(__xludf.DUMMYFUNCTION("""COMPUTED_VALUE"""),9.253032)</f>
        <v>9.253032</v>
      </c>
      <c r="AI32" s="32">
        <f>IFERROR(__xludf.DUMMYFUNCTION("""COMPUTED_VALUE"""),2.9844982141951766)</f>
        <v>2.984498214</v>
      </c>
      <c r="AJ32" s="32">
        <f>IFERROR(__xludf.DUMMYFUNCTION("""COMPUTED_VALUE"""),7.920754703581659)</f>
        <v>7.920754704</v>
      </c>
      <c r="AK32" s="32">
        <f>IFERROR(__xludf.DUMMYFUNCTION("""COMPUTED_VALUE"""),164.6434)</f>
        <v>164.6434</v>
      </c>
      <c r="AL32" s="32">
        <f>IFERROR(__xludf.DUMMYFUNCTION("""COMPUTED_VALUE"""),595.7306)</f>
        <v>595.7306</v>
      </c>
      <c r="AM32" s="32">
        <f>IFERROR(__xludf.DUMMYFUNCTION("""COMPUTED_VALUE"""),300.032298)</f>
        <v>300.032298</v>
      </c>
      <c r="AN32" s="32">
        <f>IFERROR(__xludf.DUMMYFUNCTION("""COMPUTED_VALUE"""),178.098926)</f>
        <v>178.098926</v>
      </c>
      <c r="AO32" s="32">
        <f>IFERROR(__xludf.DUMMYFUNCTION("""COMPUTED_VALUE"""),50.0)</f>
        <v>50</v>
      </c>
      <c r="AP32" s="32">
        <f>IFERROR(__xludf.DUMMYFUNCTION("""COMPUTED_VALUE"""),0.01958762886597938)</f>
        <v>0.01958762887</v>
      </c>
      <c r="AQ32" s="13"/>
      <c r="AR32" s="13"/>
      <c r="AS32" s="13"/>
      <c r="AT32" s="13"/>
      <c r="AU32" s="13"/>
      <c r="AV32" s="13"/>
      <c r="AW32" s="13"/>
      <c r="AX32" s="13"/>
      <c r="AY32" s="13"/>
      <c r="AZ32" s="13"/>
    </row>
    <row r="33">
      <c r="A33" s="13" t="str">
        <f>IFERROR(__xludf.DUMMYFUNCTION("""COMPUTED_VALUE"""),"Torrent Pharmaceuticals Ltd.")</f>
        <v>Torrent Pharmaceuticals Ltd.</v>
      </c>
      <c r="B33" s="30">
        <f>IFERROR(__xludf.DUMMYFUNCTION("""COMPUTED_VALUE"""),500420.0)</f>
        <v>500420</v>
      </c>
      <c r="C33" s="13" t="str">
        <f>IFERROR(__xludf.DUMMYFUNCTION("""COMPUTED_VALUE"""),"TORNTPHARM")</f>
        <v>TORNTPHARM</v>
      </c>
      <c r="D33" s="13" t="str">
        <f>IFERROR(__xludf.DUMMYFUNCTION("""COMPUTED_VALUE"""),"INE685A01028")</f>
        <v>INE685A01028</v>
      </c>
      <c r="E33" s="13" t="str">
        <f>IFERROR(__xludf.DUMMYFUNCTION("""COMPUTED_VALUE"""),"Healthcare")</f>
        <v>Healthcare</v>
      </c>
      <c r="F33" s="13" t="str">
        <f>IFERROR(__xludf.DUMMYFUNCTION("""COMPUTED_VALUE"""),"Drugs &amp; Pharma")</f>
        <v>Drugs &amp; Pharma</v>
      </c>
      <c r="G33" s="31">
        <f>IFERROR(__xludf.DUMMYFUNCTION("""COMPUTED_VALUE"""),44809.0)</f>
        <v>44809</v>
      </c>
      <c r="H33" s="32">
        <f>IFERROR(__xludf.DUMMYFUNCTION("""COMPUTED_VALUE"""),1520.75)</f>
        <v>1520.75</v>
      </c>
      <c r="I33" s="32">
        <f>IFERROR(__xludf.DUMMYFUNCTION("""COMPUTED_VALUE"""),0.059216)</f>
        <v>0.059216</v>
      </c>
      <c r="J33" s="32">
        <f>IFERROR(__xludf.DUMMYFUNCTION("""COMPUTED_VALUE"""),1242.075)</f>
        <v>1242.075</v>
      </c>
      <c r="K33" s="32">
        <f>IFERROR(__xludf.DUMMYFUNCTION("""COMPUTED_VALUE"""),1652.225)</f>
        <v>1652.225</v>
      </c>
      <c r="L33" s="32">
        <f>IFERROR(__xludf.DUMMYFUNCTION("""COMPUTED_VALUE"""),777.325)</f>
        <v>777.325</v>
      </c>
      <c r="M33" s="32">
        <f>IFERROR(__xludf.DUMMYFUNCTION("""COMPUTED_VALUE"""),1652.225)</f>
        <v>1652.225</v>
      </c>
      <c r="N33" s="32">
        <f>IFERROR(__xludf.DUMMYFUNCTION("""COMPUTED_VALUE"""),573.65)</f>
        <v>573.65</v>
      </c>
      <c r="O33" s="32">
        <f>IFERROR(__xludf.DUMMYFUNCTION("""COMPUTED_VALUE"""),1652.225)</f>
        <v>1652.225</v>
      </c>
      <c r="P33" s="32">
        <f>IFERROR(__xludf.DUMMYFUNCTION("""COMPUTED_VALUE"""),5.5)</f>
        <v>5.5</v>
      </c>
      <c r="Q33" s="32">
        <f>IFERROR(__xludf.DUMMYFUNCTION("""COMPUTED_VALUE"""),1652.225)</f>
        <v>1652.225</v>
      </c>
      <c r="R33" s="32">
        <f>IFERROR(__xludf.DUMMYFUNCTION("""COMPUTED_VALUE"""),51469.090288)</f>
        <v>51469.09029</v>
      </c>
      <c r="S33" s="32">
        <f>IFERROR(__xludf.DUMMYFUNCTION("""COMPUTED_VALUE"""),54845.64901760001)</f>
        <v>54845.64902</v>
      </c>
      <c r="T33" s="32">
        <f>IFERROR(__xludf.DUMMYFUNCTION("""COMPUTED_VALUE"""),-1.747642)</f>
        <v>-1.747642</v>
      </c>
      <c r="U33" s="32">
        <f>IFERROR(__xludf.DUMMYFUNCTION("""COMPUTED_VALUE"""),-2.559749)</f>
        <v>-2.559749</v>
      </c>
      <c r="V33" s="32">
        <f>IFERROR(__xludf.DUMMYFUNCTION("""COMPUTED_VALUE"""),9.39467)</f>
        <v>9.39467</v>
      </c>
      <c r="W33" s="32">
        <f>IFERROR(__xludf.DUMMYFUNCTION("""COMPUTED_VALUE"""),-4.64471)</f>
        <v>-4.64471</v>
      </c>
      <c r="X33" s="32">
        <f>IFERROR(__xludf.DUMMYFUNCTION("""COMPUTED_VALUE"""),21.622983)</f>
        <v>21.622983</v>
      </c>
      <c r="Y33" s="32">
        <f>IFERROR(__xludf.DUMMYFUNCTION("""COMPUTED_VALUE"""),20.018871)</f>
        <v>20.018871</v>
      </c>
      <c r="Z33" s="32">
        <f>IFERROR(__xludf.DUMMYFUNCTION("""COMPUTED_VALUE"""),24.00323)</f>
        <v>24.00323</v>
      </c>
      <c r="AA33" s="32">
        <f>IFERROR(__xludf.DUMMYFUNCTION("""COMPUTED_VALUE"""),63.7406)</f>
        <v>63.7406</v>
      </c>
      <c r="AB33" s="32">
        <f>IFERROR(__xludf.DUMMYFUNCTION("""COMPUTED_VALUE"""),40.6368)</f>
        <v>40.6368</v>
      </c>
      <c r="AC33" s="32">
        <f>IFERROR(__xludf.DUMMYFUNCTION("""COMPUTED_VALUE"""),7.9881)</f>
        <v>7.9881</v>
      </c>
      <c r="AD33" s="32">
        <f>IFERROR(__xludf.DUMMYFUNCTION("""COMPUTED_VALUE"""),6.83815)</f>
        <v>6.83815</v>
      </c>
      <c r="AE33" s="32">
        <f>IFERROR(__xludf.DUMMYFUNCTION("""COMPUTED_VALUE"""),3.987264)</f>
        <v>3.987264</v>
      </c>
      <c r="AF33" s="32">
        <f>IFERROR(__xludf.DUMMYFUNCTION("""COMPUTED_VALUE"""),-89.931163)</f>
        <v>-89.931163</v>
      </c>
      <c r="AG33" s="32">
        <f>IFERROR(__xludf.DUMMYFUNCTION("""COMPUTED_VALUE"""),1.5793)</f>
        <v>1.5793</v>
      </c>
      <c r="AH33" s="32">
        <f>IFERROR(__xludf.DUMMYFUNCTION("""COMPUTED_VALUE"""),20.649717)</f>
        <v>20.649717</v>
      </c>
      <c r="AI33" s="32">
        <f>IFERROR(__xludf.DUMMYFUNCTION("""COMPUTED_VALUE"""),5.991047641485276)</f>
        <v>5.991047641</v>
      </c>
      <c r="AJ33" s="32">
        <f>IFERROR(__xludf.DUMMYFUNCTION("""COMPUTED_VALUE"""),28.546520107155338)</f>
        <v>28.54652011</v>
      </c>
      <c r="AK33" s="32">
        <f>IFERROR(__xludf.DUMMYFUNCTION("""COMPUTED_VALUE"""),23.667)</f>
        <v>23.667</v>
      </c>
      <c r="AL33" s="32">
        <f>IFERROR(__xludf.DUMMYFUNCTION("""COMPUTED_VALUE"""),188.8503)</f>
        <v>188.8503</v>
      </c>
      <c r="AM33" s="32">
        <f>IFERROR(__xludf.DUMMYFUNCTION("""COMPUTED_VALUE"""),106.534507)</f>
        <v>106.534507</v>
      </c>
      <c r="AN33" s="32">
        <f>IFERROR(__xludf.DUMMYFUNCTION("""COMPUTED_VALUE"""),52.287875)</f>
        <v>52.287875</v>
      </c>
      <c r="AO33" s="32">
        <f>IFERROR(__xludf.DUMMYFUNCTION("""COMPUTED_VALUE"""),48.0)</f>
        <v>48</v>
      </c>
      <c r="AP33" s="32">
        <f>IFERROR(__xludf.DUMMYFUNCTION("""COMPUTED_VALUE"""),0.07957729856012784)</f>
        <v>0.07957729856</v>
      </c>
      <c r="AQ33" s="13"/>
      <c r="AR33" s="13"/>
      <c r="AS33" s="13"/>
      <c r="AT33" s="13"/>
      <c r="AU33" s="13"/>
      <c r="AV33" s="13"/>
      <c r="AW33" s="13"/>
      <c r="AX33" s="13"/>
      <c r="AY33" s="13"/>
      <c r="AZ33" s="13"/>
    </row>
    <row r="34">
      <c r="A34" s="13" t="str">
        <f>IFERROR(__xludf.DUMMYFUNCTION("""COMPUTED_VALUE"""),"CRISIL Ltd.")</f>
        <v>CRISIL Ltd.</v>
      </c>
      <c r="B34" s="30">
        <f>IFERROR(__xludf.DUMMYFUNCTION("""COMPUTED_VALUE"""),500092.0)</f>
        <v>500092</v>
      </c>
      <c r="C34" s="13" t="str">
        <f>IFERROR(__xludf.DUMMYFUNCTION("""COMPUTED_VALUE"""),"CRISIL")</f>
        <v>CRISIL</v>
      </c>
      <c r="D34" s="13" t="str">
        <f>IFERROR(__xludf.DUMMYFUNCTION("""COMPUTED_VALUE"""),"INE007A01025")</f>
        <v>INE007A01025</v>
      </c>
      <c r="E34" s="13" t="str">
        <f>IFERROR(__xludf.DUMMYFUNCTION("""COMPUTED_VALUE"""),"Services")</f>
        <v>Services</v>
      </c>
      <c r="F34" s="13" t="str">
        <f>IFERROR(__xludf.DUMMYFUNCTION("""COMPUTED_VALUE"""),"Credit Ratings &amp; Information")</f>
        <v>Credit Ratings &amp; Information</v>
      </c>
      <c r="G34" s="31">
        <f>IFERROR(__xludf.DUMMYFUNCTION("""COMPUTED_VALUE"""),44809.0)</f>
        <v>44809</v>
      </c>
      <c r="H34" s="32">
        <f>IFERROR(__xludf.DUMMYFUNCTION("""COMPUTED_VALUE"""),3253.95)</f>
        <v>3253.95</v>
      </c>
      <c r="I34" s="32">
        <f>IFERROR(__xludf.DUMMYFUNCTION("""COMPUTED_VALUE"""),0.163145)</f>
        <v>0.163145</v>
      </c>
      <c r="J34" s="32">
        <f>IFERROR(__xludf.DUMMYFUNCTION("""COMPUTED_VALUE"""),2540.0)</f>
        <v>2540</v>
      </c>
      <c r="K34" s="32">
        <f>IFERROR(__xludf.DUMMYFUNCTION("""COMPUTED_VALUE"""),3863.55)</f>
        <v>3863.55</v>
      </c>
      <c r="L34" s="32">
        <f>IFERROR(__xludf.DUMMYFUNCTION("""COMPUTED_VALUE"""),1052.7)</f>
        <v>1052.7</v>
      </c>
      <c r="M34" s="32">
        <f>IFERROR(__xludf.DUMMYFUNCTION("""COMPUTED_VALUE"""),3863.55)</f>
        <v>3863.55</v>
      </c>
      <c r="N34" s="32">
        <f>IFERROR(__xludf.DUMMYFUNCTION("""COMPUTED_VALUE"""),1052.7)</f>
        <v>1052.7</v>
      </c>
      <c r="O34" s="32">
        <f>IFERROR(__xludf.DUMMYFUNCTION("""COMPUTED_VALUE"""),3863.55)</f>
        <v>3863.55</v>
      </c>
      <c r="P34" s="32">
        <f>IFERROR(__xludf.DUMMYFUNCTION("""COMPUTED_VALUE"""),8.505)</f>
        <v>8.505</v>
      </c>
      <c r="Q34" s="32">
        <f>IFERROR(__xludf.DUMMYFUNCTION("""COMPUTED_VALUE"""),3863.55)</f>
        <v>3863.55</v>
      </c>
      <c r="R34" s="32">
        <f>IFERROR(__xludf.DUMMYFUNCTION("""COMPUTED_VALUE"""),23768.366164515)</f>
        <v>23768.36616</v>
      </c>
      <c r="S34" s="32">
        <f>IFERROR(__xludf.DUMMYFUNCTION("""COMPUTED_VALUE"""),22974.155351185)</f>
        <v>22974.15535</v>
      </c>
      <c r="T34" s="32">
        <f>IFERROR(__xludf.DUMMYFUNCTION("""COMPUTED_VALUE"""),-2.951177)</f>
        <v>-2.951177</v>
      </c>
      <c r="U34" s="32">
        <f>IFERROR(__xludf.DUMMYFUNCTION("""COMPUTED_VALUE"""),2.152006)</f>
        <v>2.152006</v>
      </c>
      <c r="V34" s="32">
        <f>IFERROR(__xludf.DUMMYFUNCTION("""COMPUTED_VALUE"""),-7.345027)</f>
        <v>-7.345027</v>
      </c>
      <c r="W34" s="32">
        <f>IFERROR(__xludf.DUMMYFUNCTION("""COMPUTED_VALUE"""),15.671323)</f>
        <v>15.671323</v>
      </c>
      <c r="X34" s="32">
        <f>IFERROR(__xludf.DUMMYFUNCTION("""COMPUTED_VALUE"""),36.136336)</f>
        <v>36.136336</v>
      </c>
      <c r="Y34" s="32">
        <f>IFERROR(__xludf.DUMMYFUNCTION("""COMPUTED_VALUE"""),11.323099)</f>
        <v>11.323099</v>
      </c>
      <c r="Z34" s="32">
        <f>IFERROR(__xludf.DUMMYFUNCTION("""COMPUTED_VALUE"""),13.361409)</f>
        <v>13.361409</v>
      </c>
      <c r="AA34" s="32">
        <f>IFERROR(__xludf.DUMMYFUNCTION("""COMPUTED_VALUE"""),43.9883)</f>
        <v>43.9883</v>
      </c>
      <c r="AB34" s="32">
        <f>IFERROR(__xludf.DUMMYFUNCTION("""COMPUTED_VALUE"""),39.39715)</f>
        <v>39.39715</v>
      </c>
      <c r="AC34" s="32">
        <f>IFERROR(__xludf.DUMMYFUNCTION("""COMPUTED_VALUE"""),15.1106)</f>
        <v>15.1106</v>
      </c>
      <c r="AD34" s="32">
        <f>IFERROR(__xludf.DUMMYFUNCTION("""COMPUTED_VALUE"""),10.64975)</f>
        <v>10.64975</v>
      </c>
      <c r="AE34" s="32">
        <f>IFERROR(__xludf.DUMMYFUNCTION("""COMPUTED_VALUE"""),3.414441)</f>
        <v>3.414441</v>
      </c>
      <c r="AF34" s="32">
        <f>IFERROR(__xludf.DUMMYFUNCTION("""COMPUTED_VALUE"""),3.532687)</f>
        <v>3.532687</v>
      </c>
      <c r="AG34" s="32">
        <f>IFERROR(__xludf.DUMMYFUNCTION("""COMPUTED_VALUE"""),1.4143)</f>
        <v>1.4143</v>
      </c>
      <c r="AH34" s="32">
        <f>IFERROR(__xludf.DUMMYFUNCTION("""COMPUTED_VALUE"""),29.225115)</f>
        <v>29.225115</v>
      </c>
      <c r="AI34" s="32">
        <f>IFERROR(__xludf.DUMMYFUNCTION("""COMPUTED_VALUE"""),9.355930093178007)</f>
        <v>9.355930093</v>
      </c>
      <c r="AJ34" s="32">
        <f>IFERROR(__xludf.DUMMYFUNCTION("""COMPUTED_VALUE"""),58.961019459503376)</f>
        <v>58.96101946</v>
      </c>
      <c r="AK34" s="32">
        <f>IFERROR(__xludf.DUMMYFUNCTION("""COMPUTED_VALUE"""),73.9287)</f>
        <v>73.9287</v>
      </c>
      <c r="AL34" s="32">
        <f>IFERROR(__xludf.DUMMYFUNCTION("""COMPUTED_VALUE"""),215.2128)</f>
        <v>215.2128</v>
      </c>
      <c r="AM34" s="32">
        <f>IFERROR(__xludf.DUMMYFUNCTION("""COMPUTED_VALUE"""),55.297668)</f>
        <v>55.297668</v>
      </c>
      <c r="AN34" s="32">
        <f>IFERROR(__xludf.DUMMYFUNCTION("""COMPUTED_VALUE"""),67.965706)</f>
        <v>67.965706</v>
      </c>
      <c r="AO34" s="32">
        <f>IFERROR(__xludf.DUMMYFUNCTION("""COMPUTED_VALUE"""),46.0)</f>
        <v>46</v>
      </c>
      <c r="AP34" s="32">
        <f>IFERROR(__xludf.DUMMYFUNCTION("""COMPUTED_VALUE"""),0.15778235042900968)</f>
        <v>0.1577823504</v>
      </c>
      <c r="AQ34" s="13"/>
      <c r="AR34" s="13"/>
      <c r="AS34" s="13"/>
      <c r="AT34" s="13"/>
      <c r="AU34" s="13"/>
      <c r="AV34" s="13"/>
      <c r="AW34" s="13"/>
      <c r="AX34" s="13"/>
      <c r="AY34" s="13"/>
      <c r="AZ34" s="13"/>
    </row>
    <row r="35">
      <c r="A35" s="13" t="str">
        <f>IFERROR(__xludf.DUMMYFUNCTION("""COMPUTED_VALUE"""),"Mphasis Ltd.")</f>
        <v>Mphasis Ltd.</v>
      </c>
      <c r="B35" s="30">
        <f>IFERROR(__xludf.DUMMYFUNCTION("""COMPUTED_VALUE"""),526299.0)</f>
        <v>526299</v>
      </c>
      <c r="C35" s="13" t="str">
        <f>IFERROR(__xludf.DUMMYFUNCTION("""COMPUTED_VALUE"""),"MPHASIS")</f>
        <v>MPHASIS</v>
      </c>
      <c r="D35" s="13" t="str">
        <f>IFERROR(__xludf.DUMMYFUNCTION("""COMPUTED_VALUE"""),"INE356A01018")</f>
        <v>INE356A01018</v>
      </c>
      <c r="E35" s="13" t="str">
        <f>IFERROR(__xludf.DUMMYFUNCTION("""COMPUTED_VALUE"""),"Technology")</f>
        <v>Technology</v>
      </c>
      <c r="F35" s="13" t="str">
        <f>IFERROR(__xludf.DUMMYFUNCTION("""COMPUTED_VALUE"""),"Software")</f>
        <v>Software</v>
      </c>
      <c r="G35" s="31">
        <f>IFERROR(__xludf.DUMMYFUNCTION("""COMPUTED_VALUE"""),44809.0)</f>
        <v>44809</v>
      </c>
      <c r="H35" s="32">
        <f>IFERROR(__xludf.DUMMYFUNCTION("""COMPUTED_VALUE"""),2092.4)</f>
        <v>2092.4</v>
      </c>
      <c r="I35" s="32">
        <f>IFERROR(__xludf.DUMMYFUNCTION("""COMPUTED_VALUE"""),0.943146)</f>
        <v>0.943146</v>
      </c>
      <c r="J35" s="32">
        <f>IFERROR(__xludf.DUMMYFUNCTION("""COMPUTED_VALUE"""),2062.05)</f>
        <v>2062.05</v>
      </c>
      <c r="K35" s="32">
        <f>IFERROR(__xludf.DUMMYFUNCTION("""COMPUTED_VALUE"""),3659.75)</f>
        <v>3659.75</v>
      </c>
      <c r="L35" s="32">
        <f>IFERROR(__xludf.DUMMYFUNCTION("""COMPUTED_VALUE"""),612.05)</f>
        <v>612.05</v>
      </c>
      <c r="M35" s="32">
        <f>IFERROR(__xludf.DUMMYFUNCTION("""COMPUTED_VALUE"""),3659.75)</f>
        <v>3659.75</v>
      </c>
      <c r="N35" s="32">
        <f>IFERROR(__xludf.DUMMYFUNCTION("""COMPUTED_VALUE"""),572.3)</f>
        <v>572.3</v>
      </c>
      <c r="O35" s="32">
        <f>IFERROR(__xludf.DUMMYFUNCTION("""COMPUTED_VALUE"""),3659.75)</f>
        <v>3659.75</v>
      </c>
      <c r="P35" s="32">
        <f>IFERROR(__xludf.DUMMYFUNCTION("""COMPUTED_VALUE"""),6.5)</f>
        <v>6.5</v>
      </c>
      <c r="Q35" s="32">
        <f>IFERROR(__xludf.DUMMYFUNCTION("""COMPUTED_VALUE"""),3659.75)</f>
        <v>3659.75</v>
      </c>
      <c r="R35" s="32">
        <f>IFERROR(__xludf.DUMMYFUNCTION("""COMPUTED_VALUE"""),39372.65857704)</f>
        <v>39372.65858</v>
      </c>
      <c r="S35" s="32">
        <f>IFERROR(__xludf.DUMMYFUNCTION("""COMPUTED_VALUE"""),37164.31581425)</f>
        <v>37164.31581</v>
      </c>
      <c r="T35" s="32">
        <f>IFERROR(__xludf.DUMMYFUNCTION("""COMPUTED_VALUE"""),-3.400199)</f>
        <v>-3.400199</v>
      </c>
      <c r="U35" s="32">
        <f>IFERROR(__xludf.DUMMYFUNCTION("""COMPUTED_VALUE"""),-11.767062)</f>
        <v>-11.767062</v>
      </c>
      <c r="V35" s="32">
        <f>IFERROR(__xludf.DUMMYFUNCTION("""COMPUTED_VALUE"""),-18.521836)</f>
        <v>-18.521836</v>
      </c>
      <c r="W35" s="32">
        <f>IFERROR(__xludf.DUMMYFUNCTION("""COMPUTED_VALUE"""),-29.125243)</f>
        <v>-29.125243</v>
      </c>
      <c r="X35" s="32">
        <f>IFERROR(__xludf.DUMMYFUNCTION("""COMPUTED_VALUE"""),29.084387)</f>
        <v>29.084387</v>
      </c>
      <c r="Y35" s="32">
        <f>IFERROR(__xludf.DUMMYFUNCTION("""COMPUTED_VALUE"""),28.116704)</f>
        <v>28.116704</v>
      </c>
      <c r="Z35" s="32">
        <f>IFERROR(__xludf.DUMMYFUNCTION("""COMPUTED_VALUE"""),18.605071)</f>
        <v>18.605071</v>
      </c>
      <c r="AA35" s="32">
        <f>IFERROR(__xludf.DUMMYFUNCTION("""COMPUTED_VALUE"""),26.3713)</f>
        <v>26.3713</v>
      </c>
      <c r="AB35" s="32">
        <f>IFERROR(__xludf.DUMMYFUNCTION("""COMPUTED_VALUE"""),21.1758)</f>
        <v>21.1758</v>
      </c>
      <c r="AC35" s="32">
        <f>IFERROR(__xludf.DUMMYFUNCTION("""COMPUTED_VALUE"""),5.4431)</f>
        <v>5.4431</v>
      </c>
      <c r="AD35" s="32">
        <f>IFERROR(__xludf.DUMMYFUNCTION("""COMPUTED_VALUE"""),3.7264)</f>
        <v>3.7264</v>
      </c>
      <c r="AE35" s="32">
        <f>IFERROR(__xludf.DUMMYFUNCTION("""COMPUTED_VALUE"""),5.914877)</f>
        <v>5.914877</v>
      </c>
      <c r="AF35" s="32">
        <f>IFERROR(__xludf.DUMMYFUNCTION("""COMPUTED_VALUE"""),1.895221)</f>
        <v>1.895221</v>
      </c>
      <c r="AG35" s="32">
        <f>IFERROR(__xludf.DUMMYFUNCTION("""COMPUTED_VALUE"""),2.1983)</f>
        <v>2.1983</v>
      </c>
      <c r="AH35" s="32">
        <f>IFERROR(__xludf.DUMMYFUNCTION("""COMPUTED_VALUE"""),15.630817)</f>
        <v>15.630817</v>
      </c>
      <c r="AI35" s="32">
        <f>IFERROR(__xludf.DUMMYFUNCTION("""COMPUTED_VALUE"""),3.104645802288183)</f>
        <v>3.104645802</v>
      </c>
      <c r="AJ35" s="32">
        <f>IFERROR(__xludf.DUMMYFUNCTION("""COMPUTED_VALUE"""),22.948023687289158)</f>
        <v>22.94802369</v>
      </c>
      <c r="AK35" s="32">
        <f>IFERROR(__xludf.DUMMYFUNCTION("""COMPUTED_VALUE"""),79.3476)</f>
        <v>79.3476</v>
      </c>
      <c r="AL35" s="32">
        <f>IFERROR(__xludf.DUMMYFUNCTION("""COMPUTED_VALUE"""),384.4332)</f>
        <v>384.4332</v>
      </c>
      <c r="AM35" s="32">
        <f>IFERROR(__xludf.DUMMYFUNCTION("""COMPUTED_VALUE"""),91.350776)</f>
        <v>91.350776</v>
      </c>
      <c r="AN35" s="32">
        <f>IFERROR(__xludf.DUMMYFUNCTION("""COMPUTED_VALUE"""),77.282582)</f>
        <v>77.282582</v>
      </c>
      <c r="AO35" s="32">
        <f>IFERROR(__xludf.DUMMYFUNCTION("""COMPUTED_VALUE"""),46.0)</f>
        <v>46</v>
      </c>
      <c r="AP35" s="32">
        <f>IFERROR(__xludf.DUMMYFUNCTION("""COMPUTED_VALUE"""),0.428266958125555)</f>
        <v>0.4282669581</v>
      </c>
      <c r="AQ35" s="13"/>
      <c r="AR35" s="13"/>
      <c r="AS35" s="13"/>
      <c r="AT35" s="13"/>
      <c r="AU35" s="13"/>
      <c r="AV35" s="13"/>
      <c r="AW35" s="13"/>
      <c r="AX35" s="13"/>
      <c r="AY35" s="13"/>
      <c r="AZ35" s="13"/>
    </row>
    <row r="36">
      <c r="A36" s="13" t="str">
        <f>IFERROR(__xludf.DUMMYFUNCTION("""COMPUTED_VALUE"""),"Tech Mahindra Ltd.")</f>
        <v>Tech Mahindra Ltd.</v>
      </c>
      <c r="B36" s="30">
        <f>IFERROR(__xludf.DUMMYFUNCTION("""COMPUTED_VALUE"""),532755.0)</f>
        <v>532755</v>
      </c>
      <c r="C36" s="13" t="str">
        <f>IFERROR(__xludf.DUMMYFUNCTION("""COMPUTED_VALUE"""),"TECHM")</f>
        <v>TECHM</v>
      </c>
      <c r="D36" s="13" t="str">
        <f>IFERROR(__xludf.DUMMYFUNCTION("""COMPUTED_VALUE"""),"INE669C01036")</f>
        <v>INE669C01036</v>
      </c>
      <c r="E36" s="13" t="str">
        <f>IFERROR(__xludf.DUMMYFUNCTION("""COMPUTED_VALUE"""),"Technology")</f>
        <v>Technology</v>
      </c>
      <c r="F36" s="13" t="str">
        <f>IFERROR(__xludf.DUMMYFUNCTION("""COMPUTED_VALUE"""),"Software")</f>
        <v>Software</v>
      </c>
      <c r="G36" s="31">
        <f>IFERROR(__xludf.DUMMYFUNCTION("""COMPUTED_VALUE"""),44809.0)</f>
        <v>44809</v>
      </c>
      <c r="H36" s="32">
        <f>IFERROR(__xludf.DUMMYFUNCTION("""COMPUTED_VALUE"""),1065.05)</f>
        <v>1065.05</v>
      </c>
      <c r="I36" s="32">
        <f>IFERROR(__xludf.DUMMYFUNCTION("""COMPUTED_VALUE"""),0.818819)</f>
        <v>0.818819</v>
      </c>
      <c r="J36" s="32">
        <f>IFERROR(__xludf.DUMMYFUNCTION("""COMPUTED_VALUE"""),943.7)</f>
        <v>943.7</v>
      </c>
      <c r="K36" s="32">
        <f>IFERROR(__xludf.DUMMYFUNCTION("""COMPUTED_VALUE"""),1838.0)</f>
        <v>1838</v>
      </c>
      <c r="L36" s="32">
        <f>IFERROR(__xludf.DUMMYFUNCTION("""COMPUTED_VALUE"""),470.25)</f>
        <v>470.25</v>
      </c>
      <c r="M36" s="32">
        <f>IFERROR(__xludf.DUMMYFUNCTION("""COMPUTED_VALUE"""),1838.0)</f>
        <v>1838</v>
      </c>
      <c r="N36" s="32">
        <f>IFERROR(__xludf.DUMMYFUNCTION("""COMPUTED_VALUE"""),421.0)</f>
        <v>421</v>
      </c>
      <c r="O36" s="32">
        <f>IFERROR(__xludf.DUMMYFUNCTION("""COMPUTED_VALUE"""),1838.0)</f>
        <v>1838</v>
      </c>
      <c r="P36" s="32">
        <f>IFERROR(__xludf.DUMMYFUNCTION("""COMPUTED_VALUE"""),50.925)</f>
        <v>50.925</v>
      </c>
      <c r="Q36" s="32">
        <f>IFERROR(__xludf.DUMMYFUNCTION("""COMPUTED_VALUE"""),1838.0)</f>
        <v>1838</v>
      </c>
      <c r="R36" s="32">
        <f>IFERROR(__xludf.DUMMYFUNCTION("""COMPUTED_VALUE"""),103640.56824725)</f>
        <v>103640.5682</v>
      </c>
      <c r="S36" s="32">
        <f>IFERROR(__xludf.DUMMYFUNCTION("""COMPUTED_VALUE"""),95955.69645605)</f>
        <v>95955.69646</v>
      </c>
      <c r="T36" s="32">
        <f>IFERROR(__xludf.DUMMYFUNCTION("""COMPUTED_VALUE"""),-1.888444)</f>
        <v>-1.888444</v>
      </c>
      <c r="U36" s="32">
        <f>IFERROR(__xludf.DUMMYFUNCTION("""COMPUTED_VALUE"""),0.852232)</f>
        <v>0.852232</v>
      </c>
      <c r="V36" s="32">
        <f>IFERROR(__xludf.DUMMYFUNCTION("""COMPUTED_VALUE"""),-7.217528)</f>
        <v>-7.217528</v>
      </c>
      <c r="W36" s="32">
        <f>IFERROR(__xludf.DUMMYFUNCTION("""COMPUTED_VALUE"""),-26.138216)</f>
        <v>-26.138216</v>
      </c>
      <c r="X36" s="32">
        <f>IFERROR(__xludf.DUMMYFUNCTION("""COMPUTED_VALUE"""),14.838299)</f>
        <v>14.838299</v>
      </c>
      <c r="Y36" s="32">
        <f>IFERROR(__xludf.DUMMYFUNCTION("""COMPUTED_VALUE"""),20.679765)</f>
        <v>20.679765</v>
      </c>
      <c r="Z36" s="32">
        <f>IFERROR(__xludf.DUMMYFUNCTION("""COMPUTED_VALUE"""),17.896456)</f>
        <v>17.896456</v>
      </c>
      <c r="AA36" s="32">
        <f>IFERROR(__xludf.DUMMYFUNCTION("""COMPUTED_VALUE"""),19.392)</f>
        <v>19.392</v>
      </c>
      <c r="AB36" s="32">
        <f>IFERROR(__xludf.DUMMYFUNCTION("""COMPUTED_VALUE"""),18.22015)</f>
        <v>18.22015</v>
      </c>
      <c r="AC36" s="32">
        <f>IFERROR(__xludf.DUMMYFUNCTION("""COMPUTED_VALUE"""),3.7454)</f>
        <v>3.7454</v>
      </c>
      <c r="AD36" s="32">
        <f>IFERROR(__xludf.DUMMYFUNCTION("""COMPUTED_VALUE"""),3.67935)</f>
        <v>3.67935</v>
      </c>
      <c r="AE36" s="32">
        <f>IFERROR(__xludf.DUMMYFUNCTION("""COMPUTED_VALUE"""),8.523645)</f>
        <v>8.523645</v>
      </c>
      <c r="AF36" s="32">
        <f>IFERROR(__xludf.DUMMYFUNCTION("""COMPUTED_VALUE"""),1.434966)</f>
        <v>1.434966</v>
      </c>
      <c r="AG36" s="32">
        <f>IFERROR(__xludf.DUMMYFUNCTION("""COMPUTED_VALUE"""),4.2244)</f>
        <v>4.2244</v>
      </c>
      <c r="AH36" s="32">
        <f>IFERROR(__xludf.DUMMYFUNCTION("""COMPUTED_VALUE"""),10.696448)</f>
        <v>10.696448</v>
      </c>
      <c r="AI36" s="32">
        <f>IFERROR(__xludf.DUMMYFUNCTION("""COMPUTED_VALUE"""),2.1978095874199206)</f>
        <v>2.197809587</v>
      </c>
      <c r="AJ36" s="32">
        <f>IFERROR(__xludf.DUMMYFUNCTION("""COMPUTED_VALUE"""),19.609212012042835)</f>
        <v>19.60921201</v>
      </c>
      <c r="AK36" s="32">
        <f>IFERROR(__xludf.DUMMYFUNCTION("""COMPUTED_VALUE"""),54.9324)</f>
        <v>54.9324</v>
      </c>
      <c r="AL36" s="32">
        <f>IFERROR(__xludf.DUMMYFUNCTION("""COMPUTED_VALUE"""),284.419)</f>
        <v>284.419</v>
      </c>
      <c r="AM36" s="32">
        <f>IFERROR(__xludf.DUMMYFUNCTION("""COMPUTED_VALUE"""),60.224476)</f>
        <v>60.224476</v>
      </c>
      <c r="AN36" s="32">
        <f>IFERROR(__xludf.DUMMYFUNCTION("""COMPUTED_VALUE"""),54.18186)</f>
        <v>54.18186</v>
      </c>
      <c r="AO36" s="32">
        <f>IFERROR(__xludf.DUMMYFUNCTION("""COMPUTED_VALUE"""),45.0)</f>
        <v>45</v>
      </c>
      <c r="AP36" s="32">
        <f>IFERROR(__xludf.DUMMYFUNCTION("""COMPUTED_VALUE"""),0.42053862894450494)</f>
        <v>0.4205386289</v>
      </c>
      <c r="AQ36" s="13"/>
      <c r="AR36" s="13"/>
      <c r="AS36" s="13"/>
      <c r="AT36" s="13"/>
      <c r="AU36" s="13"/>
      <c r="AV36" s="13"/>
      <c r="AW36" s="13"/>
      <c r="AX36" s="13"/>
      <c r="AY36" s="13"/>
      <c r="AZ36" s="13"/>
    </row>
    <row r="37">
      <c r="A37" s="13" t="str">
        <f>IFERROR(__xludf.DUMMYFUNCTION("""COMPUTED_VALUE"""),"Vedanta Ltd.")</f>
        <v>Vedanta Ltd.</v>
      </c>
      <c r="B37" s="30">
        <f>IFERROR(__xludf.DUMMYFUNCTION("""COMPUTED_VALUE"""),500295.0)</f>
        <v>500295</v>
      </c>
      <c r="C37" s="13" t="str">
        <f>IFERROR(__xludf.DUMMYFUNCTION("""COMPUTED_VALUE"""),"VEDL")</f>
        <v>VEDL</v>
      </c>
      <c r="D37" s="13" t="str">
        <f>IFERROR(__xludf.DUMMYFUNCTION("""COMPUTED_VALUE"""),"INE205A01025")</f>
        <v>INE205A01025</v>
      </c>
      <c r="E37" s="13" t="str">
        <f>IFERROR(__xludf.DUMMYFUNCTION("""COMPUTED_VALUE"""),"Metals &amp; Mining")</f>
        <v>Metals &amp; Mining</v>
      </c>
      <c r="F37" s="13" t="str">
        <f>IFERROR(__xludf.DUMMYFUNCTION("""COMPUTED_VALUE"""),"Non-Ferrous Metal")</f>
        <v>Non-Ferrous Metal</v>
      </c>
      <c r="G37" s="31">
        <f>IFERROR(__xludf.DUMMYFUNCTION("""COMPUTED_VALUE"""),44809.0)</f>
        <v>44809</v>
      </c>
      <c r="H37" s="32">
        <f>IFERROR(__xludf.DUMMYFUNCTION("""COMPUTED_VALUE"""),260.4)</f>
        <v>260.4</v>
      </c>
      <c r="I37" s="32">
        <f>IFERROR(__xludf.DUMMYFUNCTION("""COMPUTED_VALUE"""),1.22449)</f>
        <v>1.22449</v>
      </c>
      <c r="J37" s="32">
        <f>IFERROR(__xludf.DUMMYFUNCTION("""COMPUTED_VALUE"""),206.0)</f>
        <v>206</v>
      </c>
      <c r="K37" s="32">
        <f>IFERROR(__xludf.DUMMYFUNCTION("""COMPUTED_VALUE"""),440.75)</f>
        <v>440.75</v>
      </c>
      <c r="L37" s="32">
        <f>IFERROR(__xludf.DUMMYFUNCTION("""COMPUTED_VALUE"""),60.2)</f>
        <v>60.2</v>
      </c>
      <c r="M37" s="32">
        <f>IFERROR(__xludf.DUMMYFUNCTION("""COMPUTED_VALUE"""),440.75)</f>
        <v>440.75</v>
      </c>
      <c r="N37" s="32">
        <f>IFERROR(__xludf.DUMMYFUNCTION("""COMPUTED_VALUE"""),60.2)</f>
        <v>60.2</v>
      </c>
      <c r="O37" s="32">
        <f>IFERROR(__xludf.DUMMYFUNCTION("""COMPUTED_VALUE"""),440.75)</f>
        <v>440.75</v>
      </c>
      <c r="P37" s="32">
        <f>IFERROR(__xludf.DUMMYFUNCTION("""COMPUTED_VALUE"""),0.9275)</f>
        <v>0.9275</v>
      </c>
      <c r="Q37" s="32">
        <f>IFERROR(__xludf.DUMMYFUNCTION("""COMPUTED_VALUE"""),495.0)</f>
        <v>495</v>
      </c>
      <c r="R37" s="32">
        <f>IFERROR(__xludf.DUMMYFUNCTION("""COMPUTED_VALUE"""),96795.86297556)</f>
        <v>96795.86298</v>
      </c>
      <c r="S37" s="32">
        <f>IFERROR(__xludf.DUMMYFUNCTION("""COMPUTED_VALUE"""),127013.53127347001)</f>
        <v>127013.5313</v>
      </c>
      <c r="T37" s="32">
        <f>IFERROR(__xludf.DUMMYFUNCTION("""COMPUTED_VALUE"""),-3.412463)</f>
        <v>-3.412463</v>
      </c>
      <c r="U37" s="32">
        <f>IFERROR(__xludf.DUMMYFUNCTION("""COMPUTED_VALUE"""),4.055944)</f>
        <v>4.055944</v>
      </c>
      <c r="V37" s="32">
        <f>IFERROR(__xludf.DUMMYFUNCTION("""COMPUTED_VALUE"""),-17.828968)</f>
        <v>-17.828968</v>
      </c>
      <c r="W37" s="32">
        <f>IFERROR(__xludf.DUMMYFUNCTION("""COMPUTED_VALUE"""),-15.536815)</f>
        <v>-15.536815</v>
      </c>
      <c r="X37" s="32">
        <f>IFERROR(__xludf.DUMMYFUNCTION("""COMPUTED_VALUE"""),23.962641)</f>
        <v>23.962641</v>
      </c>
      <c r="Y37" s="32">
        <f>IFERROR(__xludf.DUMMYFUNCTION("""COMPUTED_VALUE"""),-3.784338)</f>
        <v>-3.784338</v>
      </c>
      <c r="Z37" s="32">
        <f>IFERROR(__xludf.DUMMYFUNCTION("""COMPUTED_VALUE"""),4.359498)</f>
        <v>4.359498</v>
      </c>
      <c r="AA37" s="32">
        <f>IFERROR(__xludf.DUMMYFUNCTION("""COMPUTED_VALUE"""),5.0938)</f>
        <v>5.0938</v>
      </c>
      <c r="AB37" s="32">
        <f>IFERROR(__xludf.DUMMYFUNCTION("""COMPUTED_VALUE"""),7.5965)</f>
        <v>7.5965</v>
      </c>
      <c r="AC37" s="32">
        <f>IFERROR(__xludf.DUMMYFUNCTION("""COMPUTED_VALUE"""),1.3662)</f>
        <v>1.3662</v>
      </c>
      <c r="AD37" s="32">
        <f>IFERROR(__xludf.DUMMYFUNCTION("""COMPUTED_VALUE"""),1.21895)</f>
        <v>1.21895</v>
      </c>
      <c r="AE37" s="32">
        <f>IFERROR(__xludf.DUMMYFUNCTION("""COMPUTED_VALUE"""),31.902411)</f>
        <v>31.902411</v>
      </c>
      <c r="AF37" s="32">
        <f>IFERROR(__xludf.DUMMYFUNCTION("""COMPUTED_VALUE"""),0.35081)</f>
        <v>0.35081</v>
      </c>
      <c r="AG37" s="32">
        <f>IFERROR(__xludf.DUMMYFUNCTION("""COMPUTED_VALUE"""),17.2844)</f>
        <v>17.2844</v>
      </c>
      <c r="AH37" s="32">
        <f>IFERROR(__xludf.DUMMYFUNCTION("""COMPUTED_VALUE"""),2.672338)</f>
        <v>2.672338</v>
      </c>
      <c r="AI37" s="32">
        <f>IFERROR(__xludf.DUMMYFUNCTION("""COMPUTED_VALUE"""),0.6848537758816454)</f>
        <v>0.6848537759</v>
      </c>
      <c r="AJ37" s="32">
        <f>IFERROR(__xludf.DUMMYFUNCTION("""COMPUTED_VALUE"""),2.7685228091285072)</f>
        <v>2.768522809</v>
      </c>
      <c r="AK37" s="32">
        <f>IFERROR(__xludf.DUMMYFUNCTION("""COMPUTED_VALUE"""),51.1111)</f>
        <v>51.1111</v>
      </c>
      <c r="AL37" s="32">
        <f>IFERROR(__xludf.DUMMYFUNCTION("""COMPUTED_VALUE"""),190.5702)</f>
        <v>190.5702</v>
      </c>
      <c r="AM37" s="32">
        <f>IFERROR(__xludf.DUMMYFUNCTION("""COMPUTED_VALUE"""),93.986559)</f>
        <v>93.986559</v>
      </c>
      <c r="AN37" s="32">
        <f>IFERROR(__xludf.DUMMYFUNCTION("""COMPUTED_VALUE"""),46.322581)</f>
        <v>46.322581</v>
      </c>
      <c r="AO37" s="32">
        <f>IFERROR(__xludf.DUMMYFUNCTION("""COMPUTED_VALUE"""),45.0)</f>
        <v>45</v>
      </c>
      <c r="AP37" s="32">
        <f>IFERROR(__xludf.DUMMYFUNCTION("""COMPUTED_VALUE"""),0.4091888825865003)</f>
        <v>0.4091888826</v>
      </c>
      <c r="AQ37" s="13"/>
      <c r="AR37" s="13"/>
      <c r="AS37" s="13"/>
      <c r="AT37" s="13"/>
      <c r="AU37" s="13"/>
      <c r="AV37" s="13"/>
      <c r="AW37" s="13"/>
      <c r="AX37" s="13"/>
      <c r="AY37" s="13"/>
      <c r="AZ37" s="13"/>
    </row>
    <row r="38">
      <c r="A38" s="13" t="str">
        <f>IFERROR(__xludf.DUMMYFUNCTION("""COMPUTED_VALUE"""),"Sundaram-Clayton Ltd.")</f>
        <v>Sundaram-Clayton Ltd.</v>
      </c>
      <c r="B38" s="30">
        <f>IFERROR(__xludf.DUMMYFUNCTION("""COMPUTED_VALUE"""),520056.0)</f>
        <v>520056</v>
      </c>
      <c r="C38" s="13" t="str">
        <f>IFERROR(__xludf.DUMMYFUNCTION("""COMPUTED_VALUE"""),"SUNCLAYLTD")</f>
        <v>SUNCLAYLTD</v>
      </c>
      <c r="D38" s="13" t="str">
        <f>IFERROR(__xludf.DUMMYFUNCTION("""COMPUTED_VALUE"""),"INE105A01035")</f>
        <v>INE105A01035</v>
      </c>
      <c r="E38" s="13" t="str">
        <f>IFERROR(__xludf.DUMMYFUNCTION("""COMPUTED_VALUE"""),"Automobile")</f>
        <v>Automobile</v>
      </c>
      <c r="F38" s="13" t="str">
        <f>IFERROR(__xludf.DUMMYFUNCTION("""COMPUTED_VALUE"""),"Auto Ancillaries")</f>
        <v>Auto Ancillaries</v>
      </c>
      <c r="G38" s="31">
        <f>IFERROR(__xludf.DUMMYFUNCTION("""COMPUTED_VALUE"""),44809.0)</f>
        <v>44809</v>
      </c>
      <c r="H38" s="32">
        <f>IFERROR(__xludf.DUMMYFUNCTION("""COMPUTED_VALUE"""),4672.35)</f>
        <v>4672.35</v>
      </c>
      <c r="I38" s="32">
        <f>IFERROR(__xludf.DUMMYFUNCTION("""COMPUTED_VALUE"""),-0.456986)</f>
        <v>-0.456986</v>
      </c>
      <c r="J38" s="32">
        <f>IFERROR(__xludf.DUMMYFUNCTION("""COMPUTED_VALUE"""),3312.0)</f>
        <v>3312</v>
      </c>
      <c r="K38" s="32">
        <f>IFERROR(__xludf.DUMMYFUNCTION("""COMPUTED_VALUE"""),5123.55)</f>
        <v>5123.55</v>
      </c>
      <c r="L38" s="32">
        <f>IFERROR(__xludf.DUMMYFUNCTION("""COMPUTED_VALUE"""),970.5)</f>
        <v>970.5</v>
      </c>
      <c r="M38" s="32">
        <f>IFERROR(__xludf.DUMMYFUNCTION("""COMPUTED_VALUE"""),5123.55)</f>
        <v>5123.55</v>
      </c>
      <c r="N38" s="32">
        <f>IFERROR(__xludf.DUMMYFUNCTION("""COMPUTED_VALUE"""),970.5)</f>
        <v>970.5</v>
      </c>
      <c r="O38" s="32">
        <f>IFERROR(__xludf.DUMMYFUNCTION("""COMPUTED_VALUE"""),6299.9)</f>
        <v>6299.9</v>
      </c>
      <c r="P38" s="32">
        <f>IFERROR(__xludf.DUMMYFUNCTION("""COMPUTED_VALUE"""),21.9)</f>
        <v>21.9</v>
      </c>
      <c r="Q38" s="32">
        <f>IFERROR(__xludf.DUMMYFUNCTION("""COMPUTED_VALUE"""),6299.9)</f>
        <v>6299.9</v>
      </c>
      <c r="R38" s="32">
        <f>IFERROR(__xludf.DUMMYFUNCTION("""COMPUTED_VALUE"""),9453.138234975)</f>
        <v>9453.138235</v>
      </c>
      <c r="S38" s="32">
        <f>IFERROR(__xludf.DUMMYFUNCTION("""COMPUTED_VALUE"""),21466.405955575)</f>
        <v>21466.40596</v>
      </c>
      <c r="T38" s="32">
        <f>IFERROR(__xludf.DUMMYFUNCTION("""COMPUTED_VALUE"""),1.751998)</f>
        <v>1.751998</v>
      </c>
      <c r="U38" s="32">
        <f>IFERROR(__xludf.DUMMYFUNCTION("""COMPUTED_VALUE"""),-0.394385)</f>
        <v>-0.394385</v>
      </c>
      <c r="V38" s="32">
        <f>IFERROR(__xludf.DUMMYFUNCTION("""COMPUTED_VALUE"""),19.928387)</f>
        <v>19.928387</v>
      </c>
      <c r="W38" s="32">
        <f>IFERROR(__xludf.DUMMYFUNCTION("""COMPUTED_VALUE"""),30.852494)</f>
        <v>30.852494</v>
      </c>
      <c r="X38" s="32">
        <f>IFERROR(__xludf.DUMMYFUNCTION("""COMPUTED_VALUE"""),37.207422)</f>
        <v>37.207422</v>
      </c>
      <c r="Y38" s="32">
        <f>IFERROR(__xludf.DUMMYFUNCTION("""COMPUTED_VALUE"""),0.848604)</f>
        <v>0.848604</v>
      </c>
      <c r="Z38" s="32">
        <f>IFERROR(__xludf.DUMMYFUNCTION("""COMPUTED_VALUE"""),38.527181)</f>
        <v>38.527181</v>
      </c>
      <c r="AA38" s="32">
        <f>IFERROR(__xludf.DUMMYFUNCTION("""COMPUTED_VALUE"""),15.7296)</f>
        <v>15.7296</v>
      </c>
      <c r="AB38" s="32">
        <f>IFERROR(__xludf.DUMMYFUNCTION("""COMPUTED_VALUE"""),26.3072)</f>
        <v>26.3072</v>
      </c>
      <c r="AC38" s="32">
        <f>IFERROR(__xludf.DUMMYFUNCTION("""COMPUTED_VALUE"""),1.7406)</f>
        <v>1.7406</v>
      </c>
      <c r="AD38" s="32">
        <f>IFERROR(__xludf.DUMMYFUNCTION("""COMPUTED_VALUE"""),2.43525)</f>
        <v>2.43525</v>
      </c>
      <c r="AE38" s="32">
        <f>IFERROR(__xludf.DUMMYFUNCTION("""COMPUTED_VALUE"""),12.772135)</f>
        <v>12.772135</v>
      </c>
      <c r="AF38" s="32">
        <f>IFERROR(__xludf.DUMMYFUNCTION("""COMPUTED_VALUE"""),1.851849)</f>
        <v>1.851849</v>
      </c>
      <c r="AG38" s="32">
        <f>IFERROR(__xludf.DUMMYFUNCTION("""COMPUTED_VALUE"""),0.9441)</f>
        <v>0.9441</v>
      </c>
      <c r="AH38" s="32">
        <f>IFERROR(__xludf.DUMMYFUNCTION("""COMPUTED_VALUE"""),6.046943)</f>
        <v>6.046943</v>
      </c>
      <c r="AI38" s="32">
        <f>IFERROR(__xludf.DUMMYFUNCTION("""COMPUTED_VALUE"""),0.33421644078218865)</f>
        <v>0.3342164408</v>
      </c>
      <c r="AJ38" s="32">
        <f>IFERROR(__xludf.DUMMYFUNCTION("""COMPUTED_VALUE"""),-6.106205097133943)</f>
        <v>-6.106205097</v>
      </c>
      <c r="AK38" s="32">
        <f>IFERROR(__xludf.DUMMYFUNCTION("""COMPUTED_VALUE"""),296.1286)</f>
        <v>296.1286</v>
      </c>
      <c r="AL38" s="32">
        <f>IFERROR(__xludf.DUMMYFUNCTION("""COMPUTED_VALUE"""),2676.0248)</f>
        <v>2676.0248</v>
      </c>
      <c r="AM38" s="32">
        <f>IFERROR(__xludf.DUMMYFUNCTION("""COMPUTED_VALUE"""),-764.881423)</f>
        <v>-764.881423</v>
      </c>
      <c r="AN38" s="32">
        <f>IFERROR(__xludf.DUMMYFUNCTION("""COMPUTED_VALUE"""),-1329.174901)</f>
        <v>-1329.174901</v>
      </c>
      <c r="AO38" s="32">
        <f>IFERROR(__xludf.DUMMYFUNCTION("""COMPUTED_VALUE"""),44.0)</f>
        <v>44</v>
      </c>
      <c r="AP38" s="32">
        <f>IFERROR(__xludf.DUMMYFUNCTION("""COMPUTED_VALUE"""),0.0880639400415727)</f>
        <v>0.08806394004</v>
      </c>
      <c r="AQ38" s="13"/>
      <c r="AR38" s="13"/>
      <c r="AS38" s="13"/>
      <c r="AT38" s="13"/>
      <c r="AU38" s="13"/>
      <c r="AV38" s="13"/>
      <c r="AW38" s="13"/>
      <c r="AX38" s="13"/>
      <c r="AY38" s="13"/>
      <c r="AZ38" s="13"/>
    </row>
    <row r="39">
      <c r="A39" s="13" t="str">
        <f>IFERROR(__xludf.DUMMYFUNCTION("""COMPUTED_VALUE"""),"Tata Consultancy Services Ltd.")</f>
        <v>Tata Consultancy Services Ltd.</v>
      </c>
      <c r="B39" s="30">
        <f>IFERROR(__xludf.DUMMYFUNCTION("""COMPUTED_VALUE"""),532540.0)</f>
        <v>532540</v>
      </c>
      <c r="C39" s="13" t="str">
        <f>IFERROR(__xludf.DUMMYFUNCTION("""COMPUTED_VALUE"""),"TCS")</f>
        <v>TCS</v>
      </c>
      <c r="D39" s="13" t="str">
        <f>IFERROR(__xludf.DUMMYFUNCTION("""COMPUTED_VALUE"""),"INE467B01029")</f>
        <v>INE467B01029</v>
      </c>
      <c r="E39" s="13" t="str">
        <f>IFERROR(__xludf.DUMMYFUNCTION("""COMPUTED_VALUE"""),"Technology")</f>
        <v>Technology</v>
      </c>
      <c r="F39" s="13" t="str">
        <f>IFERROR(__xludf.DUMMYFUNCTION("""COMPUTED_VALUE"""),"Software")</f>
        <v>Software</v>
      </c>
      <c r="G39" s="31">
        <f>IFERROR(__xludf.DUMMYFUNCTION("""COMPUTED_VALUE"""),44809.0)</f>
        <v>44809</v>
      </c>
      <c r="H39" s="32">
        <f>IFERROR(__xludf.DUMMYFUNCTION("""COMPUTED_VALUE"""),3133.4)</f>
        <v>3133.4</v>
      </c>
      <c r="I39" s="32">
        <f>IFERROR(__xludf.DUMMYFUNCTION("""COMPUTED_VALUE"""),0.095834)</f>
        <v>0.095834</v>
      </c>
      <c r="J39" s="32">
        <f>IFERROR(__xludf.DUMMYFUNCTION("""COMPUTED_VALUE"""),2953.0)</f>
        <v>2953</v>
      </c>
      <c r="K39" s="32">
        <f>IFERROR(__xludf.DUMMYFUNCTION("""COMPUTED_VALUE"""),4045.5)</f>
        <v>4045.5</v>
      </c>
      <c r="L39" s="32">
        <f>IFERROR(__xludf.DUMMYFUNCTION("""COMPUTED_VALUE"""),1504.4)</f>
        <v>1504.4</v>
      </c>
      <c r="M39" s="32">
        <f>IFERROR(__xludf.DUMMYFUNCTION("""COMPUTED_VALUE"""),4045.5)</f>
        <v>4045.5</v>
      </c>
      <c r="N39" s="32">
        <f>IFERROR(__xludf.DUMMYFUNCTION("""COMPUTED_VALUE"""),1210.325)</f>
        <v>1210.325</v>
      </c>
      <c r="O39" s="32">
        <f>IFERROR(__xludf.DUMMYFUNCTION("""COMPUTED_VALUE"""),4045.5)</f>
        <v>4045.5</v>
      </c>
      <c r="P39" s="32">
        <f>IFERROR(__xludf.DUMMYFUNCTION("""COMPUTED_VALUE"""),103.8375)</f>
        <v>103.8375</v>
      </c>
      <c r="Q39" s="32">
        <f>IFERROR(__xludf.DUMMYFUNCTION("""COMPUTED_VALUE"""),4045.5)</f>
        <v>4045.5</v>
      </c>
      <c r="R39" s="32">
        <f>IFERROR(__xludf.DUMMYFUNCTION("""COMPUTED_VALUE"""),1146325.909390305)</f>
        <v>1146325.909</v>
      </c>
      <c r="S39" s="32">
        <f>IFERROR(__xludf.DUMMYFUNCTION("""COMPUTED_VALUE"""),1096672.0129509452)</f>
        <v>1096672.013</v>
      </c>
      <c r="T39" s="32">
        <f>IFERROR(__xludf.DUMMYFUNCTION("""COMPUTED_VALUE"""),-2.755881)</f>
        <v>-2.755881</v>
      </c>
      <c r="U39" s="32">
        <f>IFERROR(__xludf.DUMMYFUNCTION("""COMPUTED_VALUE"""),-6.603675)</f>
        <v>-6.603675</v>
      </c>
      <c r="V39" s="32">
        <f>IFERROR(__xludf.DUMMYFUNCTION("""COMPUTED_VALUE"""),-8.916762)</f>
        <v>-8.916762</v>
      </c>
      <c r="W39" s="32">
        <f>IFERROR(__xludf.DUMMYFUNCTION("""COMPUTED_VALUE"""),-18.44458)</f>
        <v>-18.44458</v>
      </c>
      <c r="X39" s="32">
        <f>IFERROR(__xludf.DUMMYFUNCTION("""COMPUTED_VALUE"""),11.748244)</f>
        <v>11.748244</v>
      </c>
      <c r="Y39" s="32">
        <f>IFERROR(__xludf.DUMMYFUNCTION("""COMPUTED_VALUE"""),20.602531)</f>
        <v>20.602531</v>
      </c>
      <c r="Z39" s="32">
        <f>IFERROR(__xludf.DUMMYFUNCTION("""COMPUTED_VALUE"""),16.671979)</f>
        <v>16.671979</v>
      </c>
      <c r="AA39" s="32">
        <f>IFERROR(__xludf.DUMMYFUNCTION("""COMPUTED_VALUE"""),29.5468)</f>
        <v>29.5468</v>
      </c>
      <c r="AB39" s="32">
        <f>IFERROR(__xludf.DUMMYFUNCTION("""COMPUTED_VALUE"""),27.0878)</f>
        <v>27.0878</v>
      </c>
      <c r="AC39" s="32">
        <f>IFERROR(__xludf.DUMMYFUNCTION("""COMPUTED_VALUE"""),11.677)</f>
        <v>11.677</v>
      </c>
      <c r="AD39" s="32">
        <f>IFERROR(__xludf.DUMMYFUNCTION("""COMPUTED_VALUE"""),9.33615)</f>
        <v>9.33615</v>
      </c>
      <c r="AE39" s="32">
        <f>IFERROR(__xludf.DUMMYFUNCTION("""COMPUTED_VALUE"""),5.212312)</f>
        <v>5.212312</v>
      </c>
      <c r="AF39" s="32">
        <f>IFERROR(__xludf.DUMMYFUNCTION("""COMPUTED_VALUE"""),3.508582)</f>
        <v>3.508582</v>
      </c>
      <c r="AG39" s="32">
        <f>IFERROR(__xludf.DUMMYFUNCTION("""COMPUTED_VALUE"""),1.3726)</f>
        <v>1.3726</v>
      </c>
      <c r="AH39" s="32">
        <f>IFERROR(__xludf.DUMMYFUNCTION("""COMPUTED_VALUE"""),18.942103)</f>
        <v>18.942103</v>
      </c>
      <c r="AI39" s="32">
        <f>IFERROR(__xludf.DUMMYFUNCTION("""COMPUTED_VALUE"""),5.757509552389515)</f>
        <v>5.757509552</v>
      </c>
      <c r="AJ39" s="32">
        <f>IFERROR(__xludf.DUMMYFUNCTION("""COMPUTED_VALUE"""),28.694733519995616)</f>
        <v>28.69473352</v>
      </c>
      <c r="AK39" s="32">
        <f>IFERROR(__xludf.DUMMYFUNCTION("""COMPUTED_VALUE"""),106.0302)</f>
        <v>106.0302</v>
      </c>
      <c r="AL39" s="32">
        <f>IFERROR(__xludf.DUMMYFUNCTION("""COMPUTED_VALUE"""),268.2933)</f>
        <v>268.2933</v>
      </c>
      <c r="AM39" s="32">
        <f>IFERROR(__xludf.DUMMYFUNCTION("""COMPUTED_VALUE"""),109.150273)</f>
        <v>109.150273</v>
      </c>
      <c r="AN39" s="32">
        <f>IFERROR(__xludf.DUMMYFUNCTION("""COMPUTED_VALUE"""),101.882514)</f>
        <v>101.882514</v>
      </c>
      <c r="AO39" s="32">
        <f>IFERROR(__xludf.DUMMYFUNCTION("""COMPUTED_VALUE"""),43.0)</f>
        <v>43</v>
      </c>
      <c r="AP39" s="32">
        <f>IFERROR(__xludf.DUMMYFUNCTION("""COMPUTED_VALUE"""),0.2254603880855271)</f>
        <v>0.2254603881</v>
      </c>
      <c r="AQ39" s="13"/>
      <c r="AR39" s="13"/>
      <c r="AS39" s="13"/>
      <c r="AT39" s="13"/>
      <c r="AU39" s="13"/>
      <c r="AV39" s="13"/>
      <c r="AW39" s="13"/>
      <c r="AX39" s="13"/>
      <c r="AY39" s="13"/>
      <c r="AZ39" s="13"/>
    </row>
    <row r="40">
      <c r="A40" s="13" t="str">
        <f>IFERROR(__xludf.DUMMYFUNCTION("""COMPUTED_VALUE"""),"Tata Elxsi Ltd.")</f>
        <v>Tata Elxsi Ltd.</v>
      </c>
      <c r="B40" s="30">
        <f>IFERROR(__xludf.DUMMYFUNCTION("""COMPUTED_VALUE"""),500408.0)</f>
        <v>500408</v>
      </c>
      <c r="C40" s="13" t="str">
        <f>IFERROR(__xludf.DUMMYFUNCTION("""COMPUTED_VALUE"""),"TATAELXSI")</f>
        <v>TATAELXSI</v>
      </c>
      <c r="D40" s="13" t="str">
        <f>IFERROR(__xludf.DUMMYFUNCTION("""COMPUTED_VALUE"""),"INE670A01012")</f>
        <v>INE670A01012</v>
      </c>
      <c r="E40" s="13" t="str">
        <f>IFERROR(__xludf.DUMMYFUNCTION("""COMPUTED_VALUE"""),"Technology")</f>
        <v>Technology</v>
      </c>
      <c r="F40" s="13" t="str">
        <f>IFERROR(__xludf.DUMMYFUNCTION("""COMPUTED_VALUE"""),"Software")</f>
        <v>Software</v>
      </c>
      <c r="G40" s="31">
        <f>IFERROR(__xludf.DUMMYFUNCTION("""COMPUTED_VALUE"""),44809.0)</f>
        <v>44809</v>
      </c>
      <c r="H40" s="32">
        <f>IFERROR(__xludf.DUMMYFUNCTION("""COMPUTED_VALUE"""),8872.85)</f>
        <v>8872.85</v>
      </c>
      <c r="I40" s="32">
        <f>IFERROR(__xludf.DUMMYFUNCTION("""COMPUTED_VALUE"""),1.901863)</f>
        <v>1.901863</v>
      </c>
      <c r="J40" s="32">
        <f>IFERROR(__xludf.DUMMYFUNCTION("""COMPUTED_VALUE"""),4821.15)</f>
        <v>4821.15</v>
      </c>
      <c r="K40" s="32">
        <f>IFERROR(__xludf.DUMMYFUNCTION("""COMPUTED_VALUE"""),10760.4)</f>
        <v>10760.4</v>
      </c>
      <c r="L40" s="32">
        <f>IFERROR(__xludf.DUMMYFUNCTION("""COMPUTED_VALUE"""),499.95)</f>
        <v>499.95</v>
      </c>
      <c r="M40" s="32">
        <f>IFERROR(__xludf.DUMMYFUNCTION("""COMPUTED_VALUE"""),10760.4)</f>
        <v>10760.4</v>
      </c>
      <c r="N40" s="32">
        <f>IFERROR(__xludf.DUMMYFUNCTION("""COMPUTED_VALUE"""),499.95)</f>
        <v>499.95</v>
      </c>
      <c r="O40" s="32">
        <f>IFERROR(__xludf.DUMMYFUNCTION("""COMPUTED_VALUE"""),10760.4)</f>
        <v>10760.4</v>
      </c>
      <c r="P40" s="32">
        <f>IFERROR(__xludf.DUMMYFUNCTION("""COMPUTED_VALUE"""),14.55)</f>
        <v>14.55</v>
      </c>
      <c r="Q40" s="32">
        <f>IFERROR(__xludf.DUMMYFUNCTION("""COMPUTED_VALUE"""),10760.4)</f>
        <v>10760.4</v>
      </c>
      <c r="R40" s="32">
        <f>IFERROR(__xludf.DUMMYFUNCTION("""COMPUTED_VALUE"""),55260.6876518)</f>
        <v>55260.68765</v>
      </c>
      <c r="S40" s="32">
        <f>IFERROR(__xludf.DUMMYFUNCTION("""COMPUTED_VALUE"""),53267.6060096)</f>
        <v>53267.60601</v>
      </c>
      <c r="T40" s="32">
        <f>IFERROR(__xludf.DUMMYFUNCTION("""COMPUTED_VALUE"""),-5.093058)</f>
        <v>-5.093058</v>
      </c>
      <c r="U40" s="32">
        <f>IFERROR(__xludf.DUMMYFUNCTION("""COMPUTED_VALUE"""),-0.936171)</f>
        <v>-0.936171</v>
      </c>
      <c r="V40" s="32">
        <f>IFERROR(__xludf.DUMMYFUNCTION("""COMPUTED_VALUE"""),5.212076)</f>
        <v>5.212076</v>
      </c>
      <c r="W40" s="32">
        <f>IFERROR(__xludf.DUMMYFUNCTION("""COMPUTED_VALUE"""),81.597421)</f>
        <v>81.597421</v>
      </c>
      <c r="X40" s="32">
        <f>IFERROR(__xludf.DUMMYFUNCTION("""COMPUTED_VALUE"""),144.072276)</f>
        <v>144.072276</v>
      </c>
      <c r="Y40" s="32">
        <f>IFERROR(__xludf.DUMMYFUNCTION("""COMPUTED_VALUE"""),59.341899)</f>
        <v>59.341899</v>
      </c>
      <c r="Z40" s="32">
        <f>IFERROR(__xludf.DUMMYFUNCTION("""COMPUTED_VALUE"""),55.636749)</f>
        <v>55.636749</v>
      </c>
      <c r="AA40" s="32">
        <f>IFERROR(__xludf.DUMMYFUNCTION("""COMPUTED_VALUE"""),88.9843)</f>
        <v>88.9843</v>
      </c>
      <c r="AB40" s="32">
        <f>IFERROR(__xludf.DUMMYFUNCTION("""COMPUTED_VALUE"""),30.6705)</f>
        <v>30.6705</v>
      </c>
      <c r="AC40" s="32">
        <f>IFERROR(__xludf.DUMMYFUNCTION("""COMPUTED_VALUE"""),30.9476)</f>
        <v>30.9476</v>
      </c>
      <c r="AD40" s="32">
        <f>IFERROR(__xludf.DUMMYFUNCTION("""COMPUTED_VALUE"""),9.47215)</f>
        <v>9.47215</v>
      </c>
      <c r="AE40" s="32">
        <f>IFERROR(__xludf.DUMMYFUNCTION("""COMPUTED_VALUE"""),1.601999)</f>
        <v>1.601999</v>
      </c>
      <c r="AF40" s="32">
        <f>IFERROR(__xludf.DUMMYFUNCTION("""COMPUTED_VALUE"""),3.211952)</f>
        <v>3.211952</v>
      </c>
      <c r="AG40" s="32">
        <f>IFERROR(__xludf.DUMMYFUNCTION("""COMPUTED_VALUE"""),0.479)</f>
        <v>0.479</v>
      </c>
      <c r="AH40" s="32">
        <f>IFERROR(__xludf.DUMMYFUNCTION("""COMPUTED_VALUE"""),59.768507)</f>
        <v>59.768507</v>
      </c>
      <c r="AI40" s="32">
        <f>IFERROR(__xludf.DUMMYFUNCTION("""COMPUTED_VALUE"""),20.944994736072093)</f>
        <v>20.94499474</v>
      </c>
      <c r="AJ40" s="32">
        <f>IFERROR(__xludf.DUMMYFUNCTION("""COMPUTED_VALUE"""),114.40378205129267)</f>
        <v>114.4037821</v>
      </c>
      <c r="AK40" s="32">
        <f>IFERROR(__xludf.DUMMYFUNCTION("""COMPUTED_VALUE"""),99.7193)</f>
        <v>99.7193</v>
      </c>
      <c r="AL40" s="32">
        <f>IFERROR(__xludf.DUMMYFUNCTION("""COMPUTED_VALUE"""),286.7254)</f>
        <v>286.7254</v>
      </c>
      <c r="AM40" s="32">
        <f>IFERROR(__xludf.DUMMYFUNCTION("""COMPUTED_VALUE"""),77.562608)</f>
        <v>77.562608</v>
      </c>
      <c r="AN40" s="32">
        <f>IFERROR(__xludf.DUMMYFUNCTION("""COMPUTED_VALUE"""),69.630454)</f>
        <v>69.630454</v>
      </c>
      <c r="AO40" s="32">
        <f>IFERROR(__xludf.DUMMYFUNCTION("""COMPUTED_VALUE"""),42.5)</f>
        <v>42.5</v>
      </c>
      <c r="AP40" s="32">
        <f>IFERROR(__xludf.DUMMYFUNCTION("""COMPUTED_VALUE"""),0.17541634139994788)</f>
        <v>0.1754163414</v>
      </c>
      <c r="AQ40" s="13"/>
      <c r="AR40" s="13"/>
      <c r="AS40" s="13"/>
      <c r="AT40" s="13"/>
      <c r="AU40" s="13"/>
      <c r="AV40" s="13"/>
      <c r="AW40" s="13"/>
      <c r="AX40" s="13"/>
      <c r="AY40" s="13"/>
      <c r="AZ40" s="13"/>
    </row>
    <row r="41">
      <c r="A41" s="13" t="str">
        <f>IFERROR(__xludf.DUMMYFUNCTION("""COMPUTED_VALUE"""),"HCL Technologies Ltd.")</f>
        <v>HCL Technologies Ltd.</v>
      </c>
      <c r="B41" s="30">
        <f>IFERROR(__xludf.DUMMYFUNCTION("""COMPUTED_VALUE"""),532281.0)</f>
        <v>532281</v>
      </c>
      <c r="C41" s="13" t="str">
        <f>IFERROR(__xludf.DUMMYFUNCTION("""COMPUTED_VALUE"""),"HCLTECH")</f>
        <v>HCLTECH</v>
      </c>
      <c r="D41" s="13" t="str">
        <f>IFERROR(__xludf.DUMMYFUNCTION("""COMPUTED_VALUE"""),"INE860A01027")</f>
        <v>INE860A01027</v>
      </c>
      <c r="E41" s="13" t="str">
        <f>IFERROR(__xludf.DUMMYFUNCTION("""COMPUTED_VALUE"""),"Technology")</f>
        <v>Technology</v>
      </c>
      <c r="F41" s="13" t="str">
        <f>IFERROR(__xludf.DUMMYFUNCTION("""COMPUTED_VALUE"""),"Software")</f>
        <v>Software</v>
      </c>
      <c r="G41" s="31">
        <f>IFERROR(__xludf.DUMMYFUNCTION("""COMPUTED_VALUE"""),44809.0)</f>
        <v>44809</v>
      </c>
      <c r="H41" s="32">
        <f>IFERROR(__xludf.DUMMYFUNCTION("""COMPUTED_VALUE"""),936.0)</f>
        <v>936</v>
      </c>
      <c r="I41" s="32">
        <f>IFERROR(__xludf.DUMMYFUNCTION("""COMPUTED_VALUE"""),1.249392)</f>
        <v>1.249392</v>
      </c>
      <c r="J41" s="32">
        <f>IFERROR(__xludf.DUMMYFUNCTION("""COMPUTED_VALUE"""),877.35)</f>
        <v>877.35</v>
      </c>
      <c r="K41" s="32">
        <f>IFERROR(__xludf.DUMMYFUNCTION("""COMPUTED_VALUE"""),1377.75)</f>
        <v>1377.75</v>
      </c>
      <c r="L41" s="32">
        <f>IFERROR(__xludf.DUMMYFUNCTION("""COMPUTED_VALUE"""),375.25)</f>
        <v>375.25</v>
      </c>
      <c r="M41" s="32">
        <f>IFERROR(__xludf.DUMMYFUNCTION("""COMPUTED_VALUE"""),1377.75)</f>
        <v>1377.75</v>
      </c>
      <c r="N41" s="32">
        <f>IFERROR(__xludf.DUMMYFUNCTION("""COMPUTED_VALUE"""),375.25)</f>
        <v>375.25</v>
      </c>
      <c r="O41" s="32">
        <f>IFERROR(__xludf.DUMMYFUNCTION("""COMPUTED_VALUE"""),1377.75)</f>
        <v>1377.75</v>
      </c>
      <c r="P41" s="32">
        <f>IFERROR(__xludf.DUMMYFUNCTION("""COMPUTED_VALUE"""),12.9)</f>
        <v>12.9</v>
      </c>
      <c r="Q41" s="32">
        <f>IFERROR(__xludf.DUMMYFUNCTION("""COMPUTED_VALUE"""),1377.75)</f>
        <v>1377.75</v>
      </c>
      <c r="R41" s="32">
        <f>IFERROR(__xludf.DUMMYFUNCTION("""COMPUTED_VALUE"""),253971.91633464)</f>
        <v>253971.9163</v>
      </c>
      <c r="S41" s="32">
        <f>IFERROR(__xludf.DUMMYFUNCTION("""COMPUTED_VALUE"""),235879.79152136002)</f>
        <v>235879.7915</v>
      </c>
      <c r="T41" s="32">
        <f>IFERROR(__xludf.DUMMYFUNCTION("""COMPUTED_VALUE"""),-1.020462)</f>
        <v>-1.020462</v>
      </c>
      <c r="U41" s="32">
        <f>IFERROR(__xludf.DUMMYFUNCTION("""COMPUTED_VALUE"""),-2.306649)</f>
        <v>-2.306649</v>
      </c>
      <c r="V41" s="32">
        <f>IFERROR(__xludf.DUMMYFUNCTION("""COMPUTED_VALUE"""),-10.258869)</f>
        <v>-10.258869</v>
      </c>
      <c r="W41" s="32">
        <f>IFERROR(__xludf.DUMMYFUNCTION("""COMPUTED_VALUE"""),-20.323473)</f>
        <v>-20.323473</v>
      </c>
      <c r="X41" s="32">
        <f>IFERROR(__xludf.DUMMYFUNCTION("""COMPUTED_VALUE"""),18.477029)</f>
        <v>18.477029</v>
      </c>
      <c r="Y41" s="32">
        <f>IFERROR(__xludf.DUMMYFUNCTION("""COMPUTED_VALUE"""),16.815615)</f>
        <v>16.815615</v>
      </c>
      <c r="Z41" s="32">
        <f>IFERROR(__xludf.DUMMYFUNCTION("""COMPUTED_VALUE"""),20.892291)</f>
        <v>20.892291</v>
      </c>
      <c r="AA41" s="32">
        <f>IFERROR(__xludf.DUMMYFUNCTION("""COMPUTED_VALUE"""),18.706)</f>
        <v>18.706</v>
      </c>
      <c r="AB41" s="32">
        <f>IFERROR(__xludf.DUMMYFUNCTION("""COMPUTED_VALUE"""),15.78855)</f>
        <v>15.78855</v>
      </c>
      <c r="AC41" s="32">
        <f>IFERROR(__xludf.DUMMYFUNCTION("""COMPUTED_VALUE"""),3.9005)</f>
        <v>3.9005</v>
      </c>
      <c r="AD41" s="32">
        <f>IFERROR(__xludf.DUMMYFUNCTION("""COMPUTED_VALUE"""),3.7683)</f>
        <v>3.7683</v>
      </c>
      <c r="AE41" s="32">
        <f>IFERROR(__xludf.DUMMYFUNCTION("""COMPUTED_VALUE"""),7.82326)</f>
        <v>7.82326</v>
      </c>
      <c r="AF41" s="32">
        <f>IFERROR(__xludf.DUMMYFUNCTION("""COMPUTED_VALUE"""),2.034217)</f>
        <v>2.034217</v>
      </c>
      <c r="AG41" s="32">
        <f>IFERROR(__xludf.DUMMYFUNCTION("""COMPUTED_VALUE"""),4.4877)</f>
        <v>4.4877</v>
      </c>
      <c r="AH41" s="32">
        <f>IFERROR(__xludf.DUMMYFUNCTION("""COMPUTED_VALUE"""),10.8881)</f>
        <v>10.8881</v>
      </c>
      <c r="AI41" s="32">
        <f>IFERROR(__xludf.DUMMYFUNCTION("""COMPUTED_VALUE"""),2.852110866560805)</f>
        <v>2.852110867</v>
      </c>
      <c r="AJ41" s="32">
        <f>IFERROR(__xludf.DUMMYFUNCTION("""COMPUTED_VALUE"""),15.027924043469822)</f>
        <v>15.02792404</v>
      </c>
      <c r="AK41" s="32">
        <f>IFERROR(__xludf.DUMMYFUNCTION("""COMPUTED_VALUE"""),50.032)</f>
        <v>50.032</v>
      </c>
      <c r="AL41" s="32">
        <f>IFERROR(__xludf.DUMMYFUNCTION("""COMPUTED_VALUE"""),239.9439)</f>
        <v>239.9439</v>
      </c>
      <c r="AM41" s="32">
        <f>IFERROR(__xludf.DUMMYFUNCTION("""COMPUTED_VALUE"""),62.246777)</f>
        <v>62.246777</v>
      </c>
      <c r="AN41" s="32">
        <f>IFERROR(__xludf.DUMMYFUNCTION("""COMPUTED_VALUE"""),57.664825)</f>
        <v>57.664825</v>
      </c>
      <c r="AO41" s="32">
        <f>IFERROR(__xludf.DUMMYFUNCTION("""COMPUTED_VALUE"""),42.0)</f>
        <v>42</v>
      </c>
      <c r="AP41" s="32">
        <f>IFERROR(__xludf.DUMMYFUNCTION("""COMPUTED_VALUE"""),0.3206314643440392)</f>
        <v>0.3206314643</v>
      </c>
      <c r="AQ41" s="13"/>
      <c r="AR41" s="13"/>
      <c r="AS41" s="13"/>
      <c r="AT41" s="13"/>
      <c r="AU41" s="13"/>
      <c r="AV41" s="13"/>
      <c r="AW41" s="13"/>
      <c r="AX41" s="13"/>
      <c r="AY41" s="13"/>
      <c r="AZ41" s="13"/>
    </row>
    <row r="42">
      <c r="A42" s="13" t="str">
        <f>IFERROR(__xludf.DUMMYFUNCTION("""COMPUTED_VALUE"""),"HDFC Asset Management Company Ltd.")</f>
        <v>HDFC Asset Management Company Ltd.</v>
      </c>
      <c r="B42" s="30">
        <f>IFERROR(__xludf.DUMMYFUNCTION("""COMPUTED_VALUE"""),541729.0)</f>
        <v>541729</v>
      </c>
      <c r="C42" s="13" t="str">
        <f>IFERROR(__xludf.DUMMYFUNCTION("""COMPUTED_VALUE"""),"HDFCAMC")</f>
        <v>HDFCAMC</v>
      </c>
      <c r="D42" s="13" t="str">
        <f>IFERROR(__xludf.DUMMYFUNCTION("""COMPUTED_VALUE"""),"INE127D01025")</f>
        <v>INE127D01025</v>
      </c>
      <c r="E42" s="13" t="str">
        <f>IFERROR(__xludf.DUMMYFUNCTION("""COMPUTED_VALUE"""),"Financial")</f>
        <v>Financial</v>
      </c>
      <c r="F42" s="13" t="str">
        <f>IFERROR(__xludf.DUMMYFUNCTION("""COMPUTED_VALUE"""),"Asset Management Companies")</f>
        <v>Asset Management Companies</v>
      </c>
      <c r="G42" s="31">
        <f>IFERROR(__xludf.DUMMYFUNCTION("""COMPUTED_VALUE"""),44809.0)</f>
        <v>44809</v>
      </c>
      <c r="H42" s="32">
        <f>IFERROR(__xludf.DUMMYFUNCTION("""COMPUTED_VALUE"""),2001.9)</f>
        <v>2001.9</v>
      </c>
      <c r="I42" s="32">
        <f>IFERROR(__xludf.DUMMYFUNCTION("""COMPUTED_VALUE"""),-0.622999)</f>
        <v>-0.622999</v>
      </c>
      <c r="J42" s="32">
        <f>IFERROR(__xludf.DUMMYFUNCTION("""COMPUTED_VALUE"""),1690.0)</f>
        <v>1690</v>
      </c>
      <c r="K42" s="32">
        <f>IFERROR(__xludf.DUMMYFUNCTION("""COMPUTED_VALUE"""),3365.0)</f>
        <v>3365</v>
      </c>
      <c r="L42" s="32">
        <f>IFERROR(__xludf.DUMMYFUNCTION("""COMPUTED_VALUE"""),1690.0)</f>
        <v>1690</v>
      </c>
      <c r="M42" s="32">
        <f>IFERROR(__xludf.DUMMYFUNCTION("""COMPUTED_VALUE"""),3844.0)</f>
        <v>3844</v>
      </c>
      <c r="N42" s="13"/>
      <c r="O42" s="13"/>
      <c r="P42" s="32">
        <f>IFERROR(__xludf.DUMMYFUNCTION("""COMPUTED_VALUE"""),1248.3)</f>
        <v>1248.3</v>
      </c>
      <c r="Q42" s="32">
        <f>IFERROR(__xludf.DUMMYFUNCTION("""COMPUTED_VALUE"""),3844.0)</f>
        <v>3844</v>
      </c>
      <c r="R42" s="32">
        <f>IFERROR(__xludf.DUMMYFUNCTION("""COMPUTED_VALUE"""),42700.897227745)</f>
        <v>42700.89723</v>
      </c>
      <c r="S42" s="32">
        <f>IFERROR(__xludf.DUMMYFUNCTION("""COMPUTED_VALUE"""),38031.466557845)</f>
        <v>38031.46656</v>
      </c>
      <c r="T42" s="32">
        <f>IFERROR(__xludf.DUMMYFUNCTION("""COMPUTED_VALUE"""),-4.194683)</f>
        <v>-4.194683</v>
      </c>
      <c r="U42" s="32">
        <f>IFERROR(__xludf.DUMMYFUNCTION("""COMPUTED_VALUE"""),0.732131)</f>
        <v>0.732131</v>
      </c>
      <c r="V42" s="32">
        <f>IFERROR(__xludf.DUMMYFUNCTION("""COMPUTED_VALUE"""),7.510539)</f>
        <v>7.510539</v>
      </c>
      <c r="W42" s="32">
        <f>IFERROR(__xludf.DUMMYFUNCTION("""COMPUTED_VALUE"""),-36.731824)</f>
        <v>-36.731824</v>
      </c>
      <c r="X42" s="32">
        <f>IFERROR(__xludf.DUMMYFUNCTION("""COMPUTED_VALUE"""),-8.036797)</f>
        <v>-8.036797</v>
      </c>
      <c r="Y42" s="13"/>
      <c r="Z42" s="13"/>
      <c r="AA42" s="32">
        <f>IFERROR(__xludf.DUMMYFUNCTION("""COMPUTED_VALUE"""),31.3546)</f>
        <v>31.3546</v>
      </c>
      <c r="AB42" s="32">
        <f>IFERROR(__xludf.DUMMYFUNCTION("""COMPUTED_VALUE"""),43.1506)</f>
        <v>43.1506</v>
      </c>
      <c r="AC42" s="32">
        <f>IFERROR(__xludf.DUMMYFUNCTION("""COMPUTED_VALUE"""),7.3985)</f>
        <v>7.3985</v>
      </c>
      <c r="AD42" s="32">
        <f>IFERROR(__xludf.DUMMYFUNCTION("""COMPUTED_VALUE"""),12.7482)</f>
        <v>12.7482</v>
      </c>
      <c r="AE42" s="32">
        <f>IFERROR(__xludf.DUMMYFUNCTION("""COMPUTED_VALUE"""),5.469966)</f>
        <v>5.469966</v>
      </c>
      <c r="AF42" s="32">
        <f>IFERROR(__xludf.DUMMYFUNCTION("""COMPUTED_VALUE"""),3.068524)</f>
        <v>3.068524</v>
      </c>
      <c r="AG42" s="32">
        <f>IFERROR(__xludf.DUMMYFUNCTION("""COMPUTED_VALUE"""),2.0981)</f>
        <v>2.0981</v>
      </c>
      <c r="AH42" s="32">
        <f>IFERROR(__xludf.DUMMYFUNCTION("""COMPUTED_VALUE"""),20.70427)</f>
        <v>20.70427</v>
      </c>
      <c r="AI42" s="32">
        <f>IFERROR(__xludf.DUMMYFUNCTION("""COMPUTED_VALUE"""),20.048687344588377)</f>
        <v>20.04868734</v>
      </c>
      <c r="AJ42" s="32">
        <f>IFERROR(__xludf.DUMMYFUNCTION("""COMPUTED_VALUE"""),34.05908547115009)</f>
        <v>34.05908547</v>
      </c>
      <c r="AK42" s="32">
        <f>IFERROR(__xludf.DUMMYFUNCTION("""COMPUTED_VALUE"""),63.8455)</f>
        <v>63.8455</v>
      </c>
      <c r="AL42" s="32">
        <f>IFERROR(__xludf.DUMMYFUNCTION("""COMPUTED_VALUE"""),270.5752)</f>
        <v>270.5752</v>
      </c>
      <c r="AM42" s="32">
        <f>IFERROR(__xludf.DUMMYFUNCTION("""COMPUTED_VALUE"""),58.78329)</f>
        <v>58.78329</v>
      </c>
      <c r="AN42" s="32">
        <f>IFERROR(__xludf.DUMMYFUNCTION("""COMPUTED_VALUE"""),67.396849)</f>
        <v>67.396849</v>
      </c>
      <c r="AO42" s="32">
        <f>IFERROR(__xludf.DUMMYFUNCTION("""COMPUTED_VALUE"""),42.0)</f>
        <v>42</v>
      </c>
      <c r="AP42" s="32">
        <f>IFERROR(__xludf.DUMMYFUNCTION("""COMPUTED_VALUE"""),0.40508172362555717)</f>
        <v>0.4050817236</v>
      </c>
      <c r="AQ42" s="13"/>
      <c r="AR42" s="13"/>
      <c r="AS42" s="13"/>
      <c r="AT42" s="13"/>
      <c r="AU42" s="13"/>
      <c r="AV42" s="13"/>
      <c r="AW42" s="13"/>
      <c r="AX42" s="13"/>
      <c r="AY42" s="13"/>
      <c r="AZ42" s="13"/>
    </row>
    <row r="43">
      <c r="A43" s="13" t="str">
        <f>IFERROR(__xludf.DUMMYFUNCTION("""COMPUTED_VALUE"""),"Colgate-Palmolive (India) Ltd.")</f>
        <v>Colgate-Palmolive (India) Ltd.</v>
      </c>
      <c r="B43" s="30">
        <f>IFERROR(__xludf.DUMMYFUNCTION("""COMPUTED_VALUE"""),500830.0)</f>
        <v>500830</v>
      </c>
      <c r="C43" s="13" t="str">
        <f>IFERROR(__xludf.DUMMYFUNCTION("""COMPUTED_VALUE"""),"COLPAL")</f>
        <v>COLPAL</v>
      </c>
      <c r="D43" s="13" t="str">
        <f>IFERROR(__xludf.DUMMYFUNCTION("""COMPUTED_VALUE"""),"INE259A01022")</f>
        <v>INE259A01022</v>
      </c>
      <c r="E43" s="13" t="str">
        <f>IFERROR(__xludf.DUMMYFUNCTION("""COMPUTED_VALUE"""),"Consumer Staples")</f>
        <v>Consumer Staples</v>
      </c>
      <c r="F43" s="13" t="str">
        <f>IFERROR(__xludf.DUMMYFUNCTION("""COMPUTED_VALUE"""),"Household &amp; Personal Products")</f>
        <v>Household &amp; Personal Products</v>
      </c>
      <c r="G43" s="31">
        <f>IFERROR(__xludf.DUMMYFUNCTION("""COMPUTED_VALUE"""),44809.0)</f>
        <v>44809</v>
      </c>
      <c r="H43" s="32">
        <f>IFERROR(__xludf.DUMMYFUNCTION("""COMPUTED_VALUE"""),1659.2)</f>
        <v>1659.2</v>
      </c>
      <c r="I43" s="32">
        <f>IFERROR(__xludf.DUMMYFUNCTION("""COMPUTED_VALUE"""),-0.978754)</f>
        <v>-0.978754</v>
      </c>
      <c r="J43" s="32">
        <f>IFERROR(__xludf.DUMMYFUNCTION("""COMPUTED_VALUE"""),1375.6)</f>
        <v>1375.6</v>
      </c>
      <c r="K43" s="32">
        <f>IFERROR(__xludf.DUMMYFUNCTION("""COMPUTED_VALUE"""),1751.8)</f>
        <v>1751.8</v>
      </c>
      <c r="L43" s="32">
        <f>IFERROR(__xludf.DUMMYFUNCTION("""COMPUTED_VALUE"""),1065.0)</f>
        <v>1065</v>
      </c>
      <c r="M43" s="32">
        <f>IFERROR(__xludf.DUMMYFUNCTION("""COMPUTED_VALUE"""),1823.4)</f>
        <v>1823.4</v>
      </c>
      <c r="N43" s="32">
        <f>IFERROR(__xludf.DUMMYFUNCTION("""COMPUTED_VALUE"""),1015.1)</f>
        <v>1015.1</v>
      </c>
      <c r="O43" s="32">
        <f>IFERROR(__xludf.DUMMYFUNCTION("""COMPUTED_VALUE"""),1823.4)</f>
        <v>1823.4</v>
      </c>
      <c r="P43" s="32">
        <f>IFERROR(__xludf.DUMMYFUNCTION("""COMPUTED_VALUE"""),51.075)</f>
        <v>51.075</v>
      </c>
      <c r="Q43" s="32">
        <f>IFERROR(__xludf.DUMMYFUNCTION("""COMPUTED_VALUE"""),1823.4)</f>
        <v>1823.4</v>
      </c>
      <c r="R43" s="32">
        <f>IFERROR(__xludf.DUMMYFUNCTION("""COMPUTED_VALUE"""),45103.37768622)</f>
        <v>45103.37769</v>
      </c>
      <c r="S43" s="32">
        <f>IFERROR(__xludf.DUMMYFUNCTION("""COMPUTED_VALUE"""),44819.20013304)</f>
        <v>44819.20013</v>
      </c>
      <c r="T43" s="32">
        <f>IFERROR(__xludf.DUMMYFUNCTION("""COMPUTED_VALUE"""),5.597454)</f>
        <v>5.597454</v>
      </c>
      <c r="U43" s="32">
        <f>IFERROR(__xludf.DUMMYFUNCTION("""COMPUTED_VALUE"""),4.025078)</f>
        <v>4.025078</v>
      </c>
      <c r="V43" s="32">
        <f>IFERROR(__xludf.DUMMYFUNCTION("""COMPUTED_VALUE"""),6.168416)</f>
        <v>6.168416</v>
      </c>
      <c r="W43" s="32">
        <f>IFERROR(__xludf.DUMMYFUNCTION("""COMPUTED_VALUE"""),-3.786605)</f>
        <v>-3.786605</v>
      </c>
      <c r="X43" s="32">
        <f>IFERROR(__xludf.DUMMYFUNCTION("""COMPUTED_VALUE"""),10.039193)</f>
        <v>10.039193</v>
      </c>
      <c r="Y43" s="32">
        <f>IFERROR(__xludf.DUMMYFUNCTION("""COMPUTED_VALUE"""),8.331532)</f>
        <v>8.331532</v>
      </c>
      <c r="Z43" s="32">
        <f>IFERROR(__xludf.DUMMYFUNCTION("""COMPUTED_VALUE"""),10.554016)</f>
        <v>10.554016</v>
      </c>
      <c r="AA43" s="32">
        <f>IFERROR(__xludf.DUMMYFUNCTION("""COMPUTED_VALUE"""),42.7626)</f>
        <v>42.7626</v>
      </c>
      <c r="AB43" s="32">
        <f>IFERROR(__xludf.DUMMYFUNCTION("""COMPUTED_VALUE"""),44.8869)</f>
        <v>44.8869</v>
      </c>
      <c r="AC43" s="32">
        <f>IFERROR(__xludf.DUMMYFUNCTION("""COMPUTED_VALUE"""),23.2237)</f>
        <v>23.2237</v>
      </c>
      <c r="AD43" s="32">
        <f>IFERROR(__xludf.DUMMYFUNCTION("""COMPUTED_VALUE"""),22.0416)</f>
        <v>22.0416</v>
      </c>
      <c r="AE43" s="32">
        <f>IFERROR(__xludf.DUMMYFUNCTION("""COMPUTED_VALUE"""),3.212724)</f>
        <v>3.212724</v>
      </c>
      <c r="AF43" s="32">
        <f>IFERROR(__xludf.DUMMYFUNCTION("""COMPUTED_VALUE"""),3.450468)</f>
        <v>3.450468</v>
      </c>
      <c r="AG43" s="32">
        <f>IFERROR(__xludf.DUMMYFUNCTION("""COMPUTED_VALUE"""),2.4121)</f>
        <v>2.4121</v>
      </c>
      <c r="AH43" s="32">
        <f>IFERROR(__xludf.DUMMYFUNCTION("""COMPUTED_VALUE"""),28.565638)</f>
        <v>28.565638</v>
      </c>
      <c r="AI43" s="32">
        <f>IFERROR(__xludf.DUMMYFUNCTION("""COMPUTED_VALUE"""),8.85214833720038)</f>
        <v>8.852148337</v>
      </c>
      <c r="AJ43" s="32">
        <f>IFERROR(__xludf.DUMMYFUNCTION("""COMPUTED_VALUE"""),27.743379600547396)</f>
        <v>27.7433796</v>
      </c>
      <c r="AK43" s="32">
        <f>IFERROR(__xludf.DUMMYFUNCTION("""COMPUTED_VALUE"""),38.7793)</f>
        <v>38.7793</v>
      </c>
      <c r="AL43" s="32">
        <f>IFERROR(__xludf.DUMMYFUNCTION("""COMPUTED_VALUE"""),71.4054)</f>
        <v>71.4054</v>
      </c>
      <c r="AM43" s="32">
        <f>IFERROR(__xludf.DUMMYFUNCTION("""COMPUTED_VALUE"""),59.772738)</f>
        <v>59.772738</v>
      </c>
      <c r="AN43" s="32">
        <f>IFERROR(__xludf.DUMMYFUNCTION("""COMPUTED_VALUE"""),59.601149)</f>
        <v>59.601149</v>
      </c>
      <c r="AO43" s="32">
        <f>IFERROR(__xludf.DUMMYFUNCTION("""COMPUTED_VALUE"""),40.0)</f>
        <v>40</v>
      </c>
      <c r="AP43" s="32">
        <f>IFERROR(__xludf.DUMMYFUNCTION("""COMPUTED_VALUE"""),0.05285991551546975)</f>
        <v>0.05285991552</v>
      </c>
      <c r="AQ43" s="13"/>
      <c r="AR43" s="13"/>
      <c r="AS43" s="13"/>
      <c r="AT43" s="13"/>
      <c r="AU43" s="13"/>
      <c r="AV43" s="13"/>
      <c r="AW43" s="13"/>
      <c r="AX43" s="13"/>
      <c r="AY43" s="13"/>
      <c r="AZ43" s="13"/>
    </row>
    <row r="44">
      <c r="A44" s="13" t="str">
        <f>IFERROR(__xludf.DUMMYFUNCTION("""COMPUTED_VALUE"""),"HEG Ltd.")</f>
        <v>HEG Ltd.</v>
      </c>
      <c r="B44" s="30">
        <f>IFERROR(__xludf.DUMMYFUNCTION("""COMPUTED_VALUE"""),509631.0)</f>
        <v>509631</v>
      </c>
      <c r="C44" s="13" t="str">
        <f>IFERROR(__xludf.DUMMYFUNCTION("""COMPUTED_VALUE"""),"HEG")</f>
        <v>HEG</v>
      </c>
      <c r="D44" s="13" t="str">
        <f>IFERROR(__xludf.DUMMYFUNCTION("""COMPUTED_VALUE"""),"INE545A01016")</f>
        <v>INE545A01016</v>
      </c>
      <c r="E44" s="13" t="str">
        <f>IFERROR(__xludf.DUMMYFUNCTION("""COMPUTED_VALUE"""),"Capital Goods")</f>
        <v>Capital Goods</v>
      </c>
      <c r="F44" s="13" t="str">
        <f>IFERROR(__xludf.DUMMYFUNCTION("""COMPUTED_VALUE"""),"Refractories")</f>
        <v>Refractories</v>
      </c>
      <c r="G44" s="31">
        <f>IFERROR(__xludf.DUMMYFUNCTION("""COMPUTED_VALUE"""),44809.0)</f>
        <v>44809</v>
      </c>
      <c r="H44" s="32">
        <f>IFERROR(__xludf.DUMMYFUNCTION("""COMPUTED_VALUE"""),1232.35)</f>
        <v>1232.35</v>
      </c>
      <c r="I44" s="32">
        <f>IFERROR(__xludf.DUMMYFUNCTION("""COMPUTED_VALUE"""),-1.882962)</f>
        <v>-1.882962</v>
      </c>
      <c r="J44" s="32">
        <f>IFERROR(__xludf.DUMMYFUNCTION("""COMPUTED_VALUE"""),890.8)</f>
        <v>890.8</v>
      </c>
      <c r="K44" s="32">
        <f>IFERROR(__xludf.DUMMYFUNCTION("""COMPUTED_VALUE"""),2629.0)</f>
        <v>2629</v>
      </c>
      <c r="L44" s="32">
        <f>IFERROR(__xludf.DUMMYFUNCTION("""COMPUTED_VALUE"""),409.6)</f>
        <v>409.6</v>
      </c>
      <c r="M44" s="32">
        <f>IFERROR(__xludf.DUMMYFUNCTION("""COMPUTED_VALUE"""),2629.0)</f>
        <v>2629</v>
      </c>
      <c r="N44" s="32">
        <f>IFERROR(__xludf.DUMMYFUNCTION("""COMPUTED_VALUE"""),409.6)</f>
        <v>409.6</v>
      </c>
      <c r="O44" s="32">
        <f>IFERROR(__xludf.DUMMYFUNCTION("""COMPUTED_VALUE"""),4955.0)</f>
        <v>4955</v>
      </c>
      <c r="P44" s="32">
        <f>IFERROR(__xludf.DUMMYFUNCTION("""COMPUTED_VALUE"""),19.2)</f>
        <v>19.2</v>
      </c>
      <c r="Q44" s="32">
        <f>IFERROR(__xludf.DUMMYFUNCTION("""COMPUTED_VALUE"""),4955.0)</f>
        <v>4955</v>
      </c>
      <c r="R44" s="32">
        <f>IFERROR(__xludf.DUMMYFUNCTION("""COMPUTED_VALUE"""),4756.31718191)</f>
        <v>4756.317182</v>
      </c>
      <c r="S44" s="32">
        <f>IFERROR(__xludf.DUMMYFUNCTION("""COMPUTED_VALUE"""),4238.34780077)</f>
        <v>4238.347801</v>
      </c>
      <c r="T44" s="32">
        <f>IFERROR(__xludf.DUMMYFUNCTION("""COMPUTED_VALUE"""),-4.138307)</f>
        <v>-4.138307</v>
      </c>
      <c r="U44" s="32">
        <f>IFERROR(__xludf.DUMMYFUNCTION("""COMPUTED_VALUE"""),-3.002755)</f>
        <v>-3.002755</v>
      </c>
      <c r="V44" s="32">
        <f>IFERROR(__xludf.DUMMYFUNCTION("""COMPUTED_VALUE"""),8.985187)</f>
        <v>8.985187</v>
      </c>
      <c r="W44" s="32">
        <f>IFERROR(__xludf.DUMMYFUNCTION("""COMPUTED_VALUE"""),-45.329725)</f>
        <v>-45.329725</v>
      </c>
      <c r="X44" s="32">
        <f>IFERROR(__xludf.DUMMYFUNCTION("""COMPUTED_VALUE"""),8.170889)</f>
        <v>8.170889</v>
      </c>
      <c r="Y44" s="32">
        <f>IFERROR(__xludf.DUMMYFUNCTION("""COMPUTED_VALUE"""),13.022659)</f>
        <v>13.022659</v>
      </c>
      <c r="Z44" s="32">
        <f>IFERROR(__xludf.DUMMYFUNCTION("""COMPUTED_VALUE"""),19.890901)</f>
        <v>19.890901</v>
      </c>
      <c r="AA44" s="32">
        <f>IFERROR(__xludf.DUMMYFUNCTION("""COMPUTED_VALUE"""),8.9021)</f>
        <v>8.9021</v>
      </c>
      <c r="AB44" s="32">
        <f>IFERROR(__xludf.DUMMYFUNCTION("""COMPUTED_VALUE"""),9.0946)</f>
        <v>9.0946</v>
      </c>
      <c r="AC44" s="32">
        <f>IFERROR(__xludf.DUMMYFUNCTION("""COMPUTED_VALUE"""),1.173)</f>
        <v>1.173</v>
      </c>
      <c r="AD44" s="32">
        <f>IFERROR(__xludf.DUMMYFUNCTION("""COMPUTED_VALUE"""),1.62785)</f>
        <v>1.62785</v>
      </c>
      <c r="AE44" s="32">
        <f>IFERROR(__xludf.DUMMYFUNCTION("""COMPUTED_VALUE"""),17.22986)</f>
        <v>17.22986</v>
      </c>
      <c r="AF44" s="32">
        <f>IFERROR(__xludf.DUMMYFUNCTION("""COMPUTED_VALUE"""),0.153842)</f>
        <v>0.153842</v>
      </c>
      <c r="AG44" s="32">
        <f>IFERROR(__xludf.DUMMYFUNCTION("""COMPUTED_VALUE"""),3.2481)</f>
        <v>3.2481</v>
      </c>
      <c r="AH44" s="32">
        <f>IFERROR(__xludf.DUMMYFUNCTION("""COMPUTED_VALUE"""),5.905953)</f>
        <v>5.905953</v>
      </c>
      <c r="AI44" s="32">
        <f>IFERROR(__xludf.DUMMYFUNCTION("""COMPUTED_VALUE"""),1.8950452341794595)</f>
        <v>1.895045234</v>
      </c>
      <c r="AJ44" s="32">
        <f>IFERROR(__xludf.DUMMYFUNCTION("""COMPUTED_VALUE"""),-33.825947251185)</f>
        <v>-33.82594725</v>
      </c>
      <c r="AK44" s="32">
        <f>IFERROR(__xludf.DUMMYFUNCTION("""COMPUTED_VALUE"""),138.1689)</f>
        <v>138.1689</v>
      </c>
      <c r="AL44" s="32">
        <f>IFERROR(__xludf.DUMMYFUNCTION("""COMPUTED_VALUE"""),1048.6167)</f>
        <v>1048.6167</v>
      </c>
      <c r="AM44" s="32">
        <f>IFERROR(__xludf.DUMMYFUNCTION("""COMPUTED_VALUE"""),-36.432097)</f>
        <v>-36.432097</v>
      </c>
      <c r="AN44" s="32">
        <f>IFERROR(__xludf.DUMMYFUNCTION("""COMPUTED_VALUE"""),-115.166224)</f>
        <v>-115.166224</v>
      </c>
      <c r="AO44" s="32">
        <f>IFERROR(__xludf.DUMMYFUNCTION("""COMPUTED_VALUE"""),40.0)</f>
        <v>40</v>
      </c>
      <c r="AP44" s="32">
        <f>IFERROR(__xludf.DUMMYFUNCTION("""COMPUTED_VALUE"""),0.5312476226702169)</f>
        <v>0.5312476227</v>
      </c>
      <c r="AQ44" s="13"/>
      <c r="AR44" s="13"/>
      <c r="AS44" s="13"/>
      <c r="AT44" s="13"/>
      <c r="AU44" s="13"/>
      <c r="AV44" s="13"/>
      <c r="AW44" s="13"/>
      <c r="AX44" s="13"/>
      <c r="AY44" s="13"/>
      <c r="AZ44" s="13"/>
    </row>
    <row r="45">
      <c r="A45" s="13" t="str">
        <f>IFERROR(__xludf.DUMMYFUNCTION("""COMPUTED_VALUE"""),"Lakshmi Machine Works Ltd.")</f>
        <v>Lakshmi Machine Works Ltd.</v>
      </c>
      <c r="B45" s="30">
        <f>IFERROR(__xludf.DUMMYFUNCTION("""COMPUTED_VALUE"""),500252.0)</f>
        <v>500252</v>
      </c>
      <c r="C45" s="13" t="str">
        <f>IFERROR(__xludf.DUMMYFUNCTION("""COMPUTED_VALUE"""),"LAXMIMACH")</f>
        <v>LAXMIMACH</v>
      </c>
      <c r="D45" s="13" t="str">
        <f>IFERROR(__xludf.DUMMYFUNCTION("""COMPUTED_VALUE"""),"INE269B01029")</f>
        <v>INE269B01029</v>
      </c>
      <c r="E45" s="13" t="str">
        <f>IFERROR(__xludf.DUMMYFUNCTION("""COMPUTED_VALUE"""),"Capital Goods")</f>
        <v>Capital Goods</v>
      </c>
      <c r="F45" s="13" t="str">
        <f>IFERROR(__xludf.DUMMYFUNCTION("""COMPUTED_VALUE"""),"Textile Machinery")</f>
        <v>Textile Machinery</v>
      </c>
      <c r="G45" s="31">
        <f>IFERROR(__xludf.DUMMYFUNCTION("""COMPUTED_VALUE"""),44809.0)</f>
        <v>44809</v>
      </c>
      <c r="H45" s="32">
        <f>IFERROR(__xludf.DUMMYFUNCTION("""COMPUTED_VALUE"""),12503.1)</f>
        <v>12503.1</v>
      </c>
      <c r="I45" s="32">
        <f>IFERROR(__xludf.DUMMYFUNCTION("""COMPUTED_VALUE"""),0.70192)</f>
        <v>0.70192</v>
      </c>
      <c r="J45" s="32">
        <f>IFERROR(__xludf.DUMMYFUNCTION("""COMPUTED_VALUE"""),7712.7)</f>
        <v>7712.7</v>
      </c>
      <c r="K45" s="32">
        <f>IFERROR(__xludf.DUMMYFUNCTION("""COMPUTED_VALUE"""),12580.1)</f>
        <v>12580.1</v>
      </c>
      <c r="L45" s="32">
        <f>IFERROR(__xludf.DUMMYFUNCTION("""COMPUTED_VALUE"""),2000.0)</f>
        <v>2000</v>
      </c>
      <c r="M45" s="32">
        <f>IFERROR(__xludf.DUMMYFUNCTION("""COMPUTED_VALUE"""),12580.1)</f>
        <v>12580.1</v>
      </c>
      <c r="N45" s="32">
        <f>IFERROR(__xludf.DUMMYFUNCTION("""COMPUTED_VALUE"""),2000.0)</f>
        <v>2000</v>
      </c>
      <c r="O45" s="32">
        <f>IFERROR(__xludf.DUMMYFUNCTION("""COMPUTED_VALUE"""),12580.1)</f>
        <v>12580.1</v>
      </c>
      <c r="P45" s="32">
        <f>IFERROR(__xludf.DUMMYFUNCTION("""COMPUTED_VALUE"""),362.6)</f>
        <v>362.6</v>
      </c>
      <c r="Q45" s="32">
        <f>IFERROR(__xludf.DUMMYFUNCTION("""COMPUTED_VALUE"""),39418.95)</f>
        <v>39418.95</v>
      </c>
      <c r="R45" s="32">
        <f>IFERROR(__xludf.DUMMYFUNCTION("""COMPUTED_VALUE"""),13357.06173)</f>
        <v>13357.06173</v>
      </c>
      <c r="S45" s="32">
        <f>IFERROR(__xludf.DUMMYFUNCTION("""COMPUTED_VALUE"""),12477.43382)</f>
        <v>12477.43382</v>
      </c>
      <c r="T45" s="32">
        <f>IFERROR(__xludf.DUMMYFUNCTION("""COMPUTED_VALUE"""),4.815717)</f>
        <v>4.815717</v>
      </c>
      <c r="U45" s="32">
        <f>IFERROR(__xludf.DUMMYFUNCTION("""COMPUTED_VALUE"""),22.494146)</f>
        <v>22.494146</v>
      </c>
      <c r="V45" s="32">
        <f>IFERROR(__xludf.DUMMYFUNCTION("""COMPUTED_VALUE"""),36.590668)</f>
        <v>36.590668</v>
      </c>
      <c r="W45" s="32">
        <f>IFERROR(__xludf.DUMMYFUNCTION("""COMPUTED_VALUE"""),58.743319)</f>
        <v>58.743319</v>
      </c>
      <c r="X45" s="32">
        <f>IFERROR(__xludf.DUMMYFUNCTION("""COMPUTED_VALUE"""),51.955239)</f>
        <v>51.955239</v>
      </c>
      <c r="Y45" s="32">
        <f>IFERROR(__xludf.DUMMYFUNCTION("""COMPUTED_VALUE"""),15.531391)</f>
        <v>15.531391</v>
      </c>
      <c r="Z45" s="32">
        <f>IFERROR(__xludf.DUMMYFUNCTION("""COMPUTED_VALUE"""),20.207396)</f>
        <v>20.207396</v>
      </c>
      <c r="AA45" s="32">
        <f>IFERROR(__xludf.DUMMYFUNCTION("""COMPUTED_VALUE"""),50.7265)</f>
        <v>50.7265</v>
      </c>
      <c r="AB45" s="32">
        <f>IFERROR(__xludf.DUMMYFUNCTION("""COMPUTED_VALUE"""),43.18805)</f>
        <v>43.18805</v>
      </c>
      <c r="AC45" s="32">
        <f>IFERROR(__xludf.DUMMYFUNCTION("""COMPUTED_VALUE"""),6.4736)</f>
        <v>6.4736</v>
      </c>
      <c r="AD45" s="32">
        <f>IFERROR(__xludf.DUMMYFUNCTION("""COMPUTED_VALUE"""),3.826)</f>
        <v>3.826</v>
      </c>
      <c r="AE45" s="32">
        <f>IFERROR(__xludf.DUMMYFUNCTION("""COMPUTED_VALUE"""),3.285019)</f>
        <v>3.285019</v>
      </c>
      <c r="AF45" s="32">
        <f>IFERROR(__xludf.DUMMYFUNCTION("""COMPUTED_VALUE"""),-87.222928)</f>
        <v>-87.222928</v>
      </c>
      <c r="AG45" s="32">
        <f>IFERROR(__xludf.DUMMYFUNCTION("""COMPUTED_VALUE"""),0.3203)</f>
        <v>0.3203</v>
      </c>
      <c r="AH45" s="32">
        <f>IFERROR(__xludf.DUMMYFUNCTION("""COMPUTED_VALUE"""),31.148964)</f>
        <v>31.148964</v>
      </c>
      <c r="AI45" s="32">
        <f>IFERROR(__xludf.DUMMYFUNCTION("""COMPUTED_VALUE"""),3.6139646960273897)</f>
        <v>3.613964696</v>
      </c>
      <c r="AJ45" s="32">
        <f>IFERROR(__xludf.DUMMYFUNCTION("""COMPUTED_VALUE"""),27.55354212070735)</f>
        <v>27.55354212</v>
      </c>
      <c r="AK45" s="32">
        <f>IFERROR(__xludf.DUMMYFUNCTION("""COMPUTED_VALUE"""),246.4195)</f>
        <v>246.4195</v>
      </c>
      <c r="AL45" s="32">
        <f>IFERROR(__xludf.DUMMYFUNCTION("""COMPUTED_VALUE"""),1930.9212)</f>
        <v>1930.9212</v>
      </c>
      <c r="AM45" s="32">
        <f>IFERROR(__xludf.DUMMYFUNCTION("""COMPUTED_VALUE"""),453.774689)</f>
        <v>453.774689</v>
      </c>
      <c r="AN45" s="32">
        <f>IFERROR(__xludf.DUMMYFUNCTION("""COMPUTED_VALUE"""),443.98989)</f>
        <v>443.98989</v>
      </c>
      <c r="AO45" s="32">
        <f>IFERROR(__xludf.DUMMYFUNCTION("""COMPUTED_VALUE"""),40.0)</f>
        <v>40</v>
      </c>
      <c r="AP45" s="32">
        <f>IFERROR(__xludf.DUMMYFUNCTION("""COMPUTED_VALUE"""),0.006120778054228504)</f>
        <v>0.006120778054</v>
      </c>
      <c r="AQ45" s="13"/>
      <c r="AR45" s="13"/>
      <c r="AS45" s="13"/>
      <c r="AT45" s="13"/>
      <c r="AU45" s="13"/>
      <c r="AV45" s="13"/>
      <c r="AW45" s="13"/>
      <c r="AX45" s="13"/>
      <c r="AY45" s="13"/>
      <c r="AZ45" s="13"/>
    </row>
    <row r="46">
      <c r="A46" s="13" t="str">
        <f>IFERROR(__xludf.DUMMYFUNCTION("""COMPUTED_VALUE"""),"Computer Age Management Services Ltd.")</f>
        <v>Computer Age Management Services Ltd.</v>
      </c>
      <c r="B46" s="30">
        <f>IFERROR(__xludf.DUMMYFUNCTION("""COMPUTED_VALUE"""),543232.0)</f>
        <v>543232</v>
      </c>
      <c r="C46" s="13" t="str">
        <f>IFERROR(__xludf.DUMMYFUNCTION("""COMPUTED_VALUE"""),"CAMS")</f>
        <v>CAMS</v>
      </c>
      <c r="D46" s="13" t="str">
        <f>IFERROR(__xludf.DUMMYFUNCTION("""COMPUTED_VALUE"""),"INE596I01012")</f>
        <v>INE596I01012</v>
      </c>
      <c r="E46" s="13" t="str">
        <f>IFERROR(__xludf.DUMMYFUNCTION("""COMPUTED_VALUE"""),"Services")</f>
        <v>Services</v>
      </c>
      <c r="F46" s="13" t="str">
        <f>IFERROR(__xludf.DUMMYFUNCTION("""COMPUTED_VALUE"""),"Business Services")</f>
        <v>Business Services</v>
      </c>
      <c r="G46" s="31">
        <f>IFERROR(__xludf.DUMMYFUNCTION("""COMPUTED_VALUE"""),44809.0)</f>
        <v>44809</v>
      </c>
      <c r="H46" s="32">
        <f>IFERROR(__xludf.DUMMYFUNCTION("""COMPUTED_VALUE"""),2301.45)</f>
        <v>2301.45</v>
      </c>
      <c r="I46" s="32">
        <f>IFERROR(__xludf.DUMMYFUNCTION("""COMPUTED_VALUE"""),-0.260027)</f>
        <v>-0.260027</v>
      </c>
      <c r="J46" s="32">
        <f>IFERROR(__xludf.DUMMYFUNCTION("""COMPUTED_VALUE"""),2037.15)</f>
        <v>2037.15</v>
      </c>
      <c r="K46" s="32">
        <f>IFERROR(__xludf.DUMMYFUNCTION("""COMPUTED_VALUE"""),3839.65)</f>
        <v>3839.65</v>
      </c>
      <c r="L46" s="13"/>
      <c r="M46" s="13"/>
      <c r="N46" s="13"/>
      <c r="O46" s="13"/>
      <c r="P46" s="32">
        <f>IFERROR(__xludf.DUMMYFUNCTION("""COMPUTED_VALUE"""),1260.0)</f>
        <v>1260</v>
      </c>
      <c r="Q46" s="32">
        <f>IFERROR(__xludf.DUMMYFUNCTION("""COMPUTED_VALUE"""),4067.4)</f>
        <v>4067.4</v>
      </c>
      <c r="R46" s="32">
        <f>IFERROR(__xludf.DUMMYFUNCTION("""COMPUTED_VALUE"""),11297.78041249)</f>
        <v>11297.78041</v>
      </c>
      <c r="S46" s="32">
        <f>IFERROR(__xludf.DUMMYFUNCTION("""COMPUTED_VALUE"""),10808.00096404)</f>
        <v>10808.00096</v>
      </c>
      <c r="T46" s="32">
        <f>IFERROR(__xludf.DUMMYFUNCTION("""COMPUTED_VALUE"""),2.266213)</f>
        <v>2.266213</v>
      </c>
      <c r="U46" s="32">
        <f>IFERROR(__xludf.DUMMYFUNCTION("""COMPUTED_VALUE"""),-5.782536)</f>
        <v>-5.782536</v>
      </c>
      <c r="V46" s="32">
        <f>IFERROR(__xludf.DUMMYFUNCTION("""COMPUTED_VALUE"""),-4.146189)</f>
        <v>-4.146189</v>
      </c>
      <c r="W46" s="32">
        <f>IFERROR(__xludf.DUMMYFUNCTION("""COMPUTED_VALUE"""),-38.221912)</f>
        <v>-38.221912</v>
      </c>
      <c r="X46" s="13"/>
      <c r="Y46" s="13"/>
      <c r="Z46" s="13"/>
      <c r="AA46" s="32">
        <f>IFERROR(__xludf.DUMMYFUNCTION("""COMPUTED_VALUE"""),39.1627)</f>
        <v>39.1627</v>
      </c>
      <c r="AB46" s="32">
        <f>IFERROR(__xludf.DUMMYFUNCTION("""COMPUTED_VALUE"""),45.0567)</f>
        <v>45.0567</v>
      </c>
      <c r="AC46" s="32">
        <f>IFERROR(__xludf.DUMMYFUNCTION("""COMPUTED_VALUE"""),16.5854)</f>
        <v>16.5854</v>
      </c>
      <c r="AD46" s="32">
        <f>IFERROR(__xludf.DUMMYFUNCTION("""COMPUTED_VALUE"""),19.2346)</f>
        <v>19.2346</v>
      </c>
      <c r="AE46" s="32">
        <f>IFERROR(__xludf.DUMMYFUNCTION("""COMPUTED_VALUE"""),3.775182)</f>
        <v>3.775182</v>
      </c>
      <c r="AF46" s="32">
        <f>IFERROR(__xludf.DUMMYFUNCTION("""COMPUTED_VALUE"""),1.503694)</f>
        <v>1.503694</v>
      </c>
      <c r="AG46" s="32">
        <f>IFERROR(__xludf.DUMMYFUNCTION("""COMPUTED_VALUE"""),1.6814)</f>
        <v>1.6814</v>
      </c>
      <c r="AH46" s="32">
        <f>IFERROR(__xludf.DUMMYFUNCTION("""COMPUTED_VALUE"""),24.217059)</f>
        <v>24.217059</v>
      </c>
      <c r="AI46" s="32">
        <f>IFERROR(__xludf.DUMMYFUNCTION("""COMPUTED_VALUE"""),11.953577586013894)</f>
        <v>11.95357759</v>
      </c>
      <c r="AJ46" s="32">
        <f>IFERROR(__xludf.DUMMYFUNCTION("""COMPUTED_VALUE"""),35.14625241674846)</f>
        <v>35.14625242</v>
      </c>
      <c r="AK46" s="32">
        <f>IFERROR(__xludf.DUMMYFUNCTION("""COMPUTED_VALUE"""),58.9566)</f>
        <v>58.9566</v>
      </c>
      <c r="AL46" s="32">
        <f>IFERROR(__xludf.DUMMYFUNCTION("""COMPUTED_VALUE"""),139.2128)</f>
        <v>139.2128</v>
      </c>
      <c r="AM46" s="32">
        <f>IFERROR(__xludf.DUMMYFUNCTION("""COMPUTED_VALUE"""),65.731594)</f>
        <v>65.731594</v>
      </c>
      <c r="AN46" s="32">
        <f>IFERROR(__xludf.DUMMYFUNCTION("""COMPUTED_VALUE"""),52.387784)</f>
        <v>52.387784</v>
      </c>
      <c r="AO46" s="32">
        <f>IFERROR(__xludf.DUMMYFUNCTION("""COMPUTED_VALUE"""),38.75)</f>
        <v>38.75</v>
      </c>
      <c r="AP46" s="32">
        <f>IFERROR(__xludf.DUMMYFUNCTION("""COMPUTED_VALUE"""),0.4006094305470551)</f>
        <v>0.4006094305</v>
      </c>
      <c r="AQ46" s="13"/>
      <c r="AR46" s="13"/>
      <c r="AS46" s="13"/>
      <c r="AT46" s="13"/>
      <c r="AU46" s="13"/>
      <c r="AV46" s="13"/>
      <c r="AW46" s="13"/>
      <c r="AX46" s="13"/>
      <c r="AY46" s="13"/>
      <c r="AZ46" s="13"/>
    </row>
    <row r="47">
      <c r="A47" s="13" t="str">
        <f>IFERROR(__xludf.DUMMYFUNCTION("""COMPUTED_VALUE"""),"Ultratech Cement Ltd.")</f>
        <v>Ultratech Cement Ltd.</v>
      </c>
      <c r="B47" s="30">
        <f>IFERROR(__xludf.DUMMYFUNCTION("""COMPUTED_VALUE"""),532538.0)</f>
        <v>532538</v>
      </c>
      <c r="C47" s="13" t="str">
        <f>IFERROR(__xludf.DUMMYFUNCTION("""COMPUTED_VALUE"""),"ULTRACEMCO")</f>
        <v>ULTRACEMCO</v>
      </c>
      <c r="D47" s="13" t="str">
        <f>IFERROR(__xludf.DUMMYFUNCTION("""COMPUTED_VALUE"""),"INE481G01011")</f>
        <v>INE481G01011</v>
      </c>
      <c r="E47" s="13" t="str">
        <f>IFERROR(__xludf.DUMMYFUNCTION("""COMPUTED_VALUE"""),"Materials")</f>
        <v>Materials</v>
      </c>
      <c r="F47" s="13" t="str">
        <f>IFERROR(__xludf.DUMMYFUNCTION("""COMPUTED_VALUE"""),"Cement")</f>
        <v>Cement</v>
      </c>
      <c r="G47" s="31">
        <f>IFERROR(__xludf.DUMMYFUNCTION("""COMPUTED_VALUE"""),44809.0)</f>
        <v>44809</v>
      </c>
      <c r="H47" s="32">
        <f>IFERROR(__xludf.DUMMYFUNCTION("""COMPUTED_VALUE"""),6521.95)</f>
        <v>6521.95</v>
      </c>
      <c r="I47" s="32">
        <f>IFERROR(__xludf.DUMMYFUNCTION("""COMPUTED_VALUE"""),-0.844546)</f>
        <v>-0.844546</v>
      </c>
      <c r="J47" s="32">
        <f>IFERROR(__xludf.DUMMYFUNCTION("""COMPUTED_VALUE"""),5157.05)</f>
        <v>5157.05</v>
      </c>
      <c r="K47" s="32">
        <f>IFERROR(__xludf.DUMMYFUNCTION("""COMPUTED_VALUE"""),8269.0)</f>
        <v>8269</v>
      </c>
      <c r="L47" s="32">
        <f>IFERROR(__xludf.DUMMYFUNCTION("""COMPUTED_VALUE"""),2910.0)</f>
        <v>2910</v>
      </c>
      <c r="M47" s="32">
        <f>IFERROR(__xludf.DUMMYFUNCTION("""COMPUTED_VALUE"""),8269.0)</f>
        <v>8269</v>
      </c>
      <c r="N47" s="32">
        <f>IFERROR(__xludf.DUMMYFUNCTION("""COMPUTED_VALUE"""),2910.0)</f>
        <v>2910</v>
      </c>
      <c r="O47" s="32">
        <f>IFERROR(__xludf.DUMMYFUNCTION("""COMPUTED_VALUE"""),8269.0)</f>
        <v>8269</v>
      </c>
      <c r="P47" s="32">
        <f>IFERROR(__xludf.DUMMYFUNCTION("""COMPUTED_VALUE"""),245.25)</f>
        <v>245.25</v>
      </c>
      <c r="Q47" s="32">
        <f>IFERROR(__xludf.DUMMYFUNCTION("""COMPUTED_VALUE"""),8269.0)</f>
        <v>8269</v>
      </c>
      <c r="R47" s="32">
        <f>IFERROR(__xludf.DUMMYFUNCTION("""COMPUTED_VALUE"""),188390.19019513)</f>
        <v>188390.1902</v>
      </c>
      <c r="S47" s="32">
        <f>IFERROR(__xludf.DUMMYFUNCTION("""COMPUTED_VALUE"""),194756.6260248)</f>
        <v>194756.626</v>
      </c>
      <c r="T47" s="32">
        <f>IFERROR(__xludf.DUMMYFUNCTION("""COMPUTED_VALUE"""),0.073652)</f>
        <v>0.073652</v>
      </c>
      <c r="U47" s="32">
        <f>IFERROR(__xludf.DUMMYFUNCTION("""COMPUTED_VALUE"""),-1.003332)</f>
        <v>-1.003332</v>
      </c>
      <c r="V47" s="32">
        <f>IFERROR(__xludf.DUMMYFUNCTION("""COMPUTED_VALUE"""),14.846316)</f>
        <v>14.846316</v>
      </c>
      <c r="W47" s="32">
        <f>IFERROR(__xludf.DUMMYFUNCTION("""COMPUTED_VALUE"""),-17.754434)</f>
        <v>-17.754434</v>
      </c>
      <c r="X47" s="32">
        <f>IFERROR(__xludf.DUMMYFUNCTION("""COMPUTED_VALUE"""),18.935789)</f>
        <v>18.935789</v>
      </c>
      <c r="Y47" s="32">
        <f>IFERROR(__xludf.DUMMYFUNCTION("""COMPUTED_VALUE"""),10.269349)</f>
        <v>10.269349</v>
      </c>
      <c r="Z47" s="32">
        <f>IFERROR(__xludf.DUMMYFUNCTION("""COMPUTED_VALUE"""),14.594427)</f>
        <v>14.594427</v>
      </c>
      <c r="AA47" s="32">
        <f>IFERROR(__xludf.DUMMYFUNCTION("""COMPUTED_VALUE"""),26.072)</f>
        <v>26.072</v>
      </c>
      <c r="AB47" s="32">
        <f>IFERROR(__xludf.DUMMYFUNCTION("""COMPUTED_VALUE"""),35.51535)</f>
        <v>35.51535</v>
      </c>
      <c r="AC47" s="32">
        <f>IFERROR(__xludf.DUMMYFUNCTION("""COMPUTED_VALUE"""),3.6252)</f>
        <v>3.6252</v>
      </c>
      <c r="AD47" s="32">
        <f>IFERROR(__xludf.DUMMYFUNCTION("""COMPUTED_VALUE"""),4.04965)</f>
        <v>4.04965</v>
      </c>
      <c r="AE47" s="32">
        <f>IFERROR(__xludf.DUMMYFUNCTION("""COMPUTED_VALUE"""),4.850668)</f>
        <v>4.850668</v>
      </c>
      <c r="AF47" s="32">
        <f>IFERROR(__xludf.DUMMYFUNCTION("""COMPUTED_VALUE"""),1.267586)</f>
        <v>1.267586</v>
      </c>
      <c r="AG47" s="32">
        <f>IFERROR(__xludf.DUMMYFUNCTION("""COMPUTED_VALUE"""),0.5823)</f>
        <v>0.5823</v>
      </c>
      <c r="AH47" s="32">
        <f>IFERROR(__xludf.DUMMYFUNCTION("""COMPUTED_VALUE"""),16.626837)</f>
        <v>16.626837</v>
      </c>
      <c r="AI47" s="32">
        <f>IFERROR(__xludf.DUMMYFUNCTION("""COMPUTED_VALUE"""),3.3681420849836865)</f>
        <v>3.368142085</v>
      </c>
      <c r="AJ47" s="32">
        <f>IFERROR(__xludf.DUMMYFUNCTION("""COMPUTED_VALUE"""),20.29358178773036)</f>
        <v>20.29358179</v>
      </c>
      <c r="AK47" s="32">
        <f>IFERROR(__xludf.DUMMYFUNCTION("""COMPUTED_VALUE"""),250.3112)</f>
        <v>250.3112</v>
      </c>
      <c r="AL47" s="32">
        <f>IFERROR(__xludf.DUMMYFUNCTION("""COMPUTED_VALUE"""),1800.2079)</f>
        <v>1800.2079</v>
      </c>
      <c r="AM47" s="32">
        <f>IFERROR(__xludf.DUMMYFUNCTION("""COMPUTED_VALUE"""),321.586587)</f>
        <v>321.586587</v>
      </c>
      <c r="AN47" s="32">
        <f>IFERROR(__xludf.DUMMYFUNCTION("""COMPUTED_VALUE"""),131.671459)</f>
        <v>131.671459</v>
      </c>
      <c r="AO47" s="32">
        <f>IFERROR(__xludf.DUMMYFUNCTION("""COMPUTED_VALUE"""),38.0)</f>
        <v>38</v>
      </c>
      <c r="AP47" s="32">
        <f>IFERROR(__xludf.DUMMYFUNCTION("""COMPUTED_VALUE"""),0.21127705889466686)</f>
        <v>0.2112770589</v>
      </c>
      <c r="AQ47" s="13"/>
      <c r="AR47" s="13"/>
      <c r="AS47" s="13"/>
      <c r="AT47" s="13"/>
      <c r="AU47" s="13"/>
      <c r="AV47" s="13"/>
      <c r="AW47" s="13"/>
      <c r="AX47" s="13"/>
      <c r="AY47" s="13"/>
      <c r="AZ47" s="13"/>
    </row>
    <row r="48">
      <c r="A48" s="13" t="str">
        <f>IFERROR(__xludf.DUMMYFUNCTION("""COMPUTED_VALUE"""),"Mindtree Ltd.")</f>
        <v>Mindtree Ltd.</v>
      </c>
      <c r="B48" s="30">
        <f>IFERROR(__xludf.DUMMYFUNCTION("""COMPUTED_VALUE"""),532819.0)</f>
        <v>532819</v>
      </c>
      <c r="C48" s="13" t="str">
        <f>IFERROR(__xludf.DUMMYFUNCTION("""COMPUTED_VALUE"""),"MINDTREE")</f>
        <v>MINDTREE</v>
      </c>
      <c r="D48" s="13" t="str">
        <f>IFERROR(__xludf.DUMMYFUNCTION("""COMPUTED_VALUE"""),"INE018I01017")</f>
        <v>INE018I01017</v>
      </c>
      <c r="E48" s="13" t="str">
        <f>IFERROR(__xludf.DUMMYFUNCTION("""COMPUTED_VALUE"""),"Technology")</f>
        <v>Technology</v>
      </c>
      <c r="F48" s="13" t="str">
        <f>IFERROR(__xludf.DUMMYFUNCTION("""COMPUTED_VALUE"""),"Software")</f>
        <v>Software</v>
      </c>
      <c r="G48" s="31">
        <f>IFERROR(__xludf.DUMMYFUNCTION("""COMPUTED_VALUE"""),44809.0)</f>
        <v>44809</v>
      </c>
      <c r="H48" s="32">
        <f>IFERROR(__xludf.DUMMYFUNCTION("""COMPUTED_VALUE"""),3203.65)</f>
        <v>3203.65</v>
      </c>
      <c r="I48" s="32">
        <f>IFERROR(__xludf.DUMMYFUNCTION("""COMPUTED_VALUE"""),-0.207146)</f>
        <v>-0.207146</v>
      </c>
      <c r="J48" s="32">
        <f>IFERROR(__xludf.DUMMYFUNCTION("""COMPUTED_VALUE"""),2649.2)</f>
        <v>2649.2</v>
      </c>
      <c r="K48" s="32">
        <f>IFERROR(__xludf.DUMMYFUNCTION("""COMPUTED_VALUE"""),5060.0)</f>
        <v>5060</v>
      </c>
      <c r="L48" s="32">
        <f>IFERROR(__xludf.DUMMYFUNCTION("""COMPUTED_VALUE"""),667.0)</f>
        <v>667</v>
      </c>
      <c r="M48" s="32">
        <f>IFERROR(__xludf.DUMMYFUNCTION("""COMPUTED_VALUE"""),5060.0)</f>
        <v>5060</v>
      </c>
      <c r="N48" s="32">
        <f>IFERROR(__xludf.DUMMYFUNCTION("""COMPUTED_VALUE"""),439.05)</f>
        <v>439.05</v>
      </c>
      <c r="O48" s="32">
        <f>IFERROR(__xludf.DUMMYFUNCTION("""COMPUTED_VALUE"""),5060.0)</f>
        <v>5060</v>
      </c>
      <c r="P48" s="32">
        <f>IFERROR(__xludf.DUMMYFUNCTION("""COMPUTED_VALUE"""),45.125)</f>
        <v>45.125</v>
      </c>
      <c r="Q48" s="32">
        <f>IFERROR(__xludf.DUMMYFUNCTION("""COMPUTED_VALUE"""),5060.0)</f>
        <v>5060</v>
      </c>
      <c r="R48" s="32">
        <f>IFERROR(__xludf.DUMMYFUNCTION("""COMPUTED_VALUE"""),52838.52710862)</f>
        <v>52838.52711</v>
      </c>
      <c r="S48" s="32">
        <f>IFERROR(__xludf.DUMMYFUNCTION("""COMPUTED_VALUE"""),49667.712337295)</f>
        <v>49667.71234</v>
      </c>
      <c r="T48" s="32">
        <f>IFERROR(__xludf.DUMMYFUNCTION("""COMPUTED_VALUE"""),-3.484168)</f>
        <v>-3.484168</v>
      </c>
      <c r="U48" s="32">
        <f>IFERROR(__xludf.DUMMYFUNCTION("""COMPUTED_VALUE"""),-9.290012)</f>
        <v>-9.290012</v>
      </c>
      <c r="V48" s="32">
        <f>IFERROR(__xludf.DUMMYFUNCTION("""COMPUTED_VALUE"""),3.950485)</f>
        <v>3.950485</v>
      </c>
      <c r="W48" s="32">
        <f>IFERROR(__xludf.DUMMYFUNCTION("""COMPUTED_VALUE"""),-15.10024)</f>
        <v>-15.10024</v>
      </c>
      <c r="X48" s="32">
        <f>IFERROR(__xludf.DUMMYFUNCTION("""COMPUTED_VALUE"""),67.603448)</f>
        <v>67.603448</v>
      </c>
      <c r="Y48" s="32">
        <f>IFERROR(__xludf.DUMMYFUNCTION("""COMPUTED_VALUE"""),47.756238)</f>
        <v>47.756238</v>
      </c>
      <c r="Z48" s="32">
        <f>IFERROR(__xludf.DUMMYFUNCTION("""COMPUTED_VALUE"""),34.421505)</f>
        <v>34.421505</v>
      </c>
      <c r="AA48" s="32">
        <f>IFERROR(__xludf.DUMMYFUNCTION("""COMPUTED_VALUE"""),29.6662)</f>
        <v>29.6662</v>
      </c>
      <c r="AB48" s="32">
        <f>IFERROR(__xludf.DUMMYFUNCTION("""COMPUTED_VALUE"""),26.55385)</f>
        <v>26.55385</v>
      </c>
      <c r="AC48" s="32">
        <f>IFERROR(__xludf.DUMMYFUNCTION("""COMPUTED_VALUE"""),9.1833)</f>
        <v>9.1833</v>
      </c>
      <c r="AD48" s="32">
        <f>IFERROR(__xludf.DUMMYFUNCTION("""COMPUTED_VALUE"""),5.72035)</f>
        <v>5.72035</v>
      </c>
      <c r="AE48" s="32">
        <f>IFERROR(__xludf.DUMMYFUNCTION("""COMPUTED_VALUE"""),5.440165)</f>
        <v>5.440165</v>
      </c>
      <c r="AF48" s="32">
        <f>IFERROR(__xludf.DUMMYFUNCTION("""COMPUTED_VALUE"""),0.880136)</f>
        <v>0.880136</v>
      </c>
      <c r="AG48" s="32">
        <f>IFERROR(__xludf.DUMMYFUNCTION("""COMPUTED_VALUE"""),1.155)</f>
        <v>1.155</v>
      </c>
      <c r="AH48" s="32">
        <f>IFERROR(__xludf.DUMMYFUNCTION("""COMPUTED_VALUE"""),18.642637)</f>
        <v>18.642637</v>
      </c>
      <c r="AI48" s="32">
        <f>IFERROR(__xludf.DUMMYFUNCTION("""COMPUTED_VALUE"""),4.653449858527306)</f>
        <v>4.653449859</v>
      </c>
      <c r="AJ48" s="32">
        <f>IFERROR(__xludf.DUMMYFUNCTION("""COMPUTED_VALUE"""),34.37770143696812)</f>
        <v>34.37770144</v>
      </c>
      <c r="AK48" s="32">
        <f>IFERROR(__xludf.DUMMYFUNCTION("""COMPUTED_VALUE"""),107.9814)</f>
        <v>107.9814</v>
      </c>
      <c r="AL48" s="32">
        <f>IFERROR(__xludf.DUMMYFUNCTION("""COMPUTED_VALUE"""),348.8278)</f>
        <v>348.8278</v>
      </c>
      <c r="AM48" s="32">
        <f>IFERROR(__xludf.DUMMYFUNCTION("""COMPUTED_VALUE"""),93.264563)</f>
        <v>93.264563</v>
      </c>
      <c r="AN48" s="32">
        <f>IFERROR(__xludf.DUMMYFUNCTION("""COMPUTED_VALUE"""),84.059466)</f>
        <v>84.059466</v>
      </c>
      <c r="AO48" s="32">
        <f>IFERROR(__xludf.DUMMYFUNCTION("""COMPUTED_VALUE"""),37.0)</f>
        <v>37</v>
      </c>
      <c r="AP48" s="32">
        <f>IFERROR(__xludf.DUMMYFUNCTION("""COMPUTED_VALUE"""),0.3668675889328063)</f>
        <v>0.3668675889</v>
      </c>
      <c r="AQ48" s="13"/>
      <c r="AR48" s="13"/>
      <c r="AS48" s="13"/>
      <c r="AT48" s="13"/>
      <c r="AU48" s="13"/>
      <c r="AV48" s="13"/>
      <c r="AW48" s="13"/>
      <c r="AX48" s="13"/>
      <c r="AY48" s="13"/>
      <c r="AZ48" s="13"/>
    </row>
    <row r="49">
      <c r="A49" s="13" t="str">
        <f>IFERROR(__xludf.DUMMYFUNCTION("""COMPUTED_VALUE"""),"Shriram City Union Finance Ltd.")</f>
        <v>Shriram City Union Finance Ltd.</v>
      </c>
      <c r="B49" s="30">
        <f>IFERROR(__xludf.DUMMYFUNCTION("""COMPUTED_VALUE"""),532498.0)</f>
        <v>532498</v>
      </c>
      <c r="C49" s="13" t="str">
        <f>IFERROR(__xludf.DUMMYFUNCTION("""COMPUTED_VALUE"""),"SHRIRAMCIT")</f>
        <v>SHRIRAMCIT</v>
      </c>
      <c r="D49" s="13" t="str">
        <f>IFERROR(__xludf.DUMMYFUNCTION("""COMPUTED_VALUE"""),"INE722A01011")</f>
        <v>INE722A01011</v>
      </c>
      <c r="E49" s="13" t="str">
        <f>IFERROR(__xludf.DUMMYFUNCTION("""COMPUTED_VALUE"""),"Financial")</f>
        <v>Financial</v>
      </c>
      <c r="F49" s="13" t="str">
        <f>IFERROR(__xludf.DUMMYFUNCTION("""COMPUTED_VALUE"""),"Equipment Leasing")</f>
        <v>Equipment Leasing</v>
      </c>
      <c r="G49" s="31">
        <f>IFERROR(__xludf.DUMMYFUNCTION("""COMPUTED_VALUE"""),44809.0)</f>
        <v>44809</v>
      </c>
      <c r="H49" s="32">
        <f>IFERROR(__xludf.DUMMYFUNCTION("""COMPUTED_VALUE"""),1874.7)</f>
        <v>1874.7</v>
      </c>
      <c r="I49" s="32">
        <f>IFERROR(__xludf.DUMMYFUNCTION("""COMPUTED_VALUE"""),0.638823)</f>
        <v>0.638823</v>
      </c>
      <c r="J49" s="32">
        <f>IFERROR(__xludf.DUMMYFUNCTION("""COMPUTED_VALUE"""),1416.05)</f>
        <v>1416.05</v>
      </c>
      <c r="K49" s="32">
        <f>IFERROR(__xludf.DUMMYFUNCTION("""COMPUTED_VALUE"""),2602.0)</f>
        <v>2602</v>
      </c>
      <c r="L49" s="32">
        <f>IFERROR(__xludf.DUMMYFUNCTION("""COMPUTED_VALUE"""),617.0)</f>
        <v>617</v>
      </c>
      <c r="M49" s="32">
        <f>IFERROR(__xludf.DUMMYFUNCTION("""COMPUTED_VALUE"""),2602.0)</f>
        <v>2602</v>
      </c>
      <c r="N49" s="32">
        <f>IFERROR(__xludf.DUMMYFUNCTION("""COMPUTED_VALUE"""),617.0)</f>
        <v>617</v>
      </c>
      <c r="O49" s="32">
        <f>IFERROR(__xludf.DUMMYFUNCTION("""COMPUTED_VALUE"""),2602.0)</f>
        <v>2602</v>
      </c>
      <c r="P49" s="32">
        <f>IFERROR(__xludf.DUMMYFUNCTION("""COMPUTED_VALUE"""),13.0)</f>
        <v>13</v>
      </c>
      <c r="Q49" s="32">
        <f>IFERROR(__xludf.DUMMYFUNCTION("""COMPUTED_VALUE"""),2650.0)</f>
        <v>2650</v>
      </c>
      <c r="R49" s="32">
        <f>IFERROR(__xludf.DUMMYFUNCTION("""COMPUTED_VALUE"""),12500.899668535)</f>
        <v>12500.89967</v>
      </c>
      <c r="S49" s="32">
        <f>IFERROR(__xludf.DUMMYFUNCTION("""COMPUTED_VALUE"""),39819.1010064)</f>
        <v>39819.10101</v>
      </c>
      <c r="T49" s="32">
        <f>IFERROR(__xludf.DUMMYFUNCTION("""COMPUTED_VALUE"""),-1.18075)</f>
        <v>-1.18075</v>
      </c>
      <c r="U49" s="32">
        <f>IFERROR(__xludf.DUMMYFUNCTION("""COMPUTED_VALUE"""),-4.352041)</f>
        <v>-4.352041</v>
      </c>
      <c r="V49" s="32">
        <f>IFERROR(__xludf.DUMMYFUNCTION("""COMPUTED_VALUE"""),7.033971)</f>
        <v>7.033971</v>
      </c>
      <c r="W49" s="32">
        <f>IFERROR(__xludf.DUMMYFUNCTION("""COMPUTED_VALUE"""),-22.30028)</f>
        <v>-22.30028</v>
      </c>
      <c r="X49" s="32">
        <f>IFERROR(__xludf.DUMMYFUNCTION("""COMPUTED_VALUE"""),12.46191)</f>
        <v>12.46191</v>
      </c>
      <c r="Y49" s="32">
        <f>IFERROR(__xludf.DUMMYFUNCTION("""COMPUTED_VALUE"""),-2.101138)</f>
        <v>-2.101138</v>
      </c>
      <c r="Z49" s="32">
        <f>IFERROR(__xludf.DUMMYFUNCTION("""COMPUTED_VALUE"""),9.357976)</f>
        <v>9.357976</v>
      </c>
      <c r="AA49" s="32">
        <f>IFERROR(__xludf.DUMMYFUNCTION("""COMPUTED_VALUE"""),9.7422)</f>
        <v>9.7422</v>
      </c>
      <c r="AB49" s="32">
        <f>IFERROR(__xludf.DUMMYFUNCTION("""COMPUTED_VALUE"""),10.34115)</f>
        <v>10.34115</v>
      </c>
      <c r="AC49" s="32">
        <f>IFERROR(__xludf.DUMMYFUNCTION("""COMPUTED_VALUE"""),1.308)</f>
        <v>1.308</v>
      </c>
      <c r="AD49" s="32">
        <f>IFERROR(__xludf.DUMMYFUNCTION("""COMPUTED_VALUE"""),1.3549)</f>
        <v>1.3549</v>
      </c>
      <c r="AE49" s="32">
        <f>IFERROR(__xludf.DUMMYFUNCTION("""COMPUTED_VALUE"""),11.963535)</f>
        <v>11.963535</v>
      </c>
      <c r="AF49" s="32">
        <f>IFERROR(__xludf.DUMMYFUNCTION("""COMPUTED_VALUE"""),0.659007)</f>
        <v>0.659007</v>
      </c>
      <c r="AG49" s="32">
        <f>IFERROR(__xludf.DUMMYFUNCTION("""COMPUTED_VALUE"""),1.976)</f>
        <v>1.976</v>
      </c>
      <c r="AH49" s="32">
        <f>IFERROR(__xludf.DUMMYFUNCTION("""COMPUTED_VALUE"""),8.369859)</f>
        <v>8.369859</v>
      </c>
      <c r="AI49" s="32">
        <f>IFERROR(__xludf.DUMMYFUNCTION("""COMPUTED_VALUE"""),1.7257259148843502)</f>
        <v>1.725725915</v>
      </c>
      <c r="AJ49" s="32">
        <f>IFERROR(__xludf.DUMMYFUNCTION("""COMPUTED_VALUE"""),-3.237507001844262)</f>
        <v>-3.237507002</v>
      </c>
      <c r="AK49" s="32">
        <f>IFERROR(__xludf.DUMMYFUNCTION("""COMPUTED_VALUE"""),192.0727)</f>
        <v>192.0727</v>
      </c>
      <c r="AL49" s="32">
        <f>IFERROR(__xludf.DUMMYFUNCTION("""COMPUTED_VALUE"""),1429.7372)</f>
        <v>1429.7372</v>
      </c>
      <c r="AM49" s="32">
        <f>IFERROR(__xludf.DUMMYFUNCTION("""COMPUTED_VALUE"""),-579.527136)</f>
        <v>-579.527136</v>
      </c>
      <c r="AN49" s="32">
        <f>IFERROR(__xludf.DUMMYFUNCTION("""COMPUTED_VALUE"""),-727.636564)</f>
        <v>-727.636564</v>
      </c>
      <c r="AO49" s="32">
        <f>IFERROR(__xludf.DUMMYFUNCTION("""COMPUTED_VALUE"""),37.0)</f>
        <v>37</v>
      </c>
      <c r="AP49" s="32">
        <f>IFERROR(__xludf.DUMMYFUNCTION("""COMPUTED_VALUE"""),0.27951575710991544)</f>
        <v>0.2795157571</v>
      </c>
      <c r="AQ49" s="13"/>
      <c r="AR49" s="13"/>
      <c r="AS49" s="13"/>
      <c r="AT49" s="13"/>
      <c r="AU49" s="13"/>
      <c r="AV49" s="13"/>
      <c r="AW49" s="13"/>
      <c r="AX49" s="13"/>
      <c r="AY49" s="13"/>
      <c r="AZ49" s="13"/>
    </row>
    <row r="50">
      <c r="A50" s="13" t="str">
        <f>IFERROR(__xludf.DUMMYFUNCTION("""COMPUTED_VALUE"""),"Cera Sanitaryware Ltd.")</f>
        <v>Cera Sanitaryware Ltd.</v>
      </c>
      <c r="B50" s="30">
        <f>IFERROR(__xludf.DUMMYFUNCTION("""COMPUTED_VALUE"""),532443.0)</f>
        <v>532443</v>
      </c>
      <c r="C50" s="13" t="str">
        <f>IFERROR(__xludf.DUMMYFUNCTION("""COMPUTED_VALUE"""),"CERA")</f>
        <v>CERA</v>
      </c>
      <c r="D50" s="13" t="str">
        <f>IFERROR(__xludf.DUMMYFUNCTION("""COMPUTED_VALUE"""),"INE739E01017")</f>
        <v>INE739E01017</v>
      </c>
      <c r="E50" s="13" t="str">
        <f>IFERROR(__xludf.DUMMYFUNCTION("""COMPUTED_VALUE"""),"Materials")</f>
        <v>Materials</v>
      </c>
      <c r="F50" s="13" t="str">
        <f>IFERROR(__xludf.DUMMYFUNCTION("""COMPUTED_VALUE"""),"Ceramic tiles")</f>
        <v>Ceramic tiles</v>
      </c>
      <c r="G50" s="31">
        <f>IFERROR(__xludf.DUMMYFUNCTION("""COMPUTED_VALUE"""),44809.0)</f>
        <v>44809</v>
      </c>
      <c r="H50" s="32">
        <f>IFERROR(__xludf.DUMMYFUNCTION("""COMPUTED_VALUE"""),5288.65)</f>
        <v>5288.65</v>
      </c>
      <c r="I50" s="32">
        <f>IFERROR(__xludf.DUMMYFUNCTION("""COMPUTED_VALUE"""),7.312941)</f>
        <v>7.312941</v>
      </c>
      <c r="J50" s="32">
        <f>IFERROR(__xludf.DUMMYFUNCTION("""COMPUTED_VALUE"""),3515.0)</f>
        <v>3515</v>
      </c>
      <c r="K50" s="32">
        <f>IFERROR(__xludf.DUMMYFUNCTION("""COMPUTED_VALUE"""),6450.0)</f>
        <v>6450</v>
      </c>
      <c r="L50" s="32">
        <f>IFERROR(__xludf.DUMMYFUNCTION("""COMPUTED_VALUE"""),1986.0)</f>
        <v>1986</v>
      </c>
      <c r="M50" s="32">
        <f>IFERROR(__xludf.DUMMYFUNCTION("""COMPUTED_VALUE"""),6450.0)</f>
        <v>6450</v>
      </c>
      <c r="N50" s="32">
        <f>IFERROR(__xludf.DUMMYFUNCTION("""COMPUTED_VALUE"""),1986.0)</f>
        <v>1986</v>
      </c>
      <c r="O50" s="32">
        <f>IFERROR(__xludf.DUMMYFUNCTION("""COMPUTED_VALUE"""),6450.0)</f>
        <v>6450</v>
      </c>
      <c r="P50" s="32">
        <f>IFERROR(__xludf.DUMMYFUNCTION("""COMPUTED_VALUE"""),3.25)</f>
        <v>3.25</v>
      </c>
      <c r="Q50" s="32">
        <f>IFERROR(__xludf.DUMMYFUNCTION("""COMPUTED_VALUE"""),6450.0)</f>
        <v>6450</v>
      </c>
      <c r="R50" s="32">
        <f>IFERROR(__xludf.DUMMYFUNCTION("""COMPUTED_VALUE"""),6990.657275)</f>
        <v>6990.657275</v>
      </c>
      <c r="S50" s="32">
        <f>IFERROR(__xludf.DUMMYFUNCTION("""COMPUTED_VALUE"""),5986.508156)</f>
        <v>5986.508156</v>
      </c>
      <c r="T50" s="32">
        <f>IFERROR(__xludf.DUMMYFUNCTION("""COMPUTED_VALUE"""),8.08825)</f>
        <v>8.08825</v>
      </c>
      <c r="U50" s="32">
        <f>IFERROR(__xludf.DUMMYFUNCTION("""COMPUTED_VALUE"""),12.510105)</f>
        <v>12.510105</v>
      </c>
      <c r="V50" s="32">
        <f>IFERROR(__xludf.DUMMYFUNCTION("""COMPUTED_VALUE"""),26.734963)</f>
        <v>26.734963</v>
      </c>
      <c r="W50" s="32">
        <f>IFERROR(__xludf.DUMMYFUNCTION("""COMPUTED_VALUE"""),21.676061)</f>
        <v>21.676061</v>
      </c>
      <c r="X50" s="32">
        <f>IFERROR(__xludf.DUMMYFUNCTION("""COMPUTED_VALUE"""),30.11477)</f>
        <v>30.11477</v>
      </c>
      <c r="Y50" s="32">
        <f>IFERROR(__xludf.DUMMYFUNCTION("""COMPUTED_VALUE"""),12.386306)</f>
        <v>12.386306</v>
      </c>
      <c r="Z50" s="32">
        <f>IFERROR(__xludf.DUMMYFUNCTION("""COMPUTED_VALUE"""),31.145776)</f>
        <v>31.145776</v>
      </c>
      <c r="AA50" s="32">
        <f>IFERROR(__xludf.DUMMYFUNCTION("""COMPUTED_VALUE"""),39.1904)</f>
        <v>39.1904</v>
      </c>
      <c r="AB50" s="32">
        <f>IFERROR(__xludf.DUMMYFUNCTION("""COMPUTED_VALUE"""),35.19385)</f>
        <v>35.19385</v>
      </c>
      <c r="AC50" s="32">
        <f>IFERROR(__xludf.DUMMYFUNCTION("""COMPUTED_VALUE"""),6.6261)</f>
        <v>6.6261</v>
      </c>
      <c r="AD50" s="32">
        <f>IFERROR(__xludf.DUMMYFUNCTION("""COMPUTED_VALUE"""),5.5662)</f>
        <v>5.5662</v>
      </c>
      <c r="AE50" s="32">
        <f>IFERROR(__xludf.DUMMYFUNCTION("""COMPUTED_VALUE"""),4.160883)</f>
        <v>4.160883</v>
      </c>
      <c r="AF50" s="32">
        <f>IFERROR(__xludf.DUMMYFUNCTION("""COMPUTED_VALUE"""),4.433726)</f>
        <v>4.433726</v>
      </c>
      <c r="AG50" s="32">
        <f>IFERROR(__xludf.DUMMYFUNCTION("""COMPUTED_VALUE"""),0.6621)</f>
        <v>0.6621</v>
      </c>
      <c r="AH50" s="32">
        <f>IFERROR(__xludf.DUMMYFUNCTION("""COMPUTED_VALUE"""),20.843662)</f>
        <v>20.843662</v>
      </c>
      <c r="AI50" s="32">
        <f>IFERROR(__xludf.DUMMYFUNCTION("""COMPUTED_VALUE"""),4.329046767267805)</f>
        <v>4.329046767</v>
      </c>
      <c r="AJ50" s="32">
        <f>IFERROR(__xludf.DUMMYFUNCTION("""COMPUTED_VALUE"""),71.34634193015043)</f>
        <v>71.34634193</v>
      </c>
      <c r="AK50" s="32">
        <f>IFERROR(__xludf.DUMMYFUNCTION("""COMPUTED_VALUE"""),137.1511)</f>
        <v>137.1511</v>
      </c>
      <c r="AL50" s="32">
        <f>IFERROR(__xludf.DUMMYFUNCTION("""COMPUTED_VALUE"""),811.1848)</f>
        <v>811.1848</v>
      </c>
      <c r="AM50" s="32">
        <f>IFERROR(__xludf.DUMMYFUNCTION("""COMPUTED_VALUE"""),75.337157)</f>
        <v>75.337157</v>
      </c>
      <c r="AN50" s="32">
        <f>IFERROR(__xludf.DUMMYFUNCTION("""COMPUTED_VALUE"""),51.265743)</f>
        <v>51.265743</v>
      </c>
      <c r="AO50" s="32">
        <f>IFERROR(__xludf.DUMMYFUNCTION("""COMPUTED_VALUE"""),35.0)</f>
        <v>35</v>
      </c>
      <c r="AP50" s="32">
        <f>IFERROR(__xludf.DUMMYFUNCTION("""COMPUTED_VALUE"""),0.18005426356589152)</f>
        <v>0.1800542636</v>
      </c>
      <c r="AQ50" s="13"/>
      <c r="AR50" s="13"/>
      <c r="AS50" s="13"/>
      <c r="AT50" s="13"/>
      <c r="AU50" s="13"/>
      <c r="AV50" s="13"/>
      <c r="AW50" s="13"/>
      <c r="AX50" s="13"/>
      <c r="AY50" s="13"/>
      <c r="AZ50" s="13"/>
    </row>
    <row r="51">
      <c r="A51" s="13" t="str">
        <f>IFERROR(__xludf.DUMMYFUNCTION("""COMPUTED_VALUE"""),"L&amp;T Technology Services Ltd.")</f>
        <v>L&amp;T Technology Services Ltd.</v>
      </c>
      <c r="B51" s="30">
        <f>IFERROR(__xludf.DUMMYFUNCTION("""COMPUTED_VALUE"""),540115.0)</f>
        <v>540115</v>
      </c>
      <c r="C51" s="13" t="str">
        <f>IFERROR(__xludf.DUMMYFUNCTION("""COMPUTED_VALUE"""),"LTTS")</f>
        <v>LTTS</v>
      </c>
      <c r="D51" s="13" t="str">
        <f>IFERROR(__xludf.DUMMYFUNCTION("""COMPUTED_VALUE"""),"INE010V01017")</f>
        <v>INE010V01017</v>
      </c>
      <c r="E51" s="13" t="str">
        <f>IFERROR(__xludf.DUMMYFUNCTION("""COMPUTED_VALUE"""),"Technology")</f>
        <v>Technology</v>
      </c>
      <c r="F51" s="13" t="str">
        <f>IFERROR(__xludf.DUMMYFUNCTION("""COMPUTED_VALUE"""),"Software")</f>
        <v>Software</v>
      </c>
      <c r="G51" s="31">
        <f>IFERROR(__xludf.DUMMYFUNCTION("""COMPUTED_VALUE"""),44809.0)</f>
        <v>44809</v>
      </c>
      <c r="H51" s="32">
        <f>IFERROR(__xludf.DUMMYFUNCTION("""COMPUTED_VALUE"""),3644.55)</f>
        <v>3644.55</v>
      </c>
      <c r="I51" s="32">
        <f>IFERROR(__xludf.DUMMYFUNCTION("""COMPUTED_VALUE"""),0.087879)</f>
        <v>0.087879</v>
      </c>
      <c r="J51" s="32">
        <f>IFERROR(__xludf.DUMMYFUNCTION("""COMPUTED_VALUE"""),2924.2)</f>
        <v>2924.2</v>
      </c>
      <c r="K51" s="32">
        <f>IFERROR(__xludf.DUMMYFUNCTION("""COMPUTED_VALUE"""),5958.1)</f>
        <v>5958.1</v>
      </c>
      <c r="L51" s="32">
        <f>IFERROR(__xludf.DUMMYFUNCTION("""COMPUTED_VALUE"""),995.0)</f>
        <v>995</v>
      </c>
      <c r="M51" s="32">
        <f>IFERROR(__xludf.DUMMYFUNCTION("""COMPUTED_VALUE"""),5958.1)</f>
        <v>5958.1</v>
      </c>
      <c r="N51" s="32">
        <f>IFERROR(__xludf.DUMMYFUNCTION("""COMPUTED_VALUE"""),762.0)</f>
        <v>762</v>
      </c>
      <c r="O51" s="32">
        <f>IFERROR(__xludf.DUMMYFUNCTION("""COMPUTED_VALUE"""),5958.1)</f>
        <v>5958.1</v>
      </c>
      <c r="P51" s="32">
        <f>IFERROR(__xludf.DUMMYFUNCTION("""COMPUTED_VALUE"""),671.0)</f>
        <v>671</v>
      </c>
      <c r="Q51" s="32">
        <f>IFERROR(__xludf.DUMMYFUNCTION("""COMPUTED_VALUE"""),5958.1)</f>
        <v>5958.1</v>
      </c>
      <c r="R51" s="32">
        <f>IFERROR(__xludf.DUMMYFUNCTION("""COMPUTED_VALUE"""),38417.69607676)</f>
        <v>38417.69608</v>
      </c>
      <c r="S51" s="32">
        <f>IFERROR(__xludf.DUMMYFUNCTION("""COMPUTED_VALUE"""),36369.00993457)</f>
        <v>36369.00993</v>
      </c>
      <c r="T51" s="32">
        <f>IFERROR(__xludf.DUMMYFUNCTION("""COMPUTED_VALUE"""),-0.692108)</f>
        <v>-0.692108</v>
      </c>
      <c r="U51" s="32">
        <f>IFERROR(__xludf.DUMMYFUNCTION("""COMPUTED_VALUE"""),3.348977)</f>
        <v>3.348977</v>
      </c>
      <c r="V51" s="32">
        <f>IFERROR(__xludf.DUMMYFUNCTION("""COMPUTED_VALUE"""),2.003946)</f>
        <v>2.003946</v>
      </c>
      <c r="W51" s="32">
        <f>IFERROR(__xludf.DUMMYFUNCTION("""COMPUTED_VALUE"""),-16.008711)</f>
        <v>-16.008711</v>
      </c>
      <c r="X51" s="32">
        <f>IFERROR(__xludf.DUMMYFUNCTION("""COMPUTED_VALUE"""),30.342052)</f>
        <v>30.342052</v>
      </c>
      <c r="Y51" s="32">
        <f>IFERROR(__xludf.DUMMYFUNCTION("""COMPUTED_VALUE"""),35.94757)</f>
        <v>35.94757</v>
      </c>
      <c r="Z51" s="13"/>
      <c r="AA51" s="32">
        <f>IFERROR(__xludf.DUMMYFUNCTION("""COMPUTED_VALUE"""),37.8499)</f>
        <v>37.8499</v>
      </c>
      <c r="AB51" s="32">
        <f>IFERROR(__xludf.DUMMYFUNCTION("""COMPUTED_VALUE"""),26.41215)</f>
        <v>26.41215</v>
      </c>
      <c r="AC51" s="32">
        <f>IFERROR(__xludf.DUMMYFUNCTION("""COMPUTED_VALUE"""),8.6925)</f>
        <v>8.6925</v>
      </c>
      <c r="AD51" s="32">
        <f>IFERROR(__xludf.DUMMYFUNCTION("""COMPUTED_VALUE"""),7.4057)</f>
        <v>7.4057</v>
      </c>
      <c r="AE51" s="32">
        <f>IFERROR(__xludf.DUMMYFUNCTION("""COMPUTED_VALUE"""),4.367334)</f>
        <v>4.367334</v>
      </c>
      <c r="AF51" s="32">
        <f>IFERROR(__xludf.DUMMYFUNCTION("""COMPUTED_VALUE"""),1.924088)</f>
        <v>1.924088</v>
      </c>
      <c r="AG51" s="32">
        <f>IFERROR(__xludf.DUMMYFUNCTION("""COMPUTED_VALUE"""),0.9607)</f>
        <v>0.9607</v>
      </c>
      <c r="AH51" s="32">
        <f>IFERROR(__xludf.DUMMYFUNCTION("""COMPUTED_VALUE"""),22.025805)</f>
        <v>22.025805</v>
      </c>
      <c r="AI51" s="32">
        <f>IFERROR(__xludf.DUMMYFUNCTION("""COMPUTED_VALUE"""),5.5476817439364625)</f>
        <v>5.547681744</v>
      </c>
      <c r="AJ51" s="32">
        <f>IFERROR(__xludf.DUMMYFUNCTION("""COMPUTED_VALUE"""),38.180974037726095)</f>
        <v>38.18097404</v>
      </c>
      <c r="AK51" s="32">
        <f>IFERROR(__xludf.DUMMYFUNCTION("""COMPUTED_VALUE"""),96.155)</f>
        <v>96.155</v>
      </c>
      <c r="AL51" s="32">
        <f>IFERROR(__xludf.DUMMYFUNCTION("""COMPUTED_VALUE"""),418.6115)</f>
        <v>418.6115</v>
      </c>
      <c r="AM51" s="32">
        <f>IFERROR(__xludf.DUMMYFUNCTION("""COMPUTED_VALUE"""),95.374408)</f>
        <v>95.374408</v>
      </c>
      <c r="AN51" s="32">
        <f>IFERROR(__xludf.DUMMYFUNCTION("""COMPUTED_VALUE"""),82.218009)</f>
        <v>82.218009</v>
      </c>
      <c r="AO51" s="32">
        <f>IFERROR(__xludf.DUMMYFUNCTION("""COMPUTED_VALUE"""),35.0)</f>
        <v>35</v>
      </c>
      <c r="AP51" s="32">
        <f>IFERROR(__xludf.DUMMYFUNCTION("""COMPUTED_VALUE"""),0.38830331817190045)</f>
        <v>0.3883033182</v>
      </c>
      <c r="AQ51" s="13"/>
      <c r="AR51" s="13"/>
      <c r="AS51" s="13"/>
      <c r="AT51" s="13"/>
      <c r="AU51" s="13"/>
      <c r="AV51" s="13"/>
      <c r="AW51" s="13"/>
      <c r="AX51" s="13"/>
      <c r="AY51" s="13"/>
      <c r="AZ51" s="13"/>
    </row>
    <row r="52">
      <c r="A52" s="13" t="str">
        <f>IFERROR(__xludf.DUMMYFUNCTION("""COMPUTED_VALUE"""),"Pfizer Ltd.")</f>
        <v>Pfizer Ltd.</v>
      </c>
      <c r="B52" s="30">
        <f>IFERROR(__xludf.DUMMYFUNCTION("""COMPUTED_VALUE"""),500680.0)</f>
        <v>500680</v>
      </c>
      <c r="C52" s="13" t="str">
        <f>IFERROR(__xludf.DUMMYFUNCTION("""COMPUTED_VALUE"""),"PFIZER")</f>
        <v>PFIZER</v>
      </c>
      <c r="D52" s="13" t="str">
        <f>IFERROR(__xludf.DUMMYFUNCTION("""COMPUTED_VALUE"""),"INE182A01018")</f>
        <v>INE182A01018</v>
      </c>
      <c r="E52" s="13" t="str">
        <f>IFERROR(__xludf.DUMMYFUNCTION("""COMPUTED_VALUE"""),"Healthcare")</f>
        <v>Healthcare</v>
      </c>
      <c r="F52" s="13" t="str">
        <f>IFERROR(__xludf.DUMMYFUNCTION("""COMPUTED_VALUE"""),"Drugs &amp; Pharma")</f>
        <v>Drugs &amp; Pharma</v>
      </c>
      <c r="G52" s="31">
        <f>IFERROR(__xludf.DUMMYFUNCTION("""COMPUTED_VALUE"""),44809.0)</f>
        <v>44809</v>
      </c>
      <c r="H52" s="32">
        <f>IFERROR(__xludf.DUMMYFUNCTION("""COMPUTED_VALUE"""),4277.45)</f>
        <v>4277.45</v>
      </c>
      <c r="I52" s="32">
        <f>IFERROR(__xludf.DUMMYFUNCTION("""COMPUTED_VALUE"""),0.434379)</f>
        <v>0.434379</v>
      </c>
      <c r="J52" s="32">
        <f>IFERROR(__xludf.DUMMYFUNCTION("""COMPUTED_VALUE"""),4060.0)</f>
        <v>4060</v>
      </c>
      <c r="K52" s="32">
        <f>IFERROR(__xludf.DUMMYFUNCTION("""COMPUTED_VALUE"""),6175.0)</f>
        <v>6175</v>
      </c>
      <c r="L52" s="32">
        <f>IFERROR(__xludf.DUMMYFUNCTION("""COMPUTED_VALUE"""),2982.05)</f>
        <v>2982.05</v>
      </c>
      <c r="M52" s="32">
        <f>IFERROR(__xludf.DUMMYFUNCTION("""COMPUTED_VALUE"""),6175.0)</f>
        <v>6175</v>
      </c>
      <c r="N52" s="32">
        <f>IFERROR(__xludf.DUMMYFUNCTION("""COMPUTED_VALUE"""),1681.0)</f>
        <v>1681</v>
      </c>
      <c r="O52" s="32">
        <f>IFERROR(__xludf.DUMMYFUNCTION("""COMPUTED_VALUE"""),6175.0)</f>
        <v>6175</v>
      </c>
      <c r="P52" s="32">
        <f>IFERROR(__xludf.DUMMYFUNCTION("""COMPUTED_VALUE"""),298.05)</f>
        <v>298.05</v>
      </c>
      <c r="Q52" s="32">
        <f>IFERROR(__xludf.DUMMYFUNCTION("""COMPUTED_VALUE"""),6175.0)</f>
        <v>6175</v>
      </c>
      <c r="R52" s="32">
        <f>IFERROR(__xludf.DUMMYFUNCTION("""COMPUTED_VALUE"""),19573.62461352)</f>
        <v>19573.62461</v>
      </c>
      <c r="S52" s="32">
        <f>IFERROR(__xludf.DUMMYFUNCTION("""COMPUTED_VALUE"""),17819.50447578)</f>
        <v>17819.50448</v>
      </c>
      <c r="T52" s="32">
        <f>IFERROR(__xludf.DUMMYFUNCTION("""COMPUTED_VALUE"""),2.895047)</f>
        <v>2.895047</v>
      </c>
      <c r="U52" s="32">
        <f>IFERROR(__xludf.DUMMYFUNCTION("""COMPUTED_VALUE"""),0.263701)</f>
        <v>0.263701</v>
      </c>
      <c r="V52" s="32">
        <f>IFERROR(__xludf.DUMMYFUNCTION("""COMPUTED_VALUE"""),2.061536)</f>
        <v>2.061536</v>
      </c>
      <c r="W52" s="32">
        <f>IFERROR(__xludf.DUMMYFUNCTION("""COMPUTED_VALUE"""),-29.119682)</f>
        <v>-29.119682</v>
      </c>
      <c r="X52" s="32">
        <f>IFERROR(__xludf.DUMMYFUNCTION("""COMPUTED_VALUE"""),13.044982)</f>
        <v>13.044982</v>
      </c>
      <c r="Y52" s="32">
        <f>IFERROR(__xludf.DUMMYFUNCTION("""COMPUTED_VALUE"""),18.611641)</f>
        <v>18.611641</v>
      </c>
      <c r="Z52" s="32">
        <f>IFERROR(__xludf.DUMMYFUNCTION("""COMPUTED_VALUE"""),12.735196)</f>
        <v>12.735196</v>
      </c>
      <c r="AA52" s="32">
        <f>IFERROR(__xludf.DUMMYFUNCTION("""COMPUTED_VALUE"""),43.9659)</f>
        <v>43.9659</v>
      </c>
      <c r="AB52" s="32">
        <f>IFERROR(__xludf.DUMMYFUNCTION("""COMPUTED_VALUE"""),35.7122)</f>
        <v>35.7122</v>
      </c>
      <c r="AC52" s="32">
        <f>IFERROR(__xludf.DUMMYFUNCTION("""COMPUTED_VALUE"""),6.7566)</f>
        <v>6.7566</v>
      </c>
      <c r="AD52" s="32">
        <f>IFERROR(__xludf.DUMMYFUNCTION("""COMPUTED_VALUE"""),5.90965)</f>
        <v>5.90965</v>
      </c>
      <c r="AE52" s="32">
        <f>IFERROR(__xludf.DUMMYFUNCTION("""COMPUTED_VALUE"""),4.259036)</f>
        <v>4.259036</v>
      </c>
      <c r="AF52" s="32">
        <f>IFERROR(__xludf.DUMMYFUNCTION("""COMPUTED_VALUE"""),6.074048)</f>
        <v>6.074048</v>
      </c>
      <c r="AG52" s="32">
        <f>IFERROR(__xludf.DUMMYFUNCTION("""COMPUTED_VALUE"""),0.818)</f>
        <v>0.818</v>
      </c>
      <c r="AH52" s="32">
        <f>IFERROR(__xludf.DUMMYFUNCTION("""COMPUTED_VALUE"""),21.992058)</f>
        <v>21.992058</v>
      </c>
      <c r="AI52" s="32">
        <f>IFERROR(__xludf.DUMMYFUNCTION("""COMPUTED_VALUE"""),7.973872626417677)</f>
        <v>7.973872626</v>
      </c>
      <c r="AJ52" s="32">
        <f>IFERROR(__xludf.DUMMYFUNCTION("""COMPUTED_VALUE"""),29.3422447285483)</f>
        <v>29.34224473</v>
      </c>
      <c r="AK52" s="32">
        <f>IFERROR(__xludf.DUMMYFUNCTION("""COMPUTED_VALUE"""),97.3163)</f>
        <v>97.3163</v>
      </c>
      <c r="AL52" s="32">
        <f>IFERROR(__xludf.DUMMYFUNCTION("""COMPUTED_VALUE"""),633.2462)</f>
        <v>633.2462</v>
      </c>
      <c r="AM52" s="32">
        <f>IFERROR(__xludf.DUMMYFUNCTION("""COMPUTED_VALUE"""),145.809836)</f>
        <v>145.809836</v>
      </c>
      <c r="AN52" s="32">
        <f>IFERROR(__xludf.DUMMYFUNCTION("""COMPUTED_VALUE"""),165.165027)</f>
        <v>165.165027</v>
      </c>
      <c r="AO52" s="32">
        <f>IFERROR(__xludf.DUMMYFUNCTION("""COMPUTED_VALUE"""),35.0)</f>
        <v>35</v>
      </c>
      <c r="AP52" s="32">
        <f>IFERROR(__xludf.DUMMYFUNCTION("""COMPUTED_VALUE"""),0.3072955465587045)</f>
        <v>0.3072955466</v>
      </c>
      <c r="AQ52" s="13"/>
      <c r="AR52" s="13"/>
      <c r="AS52" s="13"/>
      <c r="AT52" s="13"/>
      <c r="AU52" s="13"/>
      <c r="AV52" s="13"/>
      <c r="AW52" s="13"/>
      <c r="AX52" s="13"/>
      <c r="AY52" s="13"/>
      <c r="AZ52" s="13"/>
    </row>
    <row r="53">
      <c r="A53" s="13" t="str">
        <f>IFERROR(__xludf.DUMMYFUNCTION("""COMPUTED_VALUE"""),"Alkem Laboratories Ltd.")</f>
        <v>Alkem Laboratories Ltd.</v>
      </c>
      <c r="B53" s="30">
        <f>IFERROR(__xludf.DUMMYFUNCTION("""COMPUTED_VALUE"""),539523.0)</f>
        <v>539523</v>
      </c>
      <c r="C53" s="13" t="str">
        <f>IFERROR(__xludf.DUMMYFUNCTION("""COMPUTED_VALUE"""),"ALKEM")</f>
        <v>ALKEM</v>
      </c>
      <c r="D53" s="13" t="str">
        <f>IFERROR(__xludf.DUMMYFUNCTION("""COMPUTED_VALUE"""),"INE540L01014")</f>
        <v>INE540L01014</v>
      </c>
      <c r="E53" s="13" t="str">
        <f>IFERROR(__xludf.DUMMYFUNCTION("""COMPUTED_VALUE"""),"Healthcare")</f>
        <v>Healthcare</v>
      </c>
      <c r="F53" s="13" t="str">
        <f>IFERROR(__xludf.DUMMYFUNCTION("""COMPUTED_VALUE"""),"Drugs &amp; Pharma")</f>
        <v>Drugs &amp; Pharma</v>
      </c>
      <c r="G53" s="31">
        <f>IFERROR(__xludf.DUMMYFUNCTION("""COMPUTED_VALUE"""),44809.0)</f>
        <v>44809</v>
      </c>
      <c r="H53" s="32">
        <f>IFERROR(__xludf.DUMMYFUNCTION("""COMPUTED_VALUE"""),3034.85)</f>
        <v>3034.85</v>
      </c>
      <c r="I53" s="32">
        <f>IFERROR(__xludf.DUMMYFUNCTION("""COMPUTED_VALUE"""),1.914133)</f>
        <v>1.914133</v>
      </c>
      <c r="J53" s="32">
        <f>IFERROR(__xludf.DUMMYFUNCTION("""COMPUTED_VALUE"""),2828.0)</f>
        <v>2828</v>
      </c>
      <c r="K53" s="32">
        <f>IFERROR(__xludf.DUMMYFUNCTION("""COMPUTED_VALUE"""),4070.0)</f>
        <v>4070</v>
      </c>
      <c r="L53" s="32">
        <f>IFERROR(__xludf.DUMMYFUNCTION("""COMPUTED_VALUE"""),1770.0)</f>
        <v>1770</v>
      </c>
      <c r="M53" s="32">
        <f>IFERROR(__xludf.DUMMYFUNCTION("""COMPUTED_VALUE"""),4070.0)</f>
        <v>4070</v>
      </c>
      <c r="N53" s="32">
        <f>IFERROR(__xludf.DUMMYFUNCTION("""COMPUTED_VALUE"""),1660.0)</f>
        <v>1660</v>
      </c>
      <c r="O53" s="32">
        <f>IFERROR(__xludf.DUMMYFUNCTION("""COMPUTED_VALUE"""),4070.0)</f>
        <v>4070</v>
      </c>
      <c r="P53" s="32">
        <f>IFERROR(__xludf.DUMMYFUNCTION("""COMPUTED_VALUE"""),1152.5)</f>
        <v>1152.5</v>
      </c>
      <c r="Q53" s="32">
        <f>IFERROR(__xludf.DUMMYFUNCTION("""COMPUTED_VALUE"""),4070.0)</f>
        <v>4070</v>
      </c>
      <c r="R53" s="32">
        <f>IFERROR(__xludf.DUMMYFUNCTION("""COMPUTED_VALUE"""),36292.7601)</f>
        <v>36292.7601</v>
      </c>
      <c r="S53" s="32">
        <f>IFERROR(__xludf.DUMMYFUNCTION("""COMPUTED_VALUE"""),35411.2958)</f>
        <v>35411.2958</v>
      </c>
      <c r="T53" s="32">
        <f>IFERROR(__xludf.DUMMYFUNCTION("""COMPUTED_VALUE"""),4.288586)</f>
        <v>4.288586</v>
      </c>
      <c r="U53" s="32">
        <f>IFERROR(__xludf.DUMMYFUNCTION("""COMPUTED_VALUE"""),-3.707523)</f>
        <v>-3.707523</v>
      </c>
      <c r="V53" s="32">
        <f>IFERROR(__xludf.DUMMYFUNCTION("""COMPUTED_VALUE"""),-2.115822)</f>
        <v>-2.115822</v>
      </c>
      <c r="W53" s="32">
        <f>IFERROR(__xludf.DUMMYFUNCTION("""COMPUTED_VALUE"""),-20.862343)</f>
        <v>-20.862343</v>
      </c>
      <c r="X53" s="32">
        <f>IFERROR(__xludf.DUMMYFUNCTION("""COMPUTED_VALUE"""),18.508033)</f>
        <v>18.508033</v>
      </c>
      <c r="Y53" s="32">
        <f>IFERROR(__xludf.DUMMYFUNCTION("""COMPUTED_VALUE"""),10.996127)</f>
        <v>10.996127</v>
      </c>
      <c r="Z53" s="13"/>
      <c r="AA53" s="32">
        <f>IFERROR(__xludf.DUMMYFUNCTION("""COMPUTED_VALUE"""),27.8076)</f>
        <v>27.8076</v>
      </c>
      <c r="AB53" s="32">
        <f>IFERROR(__xludf.DUMMYFUNCTION("""COMPUTED_VALUE"""),27.00325)</f>
        <v>27.00325</v>
      </c>
      <c r="AC53" s="32">
        <f>IFERROR(__xludf.DUMMYFUNCTION("""COMPUTED_VALUE"""),4.1389)</f>
        <v>4.1389</v>
      </c>
      <c r="AD53" s="32">
        <f>IFERROR(__xludf.DUMMYFUNCTION("""COMPUTED_VALUE"""),4.71405)</f>
        <v>4.71405</v>
      </c>
      <c r="AE53" s="32">
        <f>IFERROR(__xludf.DUMMYFUNCTION("""COMPUTED_VALUE"""),4.669978)</f>
        <v>4.669978</v>
      </c>
      <c r="AF53" s="32">
        <f>IFERROR(__xludf.DUMMYFUNCTION("""COMPUTED_VALUE"""),2.151667)</f>
        <v>2.151667</v>
      </c>
      <c r="AG53" s="32">
        <f>IFERROR(__xludf.DUMMYFUNCTION("""COMPUTED_VALUE"""),1.1201)</f>
        <v>1.1201</v>
      </c>
      <c r="AH53" s="32">
        <f>IFERROR(__xludf.DUMMYFUNCTION("""COMPUTED_VALUE"""),19.34293)</f>
        <v>19.34293</v>
      </c>
      <c r="AI53" s="32">
        <f>IFERROR(__xludf.DUMMYFUNCTION("""COMPUTED_VALUE"""),3.4633106980392605)</f>
        <v>3.463310698</v>
      </c>
      <c r="AJ53" s="32">
        <f>IFERROR(__xludf.DUMMYFUNCTION("""COMPUTED_VALUE"""),32.66616271534266)</f>
        <v>32.66616272</v>
      </c>
      <c r="AK53" s="32">
        <f>IFERROR(__xludf.DUMMYFUNCTION("""COMPUTED_VALUE"""),109.1574)</f>
        <v>109.1574</v>
      </c>
      <c r="AL53" s="32">
        <f>IFERROR(__xludf.DUMMYFUNCTION("""COMPUTED_VALUE"""),733.3879)</f>
        <v>733.3879</v>
      </c>
      <c r="AM53" s="32">
        <f>IFERROR(__xludf.DUMMYFUNCTION("""COMPUTED_VALUE"""),92.933501)</f>
        <v>92.933501</v>
      </c>
      <c r="AN53" s="32">
        <f>IFERROR(__xludf.DUMMYFUNCTION("""COMPUTED_VALUE"""),92.048515)</f>
        <v>92.048515</v>
      </c>
      <c r="AO53" s="32">
        <f>IFERROR(__xludf.DUMMYFUNCTION("""COMPUTED_VALUE"""),34.0)</f>
        <v>34</v>
      </c>
      <c r="AP53" s="32">
        <f>IFERROR(__xludf.DUMMYFUNCTION("""COMPUTED_VALUE"""),0.25433660933660934)</f>
        <v>0.2543366093</v>
      </c>
      <c r="AQ53" s="13"/>
      <c r="AR53" s="13"/>
      <c r="AS53" s="13"/>
      <c r="AT53" s="13"/>
      <c r="AU53" s="13"/>
      <c r="AV53" s="13"/>
      <c r="AW53" s="13"/>
      <c r="AX53" s="13"/>
      <c r="AY53" s="13"/>
      <c r="AZ53" s="13"/>
    </row>
    <row r="54">
      <c r="A54" s="13" t="str">
        <f>IFERROR(__xludf.DUMMYFUNCTION("""COMPUTED_VALUE"""),"Hindustan Unilever Ltd.")</f>
        <v>Hindustan Unilever Ltd.</v>
      </c>
      <c r="B54" s="30">
        <f>IFERROR(__xludf.DUMMYFUNCTION("""COMPUTED_VALUE"""),500696.0)</f>
        <v>500696</v>
      </c>
      <c r="C54" s="13" t="str">
        <f>IFERROR(__xludf.DUMMYFUNCTION("""COMPUTED_VALUE"""),"HINDUNILVR")</f>
        <v>HINDUNILVR</v>
      </c>
      <c r="D54" s="13" t="str">
        <f>IFERROR(__xludf.DUMMYFUNCTION("""COMPUTED_VALUE"""),"INE030A01027")</f>
        <v>INE030A01027</v>
      </c>
      <c r="E54" s="13" t="str">
        <f>IFERROR(__xludf.DUMMYFUNCTION("""COMPUTED_VALUE"""),"Consumer Staples")</f>
        <v>Consumer Staples</v>
      </c>
      <c r="F54" s="13" t="str">
        <f>IFERROR(__xludf.DUMMYFUNCTION("""COMPUTED_VALUE"""),"Household &amp; Personal Products")</f>
        <v>Household &amp; Personal Products</v>
      </c>
      <c r="G54" s="31">
        <f>IFERROR(__xludf.DUMMYFUNCTION("""COMPUTED_VALUE"""),44809.0)</f>
        <v>44809</v>
      </c>
      <c r="H54" s="32">
        <f>IFERROR(__xludf.DUMMYFUNCTION("""COMPUTED_VALUE"""),2600.6)</f>
        <v>2600.6</v>
      </c>
      <c r="I54" s="32">
        <f>IFERROR(__xludf.DUMMYFUNCTION("""COMPUTED_VALUE"""),-0.115225)</f>
        <v>-0.115225</v>
      </c>
      <c r="J54" s="32">
        <f>IFERROR(__xludf.DUMMYFUNCTION("""COMPUTED_VALUE"""),1901.55)</f>
        <v>1901.55</v>
      </c>
      <c r="K54" s="32">
        <f>IFERROR(__xludf.DUMMYFUNCTION("""COMPUTED_VALUE"""),2859.3)</f>
        <v>2859.3</v>
      </c>
      <c r="L54" s="32">
        <f>IFERROR(__xludf.DUMMYFUNCTION("""COMPUTED_VALUE"""),1756.0)</f>
        <v>1756</v>
      </c>
      <c r="M54" s="32">
        <f>IFERROR(__xludf.DUMMYFUNCTION("""COMPUTED_VALUE"""),2859.3)</f>
        <v>2859.3</v>
      </c>
      <c r="N54" s="32">
        <f>IFERROR(__xludf.DUMMYFUNCTION("""COMPUTED_VALUE"""),1169.0)</f>
        <v>1169</v>
      </c>
      <c r="O54" s="32">
        <f>IFERROR(__xludf.DUMMYFUNCTION("""COMPUTED_VALUE"""),2859.3)</f>
        <v>2859.3</v>
      </c>
      <c r="P54" s="32">
        <f>IFERROR(__xludf.DUMMYFUNCTION("""COMPUTED_VALUE"""),100.5)</f>
        <v>100.5</v>
      </c>
      <c r="Q54" s="32">
        <f>IFERROR(__xludf.DUMMYFUNCTION("""COMPUTED_VALUE"""),2880.0)</f>
        <v>2880</v>
      </c>
      <c r="R54" s="32">
        <f>IFERROR(__xludf.DUMMYFUNCTION("""COMPUTED_VALUE"""),611034.70359572)</f>
        <v>611034.7036</v>
      </c>
      <c r="S54" s="32">
        <f>IFERROR(__xludf.DUMMYFUNCTION("""COMPUTED_VALUE"""),604327.58914908)</f>
        <v>604327.5891</v>
      </c>
      <c r="T54" s="32">
        <f>IFERROR(__xludf.DUMMYFUNCTION("""COMPUTED_VALUE"""),1.129669)</f>
        <v>1.129669</v>
      </c>
      <c r="U54" s="32">
        <f>IFERROR(__xludf.DUMMYFUNCTION("""COMPUTED_VALUE"""),-1.040735)</f>
        <v>-1.040735</v>
      </c>
      <c r="V54" s="32">
        <f>IFERROR(__xludf.DUMMYFUNCTION("""COMPUTED_VALUE"""),13.466699)</f>
        <v>13.466699</v>
      </c>
      <c r="W54" s="32">
        <f>IFERROR(__xludf.DUMMYFUNCTION("""COMPUTED_VALUE"""),-6.003542)</f>
        <v>-6.003542</v>
      </c>
      <c r="X54" s="32">
        <f>IFERROR(__xludf.DUMMYFUNCTION("""COMPUTED_VALUE"""),12.09001)</f>
        <v>12.09001</v>
      </c>
      <c r="Y54" s="32">
        <f>IFERROR(__xludf.DUMMYFUNCTION("""COMPUTED_VALUE"""),16.784444)</f>
        <v>16.784444</v>
      </c>
      <c r="Z54" s="32">
        <f>IFERROR(__xludf.DUMMYFUNCTION("""COMPUTED_VALUE"""),17.440912)</f>
        <v>17.440912</v>
      </c>
      <c r="AA54" s="32">
        <f>IFERROR(__xludf.DUMMYFUNCTION("""COMPUTED_VALUE"""),66.6876)</f>
        <v>66.6876</v>
      </c>
      <c r="AB54" s="32">
        <f>IFERROR(__xludf.DUMMYFUNCTION("""COMPUTED_VALUE"""),66.94775)</f>
        <v>66.94775</v>
      </c>
      <c r="AC54" s="32">
        <f>IFERROR(__xludf.DUMMYFUNCTION("""COMPUTED_VALUE"""),11.8763)</f>
        <v>11.8763</v>
      </c>
      <c r="AD54" s="32">
        <f>IFERROR(__xludf.DUMMYFUNCTION("""COMPUTED_VALUE"""),41.9375)</f>
        <v>41.9375</v>
      </c>
      <c r="AE54" s="32">
        <f>IFERROR(__xludf.DUMMYFUNCTION("""COMPUTED_VALUE"""),2.132954)</f>
        <v>2.132954</v>
      </c>
      <c r="AF54" s="32">
        <f>IFERROR(__xludf.DUMMYFUNCTION("""COMPUTED_VALUE"""),4.557992)</f>
        <v>4.557992</v>
      </c>
      <c r="AG54" s="32">
        <f>IFERROR(__xludf.DUMMYFUNCTION("""COMPUTED_VALUE"""),1.3073)</f>
        <v>1.3073</v>
      </c>
      <c r="AH54" s="32">
        <f>IFERROR(__xludf.DUMMYFUNCTION("""COMPUTED_VALUE"""),44.230959)</f>
        <v>44.230959</v>
      </c>
      <c r="AI54" s="32">
        <f>IFERROR(__xludf.DUMMYFUNCTION("""COMPUTED_VALUE"""),11.336240581727983)</f>
        <v>11.33624058</v>
      </c>
      <c r="AJ54" s="32">
        <f>IFERROR(__xludf.DUMMYFUNCTION("""COMPUTED_VALUE"""),67.5325711312688)</f>
        <v>67.53257113</v>
      </c>
      <c r="AK54" s="32">
        <f>IFERROR(__xludf.DUMMYFUNCTION("""COMPUTED_VALUE"""),38.9983)</f>
        <v>38.9983</v>
      </c>
      <c r="AL54" s="32">
        <f>IFERROR(__xludf.DUMMYFUNCTION("""COMPUTED_VALUE"""),218.9826)</f>
        <v>218.9826</v>
      </c>
      <c r="AM54" s="32">
        <f>IFERROR(__xludf.DUMMYFUNCTION("""COMPUTED_VALUE"""),38.502128)</f>
        <v>38.502128</v>
      </c>
      <c r="AN54" s="32">
        <f>IFERROR(__xludf.DUMMYFUNCTION("""COMPUTED_VALUE"""),33.042553)</f>
        <v>33.042553</v>
      </c>
      <c r="AO54" s="32">
        <f>IFERROR(__xludf.DUMMYFUNCTION("""COMPUTED_VALUE"""),34.0)</f>
        <v>34</v>
      </c>
      <c r="AP54" s="32">
        <f>IFERROR(__xludf.DUMMYFUNCTION("""COMPUTED_VALUE"""),0.09047669009897537)</f>
        <v>0.0904766901</v>
      </c>
      <c r="AQ54" s="13"/>
      <c r="AR54" s="13"/>
      <c r="AS54" s="13"/>
      <c r="AT54" s="13"/>
      <c r="AU54" s="13"/>
      <c r="AV54" s="13"/>
      <c r="AW54" s="13"/>
      <c r="AX54" s="13"/>
      <c r="AY54" s="13"/>
      <c r="AZ54" s="13"/>
    </row>
    <row r="55">
      <c r="A55" s="13" t="str">
        <f>IFERROR(__xludf.DUMMYFUNCTION("""COMPUTED_VALUE"""),"Infosys Ltd.")</f>
        <v>Infosys Ltd.</v>
      </c>
      <c r="B55" s="30">
        <f>IFERROR(__xludf.DUMMYFUNCTION("""COMPUTED_VALUE"""),500209.0)</f>
        <v>500209</v>
      </c>
      <c r="C55" s="13" t="str">
        <f>IFERROR(__xludf.DUMMYFUNCTION("""COMPUTED_VALUE"""),"INFY")</f>
        <v>INFY</v>
      </c>
      <c r="D55" s="13" t="str">
        <f>IFERROR(__xludf.DUMMYFUNCTION("""COMPUTED_VALUE"""),"INE009A01021")</f>
        <v>INE009A01021</v>
      </c>
      <c r="E55" s="13" t="str">
        <f>IFERROR(__xludf.DUMMYFUNCTION("""COMPUTED_VALUE"""),"Technology")</f>
        <v>Technology</v>
      </c>
      <c r="F55" s="13" t="str">
        <f>IFERROR(__xludf.DUMMYFUNCTION("""COMPUTED_VALUE"""),"Software")</f>
        <v>Software</v>
      </c>
      <c r="G55" s="31">
        <f>IFERROR(__xludf.DUMMYFUNCTION("""COMPUTED_VALUE"""),44809.0)</f>
        <v>44809</v>
      </c>
      <c r="H55" s="32">
        <f>IFERROR(__xludf.DUMMYFUNCTION("""COMPUTED_VALUE"""),1461.3)</f>
        <v>1461.3</v>
      </c>
      <c r="I55" s="32">
        <f>IFERROR(__xludf.DUMMYFUNCTION("""COMPUTED_VALUE"""),0.571232)</f>
        <v>0.571232</v>
      </c>
      <c r="J55" s="32">
        <f>IFERROR(__xludf.DUMMYFUNCTION("""COMPUTED_VALUE"""),1367.15)</f>
        <v>1367.15</v>
      </c>
      <c r="K55" s="32">
        <f>IFERROR(__xludf.DUMMYFUNCTION("""COMPUTED_VALUE"""),1953.9)</f>
        <v>1953.9</v>
      </c>
      <c r="L55" s="32">
        <f>IFERROR(__xludf.DUMMYFUNCTION("""COMPUTED_VALUE"""),509.25)</f>
        <v>509.25</v>
      </c>
      <c r="M55" s="32">
        <f>IFERROR(__xludf.DUMMYFUNCTION("""COMPUTED_VALUE"""),1953.9)</f>
        <v>1953.9</v>
      </c>
      <c r="N55" s="32">
        <f>IFERROR(__xludf.DUMMYFUNCTION("""COMPUTED_VALUE"""),436.825)</f>
        <v>436.825</v>
      </c>
      <c r="O55" s="32">
        <f>IFERROR(__xludf.DUMMYFUNCTION("""COMPUTED_VALUE"""),1953.9)</f>
        <v>1953.9</v>
      </c>
      <c r="P55" s="32">
        <f>IFERROR(__xludf.DUMMYFUNCTION("""COMPUTED_VALUE"""),33.049219)</f>
        <v>33.049219</v>
      </c>
      <c r="Q55" s="32">
        <f>IFERROR(__xludf.DUMMYFUNCTION("""COMPUTED_VALUE"""),1953.9)</f>
        <v>1953.9</v>
      </c>
      <c r="R55" s="32">
        <f>IFERROR(__xludf.DUMMYFUNCTION("""COMPUTED_VALUE"""),614873.8354316399)</f>
        <v>614873.8354</v>
      </c>
      <c r="S55" s="32">
        <f>IFERROR(__xludf.DUMMYFUNCTION("""COMPUTED_VALUE"""),587194.3522881201)</f>
        <v>587194.3523</v>
      </c>
      <c r="T55" s="32">
        <f>IFERROR(__xludf.DUMMYFUNCTION("""COMPUTED_VALUE"""),-3.959778)</f>
        <v>-3.959778</v>
      </c>
      <c r="U55" s="32">
        <f>IFERROR(__xludf.DUMMYFUNCTION("""COMPUTED_VALUE"""),-8.663041)</f>
        <v>-8.663041</v>
      </c>
      <c r="V55" s="32">
        <f>IFERROR(__xludf.DUMMYFUNCTION("""COMPUTED_VALUE"""),-3.969245)</f>
        <v>-3.969245</v>
      </c>
      <c r="W55" s="32">
        <f>IFERROR(__xludf.DUMMYFUNCTION("""COMPUTED_VALUE"""),-14.074031)</f>
        <v>-14.074031</v>
      </c>
      <c r="X55" s="32">
        <f>IFERROR(__xludf.DUMMYFUNCTION("""COMPUTED_VALUE"""),21.174858)</f>
        <v>21.174858</v>
      </c>
      <c r="Y55" s="32">
        <f>IFERROR(__xludf.DUMMYFUNCTION("""COMPUTED_VALUE"""),26.556972)</f>
        <v>26.556972</v>
      </c>
      <c r="Z55" s="32">
        <f>IFERROR(__xludf.DUMMYFUNCTION("""COMPUTED_VALUE"""),17.348358)</f>
        <v>17.348358</v>
      </c>
      <c r="AA55" s="32">
        <f>IFERROR(__xludf.DUMMYFUNCTION("""COMPUTED_VALUE"""),27.594)</f>
        <v>27.594</v>
      </c>
      <c r="AB55" s="32">
        <f>IFERROR(__xludf.DUMMYFUNCTION("""COMPUTED_VALUE"""),21.6054)</f>
        <v>21.6054</v>
      </c>
      <c r="AC55" s="32">
        <f>IFERROR(__xludf.DUMMYFUNCTION("""COMPUTED_VALUE"""),7.6728)</f>
        <v>7.6728</v>
      </c>
      <c r="AD55" s="32">
        <f>IFERROR(__xludf.DUMMYFUNCTION("""COMPUTED_VALUE"""),5.2718)</f>
        <v>5.2718</v>
      </c>
      <c r="AE55" s="32">
        <f>IFERROR(__xludf.DUMMYFUNCTION("""COMPUTED_VALUE"""),5.590382)</f>
        <v>5.590382</v>
      </c>
      <c r="AF55" s="32">
        <f>IFERROR(__xludf.DUMMYFUNCTION("""COMPUTED_VALUE"""),3.066502)</f>
        <v>3.066502</v>
      </c>
      <c r="AG55" s="32">
        <f>IFERROR(__xludf.DUMMYFUNCTION("""COMPUTED_VALUE"""),2.1221)</f>
        <v>2.1221</v>
      </c>
      <c r="AH55" s="32">
        <f>IFERROR(__xludf.DUMMYFUNCTION("""COMPUTED_VALUE"""),17.132855)</f>
        <v>17.132855</v>
      </c>
      <c r="AI55" s="32">
        <f>IFERROR(__xludf.DUMMYFUNCTION("""COMPUTED_VALUE"""),4.7956466515746206)</f>
        <v>4.795646652</v>
      </c>
      <c r="AJ55" s="32">
        <f>IFERROR(__xludf.DUMMYFUNCTION("""COMPUTED_VALUE"""),25.743095475471634)</f>
        <v>25.74309548</v>
      </c>
      <c r="AK55" s="32">
        <f>IFERROR(__xludf.DUMMYFUNCTION("""COMPUTED_VALUE"""),52.9408)</f>
        <v>52.9408</v>
      </c>
      <c r="AL55" s="32">
        <f>IFERROR(__xludf.DUMMYFUNCTION("""COMPUTED_VALUE"""),190.3927)</f>
        <v>190.3927</v>
      </c>
      <c r="AM55" s="32">
        <f>IFERROR(__xludf.DUMMYFUNCTION("""COMPUTED_VALUE"""),56.977576)</f>
        <v>56.977576</v>
      </c>
      <c r="AN55" s="32">
        <f>IFERROR(__xludf.DUMMYFUNCTION("""COMPUTED_VALUE"""),52.569179)</f>
        <v>52.569179</v>
      </c>
      <c r="AO55" s="32">
        <f>IFERROR(__xludf.DUMMYFUNCTION("""COMPUTED_VALUE"""),31.0)</f>
        <v>31</v>
      </c>
      <c r="AP55" s="32">
        <f>IFERROR(__xludf.DUMMYFUNCTION("""COMPUTED_VALUE"""),0.25211116229080305)</f>
        <v>0.2521111623</v>
      </c>
      <c r="AQ55" s="13"/>
      <c r="AR55" s="13"/>
      <c r="AS55" s="13"/>
      <c r="AT55" s="13"/>
      <c r="AU55" s="13"/>
      <c r="AV55" s="13"/>
      <c r="AW55" s="13"/>
      <c r="AX55" s="13"/>
      <c r="AY55" s="13"/>
      <c r="AZ55" s="13"/>
    </row>
    <row r="56">
      <c r="A56" s="13" t="str">
        <f>IFERROR(__xludf.DUMMYFUNCTION("""COMPUTED_VALUE"""),"Persistent Systems Ltd.")</f>
        <v>Persistent Systems Ltd.</v>
      </c>
      <c r="B56" s="30">
        <f>IFERROR(__xludf.DUMMYFUNCTION("""COMPUTED_VALUE"""),533179.0)</f>
        <v>533179</v>
      </c>
      <c r="C56" s="13" t="str">
        <f>IFERROR(__xludf.DUMMYFUNCTION("""COMPUTED_VALUE"""),"PERSISTENT")</f>
        <v>PERSISTENT</v>
      </c>
      <c r="D56" s="13" t="str">
        <f>IFERROR(__xludf.DUMMYFUNCTION("""COMPUTED_VALUE"""),"INE262H01013")</f>
        <v>INE262H01013</v>
      </c>
      <c r="E56" s="13" t="str">
        <f>IFERROR(__xludf.DUMMYFUNCTION("""COMPUTED_VALUE"""),"Technology")</f>
        <v>Technology</v>
      </c>
      <c r="F56" s="13" t="str">
        <f>IFERROR(__xludf.DUMMYFUNCTION("""COMPUTED_VALUE"""),"Software")</f>
        <v>Software</v>
      </c>
      <c r="G56" s="31">
        <f>IFERROR(__xludf.DUMMYFUNCTION("""COMPUTED_VALUE"""),44809.0)</f>
        <v>44809</v>
      </c>
      <c r="H56" s="32">
        <f>IFERROR(__xludf.DUMMYFUNCTION("""COMPUTED_VALUE"""),3402.3)</f>
        <v>3402.3</v>
      </c>
      <c r="I56" s="32">
        <f>IFERROR(__xludf.DUMMYFUNCTION("""COMPUTED_VALUE"""),-0.355841)</f>
        <v>-0.355841</v>
      </c>
      <c r="J56" s="32">
        <f>IFERROR(__xludf.DUMMYFUNCTION("""COMPUTED_VALUE"""),3102.0)</f>
        <v>3102</v>
      </c>
      <c r="K56" s="32">
        <f>IFERROR(__xludf.DUMMYFUNCTION("""COMPUTED_VALUE"""),4987.5)</f>
        <v>4987.5</v>
      </c>
      <c r="L56" s="32">
        <f>IFERROR(__xludf.DUMMYFUNCTION("""COMPUTED_VALUE"""),420.0)</f>
        <v>420</v>
      </c>
      <c r="M56" s="32">
        <f>IFERROR(__xludf.DUMMYFUNCTION("""COMPUTED_VALUE"""),4987.5)</f>
        <v>4987.5</v>
      </c>
      <c r="N56" s="32">
        <f>IFERROR(__xludf.DUMMYFUNCTION("""COMPUTED_VALUE"""),420.0)</f>
        <v>420</v>
      </c>
      <c r="O56" s="32">
        <f>IFERROR(__xludf.DUMMYFUNCTION("""COMPUTED_VALUE"""),4987.5)</f>
        <v>4987.5</v>
      </c>
      <c r="P56" s="32">
        <f>IFERROR(__xludf.DUMMYFUNCTION("""COMPUTED_VALUE"""),140.4)</f>
        <v>140.4</v>
      </c>
      <c r="Q56" s="32">
        <f>IFERROR(__xludf.DUMMYFUNCTION("""COMPUTED_VALUE"""),4987.5)</f>
        <v>4987.5</v>
      </c>
      <c r="R56" s="32">
        <f>IFERROR(__xludf.DUMMYFUNCTION("""COMPUTED_VALUE"""),25981.825125)</f>
        <v>25981.82513</v>
      </c>
      <c r="S56" s="32">
        <f>IFERROR(__xludf.DUMMYFUNCTION("""COMPUTED_VALUE"""),25177.555875)</f>
        <v>25177.55588</v>
      </c>
      <c r="T56" s="32">
        <f>IFERROR(__xludf.DUMMYFUNCTION("""COMPUTED_VALUE"""),-3.495908)</f>
        <v>-3.495908</v>
      </c>
      <c r="U56" s="32">
        <f>IFERROR(__xludf.DUMMYFUNCTION("""COMPUTED_VALUE"""),-9.732964)</f>
        <v>-9.732964</v>
      </c>
      <c r="V56" s="32">
        <f>IFERROR(__xludf.DUMMYFUNCTION("""COMPUTED_VALUE"""),-10.488167)</f>
        <v>-10.488167</v>
      </c>
      <c r="W56" s="32">
        <f>IFERROR(__xludf.DUMMYFUNCTION("""COMPUTED_VALUE"""),-1.134729)</f>
        <v>-1.134729</v>
      </c>
      <c r="X56" s="32">
        <f>IFERROR(__xludf.DUMMYFUNCTION("""COMPUTED_VALUE"""),82.417149)</f>
        <v>82.417149</v>
      </c>
      <c r="Y56" s="32">
        <f>IFERROR(__xludf.DUMMYFUNCTION("""COMPUTED_VALUE"""),40.923347)</f>
        <v>40.923347</v>
      </c>
      <c r="Z56" s="32">
        <f>IFERROR(__xludf.DUMMYFUNCTION("""COMPUTED_VALUE"""),33.251525)</f>
        <v>33.251525</v>
      </c>
      <c r="AA56" s="32">
        <f>IFERROR(__xludf.DUMMYFUNCTION("""COMPUTED_VALUE"""),34.6078)</f>
        <v>34.6078</v>
      </c>
      <c r="AB56" s="32">
        <f>IFERROR(__xludf.DUMMYFUNCTION("""COMPUTED_VALUE"""),20.1299)</f>
        <v>20.1299</v>
      </c>
      <c r="AC56" s="32">
        <f>IFERROR(__xludf.DUMMYFUNCTION("""COMPUTED_VALUE"""),7.4976)</f>
        <v>7.4976</v>
      </c>
      <c r="AD56" s="32">
        <f>IFERROR(__xludf.DUMMYFUNCTION("""COMPUTED_VALUE"""),3.03495)</f>
        <v>3.03495</v>
      </c>
      <c r="AE56" s="32">
        <f>IFERROR(__xludf.DUMMYFUNCTION("""COMPUTED_VALUE"""),4.574819)</f>
        <v>4.574819</v>
      </c>
      <c r="AF56" s="32">
        <f>IFERROR(__xludf.DUMMYFUNCTION("""COMPUTED_VALUE"""),1.741149)</f>
        <v>1.741149</v>
      </c>
      <c r="AG56" s="32">
        <f>IFERROR(__xludf.DUMMYFUNCTION("""COMPUTED_VALUE"""),0.9112)</f>
        <v>0.9112</v>
      </c>
      <c r="AH56" s="32">
        <f>IFERROR(__xludf.DUMMYFUNCTION("""COMPUTED_VALUE"""),20.703984)</f>
        <v>20.703984</v>
      </c>
      <c r="AI56" s="32">
        <f>IFERROR(__xludf.DUMMYFUNCTION("""COMPUTED_VALUE"""),4.0858793915203675)</f>
        <v>4.085879392</v>
      </c>
      <c r="AJ56" s="32">
        <f>IFERROR(__xludf.DUMMYFUNCTION("""COMPUTED_VALUE"""),30.74823147957481)</f>
        <v>30.74823148</v>
      </c>
      <c r="AK56" s="32">
        <f>IFERROR(__xludf.DUMMYFUNCTION("""COMPUTED_VALUE"""),98.2336)</f>
        <v>98.2336</v>
      </c>
      <c r="AL56" s="32">
        <f>IFERROR(__xludf.DUMMYFUNCTION("""COMPUTED_VALUE"""),453.4312)</f>
        <v>453.4312</v>
      </c>
      <c r="AM56" s="32">
        <f>IFERROR(__xludf.DUMMYFUNCTION("""COMPUTED_VALUE"""),110.564082)</f>
        <v>110.564082</v>
      </c>
      <c r="AN56" s="32">
        <f>IFERROR(__xludf.DUMMYFUNCTION("""COMPUTED_VALUE"""),56.30265)</f>
        <v>56.30265</v>
      </c>
      <c r="AO56" s="32">
        <f>IFERROR(__xludf.DUMMYFUNCTION("""COMPUTED_VALUE"""),31.0)</f>
        <v>31</v>
      </c>
      <c r="AP56" s="32">
        <f>IFERROR(__xludf.DUMMYFUNCTION("""COMPUTED_VALUE"""),0.31783458646616536)</f>
        <v>0.3178345865</v>
      </c>
      <c r="AQ56" s="13"/>
      <c r="AR56" s="13"/>
      <c r="AS56" s="13"/>
      <c r="AT56" s="13"/>
      <c r="AU56" s="13"/>
      <c r="AV56" s="13"/>
      <c r="AW56" s="13"/>
      <c r="AX56" s="13"/>
      <c r="AY56" s="13"/>
      <c r="AZ56" s="13"/>
    </row>
    <row r="57">
      <c r="A57" s="13" t="str">
        <f>IFERROR(__xludf.DUMMYFUNCTION("""COMPUTED_VALUE"""),"Divi's Laboratories Ltd.")</f>
        <v>Divi's Laboratories Ltd.</v>
      </c>
      <c r="B57" s="30">
        <f>IFERROR(__xludf.DUMMYFUNCTION("""COMPUTED_VALUE"""),532488.0)</f>
        <v>532488</v>
      </c>
      <c r="C57" s="13" t="str">
        <f>IFERROR(__xludf.DUMMYFUNCTION("""COMPUTED_VALUE"""),"DIVISLAB")</f>
        <v>DIVISLAB</v>
      </c>
      <c r="D57" s="13" t="str">
        <f>IFERROR(__xludf.DUMMYFUNCTION("""COMPUTED_VALUE"""),"INE361B01024")</f>
        <v>INE361B01024</v>
      </c>
      <c r="E57" s="13" t="str">
        <f>IFERROR(__xludf.DUMMYFUNCTION("""COMPUTED_VALUE"""),"Healthcare")</f>
        <v>Healthcare</v>
      </c>
      <c r="F57" s="13" t="str">
        <f>IFERROR(__xludf.DUMMYFUNCTION("""COMPUTED_VALUE"""),"Drugs &amp; Pharma")</f>
        <v>Drugs &amp; Pharma</v>
      </c>
      <c r="G57" s="31">
        <f>IFERROR(__xludf.DUMMYFUNCTION("""COMPUTED_VALUE"""),44809.0)</f>
        <v>44809</v>
      </c>
      <c r="H57" s="32">
        <f>IFERROR(__xludf.DUMMYFUNCTION("""COMPUTED_VALUE"""),3592.75)</f>
        <v>3592.75</v>
      </c>
      <c r="I57" s="32">
        <f>IFERROR(__xludf.DUMMYFUNCTION("""COMPUTED_VALUE"""),-0.150077)</f>
        <v>-0.150077</v>
      </c>
      <c r="J57" s="32">
        <f>IFERROR(__xludf.DUMMYFUNCTION("""COMPUTED_VALUE"""),3365.55)</f>
        <v>3365.55</v>
      </c>
      <c r="K57" s="32">
        <f>IFERROR(__xludf.DUMMYFUNCTION("""COMPUTED_VALUE"""),5425.1)</f>
        <v>5425.1</v>
      </c>
      <c r="L57" s="32">
        <f>IFERROR(__xludf.DUMMYFUNCTION("""COMPUTED_VALUE"""),1570.5)</f>
        <v>1570.5</v>
      </c>
      <c r="M57" s="32">
        <f>IFERROR(__xludf.DUMMYFUNCTION("""COMPUTED_VALUE"""),5425.1)</f>
        <v>5425.1</v>
      </c>
      <c r="N57" s="32">
        <f>IFERROR(__xludf.DUMMYFUNCTION("""COMPUTED_VALUE"""),691.25)</f>
        <v>691.25</v>
      </c>
      <c r="O57" s="32">
        <f>IFERROR(__xludf.DUMMYFUNCTION("""COMPUTED_VALUE"""),5425.1)</f>
        <v>5425.1</v>
      </c>
      <c r="P57" s="32">
        <f>IFERROR(__xludf.DUMMYFUNCTION("""COMPUTED_VALUE"""),7.7)</f>
        <v>7.7</v>
      </c>
      <c r="Q57" s="32">
        <f>IFERROR(__xludf.DUMMYFUNCTION("""COMPUTED_VALUE"""),5425.1)</f>
        <v>5425.1</v>
      </c>
      <c r="R57" s="32">
        <f>IFERROR(__xludf.DUMMYFUNCTION("""COMPUTED_VALUE"""),95442.5912245)</f>
        <v>95442.59122</v>
      </c>
      <c r="S57" s="32">
        <f>IFERROR(__xludf.DUMMYFUNCTION("""COMPUTED_VALUE"""),92801.5751731)</f>
        <v>92801.57517</v>
      </c>
      <c r="T57" s="32">
        <f>IFERROR(__xludf.DUMMYFUNCTION("""COMPUTED_VALUE"""),0.146341)</f>
        <v>0.146341</v>
      </c>
      <c r="U57" s="32">
        <f>IFERROR(__xludf.DUMMYFUNCTION("""COMPUTED_VALUE"""),-7.597444)</f>
        <v>-7.597444</v>
      </c>
      <c r="V57" s="32">
        <f>IFERROR(__xludf.DUMMYFUNCTION("""COMPUTED_VALUE"""),3.2904)</f>
        <v>3.2904</v>
      </c>
      <c r="W57" s="32">
        <f>IFERROR(__xludf.DUMMYFUNCTION("""COMPUTED_VALUE"""),-31.018759)</f>
        <v>-31.018759</v>
      </c>
      <c r="X57" s="32">
        <f>IFERROR(__xludf.DUMMYFUNCTION("""COMPUTED_VALUE"""),29.26246)</f>
        <v>29.26246</v>
      </c>
      <c r="Y57" s="32">
        <f>IFERROR(__xludf.DUMMYFUNCTION("""COMPUTED_VALUE"""),38.338768)</f>
        <v>38.338768</v>
      </c>
      <c r="Z57" s="32">
        <f>IFERROR(__xludf.DUMMYFUNCTION("""COMPUTED_VALUE"""),20.498746)</f>
        <v>20.498746</v>
      </c>
      <c r="AA57" s="32">
        <f>IFERROR(__xludf.DUMMYFUNCTION("""COMPUTED_VALUE"""),30.7349)</f>
        <v>30.7349</v>
      </c>
      <c r="AB57" s="32">
        <f>IFERROR(__xludf.DUMMYFUNCTION("""COMPUTED_VALUE"""),38.30055)</f>
        <v>38.30055</v>
      </c>
      <c r="AC57" s="32">
        <f>IFERROR(__xludf.DUMMYFUNCTION("""COMPUTED_VALUE"""),7.6783)</f>
        <v>7.6783</v>
      </c>
      <c r="AD57" s="32">
        <f>IFERROR(__xludf.DUMMYFUNCTION("""COMPUTED_VALUE"""),7.851)</f>
        <v>7.851</v>
      </c>
      <c r="AE57" s="32">
        <f>IFERROR(__xludf.DUMMYFUNCTION("""COMPUTED_VALUE"""),4.207864)</f>
        <v>4.207864</v>
      </c>
      <c r="AF57" s="32">
        <f>IFERROR(__xludf.DUMMYFUNCTION("""COMPUTED_VALUE"""),1.348397)</f>
        <v>1.348397</v>
      </c>
      <c r="AG57" s="32">
        <f>IFERROR(__xludf.DUMMYFUNCTION("""COMPUTED_VALUE"""),0.8344)</f>
        <v>0.8344</v>
      </c>
      <c r="AH57" s="32">
        <f>IFERROR(__xludf.DUMMYFUNCTION("""COMPUTED_VALUE"""),22.954323)</f>
        <v>22.954323</v>
      </c>
      <c r="AI57" s="32">
        <f>IFERROR(__xludf.DUMMYFUNCTION("""COMPUTED_VALUE"""),10.313981227475251)</f>
        <v>10.31398123</v>
      </c>
      <c r="AJ57" s="32">
        <f>IFERROR(__xludf.DUMMYFUNCTION("""COMPUTED_VALUE"""),49.92289529474841)</f>
        <v>49.92289529</v>
      </c>
      <c r="AK57" s="32">
        <f>IFERROR(__xludf.DUMMYFUNCTION("""COMPUTED_VALUE"""),116.9762)</f>
        <v>116.9762</v>
      </c>
      <c r="AL57" s="32">
        <f>IFERROR(__xludf.DUMMYFUNCTION("""COMPUTED_VALUE"""),468.236)</f>
        <v>468.236</v>
      </c>
      <c r="AM57" s="32">
        <f>IFERROR(__xludf.DUMMYFUNCTION("""COMPUTED_VALUE"""),72.021096)</f>
        <v>72.021096</v>
      </c>
      <c r="AN57" s="32">
        <f>IFERROR(__xludf.DUMMYFUNCTION("""COMPUTED_VALUE"""),44.765869)</f>
        <v>44.765869</v>
      </c>
      <c r="AO57" s="32">
        <f>IFERROR(__xludf.DUMMYFUNCTION("""COMPUTED_VALUE"""),30.0)</f>
        <v>30</v>
      </c>
      <c r="AP57" s="32">
        <f>IFERROR(__xludf.DUMMYFUNCTION("""COMPUTED_VALUE"""),0.33775414278077825)</f>
        <v>0.3377541428</v>
      </c>
      <c r="AQ57" s="13"/>
      <c r="AR57" s="13"/>
      <c r="AS57" s="13"/>
      <c r="AT57" s="13"/>
      <c r="AU57" s="13"/>
      <c r="AV57" s="13"/>
      <c r="AW57" s="13"/>
      <c r="AX57" s="13"/>
      <c r="AY57" s="13"/>
      <c r="AZ57" s="13"/>
    </row>
    <row r="58">
      <c r="A58" s="13" t="str">
        <f>IFERROR(__xludf.DUMMYFUNCTION("""COMPUTED_VALUE"""),"Dr. Reddy's Laboratories Ltd.")</f>
        <v>Dr. Reddy's Laboratories Ltd.</v>
      </c>
      <c r="B58" s="30">
        <f>IFERROR(__xludf.DUMMYFUNCTION("""COMPUTED_VALUE"""),500124.0)</f>
        <v>500124</v>
      </c>
      <c r="C58" s="13" t="str">
        <f>IFERROR(__xludf.DUMMYFUNCTION("""COMPUTED_VALUE"""),"DRREDDY")</f>
        <v>DRREDDY</v>
      </c>
      <c r="D58" s="13" t="str">
        <f>IFERROR(__xludf.DUMMYFUNCTION("""COMPUTED_VALUE"""),"INE089A01023")</f>
        <v>INE089A01023</v>
      </c>
      <c r="E58" s="13" t="str">
        <f>IFERROR(__xludf.DUMMYFUNCTION("""COMPUTED_VALUE"""),"Healthcare")</f>
        <v>Healthcare</v>
      </c>
      <c r="F58" s="13" t="str">
        <f>IFERROR(__xludf.DUMMYFUNCTION("""COMPUTED_VALUE"""),"Drugs &amp; Pharma")</f>
        <v>Drugs &amp; Pharma</v>
      </c>
      <c r="G58" s="31">
        <f>IFERROR(__xludf.DUMMYFUNCTION("""COMPUTED_VALUE"""),44809.0)</f>
        <v>44809</v>
      </c>
      <c r="H58" s="32">
        <f>IFERROR(__xludf.DUMMYFUNCTION("""COMPUTED_VALUE"""),4214.25)</f>
        <v>4214.25</v>
      </c>
      <c r="I58" s="32">
        <f>IFERROR(__xludf.DUMMYFUNCTION("""COMPUTED_VALUE"""),0.579959)</f>
        <v>0.579959</v>
      </c>
      <c r="J58" s="32">
        <f>IFERROR(__xludf.DUMMYFUNCTION("""COMPUTED_VALUE"""),3654.0)</f>
        <v>3654</v>
      </c>
      <c r="K58" s="32">
        <f>IFERROR(__xludf.DUMMYFUNCTION("""COMPUTED_VALUE"""),5078.8)</f>
        <v>5078.8</v>
      </c>
      <c r="L58" s="32">
        <f>IFERROR(__xludf.DUMMYFUNCTION("""COMPUTED_VALUE"""),2495.05)</f>
        <v>2495.05</v>
      </c>
      <c r="M58" s="32">
        <f>IFERROR(__xludf.DUMMYFUNCTION("""COMPUTED_VALUE"""),5614.6)</f>
        <v>5614.6</v>
      </c>
      <c r="N58" s="32">
        <f>IFERROR(__xludf.DUMMYFUNCTION("""COMPUTED_VALUE"""),1872.95)</f>
        <v>1872.95</v>
      </c>
      <c r="O58" s="32">
        <f>IFERROR(__xludf.DUMMYFUNCTION("""COMPUTED_VALUE"""),5614.6)</f>
        <v>5614.6</v>
      </c>
      <c r="P58" s="32">
        <f>IFERROR(__xludf.DUMMYFUNCTION("""COMPUTED_VALUE"""),216.0)</f>
        <v>216</v>
      </c>
      <c r="Q58" s="32">
        <f>IFERROR(__xludf.DUMMYFUNCTION("""COMPUTED_VALUE"""),5614.6)</f>
        <v>5614.6</v>
      </c>
      <c r="R58" s="32">
        <f>IFERROR(__xludf.DUMMYFUNCTION("""COMPUTED_VALUE"""),70145.5355127)</f>
        <v>70145.53551</v>
      </c>
      <c r="S58" s="32">
        <f>IFERROR(__xludf.DUMMYFUNCTION("""COMPUTED_VALUE"""),68657.66628496)</f>
        <v>68657.66628</v>
      </c>
      <c r="T58" s="32">
        <f>IFERROR(__xludf.DUMMYFUNCTION("""COMPUTED_VALUE"""),-0.214287)</f>
        <v>-0.214287</v>
      </c>
      <c r="U58" s="32">
        <f>IFERROR(__xludf.DUMMYFUNCTION("""COMPUTED_VALUE"""),1.59838)</f>
        <v>1.59838</v>
      </c>
      <c r="V58" s="32">
        <f>IFERROR(__xludf.DUMMYFUNCTION("""COMPUTED_VALUE"""),-2.897465)</f>
        <v>-2.897465</v>
      </c>
      <c r="W58" s="32">
        <f>IFERROR(__xludf.DUMMYFUNCTION("""COMPUTED_VALUE"""),-13.96944)</f>
        <v>-13.96944</v>
      </c>
      <c r="X58" s="32">
        <f>IFERROR(__xludf.DUMMYFUNCTION("""COMPUTED_VALUE"""),17.426305)</f>
        <v>17.426305</v>
      </c>
      <c r="Y58" s="32">
        <f>IFERROR(__xludf.DUMMYFUNCTION("""COMPUTED_VALUE"""),13.933961)</f>
        <v>13.933961</v>
      </c>
      <c r="Z58" s="32">
        <f>IFERROR(__xludf.DUMMYFUNCTION("""COMPUTED_VALUE"""),9.625122)</f>
        <v>9.625122</v>
      </c>
      <c r="AA58" s="32">
        <f>IFERROR(__xludf.DUMMYFUNCTION("""COMPUTED_VALUE"""),23.4283)</f>
        <v>23.4283</v>
      </c>
      <c r="AB58" s="32">
        <f>IFERROR(__xludf.DUMMYFUNCTION("""COMPUTED_VALUE"""),32.93415)</f>
        <v>32.93415</v>
      </c>
      <c r="AC58" s="32">
        <f>IFERROR(__xludf.DUMMYFUNCTION("""COMPUTED_VALUE"""),3.4608)</f>
        <v>3.4608</v>
      </c>
      <c r="AD58" s="32">
        <f>IFERROR(__xludf.DUMMYFUNCTION("""COMPUTED_VALUE"""),3.486)</f>
        <v>3.486</v>
      </c>
      <c r="AE58" s="32">
        <f>IFERROR(__xludf.DUMMYFUNCTION("""COMPUTED_VALUE"""),7.611749)</f>
        <v>7.611749</v>
      </c>
      <c r="AF58" s="32">
        <f>IFERROR(__xludf.DUMMYFUNCTION("""COMPUTED_VALUE"""),1.161071)</f>
        <v>1.161071</v>
      </c>
      <c r="AG58" s="32">
        <f>IFERROR(__xludf.DUMMYFUNCTION("""COMPUTED_VALUE"""),0.7118)</f>
        <v>0.7118</v>
      </c>
      <c r="AH58" s="32">
        <f>IFERROR(__xludf.DUMMYFUNCTION("""COMPUTED_VALUE"""),13.191221)</f>
        <v>13.191221</v>
      </c>
      <c r="AI58" s="32">
        <f>IFERROR(__xludf.DUMMYFUNCTION("""COMPUTED_VALUE"""),3.4206988868098427)</f>
        <v>3.420698887</v>
      </c>
      <c r="AJ58" s="32">
        <f>IFERROR(__xludf.DUMMYFUNCTION("""COMPUTED_VALUE"""),24.955719194784404)</f>
        <v>24.95571919</v>
      </c>
      <c r="AK58" s="32">
        <f>IFERROR(__xludf.DUMMYFUNCTION("""COMPUTED_VALUE"""),179.7013)</f>
        <v>179.7013</v>
      </c>
      <c r="AL58" s="32">
        <f>IFERROR(__xludf.DUMMYFUNCTION("""COMPUTED_VALUE"""),1216.5163)</f>
        <v>1216.5163</v>
      </c>
      <c r="AM58" s="32">
        <f>IFERROR(__xludf.DUMMYFUNCTION("""COMPUTED_VALUE"""),168.918269)</f>
        <v>168.918269</v>
      </c>
      <c r="AN58" s="32">
        <f>IFERROR(__xludf.DUMMYFUNCTION("""COMPUTED_VALUE"""),-0.588942)</f>
        <v>-0.588942</v>
      </c>
      <c r="AO58" s="32">
        <f>IFERROR(__xludf.DUMMYFUNCTION("""COMPUTED_VALUE"""),30.0)</f>
        <v>30</v>
      </c>
      <c r="AP58" s="32">
        <f>IFERROR(__xludf.DUMMYFUNCTION("""COMPUTED_VALUE"""),0.1702272190281169)</f>
        <v>0.170227219</v>
      </c>
      <c r="AQ58" s="13"/>
      <c r="AR58" s="13"/>
      <c r="AS58" s="13"/>
      <c r="AT58" s="13"/>
      <c r="AU58" s="13"/>
      <c r="AV58" s="13"/>
      <c r="AW58" s="13"/>
      <c r="AX58" s="13"/>
      <c r="AY58" s="13"/>
      <c r="AZ58" s="13"/>
    </row>
    <row r="59">
      <c r="A59" s="13" t="str">
        <f>IFERROR(__xludf.DUMMYFUNCTION("""COMPUTED_VALUE"""),"Housing Development Finance Corpn. Ltd.")</f>
        <v>Housing Development Finance Corpn. Ltd.</v>
      </c>
      <c r="B59" s="30">
        <f>IFERROR(__xludf.DUMMYFUNCTION("""COMPUTED_VALUE"""),500010.0)</f>
        <v>500010</v>
      </c>
      <c r="C59" s="13" t="str">
        <f>IFERROR(__xludf.DUMMYFUNCTION("""COMPUTED_VALUE"""),"HDFC")</f>
        <v>HDFC</v>
      </c>
      <c r="D59" s="13" t="str">
        <f>IFERROR(__xludf.DUMMYFUNCTION("""COMPUTED_VALUE"""),"INE001A01036")</f>
        <v>INE001A01036</v>
      </c>
      <c r="E59" s="13" t="str">
        <f>IFERROR(__xludf.DUMMYFUNCTION("""COMPUTED_VALUE"""),"Financial")</f>
        <v>Financial</v>
      </c>
      <c r="F59" s="13" t="str">
        <f>IFERROR(__xludf.DUMMYFUNCTION("""COMPUTED_VALUE"""),"Housing Finance")</f>
        <v>Housing Finance</v>
      </c>
      <c r="G59" s="31">
        <f>IFERROR(__xludf.DUMMYFUNCTION("""COMPUTED_VALUE"""),44809.0)</f>
        <v>44809</v>
      </c>
      <c r="H59" s="32">
        <f>IFERROR(__xludf.DUMMYFUNCTION("""COMPUTED_VALUE"""),2456.25)</f>
        <v>2456.25</v>
      </c>
      <c r="I59" s="32">
        <f>IFERROR(__xludf.DUMMYFUNCTION("""COMPUTED_VALUE"""),0.486837)</f>
        <v>0.486837</v>
      </c>
      <c r="J59" s="32">
        <f>IFERROR(__xludf.DUMMYFUNCTION("""COMPUTED_VALUE"""),2026.0)</f>
        <v>2026</v>
      </c>
      <c r="K59" s="32">
        <f>IFERROR(__xludf.DUMMYFUNCTION("""COMPUTED_VALUE"""),3021.1)</f>
        <v>3021.1</v>
      </c>
      <c r="L59" s="32">
        <f>IFERROR(__xludf.DUMMYFUNCTION("""COMPUTED_VALUE"""),1473.1)</f>
        <v>1473.1</v>
      </c>
      <c r="M59" s="32">
        <f>IFERROR(__xludf.DUMMYFUNCTION("""COMPUTED_VALUE"""),3021.1)</f>
        <v>3021.1</v>
      </c>
      <c r="N59" s="32">
        <f>IFERROR(__xludf.DUMMYFUNCTION("""COMPUTED_VALUE"""),1473.1)</f>
        <v>1473.1</v>
      </c>
      <c r="O59" s="32">
        <f>IFERROR(__xludf.DUMMYFUNCTION("""COMPUTED_VALUE"""),3021.1)</f>
        <v>3021.1</v>
      </c>
      <c r="P59" s="32">
        <f>IFERROR(__xludf.DUMMYFUNCTION("""COMPUTED_VALUE"""),27.22)</f>
        <v>27.22</v>
      </c>
      <c r="Q59" s="32">
        <f>IFERROR(__xludf.DUMMYFUNCTION("""COMPUTED_VALUE"""),3021.1)</f>
        <v>3021.1</v>
      </c>
      <c r="R59" s="32">
        <f>IFERROR(__xludf.DUMMYFUNCTION("""COMPUTED_VALUE"""),446014.822873125)</f>
        <v>446014.8229</v>
      </c>
      <c r="S59" s="32">
        <f>IFERROR(__xludf.DUMMYFUNCTION("""COMPUTED_VALUE"""),708294.409529805)</f>
        <v>708294.4095</v>
      </c>
      <c r="T59" s="32">
        <f>IFERROR(__xludf.DUMMYFUNCTION("""COMPUTED_VALUE"""),2.484666)</f>
        <v>2.484666</v>
      </c>
      <c r="U59" s="32">
        <f>IFERROR(__xludf.DUMMYFUNCTION("""COMPUTED_VALUE"""),4.00127)</f>
        <v>4.00127</v>
      </c>
      <c r="V59" s="32">
        <f>IFERROR(__xludf.DUMMYFUNCTION("""COMPUTED_VALUE"""),7.855622)</f>
        <v>7.855622</v>
      </c>
      <c r="W59" s="32">
        <f>IFERROR(__xludf.DUMMYFUNCTION("""COMPUTED_VALUE"""),-10.96027)</f>
        <v>-10.96027</v>
      </c>
      <c r="X59" s="32">
        <f>IFERROR(__xludf.DUMMYFUNCTION("""COMPUTED_VALUE"""),5.360429)</f>
        <v>5.360429</v>
      </c>
      <c r="Y59" s="32">
        <f>IFERROR(__xludf.DUMMYFUNCTION("""COMPUTED_VALUE"""),6.949632)</f>
        <v>6.949632</v>
      </c>
      <c r="Z59" s="32">
        <f>IFERROR(__xludf.DUMMYFUNCTION("""COMPUTED_VALUE"""),13.016139)</f>
        <v>13.016139</v>
      </c>
      <c r="AA59" s="32">
        <f>IFERROR(__xludf.DUMMYFUNCTION("""COMPUTED_VALUE"""),19.5037)</f>
        <v>19.5037</v>
      </c>
      <c r="AB59" s="32">
        <f>IFERROR(__xludf.DUMMYFUNCTION("""COMPUTED_VALUE"""),23.67445)</f>
        <v>23.67445</v>
      </c>
      <c r="AC59" s="32">
        <f>IFERROR(__xludf.DUMMYFUNCTION("""COMPUTED_VALUE"""),2.4573)</f>
        <v>2.4573</v>
      </c>
      <c r="AD59" s="32">
        <f>IFERROR(__xludf.DUMMYFUNCTION("""COMPUTED_VALUE"""),3.2408)</f>
        <v>3.2408</v>
      </c>
      <c r="AE59" s="32">
        <f>IFERROR(__xludf.DUMMYFUNCTION("""COMPUTED_VALUE"""),6.765002)</f>
        <v>6.765002</v>
      </c>
      <c r="AF59" s="32">
        <f>IFERROR(__xludf.DUMMYFUNCTION("""COMPUTED_VALUE"""),1.617801)</f>
        <v>1.617801</v>
      </c>
      <c r="AG59" s="32">
        <f>IFERROR(__xludf.DUMMYFUNCTION("""COMPUTED_VALUE"""),1.2217)</f>
        <v>1.2217</v>
      </c>
      <c r="AH59" s="32">
        <f>IFERROR(__xludf.DUMMYFUNCTION("""COMPUTED_VALUE"""),14.755184)</f>
        <v>14.755184</v>
      </c>
      <c r="AI59" s="32">
        <f>IFERROR(__xludf.DUMMYFUNCTION("""COMPUTED_VALUE"""),8.782308821262818)</f>
        <v>8.782308821</v>
      </c>
      <c r="AJ59" s="32">
        <f>IFERROR(__xludf.DUMMYFUNCTION("""COMPUTED_VALUE"""),-10.130274702413196)</f>
        <v>-10.1302747</v>
      </c>
      <c r="AK59" s="32">
        <f>IFERROR(__xludf.DUMMYFUNCTION("""COMPUTED_VALUE"""),125.9041)</f>
        <v>125.9041</v>
      </c>
      <c r="AL59" s="32">
        <f>IFERROR(__xludf.DUMMYFUNCTION("""COMPUTED_VALUE"""),999.317)</f>
        <v>999.317</v>
      </c>
      <c r="AM59" s="32">
        <f>IFERROR(__xludf.DUMMYFUNCTION("""COMPUTED_VALUE"""),-242.838918)</f>
        <v>-242.838918</v>
      </c>
      <c r="AN59" s="32">
        <f>IFERROR(__xludf.DUMMYFUNCTION("""COMPUTED_VALUE"""),82.912109)</f>
        <v>82.912109</v>
      </c>
      <c r="AO59" s="32">
        <f>IFERROR(__xludf.DUMMYFUNCTION("""COMPUTED_VALUE"""),30.0)</f>
        <v>30</v>
      </c>
      <c r="AP59" s="32">
        <f>IFERROR(__xludf.DUMMYFUNCTION("""COMPUTED_VALUE"""),0.18696832279633244)</f>
        <v>0.1869683228</v>
      </c>
      <c r="AQ59" s="13"/>
      <c r="AR59" s="13"/>
      <c r="AS59" s="13"/>
      <c r="AT59" s="13"/>
      <c r="AU59" s="13"/>
      <c r="AV59" s="13"/>
      <c r="AW59" s="13"/>
      <c r="AX59" s="13"/>
      <c r="AY59" s="13"/>
      <c r="AZ59" s="13"/>
    </row>
    <row r="60">
      <c r="A60" s="13" t="str">
        <f>IFERROR(__xludf.DUMMYFUNCTION("""COMPUTED_VALUE"""),"Balkrishna Industries Ltd.")</f>
        <v>Balkrishna Industries Ltd.</v>
      </c>
      <c r="B60" s="30">
        <f>IFERROR(__xludf.DUMMYFUNCTION("""COMPUTED_VALUE"""),502355.0)</f>
        <v>502355</v>
      </c>
      <c r="C60" s="13" t="str">
        <f>IFERROR(__xludf.DUMMYFUNCTION("""COMPUTED_VALUE"""),"BALKRISIND")</f>
        <v>BALKRISIND</v>
      </c>
      <c r="D60" s="13" t="str">
        <f>IFERROR(__xludf.DUMMYFUNCTION("""COMPUTED_VALUE"""),"INE787D01026")</f>
        <v>INE787D01026</v>
      </c>
      <c r="E60" s="13" t="str">
        <f>IFERROR(__xludf.DUMMYFUNCTION("""COMPUTED_VALUE"""),"Automobile")</f>
        <v>Automobile</v>
      </c>
      <c r="F60" s="13" t="str">
        <f>IFERROR(__xludf.DUMMYFUNCTION("""COMPUTED_VALUE"""),"Tyres &amp; Tubes")</f>
        <v>Tyres &amp; Tubes</v>
      </c>
      <c r="G60" s="31">
        <f>IFERROR(__xludf.DUMMYFUNCTION("""COMPUTED_VALUE"""),44809.0)</f>
        <v>44809</v>
      </c>
      <c r="H60" s="32">
        <f>IFERROR(__xludf.DUMMYFUNCTION("""COMPUTED_VALUE"""),1974.5)</f>
        <v>1974.5</v>
      </c>
      <c r="I60" s="32">
        <f>IFERROR(__xludf.DUMMYFUNCTION("""COMPUTED_VALUE"""),-0.958066)</f>
        <v>-0.958066</v>
      </c>
      <c r="J60" s="32">
        <f>IFERROR(__xludf.DUMMYFUNCTION("""COMPUTED_VALUE"""),1743.0)</f>
        <v>1743</v>
      </c>
      <c r="K60" s="32">
        <f>IFERROR(__xludf.DUMMYFUNCTION("""COMPUTED_VALUE"""),2724.4)</f>
        <v>2724.4</v>
      </c>
      <c r="L60" s="32">
        <f>IFERROR(__xludf.DUMMYFUNCTION("""COMPUTED_VALUE"""),677.6)</f>
        <v>677.6</v>
      </c>
      <c r="M60" s="32">
        <f>IFERROR(__xludf.DUMMYFUNCTION("""COMPUTED_VALUE"""),2724.4)</f>
        <v>2724.4</v>
      </c>
      <c r="N60" s="32">
        <f>IFERROR(__xludf.DUMMYFUNCTION("""COMPUTED_VALUE"""),677.6)</f>
        <v>677.6</v>
      </c>
      <c r="O60" s="32">
        <f>IFERROR(__xludf.DUMMYFUNCTION("""COMPUTED_VALUE"""),2724.4)</f>
        <v>2724.4</v>
      </c>
      <c r="P60" s="32">
        <f>IFERROR(__xludf.DUMMYFUNCTION("""COMPUTED_VALUE"""),0.5)</f>
        <v>0.5</v>
      </c>
      <c r="Q60" s="32">
        <f>IFERROR(__xludf.DUMMYFUNCTION("""COMPUTED_VALUE"""),2724.4)</f>
        <v>2724.4</v>
      </c>
      <c r="R60" s="32">
        <f>IFERROR(__xludf.DUMMYFUNCTION("""COMPUTED_VALUE"""),38170.4791655)</f>
        <v>38170.47917</v>
      </c>
      <c r="S60" s="32">
        <f>IFERROR(__xludf.DUMMYFUNCTION("""COMPUTED_VALUE"""),40308.7769356)</f>
        <v>40308.77694</v>
      </c>
      <c r="T60" s="32">
        <f>IFERROR(__xludf.DUMMYFUNCTION("""COMPUTED_VALUE"""),-3.562969)</f>
        <v>-3.562969</v>
      </c>
      <c r="U60" s="32">
        <f>IFERROR(__xludf.DUMMYFUNCTION("""COMPUTED_VALUE"""),-14.890407)</f>
        <v>-14.890407</v>
      </c>
      <c r="V60" s="32">
        <f>IFERROR(__xludf.DUMMYFUNCTION("""COMPUTED_VALUE"""),-12.877534)</f>
        <v>-12.877534</v>
      </c>
      <c r="W60" s="32">
        <f>IFERROR(__xludf.DUMMYFUNCTION("""COMPUTED_VALUE"""),-18.109616)</f>
        <v>-18.109616</v>
      </c>
      <c r="X60" s="32">
        <f>IFERROR(__xludf.DUMMYFUNCTION("""COMPUTED_VALUE"""),39.939736)</f>
        <v>39.939736</v>
      </c>
      <c r="Y60" s="32">
        <f>IFERROR(__xludf.DUMMYFUNCTION("""COMPUTED_VALUE"""),19.558263)</f>
        <v>19.558263</v>
      </c>
      <c r="Z60" s="32">
        <f>IFERROR(__xludf.DUMMYFUNCTION("""COMPUTED_VALUE"""),30.773691)</f>
        <v>30.773691</v>
      </c>
      <c r="AA60" s="32">
        <f>IFERROR(__xludf.DUMMYFUNCTION("""COMPUTED_VALUE"""),27.0358)</f>
        <v>27.0358</v>
      </c>
      <c r="AB60" s="32">
        <f>IFERROR(__xludf.DUMMYFUNCTION("""COMPUTED_VALUE"""),28.6425)</f>
        <v>28.6425</v>
      </c>
      <c r="AC60" s="32">
        <f>IFERROR(__xludf.DUMMYFUNCTION("""COMPUTED_VALUE"""),5.2719)</f>
        <v>5.2719</v>
      </c>
      <c r="AD60" s="32">
        <f>IFERROR(__xludf.DUMMYFUNCTION("""COMPUTED_VALUE"""),5.29765)</f>
        <v>5.29765</v>
      </c>
      <c r="AE60" s="32">
        <f>IFERROR(__xludf.DUMMYFUNCTION("""COMPUTED_VALUE"""),5.972113)</f>
        <v>5.972113</v>
      </c>
      <c r="AF60" s="32">
        <f>IFERROR(__xludf.DUMMYFUNCTION("""COMPUTED_VALUE"""),1.81488)</f>
        <v>1.81488</v>
      </c>
      <c r="AG60" s="32">
        <f>IFERROR(__xludf.DUMMYFUNCTION("""COMPUTED_VALUE"""),1.4182)</f>
        <v>1.4182</v>
      </c>
      <c r="AH60" s="32">
        <f>IFERROR(__xludf.DUMMYFUNCTION("""COMPUTED_VALUE"""),16.774426)</f>
        <v>16.774426</v>
      </c>
      <c r="AI60" s="32">
        <f>IFERROR(__xludf.DUMMYFUNCTION("""COMPUTED_VALUE"""),4.189181266846509)</f>
        <v>4.189181267</v>
      </c>
      <c r="AJ60" s="32">
        <f>IFERROR(__xludf.DUMMYFUNCTION("""COMPUTED_VALUE"""),42.03612083773842)</f>
        <v>42.03612084</v>
      </c>
      <c r="AK60" s="32">
        <f>IFERROR(__xludf.DUMMYFUNCTION("""COMPUTED_VALUE"""),73.0292)</f>
        <v>73.0292</v>
      </c>
      <c r="AL60" s="32">
        <f>IFERROR(__xludf.DUMMYFUNCTION("""COMPUTED_VALUE"""),374.5127)</f>
        <v>374.5127</v>
      </c>
      <c r="AM60" s="32">
        <f>IFERROR(__xludf.DUMMYFUNCTION("""COMPUTED_VALUE"""),46.975685)</f>
        <v>46.975685</v>
      </c>
      <c r="AN60" s="32">
        <f>IFERROR(__xludf.DUMMYFUNCTION("""COMPUTED_VALUE"""),-27.596482)</f>
        <v>-27.596482</v>
      </c>
      <c r="AO60" s="32">
        <f>IFERROR(__xludf.DUMMYFUNCTION("""COMPUTED_VALUE"""),28.0)</f>
        <v>28</v>
      </c>
      <c r="AP60" s="32">
        <f>IFERROR(__xludf.DUMMYFUNCTION("""COMPUTED_VALUE"""),0.27525326677433565)</f>
        <v>0.2752532668</v>
      </c>
      <c r="AQ60" s="13"/>
      <c r="AR60" s="13"/>
      <c r="AS60" s="13"/>
      <c r="AT60" s="13"/>
      <c r="AU60" s="13"/>
      <c r="AV60" s="13"/>
      <c r="AW60" s="13"/>
      <c r="AX60" s="13"/>
      <c r="AY60" s="13"/>
      <c r="AZ60" s="13"/>
    </row>
    <row r="61">
      <c r="A61" s="13" t="str">
        <f>IFERROR(__xludf.DUMMYFUNCTION("""COMPUTED_VALUE"""),"Godfrey Phillips India Ltd.")</f>
        <v>Godfrey Phillips India Ltd.</v>
      </c>
      <c r="B61" s="30">
        <f>IFERROR(__xludf.DUMMYFUNCTION("""COMPUTED_VALUE"""),500163.0)</f>
        <v>500163</v>
      </c>
      <c r="C61" s="13" t="str">
        <f>IFERROR(__xludf.DUMMYFUNCTION("""COMPUTED_VALUE"""),"GODFRYPHLP")</f>
        <v>GODFRYPHLP</v>
      </c>
      <c r="D61" s="13" t="str">
        <f>IFERROR(__xludf.DUMMYFUNCTION("""COMPUTED_VALUE"""),"INE260B01028")</f>
        <v>INE260B01028</v>
      </c>
      <c r="E61" s="13" t="str">
        <f>IFERROR(__xludf.DUMMYFUNCTION("""COMPUTED_VALUE"""),"Consumer Staples")</f>
        <v>Consumer Staples</v>
      </c>
      <c r="F61" s="13" t="str">
        <f>IFERROR(__xludf.DUMMYFUNCTION("""COMPUTED_VALUE"""),"Tobacco Products")</f>
        <v>Tobacco Products</v>
      </c>
      <c r="G61" s="31">
        <f>IFERROR(__xludf.DUMMYFUNCTION("""COMPUTED_VALUE"""),44809.0)</f>
        <v>44809</v>
      </c>
      <c r="H61" s="32">
        <f>IFERROR(__xludf.DUMMYFUNCTION("""COMPUTED_VALUE"""),1059.95)</f>
        <v>1059.95</v>
      </c>
      <c r="I61" s="32">
        <f>IFERROR(__xludf.DUMMYFUNCTION("""COMPUTED_VALUE"""),-1.1978)</f>
        <v>-1.1978</v>
      </c>
      <c r="J61" s="32">
        <f>IFERROR(__xludf.DUMMYFUNCTION("""COMPUTED_VALUE"""),933.0)</f>
        <v>933</v>
      </c>
      <c r="K61" s="32">
        <f>IFERROR(__xludf.DUMMYFUNCTION("""COMPUTED_VALUE"""),1409.85)</f>
        <v>1409.85</v>
      </c>
      <c r="L61" s="32">
        <f>IFERROR(__xludf.DUMMYFUNCTION("""COMPUTED_VALUE"""),732.0)</f>
        <v>732</v>
      </c>
      <c r="M61" s="32">
        <f>IFERROR(__xludf.DUMMYFUNCTION("""COMPUTED_VALUE"""),1481.75)</f>
        <v>1481.75</v>
      </c>
      <c r="N61" s="32">
        <f>IFERROR(__xludf.DUMMYFUNCTION("""COMPUTED_VALUE"""),640.25)</f>
        <v>640.25</v>
      </c>
      <c r="O61" s="32">
        <f>IFERROR(__xludf.DUMMYFUNCTION("""COMPUTED_VALUE"""),1481.75)</f>
        <v>1481.75</v>
      </c>
      <c r="P61" s="32">
        <f>IFERROR(__xludf.DUMMYFUNCTION("""COMPUTED_VALUE"""),46.83)</f>
        <v>46.83</v>
      </c>
      <c r="Q61" s="32">
        <f>IFERROR(__xludf.DUMMYFUNCTION("""COMPUTED_VALUE"""),1662.8)</f>
        <v>1662.8</v>
      </c>
      <c r="R61" s="32">
        <f>IFERROR(__xludf.DUMMYFUNCTION("""COMPUTED_VALUE"""),5511.0955504)</f>
        <v>5511.09555</v>
      </c>
      <c r="S61" s="32">
        <f>IFERROR(__xludf.DUMMYFUNCTION("""COMPUTED_VALUE"""),5091.5055336)</f>
        <v>5091.505534</v>
      </c>
      <c r="T61" s="32">
        <f>IFERROR(__xludf.DUMMYFUNCTION("""COMPUTED_VALUE"""),-5.677419)</f>
        <v>-5.677419</v>
      </c>
      <c r="U61" s="32">
        <f>IFERROR(__xludf.DUMMYFUNCTION("""COMPUTED_VALUE"""),-10.737294)</f>
        <v>-10.737294</v>
      </c>
      <c r="V61" s="32">
        <f>IFERROR(__xludf.DUMMYFUNCTION("""COMPUTED_VALUE"""),-11.645063)</f>
        <v>-11.645063</v>
      </c>
      <c r="W61" s="32">
        <f>IFERROR(__xludf.DUMMYFUNCTION("""COMPUTED_VALUE"""),8.274171)</f>
        <v>8.274171</v>
      </c>
      <c r="X61" s="32">
        <f>IFERROR(__xludf.DUMMYFUNCTION("""COMPUTED_VALUE"""),2.284611)</f>
        <v>2.284611</v>
      </c>
      <c r="Y61" s="32">
        <f>IFERROR(__xludf.DUMMYFUNCTION("""COMPUTED_VALUE"""),0.394262)</f>
        <v>0.394262</v>
      </c>
      <c r="Z61" s="32">
        <f>IFERROR(__xludf.DUMMYFUNCTION("""COMPUTED_VALUE"""),5.367745)</f>
        <v>5.367745</v>
      </c>
      <c r="AA61" s="32">
        <f>IFERROR(__xludf.DUMMYFUNCTION("""COMPUTED_VALUE"""),11.8134)</f>
        <v>11.8134</v>
      </c>
      <c r="AB61" s="32">
        <f>IFERROR(__xludf.DUMMYFUNCTION("""COMPUTED_VALUE"""),15.53005)</f>
        <v>15.53005</v>
      </c>
      <c r="AC61" s="32">
        <f>IFERROR(__xludf.DUMMYFUNCTION("""COMPUTED_VALUE"""),1.8076)</f>
        <v>1.8076</v>
      </c>
      <c r="AD61" s="32">
        <f>IFERROR(__xludf.DUMMYFUNCTION("""COMPUTED_VALUE"""),2.2242)</f>
        <v>2.2242</v>
      </c>
      <c r="AE61" s="32">
        <f>IFERROR(__xludf.DUMMYFUNCTION("""COMPUTED_VALUE"""),14.258197)</f>
        <v>14.258197</v>
      </c>
      <c r="AF61" s="32">
        <f>IFERROR(__xludf.DUMMYFUNCTION("""COMPUTED_VALUE"""),0.450203)</f>
        <v>0.450203</v>
      </c>
      <c r="AG61" s="32">
        <f>IFERROR(__xludf.DUMMYFUNCTION("""COMPUTED_VALUE"""),2.6395)</f>
        <v>2.6395</v>
      </c>
      <c r="AH61" s="32">
        <f>IFERROR(__xludf.DUMMYFUNCTION("""COMPUTED_VALUE"""),6.560796)</f>
        <v>6.560796</v>
      </c>
      <c r="AI61" s="32">
        <f>IFERROR(__xludf.DUMMYFUNCTION("""COMPUTED_VALUE"""),1.6022769179599599)</f>
        <v>1.602276918</v>
      </c>
      <c r="AJ61" s="32">
        <f>IFERROR(__xludf.DUMMYFUNCTION("""COMPUTED_VALUE"""),11.51514044508558)</f>
        <v>11.51514045</v>
      </c>
      <c r="AK61" s="32">
        <f>IFERROR(__xludf.DUMMYFUNCTION("""COMPUTED_VALUE"""),90.0124)</f>
        <v>90.0124</v>
      </c>
      <c r="AL61" s="32">
        <f>IFERROR(__xludf.DUMMYFUNCTION("""COMPUTED_VALUE"""),588.2667)</f>
        <v>588.2667</v>
      </c>
      <c r="AM61" s="32">
        <f>IFERROR(__xludf.DUMMYFUNCTION("""COMPUTED_VALUE"""),92.048236)</f>
        <v>92.048236</v>
      </c>
      <c r="AN61" s="32">
        <f>IFERROR(__xludf.DUMMYFUNCTION("""COMPUTED_VALUE"""),92.178963)</f>
        <v>92.178963</v>
      </c>
      <c r="AO61" s="32">
        <f>IFERROR(__xludf.DUMMYFUNCTION("""COMPUTED_VALUE"""),28.0)</f>
        <v>28</v>
      </c>
      <c r="AP61" s="32">
        <f>IFERROR(__xludf.DUMMYFUNCTION("""COMPUTED_VALUE"""),0.24818243075504479)</f>
        <v>0.2481824308</v>
      </c>
      <c r="AQ61" s="13"/>
      <c r="AR61" s="13"/>
      <c r="AS61" s="13"/>
      <c r="AT61" s="13"/>
      <c r="AU61" s="13"/>
      <c r="AV61" s="13"/>
      <c r="AW61" s="13"/>
      <c r="AX61" s="13"/>
      <c r="AY61" s="13"/>
      <c r="AZ61" s="13"/>
    </row>
    <row r="62">
      <c r="A62" s="13" t="str">
        <f>IFERROR(__xludf.DUMMYFUNCTION("""COMPUTED_VALUE"""),"Multi Commodity Exchange Of India Ltd.")</f>
        <v>Multi Commodity Exchange Of India Ltd.</v>
      </c>
      <c r="B62" s="30">
        <f>IFERROR(__xludf.DUMMYFUNCTION("""COMPUTED_VALUE"""),534091.0)</f>
        <v>534091</v>
      </c>
      <c r="C62" s="13" t="str">
        <f>IFERROR(__xludf.DUMMYFUNCTION("""COMPUTED_VALUE"""),"MCX")</f>
        <v>MCX</v>
      </c>
      <c r="D62" s="13" t="str">
        <f>IFERROR(__xludf.DUMMYFUNCTION("""COMPUTED_VALUE"""),"INE745G01035")</f>
        <v>INE745G01035</v>
      </c>
      <c r="E62" s="13" t="str">
        <f>IFERROR(__xludf.DUMMYFUNCTION("""COMPUTED_VALUE"""),"Services")</f>
        <v>Services</v>
      </c>
      <c r="F62" s="13" t="str">
        <f>IFERROR(__xludf.DUMMYFUNCTION("""COMPUTED_VALUE"""),"Exchange Services")</f>
        <v>Exchange Services</v>
      </c>
      <c r="G62" s="31">
        <f>IFERROR(__xludf.DUMMYFUNCTION("""COMPUTED_VALUE"""),44809.0)</f>
        <v>44809</v>
      </c>
      <c r="H62" s="32">
        <f>IFERROR(__xludf.DUMMYFUNCTION("""COMPUTED_VALUE"""),1272.0)</f>
        <v>1272</v>
      </c>
      <c r="I62" s="32">
        <f>IFERROR(__xludf.DUMMYFUNCTION("""COMPUTED_VALUE"""),-0.411039)</f>
        <v>-0.411039</v>
      </c>
      <c r="J62" s="32">
        <f>IFERROR(__xludf.DUMMYFUNCTION("""COMPUTED_VALUE"""),1143.0)</f>
        <v>1143</v>
      </c>
      <c r="K62" s="32">
        <f>IFERROR(__xludf.DUMMYFUNCTION("""COMPUTED_VALUE"""),2135.0)</f>
        <v>2135</v>
      </c>
      <c r="L62" s="32">
        <f>IFERROR(__xludf.DUMMYFUNCTION("""COMPUTED_VALUE"""),805.05)</f>
        <v>805.05</v>
      </c>
      <c r="M62" s="32">
        <f>IFERROR(__xludf.DUMMYFUNCTION("""COMPUTED_VALUE"""),2135.0)</f>
        <v>2135</v>
      </c>
      <c r="N62" s="32">
        <f>IFERROR(__xludf.DUMMYFUNCTION("""COMPUTED_VALUE"""),643.5)</f>
        <v>643.5</v>
      </c>
      <c r="O62" s="32">
        <f>IFERROR(__xludf.DUMMYFUNCTION("""COMPUTED_VALUE"""),2135.0)</f>
        <v>2135</v>
      </c>
      <c r="P62" s="32">
        <f>IFERROR(__xludf.DUMMYFUNCTION("""COMPUTED_VALUE"""),238.15)</f>
        <v>238.15</v>
      </c>
      <c r="Q62" s="32">
        <f>IFERROR(__xludf.DUMMYFUNCTION("""COMPUTED_VALUE"""),2135.0)</f>
        <v>2135</v>
      </c>
      <c r="R62" s="32">
        <f>IFERROR(__xludf.DUMMYFUNCTION("""COMPUTED_VALUE"""),6496.937218755)</f>
        <v>6496.937219</v>
      </c>
      <c r="S62" s="32">
        <f>IFERROR(__xludf.DUMMYFUNCTION("""COMPUTED_VALUE"""),5489.736664215)</f>
        <v>5489.736664</v>
      </c>
      <c r="T62" s="32">
        <f>IFERROR(__xludf.DUMMYFUNCTION("""COMPUTED_VALUE"""),-0.752936)</f>
        <v>-0.752936</v>
      </c>
      <c r="U62" s="32">
        <f>IFERROR(__xludf.DUMMYFUNCTION("""COMPUTED_VALUE"""),-2.157609)</f>
        <v>-2.157609</v>
      </c>
      <c r="V62" s="32">
        <f>IFERROR(__xludf.DUMMYFUNCTION("""COMPUTED_VALUE"""),-5.290198)</f>
        <v>-5.290198</v>
      </c>
      <c r="W62" s="32">
        <f>IFERROR(__xludf.DUMMYFUNCTION("""COMPUTED_VALUE"""),-20.145646)</f>
        <v>-20.145646</v>
      </c>
      <c r="X62" s="32">
        <f>IFERROR(__xludf.DUMMYFUNCTION("""COMPUTED_VALUE"""),13.546156)</f>
        <v>13.546156</v>
      </c>
      <c r="Y62" s="32">
        <f>IFERROR(__xludf.DUMMYFUNCTION("""COMPUTED_VALUE"""),3.505603)</f>
        <v>3.505603</v>
      </c>
      <c r="Z62" s="32">
        <f>IFERROR(__xludf.DUMMYFUNCTION("""COMPUTED_VALUE"""),0.901202)</f>
        <v>0.901202</v>
      </c>
      <c r="AA62" s="32">
        <f>IFERROR(__xludf.DUMMYFUNCTION("""COMPUTED_VALUE"""),44.7725)</f>
        <v>44.7725</v>
      </c>
      <c r="AB62" s="32">
        <f>IFERROR(__xludf.DUMMYFUNCTION("""COMPUTED_VALUE"""),35.9546)</f>
        <v>35.9546</v>
      </c>
      <c r="AC62" s="32">
        <f>IFERROR(__xludf.DUMMYFUNCTION("""COMPUTED_VALUE"""),4.4493)</f>
        <v>4.4493</v>
      </c>
      <c r="AD62" s="32">
        <f>IFERROR(__xludf.DUMMYFUNCTION("""COMPUTED_VALUE"""),4.30855)</f>
        <v>4.30855</v>
      </c>
      <c r="AE62" s="32">
        <f>IFERROR(__xludf.DUMMYFUNCTION("""COMPUTED_VALUE"""),4.432244)</f>
        <v>4.432244</v>
      </c>
      <c r="AF62" s="32">
        <f>IFERROR(__xludf.DUMMYFUNCTION("""COMPUTED_VALUE"""),10.813477)</f>
        <v>10.813477</v>
      </c>
      <c r="AG62" s="32">
        <f>IFERROR(__xludf.DUMMYFUNCTION("""COMPUTED_VALUE"""),1.3685)</f>
        <v>1.3685</v>
      </c>
      <c r="AH62" s="32">
        <f>IFERROR(__xludf.DUMMYFUNCTION("""COMPUTED_VALUE"""),23.974743)</f>
        <v>23.974743</v>
      </c>
      <c r="AI62" s="32">
        <f>IFERROR(__xludf.DUMMYFUNCTION("""COMPUTED_VALUE"""),16.745115128624448)</f>
        <v>16.74511513</v>
      </c>
      <c r="AJ62" s="32">
        <f>IFERROR(__xludf.DUMMYFUNCTION("""COMPUTED_VALUE"""),-35.22711716507618)</f>
        <v>-35.22711717</v>
      </c>
      <c r="AK62" s="32">
        <f>IFERROR(__xludf.DUMMYFUNCTION("""COMPUTED_VALUE"""),28.4539)</f>
        <v>28.4539</v>
      </c>
      <c r="AL62" s="32">
        <f>IFERROR(__xludf.DUMMYFUNCTION("""COMPUTED_VALUE"""),286.3245)</f>
        <v>286.3245</v>
      </c>
      <c r="AM62" s="32">
        <f>IFERROR(__xludf.DUMMYFUNCTION("""COMPUTED_VALUE"""),-36.162745)</f>
        <v>-36.162745</v>
      </c>
      <c r="AN62" s="32">
        <f>IFERROR(__xludf.DUMMYFUNCTION("""COMPUTED_VALUE"""),-19.858824)</f>
        <v>-19.858824</v>
      </c>
      <c r="AO62" s="32">
        <f>IFERROR(__xludf.DUMMYFUNCTION("""COMPUTED_VALUE"""),27.6)</f>
        <v>27.6</v>
      </c>
      <c r="AP62" s="32">
        <f>IFERROR(__xludf.DUMMYFUNCTION("""COMPUTED_VALUE"""),0.40421545667447306)</f>
        <v>0.4042154567</v>
      </c>
      <c r="AQ62" s="13"/>
      <c r="AR62" s="13"/>
      <c r="AS62" s="13"/>
      <c r="AT62" s="13"/>
      <c r="AU62" s="13"/>
      <c r="AV62" s="13"/>
      <c r="AW62" s="13"/>
      <c r="AX62" s="13"/>
      <c r="AY62" s="13"/>
      <c r="AZ62" s="13"/>
    </row>
    <row r="63">
      <c r="A63" s="13" t="str">
        <f>IFERROR(__xludf.DUMMYFUNCTION("""COMPUTED_VALUE"""),"Angel One Ltd.")</f>
        <v>Angel One Ltd.</v>
      </c>
      <c r="B63" s="30">
        <f>IFERROR(__xludf.DUMMYFUNCTION("""COMPUTED_VALUE"""),543235.0)</f>
        <v>543235</v>
      </c>
      <c r="C63" s="13" t="str">
        <f>IFERROR(__xludf.DUMMYFUNCTION("""COMPUTED_VALUE"""),"ANGELONE")</f>
        <v>ANGELONE</v>
      </c>
      <c r="D63" s="13" t="str">
        <f>IFERROR(__xludf.DUMMYFUNCTION("""COMPUTED_VALUE"""),"INE732I01013")</f>
        <v>INE732I01013</v>
      </c>
      <c r="E63" s="13" t="str">
        <f>IFERROR(__xludf.DUMMYFUNCTION("""COMPUTED_VALUE"""),"Financial")</f>
        <v>Financial</v>
      </c>
      <c r="F63" s="13" t="str">
        <f>IFERROR(__xludf.DUMMYFUNCTION("""COMPUTED_VALUE"""),"Brokerage Services")</f>
        <v>Brokerage Services</v>
      </c>
      <c r="G63" s="31">
        <f>IFERROR(__xludf.DUMMYFUNCTION("""COMPUTED_VALUE"""),44809.0)</f>
        <v>44809</v>
      </c>
      <c r="H63" s="32">
        <f>IFERROR(__xludf.DUMMYFUNCTION("""COMPUTED_VALUE"""),1340.15)</f>
        <v>1340.15</v>
      </c>
      <c r="I63" s="32">
        <f>IFERROR(__xludf.DUMMYFUNCTION("""COMPUTED_VALUE"""),0.983347)</f>
        <v>0.983347</v>
      </c>
      <c r="J63" s="32">
        <f>IFERROR(__xludf.DUMMYFUNCTION("""COMPUTED_VALUE"""),990.5)</f>
        <v>990.5</v>
      </c>
      <c r="K63" s="32">
        <f>IFERROR(__xludf.DUMMYFUNCTION("""COMPUTED_VALUE"""),2022.0)</f>
        <v>2022</v>
      </c>
      <c r="L63" s="13"/>
      <c r="M63" s="13"/>
      <c r="N63" s="13"/>
      <c r="O63" s="13"/>
      <c r="P63" s="32">
        <f>IFERROR(__xludf.DUMMYFUNCTION("""COMPUTED_VALUE"""),222.2)</f>
        <v>222.2</v>
      </c>
      <c r="Q63" s="32">
        <f>IFERROR(__xludf.DUMMYFUNCTION("""COMPUTED_VALUE"""),2022.0)</f>
        <v>2022</v>
      </c>
      <c r="R63" s="32">
        <f>IFERROR(__xludf.DUMMYFUNCTION("""COMPUTED_VALUE"""),11164.84722738)</f>
        <v>11164.84723</v>
      </c>
      <c r="S63" s="32">
        <f>IFERROR(__xludf.DUMMYFUNCTION("""COMPUTED_VALUE"""),7427.74427871)</f>
        <v>7427.744279</v>
      </c>
      <c r="T63" s="32">
        <f>IFERROR(__xludf.DUMMYFUNCTION("""COMPUTED_VALUE"""),0.540155)</f>
        <v>0.540155</v>
      </c>
      <c r="U63" s="32">
        <f>IFERROR(__xludf.DUMMYFUNCTION("""COMPUTED_VALUE"""),6.938238)</f>
        <v>6.938238</v>
      </c>
      <c r="V63" s="32">
        <f>IFERROR(__xludf.DUMMYFUNCTION("""COMPUTED_VALUE"""),-9.911939)</f>
        <v>-9.911939</v>
      </c>
      <c r="W63" s="32">
        <f>IFERROR(__xludf.DUMMYFUNCTION("""COMPUTED_VALUE"""),8.602107)</f>
        <v>8.602107</v>
      </c>
      <c r="X63" s="13"/>
      <c r="Y63" s="13"/>
      <c r="Z63" s="13"/>
      <c r="AA63" s="32">
        <f>IFERROR(__xludf.DUMMYFUNCTION("""COMPUTED_VALUE"""),16.3004)</f>
        <v>16.3004</v>
      </c>
      <c r="AB63" s="32">
        <f>IFERROR(__xludf.DUMMYFUNCTION("""COMPUTED_VALUE"""),21.6147)</f>
        <v>21.6147</v>
      </c>
      <c r="AC63" s="32">
        <f>IFERROR(__xludf.DUMMYFUNCTION("""COMPUTED_VALUE"""),6.3692)</f>
        <v>6.3692</v>
      </c>
      <c r="AD63" s="32">
        <f>IFERROR(__xludf.DUMMYFUNCTION("""COMPUTED_VALUE"""),7.5529)</f>
        <v>7.5529</v>
      </c>
      <c r="AE63" s="32">
        <f>IFERROR(__xludf.DUMMYFUNCTION("""COMPUTED_VALUE"""),14.147207)</f>
        <v>14.147207</v>
      </c>
      <c r="AF63" s="32">
        <f>IFERROR(__xludf.DUMMYFUNCTION("""COMPUTED_VALUE"""),0.192542)</f>
        <v>0.192542</v>
      </c>
      <c r="AG63" s="32">
        <f>IFERROR(__xludf.DUMMYFUNCTION("""COMPUTED_VALUE"""),2.0222)</f>
        <v>2.0222</v>
      </c>
      <c r="AH63" s="32">
        <f>IFERROR(__xludf.DUMMYFUNCTION("""COMPUTED_VALUE"""),7.327251)</f>
        <v>7.327251</v>
      </c>
      <c r="AI63" s="32">
        <f>IFERROR(__xludf.DUMMYFUNCTION("""COMPUTED_VALUE"""),4.528069437315291)</f>
        <v>4.528069437</v>
      </c>
      <c r="AJ63" s="32">
        <f>IFERROR(__xludf.DUMMYFUNCTION("""COMPUTED_VALUE"""),20.02497951268595)</f>
        <v>20.02497951</v>
      </c>
      <c r="AK63" s="32">
        <f>IFERROR(__xludf.DUMMYFUNCTION("""COMPUTED_VALUE"""),82.2127)</f>
        <v>82.2127</v>
      </c>
      <c r="AL63" s="32">
        <f>IFERROR(__xludf.DUMMYFUNCTION("""COMPUTED_VALUE"""),210.404)</f>
        <v>210.404</v>
      </c>
      <c r="AM63" s="32">
        <f>IFERROR(__xludf.DUMMYFUNCTION("""COMPUTED_VALUE"""),67.288526)</f>
        <v>67.288526</v>
      </c>
      <c r="AN63" s="32">
        <f>IFERROR(__xludf.DUMMYFUNCTION("""COMPUTED_VALUE"""),52.278087)</f>
        <v>52.278087</v>
      </c>
      <c r="AO63" s="32">
        <f>IFERROR(__xludf.DUMMYFUNCTION("""COMPUTED_VALUE"""),27.1)</f>
        <v>27.1</v>
      </c>
      <c r="AP63" s="32">
        <f>IFERROR(__xludf.DUMMYFUNCTION("""COMPUTED_VALUE"""),0.337215628090999)</f>
        <v>0.3372156281</v>
      </c>
      <c r="AQ63" s="13"/>
      <c r="AR63" s="13"/>
      <c r="AS63" s="13"/>
      <c r="AT63" s="13"/>
      <c r="AU63" s="13"/>
      <c r="AV63" s="13"/>
      <c r="AW63" s="13"/>
      <c r="AX63" s="13"/>
      <c r="AY63" s="13"/>
      <c r="AZ63" s="13"/>
    </row>
    <row r="64">
      <c r="A64" s="13" t="str">
        <f>IFERROR(__xludf.DUMMYFUNCTION("""COMPUTED_VALUE"""),"Atul Ltd.")</f>
        <v>Atul Ltd.</v>
      </c>
      <c r="B64" s="30">
        <f>IFERROR(__xludf.DUMMYFUNCTION("""COMPUTED_VALUE"""),500027.0)</f>
        <v>500027</v>
      </c>
      <c r="C64" s="13" t="str">
        <f>IFERROR(__xludf.DUMMYFUNCTION("""COMPUTED_VALUE"""),"ATUL")</f>
        <v>ATUL</v>
      </c>
      <c r="D64" s="13" t="str">
        <f>IFERROR(__xludf.DUMMYFUNCTION("""COMPUTED_VALUE"""),"INE100A01010")</f>
        <v>INE100A01010</v>
      </c>
      <c r="E64" s="13" t="str">
        <f>IFERROR(__xludf.DUMMYFUNCTION("""COMPUTED_VALUE"""),"Chemicals")</f>
        <v>Chemicals</v>
      </c>
      <c r="F64" s="13" t="str">
        <f>IFERROR(__xludf.DUMMYFUNCTION("""COMPUTED_VALUE"""),"Dyes &amp; Pigments")</f>
        <v>Dyes &amp; Pigments</v>
      </c>
      <c r="G64" s="31">
        <f>IFERROR(__xludf.DUMMYFUNCTION("""COMPUTED_VALUE"""),44809.0)</f>
        <v>44809</v>
      </c>
      <c r="H64" s="32">
        <f>IFERROR(__xludf.DUMMYFUNCTION("""COMPUTED_VALUE"""),9195.55)</f>
        <v>9195.55</v>
      </c>
      <c r="I64" s="32">
        <f>IFERROR(__xludf.DUMMYFUNCTION("""COMPUTED_VALUE"""),-0.280867)</f>
        <v>-0.280867</v>
      </c>
      <c r="J64" s="32">
        <f>IFERROR(__xludf.DUMMYFUNCTION("""COMPUTED_VALUE"""),7750.0)</f>
        <v>7750</v>
      </c>
      <c r="K64" s="32">
        <f>IFERROR(__xludf.DUMMYFUNCTION("""COMPUTED_VALUE"""),10975.4)</f>
        <v>10975.4</v>
      </c>
      <c r="L64" s="32">
        <f>IFERROR(__xludf.DUMMYFUNCTION("""COMPUTED_VALUE"""),2923.2)</f>
        <v>2923.2</v>
      </c>
      <c r="M64" s="32">
        <f>IFERROR(__xludf.DUMMYFUNCTION("""COMPUTED_VALUE"""),10975.4)</f>
        <v>10975.4</v>
      </c>
      <c r="N64" s="32">
        <f>IFERROR(__xludf.DUMMYFUNCTION("""COMPUTED_VALUE"""),2134.0)</f>
        <v>2134</v>
      </c>
      <c r="O64" s="32">
        <f>IFERROR(__xludf.DUMMYFUNCTION("""COMPUTED_VALUE"""),10975.4)</f>
        <v>10975.4</v>
      </c>
      <c r="P64" s="32">
        <f>IFERROR(__xludf.DUMMYFUNCTION("""COMPUTED_VALUE"""),9.25)</f>
        <v>9.25</v>
      </c>
      <c r="Q64" s="32">
        <f>IFERROR(__xludf.DUMMYFUNCTION("""COMPUTED_VALUE"""),10975.4)</f>
        <v>10975.4</v>
      </c>
      <c r="R64" s="32">
        <f>IFERROR(__xludf.DUMMYFUNCTION("""COMPUTED_VALUE"""),27139.520979025)</f>
        <v>27139.52098</v>
      </c>
      <c r="S64" s="32">
        <f>IFERROR(__xludf.DUMMYFUNCTION("""COMPUTED_VALUE"""),26715.1246823)</f>
        <v>26715.12468</v>
      </c>
      <c r="T64" s="32">
        <f>IFERROR(__xludf.DUMMYFUNCTION("""COMPUTED_VALUE"""),1.14837)</f>
        <v>1.14837</v>
      </c>
      <c r="U64" s="32">
        <f>IFERROR(__xludf.DUMMYFUNCTION("""COMPUTED_VALUE"""),-2.036914)</f>
        <v>-2.036914</v>
      </c>
      <c r="V64" s="32">
        <f>IFERROR(__xludf.DUMMYFUNCTION("""COMPUTED_VALUE"""),14.726395)</f>
        <v>14.726395</v>
      </c>
      <c r="W64" s="32">
        <f>IFERROR(__xludf.DUMMYFUNCTION("""COMPUTED_VALUE"""),-0.246251)</f>
        <v>-0.246251</v>
      </c>
      <c r="X64" s="32">
        <f>IFERROR(__xludf.DUMMYFUNCTION("""COMPUTED_VALUE"""),38.715596)</f>
        <v>38.715596</v>
      </c>
      <c r="Y64" s="32">
        <f>IFERROR(__xludf.DUMMYFUNCTION("""COMPUTED_VALUE"""),32.597744)</f>
        <v>32.597744</v>
      </c>
      <c r="Z64" s="32">
        <f>IFERROR(__xludf.DUMMYFUNCTION("""COMPUTED_VALUE"""),40.828028)</f>
        <v>40.828028</v>
      </c>
      <c r="AA64" s="32">
        <f>IFERROR(__xludf.DUMMYFUNCTION("""COMPUTED_VALUE"""),44.9697)</f>
        <v>44.9697</v>
      </c>
      <c r="AB64" s="32">
        <f>IFERROR(__xludf.DUMMYFUNCTION("""COMPUTED_VALUE"""),29.78725)</f>
        <v>29.78725</v>
      </c>
      <c r="AC64" s="32">
        <f>IFERROR(__xludf.DUMMYFUNCTION("""COMPUTED_VALUE"""),5.9959)</f>
        <v>5.9959</v>
      </c>
      <c r="AD64" s="32">
        <f>IFERROR(__xludf.DUMMYFUNCTION("""COMPUTED_VALUE"""),4.442)</f>
        <v>4.442</v>
      </c>
      <c r="AE64" s="32">
        <f>IFERROR(__xludf.DUMMYFUNCTION("""COMPUTED_VALUE"""),3.346725)</f>
        <v>3.346725</v>
      </c>
      <c r="AF64" s="32">
        <f>IFERROR(__xludf.DUMMYFUNCTION("""COMPUTED_VALUE"""),3.365802)</f>
        <v>3.365802</v>
      </c>
      <c r="AG64" s="32">
        <f>IFERROR(__xludf.DUMMYFUNCTION("""COMPUTED_VALUE"""),0.2719)</f>
        <v>0.2719</v>
      </c>
      <c r="AH64" s="32">
        <f>IFERROR(__xludf.DUMMYFUNCTION("""COMPUTED_VALUE"""),26.96863)</f>
        <v>26.96863</v>
      </c>
      <c r="AI64" s="32">
        <f>IFERROR(__xludf.DUMMYFUNCTION("""COMPUTED_VALUE"""),4.954691518277365)</f>
        <v>4.954691518</v>
      </c>
      <c r="AJ64" s="32">
        <f>IFERROR(__xludf.DUMMYFUNCTION("""COMPUTED_VALUE"""),117.2586778095701)</f>
        <v>117.2586778</v>
      </c>
      <c r="AK64" s="32">
        <f>IFERROR(__xludf.DUMMYFUNCTION("""COMPUTED_VALUE"""),204.2576)</f>
        <v>204.2576</v>
      </c>
      <c r="AL64" s="32">
        <f>IFERROR(__xludf.DUMMYFUNCTION("""COMPUTED_VALUE"""),1531.9568)</f>
        <v>1531.9568</v>
      </c>
      <c r="AM64" s="32">
        <f>IFERROR(__xludf.DUMMYFUNCTION("""COMPUTED_VALUE"""),78.218993)</f>
        <v>78.218993</v>
      </c>
      <c r="AN64" s="32">
        <f>IFERROR(__xludf.DUMMYFUNCTION("""COMPUTED_VALUE"""),-108.888138)</f>
        <v>-108.888138</v>
      </c>
      <c r="AO64" s="32">
        <f>IFERROR(__xludf.DUMMYFUNCTION("""COMPUTED_VALUE"""),25.0)</f>
        <v>25</v>
      </c>
      <c r="AP64" s="32">
        <f>IFERROR(__xludf.DUMMYFUNCTION("""COMPUTED_VALUE"""),0.1621672103066859)</f>
        <v>0.1621672103</v>
      </c>
      <c r="AQ64" s="13"/>
      <c r="AR64" s="13"/>
      <c r="AS64" s="13"/>
      <c r="AT64" s="13"/>
      <c r="AU64" s="13"/>
      <c r="AV64" s="13"/>
      <c r="AW64" s="13"/>
      <c r="AX64" s="13"/>
      <c r="AY64" s="13"/>
      <c r="AZ64" s="13"/>
    </row>
    <row r="65">
      <c r="A65" s="13" t="str">
        <f>IFERROR(__xludf.DUMMYFUNCTION("""COMPUTED_VALUE"""),"Mahanagar Gas Ltd.")</f>
        <v>Mahanagar Gas Ltd.</v>
      </c>
      <c r="B65" s="30">
        <f>IFERROR(__xludf.DUMMYFUNCTION("""COMPUTED_VALUE"""),539957.0)</f>
        <v>539957</v>
      </c>
      <c r="C65" s="13" t="str">
        <f>IFERROR(__xludf.DUMMYFUNCTION("""COMPUTED_VALUE"""),"MGL")</f>
        <v>MGL</v>
      </c>
      <c r="D65" s="13" t="str">
        <f>IFERROR(__xludf.DUMMYFUNCTION("""COMPUTED_VALUE"""),"INE002S01010")</f>
        <v>INE002S01010</v>
      </c>
      <c r="E65" s="13" t="str">
        <f>IFERROR(__xludf.DUMMYFUNCTION("""COMPUTED_VALUE"""),"Energy")</f>
        <v>Energy</v>
      </c>
      <c r="F65" s="13" t="str">
        <f>IFERROR(__xludf.DUMMYFUNCTION("""COMPUTED_VALUE"""),"Natural Gas Utilities")</f>
        <v>Natural Gas Utilities</v>
      </c>
      <c r="G65" s="31">
        <f>IFERROR(__xludf.DUMMYFUNCTION("""COMPUTED_VALUE"""),44809.0)</f>
        <v>44809</v>
      </c>
      <c r="H65" s="32">
        <f>IFERROR(__xludf.DUMMYFUNCTION("""COMPUTED_VALUE"""),873.75)</f>
        <v>873.75</v>
      </c>
      <c r="I65" s="32">
        <f>IFERROR(__xludf.DUMMYFUNCTION("""COMPUTED_VALUE"""),0.194943)</f>
        <v>0.194943</v>
      </c>
      <c r="J65" s="32">
        <f>IFERROR(__xludf.DUMMYFUNCTION("""COMPUTED_VALUE"""),665.8)</f>
        <v>665.8</v>
      </c>
      <c r="K65" s="32">
        <f>IFERROR(__xludf.DUMMYFUNCTION("""COMPUTED_VALUE"""),1206.3)</f>
        <v>1206.3</v>
      </c>
      <c r="L65" s="32">
        <f>IFERROR(__xludf.DUMMYFUNCTION("""COMPUTED_VALUE"""),663.9)</f>
        <v>663.9</v>
      </c>
      <c r="M65" s="32">
        <f>IFERROR(__xludf.DUMMYFUNCTION("""COMPUTED_VALUE"""),1284.45)</f>
        <v>1284.45</v>
      </c>
      <c r="N65" s="32">
        <f>IFERROR(__xludf.DUMMYFUNCTION("""COMPUTED_VALUE"""),663.9)</f>
        <v>663.9</v>
      </c>
      <c r="O65" s="32">
        <f>IFERROR(__xludf.DUMMYFUNCTION("""COMPUTED_VALUE"""),1377.5)</f>
        <v>1377.5</v>
      </c>
      <c r="P65" s="32">
        <f>IFERROR(__xludf.DUMMYFUNCTION("""COMPUTED_VALUE"""),492.65)</f>
        <v>492.65</v>
      </c>
      <c r="Q65" s="32">
        <f>IFERROR(__xludf.DUMMYFUNCTION("""COMPUTED_VALUE"""),1377.5)</f>
        <v>1377.5</v>
      </c>
      <c r="R65" s="32">
        <f>IFERROR(__xludf.DUMMYFUNCTION("""COMPUTED_VALUE"""),8623.79390829)</f>
        <v>8623.793908</v>
      </c>
      <c r="S65" s="32">
        <f>IFERROR(__xludf.DUMMYFUNCTION("""COMPUTED_VALUE"""),7049.58747491)</f>
        <v>7049.587475</v>
      </c>
      <c r="T65" s="32">
        <f>IFERROR(__xludf.DUMMYFUNCTION("""COMPUTED_VALUE"""),2.228852)</f>
        <v>2.228852</v>
      </c>
      <c r="U65" s="32">
        <f>IFERROR(__xludf.DUMMYFUNCTION("""COMPUTED_VALUE"""),11.968988)</f>
        <v>11.968988</v>
      </c>
      <c r="V65" s="32">
        <f>IFERROR(__xludf.DUMMYFUNCTION("""COMPUTED_VALUE"""),14.650308)</f>
        <v>14.650308</v>
      </c>
      <c r="W65" s="32">
        <f>IFERROR(__xludf.DUMMYFUNCTION("""COMPUTED_VALUE"""),-25.536901)</f>
        <v>-25.536901</v>
      </c>
      <c r="X65" s="32">
        <f>IFERROR(__xludf.DUMMYFUNCTION("""COMPUTED_VALUE"""),1.456792)</f>
        <v>1.456792</v>
      </c>
      <c r="Y65" s="32">
        <f>IFERROR(__xludf.DUMMYFUNCTION("""COMPUTED_VALUE"""),-3.735414)</f>
        <v>-3.735414</v>
      </c>
      <c r="Z65" s="13"/>
      <c r="AA65" s="32">
        <f>IFERROR(__xludf.DUMMYFUNCTION("""COMPUTED_VALUE"""),14.918)</f>
        <v>14.918</v>
      </c>
      <c r="AB65" s="32">
        <f>IFERROR(__xludf.DUMMYFUNCTION("""COMPUTED_VALUE"""),15.43435)</f>
        <v>15.43435</v>
      </c>
      <c r="AC65" s="32">
        <f>IFERROR(__xludf.DUMMYFUNCTION("""COMPUTED_VALUE"""),2.2799)</f>
        <v>2.2799</v>
      </c>
      <c r="AD65" s="32">
        <f>IFERROR(__xludf.DUMMYFUNCTION("""COMPUTED_VALUE"""),3.55635)</f>
        <v>3.55635</v>
      </c>
      <c r="AE65" s="32">
        <f>IFERROR(__xludf.DUMMYFUNCTION("""COMPUTED_VALUE"""),12.382165)</f>
        <v>12.382165</v>
      </c>
      <c r="AF65" s="32">
        <f>IFERROR(__xludf.DUMMYFUNCTION("""COMPUTED_VALUE"""),2.351637)</f>
        <v>2.351637</v>
      </c>
      <c r="AG65" s="32">
        <f>IFERROR(__xludf.DUMMYFUNCTION("""COMPUTED_VALUE"""),2.8635)</f>
        <v>2.8635</v>
      </c>
      <c r="AH65" s="32">
        <f>IFERROR(__xludf.DUMMYFUNCTION("""COMPUTED_VALUE"""),7.099211)</f>
        <v>7.099211</v>
      </c>
      <c r="AI65" s="32">
        <f>IFERROR(__xludf.DUMMYFUNCTION("""COMPUTED_VALUE"""),1.7924264655868343)</f>
        <v>1.792426466</v>
      </c>
      <c r="AJ65" s="32">
        <f>IFERROR(__xludf.DUMMYFUNCTION("""COMPUTED_VALUE"""),9.54292344253477)</f>
        <v>9.542923443</v>
      </c>
      <c r="AK65" s="32">
        <f>IFERROR(__xludf.DUMMYFUNCTION("""COMPUTED_VALUE"""),58.5233)</f>
        <v>58.5233</v>
      </c>
      <c r="AL65" s="32">
        <f>IFERROR(__xludf.DUMMYFUNCTION("""COMPUTED_VALUE"""),382.9326)</f>
        <v>382.9326</v>
      </c>
      <c r="AM65" s="32">
        <f>IFERROR(__xludf.DUMMYFUNCTION("""COMPUTED_VALUE"""),91.486619)</f>
        <v>91.486619</v>
      </c>
      <c r="AN65" s="32">
        <f>IFERROR(__xludf.DUMMYFUNCTION("""COMPUTED_VALUE"""),31.325409)</f>
        <v>31.325409</v>
      </c>
      <c r="AO65" s="32">
        <f>IFERROR(__xludf.DUMMYFUNCTION("""COMPUTED_VALUE"""),25.0)</f>
        <v>25</v>
      </c>
      <c r="AP65" s="32">
        <f>IFERROR(__xludf.DUMMYFUNCTION("""COMPUTED_VALUE"""),0.27567769211638893)</f>
        <v>0.2756776921</v>
      </c>
      <c r="AQ65" s="13"/>
      <c r="AR65" s="13"/>
      <c r="AS65" s="13"/>
      <c r="AT65" s="13"/>
      <c r="AU65" s="13"/>
      <c r="AV65" s="13"/>
      <c r="AW65" s="13"/>
      <c r="AX65" s="13"/>
      <c r="AY65" s="13"/>
      <c r="AZ65" s="13"/>
    </row>
    <row r="66">
      <c r="A66" s="13" t="str">
        <f>IFERROR(__xludf.DUMMYFUNCTION("""COMPUTED_VALUE"""),"Cyient Ltd.")</f>
        <v>Cyient Ltd.</v>
      </c>
      <c r="B66" s="30">
        <f>IFERROR(__xludf.DUMMYFUNCTION("""COMPUTED_VALUE"""),532175.0)</f>
        <v>532175</v>
      </c>
      <c r="C66" s="13" t="str">
        <f>IFERROR(__xludf.DUMMYFUNCTION("""COMPUTED_VALUE"""),"CYIENT")</f>
        <v>CYIENT</v>
      </c>
      <c r="D66" s="13" t="str">
        <f>IFERROR(__xludf.DUMMYFUNCTION("""COMPUTED_VALUE"""),"INE136B01020")</f>
        <v>INE136B01020</v>
      </c>
      <c r="E66" s="13" t="str">
        <f>IFERROR(__xludf.DUMMYFUNCTION("""COMPUTED_VALUE"""),"Technology")</f>
        <v>Technology</v>
      </c>
      <c r="F66" s="13" t="str">
        <f>IFERROR(__xludf.DUMMYFUNCTION("""COMPUTED_VALUE"""),"Software")</f>
        <v>Software</v>
      </c>
      <c r="G66" s="31">
        <f>IFERROR(__xludf.DUMMYFUNCTION("""COMPUTED_VALUE"""),44809.0)</f>
        <v>44809</v>
      </c>
      <c r="H66" s="32">
        <f>IFERROR(__xludf.DUMMYFUNCTION("""COMPUTED_VALUE"""),835.2)</f>
        <v>835.2</v>
      </c>
      <c r="I66" s="32">
        <f>IFERROR(__xludf.DUMMYFUNCTION("""COMPUTED_VALUE"""),0.077886)</f>
        <v>0.077886</v>
      </c>
      <c r="J66" s="32">
        <f>IFERROR(__xludf.DUMMYFUNCTION("""COMPUTED_VALUE"""),720.0)</f>
        <v>720</v>
      </c>
      <c r="K66" s="32">
        <f>IFERROR(__xludf.DUMMYFUNCTION("""COMPUTED_VALUE"""),1292.0)</f>
        <v>1292</v>
      </c>
      <c r="L66" s="32">
        <f>IFERROR(__xludf.DUMMYFUNCTION("""COMPUTED_VALUE"""),184.0)</f>
        <v>184</v>
      </c>
      <c r="M66" s="32">
        <f>IFERROR(__xludf.DUMMYFUNCTION("""COMPUTED_VALUE"""),1292.0)</f>
        <v>1292</v>
      </c>
      <c r="N66" s="32">
        <f>IFERROR(__xludf.DUMMYFUNCTION("""COMPUTED_VALUE"""),184.0)</f>
        <v>184</v>
      </c>
      <c r="O66" s="32">
        <f>IFERROR(__xludf.DUMMYFUNCTION("""COMPUTED_VALUE"""),1292.0)</f>
        <v>1292</v>
      </c>
      <c r="P66" s="32">
        <f>IFERROR(__xludf.DUMMYFUNCTION("""COMPUTED_VALUE"""),4.4375)</f>
        <v>4.4375</v>
      </c>
      <c r="Q66" s="32">
        <f>IFERROR(__xludf.DUMMYFUNCTION("""COMPUTED_VALUE"""),1292.0)</f>
        <v>1292</v>
      </c>
      <c r="R66" s="32">
        <f>IFERROR(__xludf.DUMMYFUNCTION("""COMPUTED_VALUE"""),9223.099629565)</f>
        <v>9223.09963</v>
      </c>
      <c r="S66" s="32">
        <f>IFERROR(__xludf.DUMMYFUNCTION("""COMPUTED_VALUE"""),8171.994881185)</f>
        <v>8171.994881</v>
      </c>
      <c r="T66" s="32">
        <f>IFERROR(__xludf.DUMMYFUNCTION("""COMPUTED_VALUE"""),-2.092492)</f>
        <v>-2.092492</v>
      </c>
      <c r="U66" s="32">
        <f>IFERROR(__xludf.DUMMYFUNCTION("""COMPUTED_VALUE"""),1.451564)</f>
        <v>1.451564</v>
      </c>
      <c r="V66" s="32">
        <f>IFERROR(__xludf.DUMMYFUNCTION("""COMPUTED_VALUE"""),4.878508)</f>
        <v>4.878508</v>
      </c>
      <c r="W66" s="32">
        <f>IFERROR(__xludf.DUMMYFUNCTION("""COMPUTED_VALUE"""),-15.649144)</f>
        <v>-15.649144</v>
      </c>
      <c r="X66" s="32">
        <f>IFERROR(__xludf.DUMMYFUNCTION("""COMPUTED_VALUE"""),24.788537)</f>
        <v>24.788537</v>
      </c>
      <c r="Y66" s="32">
        <f>IFERROR(__xludf.DUMMYFUNCTION("""COMPUTED_VALUE"""),9.425527)</f>
        <v>9.425527</v>
      </c>
      <c r="Z66" s="32">
        <f>IFERROR(__xludf.DUMMYFUNCTION("""COMPUTED_VALUE"""),16.603654)</f>
        <v>16.603654</v>
      </c>
      <c r="AA66" s="32">
        <f>IFERROR(__xludf.DUMMYFUNCTION("""COMPUTED_VALUE"""),17.6215)</f>
        <v>17.6215</v>
      </c>
      <c r="AB66" s="32">
        <f>IFERROR(__xludf.DUMMYFUNCTION("""COMPUTED_VALUE"""),17.3775)</f>
        <v>17.3775</v>
      </c>
      <c r="AC66" s="32">
        <f>IFERROR(__xludf.DUMMYFUNCTION("""COMPUTED_VALUE"""),2.8737)</f>
        <v>2.8737</v>
      </c>
      <c r="AD66" s="32">
        <f>IFERROR(__xludf.DUMMYFUNCTION("""COMPUTED_VALUE"""),2.76405)</f>
        <v>2.76405</v>
      </c>
      <c r="AE66" s="32">
        <f>IFERROR(__xludf.DUMMYFUNCTION("""COMPUTED_VALUE"""),10.620646)</f>
        <v>10.620646</v>
      </c>
      <c r="AF66" s="32">
        <f>IFERROR(__xludf.DUMMYFUNCTION("""COMPUTED_VALUE"""),1.965297)</f>
        <v>1.965297</v>
      </c>
      <c r="AG66" s="32">
        <f>IFERROR(__xludf.DUMMYFUNCTION("""COMPUTED_VALUE"""),2.8713)</f>
        <v>2.8713</v>
      </c>
      <c r="AH66" s="32">
        <f>IFERROR(__xludf.DUMMYFUNCTION("""COMPUTED_VALUE"""),8.65036)</f>
        <v>8.65036</v>
      </c>
      <c r="AI66" s="32">
        <f>IFERROR(__xludf.DUMMYFUNCTION("""COMPUTED_VALUE"""),1.9514418529431057)</f>
        <v>1.951441853</v>
      </c>
      <c r="AJ66" s="32">
        <f>IFERROR(__xludf.DUMMYFUNCTION("""COMPUTED_VALUE"""),14.536012024531127)</f>
        <v>14.53601202</v>
      </c>
      <c r="AK66" s="32">
        <f>IFERROR(__xludf.DUMMYFUNCTION("""COMPUTED_VALUE"""),47.3768)</f>
        <v>47.3768</v>
      </c>
      <c r="AL66" s="32">
        <f>IFERROR(__xludf.DUMMYFUNCTION("""COMPUTED_VALUE"""),290.5187)</f>
        <v>290.5187</v>
      </c>
      <c r="AM66" s="32">
        <f>IFERROR(__xludf.DUMMYFUNCTION("""COMPUTED_VALUE"""),57.472826)</f>
        <v>57.472826</v>
      </c>
      <c r="AN66" s="32">
        <f>IFERROR(__xludf.DUMMYFUNCTION("""COMPUTED_VALUE"""),50.04529)</f>
        <v>50.04529</v>
      </c>
      <c r="AO66" s="32">
        <f>IFERROR(__xludf.DUMMYFUNCTION("""COMPUTED_VALUE"""),24.0)</f>
        <v>24</v>
      </c>
      <c r="AP66" s="32">
        <f>IFERROR(__xludf.DUMMYFUNCTION("""COMPUTED_VALUE"""),0.35356037151702785)</f>
        <v>0.3535603715</v>
      </c>
      <c r="AQ66" s="13"/>
      <c r="AR66" s="13"/>
      <c r="AS66" s="13"/>
      <c r="AT66" s="13"/>
      <c r="AU66" s="13"/>
      <c r="AV66" s="13"/>
      <c r="AW66" s="13"/>
      <c r="AX66" s="13"/>
      <c r="AY66" s="13"/>
      <c r="AZ66" s="13"/>
    </row>
    <row r="67">
      <c r="A67" s="13" t="str">
        <f>IFERROR(__xludf.DUMMYFUNCTION("""COMPUTED_VALUE"""),"ICICI Securities Ltd.")</f>
        <v>ICICI Securities Ltd.</v>
      </c>
      <c r="B67" s="30">
        <f>IFERROR(__xludf.DUMMYFUNCTION("""COMPUTED_VALUE"""),541179.0)</f>
        <v>541179</v>
      </c>
      <c r="C67" s="13" t="str">
        <f>IFERROR(__xludf.DUMMYFUNCTION("""COMPUTED_VALUE"""),"ISEC")</f>
        <v>ISEC</v>
      </c>
      <c r="D67" s="13" t="str">
        <f>IFERROR(__xludf.DUMMYFUNCTION("""COMPUTED_VALUE"""),"INE763G01020")</f>
        <v>INE763G01020</v>
      </c>
      <c r="E67" s="13" t="str">
        <f>IFERROR(__xludf.DUMMYFUNCTION("""COMPUTED_VALUE"""),"Financial")</f>
        <v>Financial</v>
      </c>
      <c r="F67" s="13" t="str">
        <f>IFERROR(__xludf.DUMMYFUNCTION("""COMPUTED_VALUE"""),"Brokerage Services")</f>
        <v>Brokerage Services</v>
      </c>
      <c r="G67" s="31">
        <f>IFERROR(__xludf.DUMMYFUNCTION("""COMPUTED_VALUE"""),44809.0)</f>
        <v>44809</v>
      </c>
      <c r="H67" s="32">
        <f>IFERROR(__xludf.DUMMYFUNCTION("""COMPUTED_VALUE"""),499.3)</f>
        <v>499.3</v>
      </c>
      <c r="I67" s="32">
        <f>IFERROR(__xludf.DUMMYFUNCTION("""COMPUTED_VALUE"""),-0.030033)</f>
        <v>-0.030033</v>
      </c>
      <c r="J67" s="32">
        <f>IFERROR(__xludf.DUMMYFUNCTION("""COMPUTED_VALUE"""),408.4)</f>
        <v>408.4</v>
      </c>
      <c r="K67" s="32">
        <f>IFERROR(__xludf.DUMMYFUNCTION("""COMPUTED_VALUE"""),896.05)</f>
        <v>896.05</v>
      </c>
      <c r="L67" s="32">
        <f>IFERROR(__xludf.DUMMYFUNCTION("""COMPUTED_VALUE"""),203.6)</f>
        <v>203.6</v>
      </c>
      <c r="M67" s="32">
        <f>IFERROR(__xludf.DUMMYFUNCTION("""COMPUTED_VALUE"""),896.05)</f>
        <v>896.05</v>
      </c>
      <c r="N67" s="13"/>
      <c r="O67" s="13"/>
      <c r="P67" s="32">
        <f>IFERROR(__xludf.DUMMYFUNCTION("""COMPUTED_VALUE"""),188.0)</f>
        <v>188</v>
      </c>
      <c r="Q67" s="32">
        <f>IFERROR(__xludf.DUMMYFUNCTION("""COMPUTED_VALUE"""),896.05)</f>
        <v>896.05</v>
      </c>
      <c r="R67" s="32">
        <f>IFERROR(__xludf.DUMMYFUNCTION("""COMPUTED_VALUE"""),16094.54678346)</f>
        <v>16094.54678</v>
      </c>
      <c r="S67" s="32">
        <f>IFERROR(__xludf.DUMMYFUNCTION("""COMPUTED_VALUE"""),18271.559971415)</f>
        <v>18271.55997</v>
      </c>
      <c r="T67" s="32">
        <f>IFERROR(__xludf.DUMMYFUNCTION("""COMPUTED_VALUE"""),-0.329374)</f>
        <v>-0.329374</v>
      </c>
      <c r="U67" s="32">
        <f>IFERROR(__xludf.DUMMYFUNCTION("""COMPUTED_VALUE"""),0.321479)</f>
        <v>0.321479</v>
      </c>
      <c r="V67" s="32">
        <f>IFERROR(__xludf.DUMMYFUNCTION("""COMPUTED_VALUE"""),8.425624)</f>
        <v>8.425624</v>
      </c>
      <c r="W67" s="32">
        <f>IFERROR(__xludf.DUMMYFUNCTION("""COMPUTED_VALUE"""),-35.344772)</f>
        <v>-35.344772</v>
      </c>
      <c r="X67" s="32">
        <f>IFERROR(__xludf.DUMMYFUNCTION("""COMPUTED_VALUE"""),32.632289)</f>
        <v>32.632289</v>
      </c>
      <c r="Y67" s="13"/>
      <c r="Z67" s="13"/>
      <c r="AA67" s="32">
        <f>IFERROR(__xludf.DUMMYFUNCTION("""COMPUTED_VALUE"""),11.962)</f>
        <v>11.962</v>
      </c>
      <c r="AB67" s="32">
        <f>IFERROR(__xludf.DUMMYFUNCTION("""COMPUTED_VALUE"""),19.3968)</f>
        <v>19.3968</v>
      </c>
      <c r="AC67" s="32">
        <f>IFERROR(__xludf.DUMMYFUNCTION("""COMPUTED_VALUE"""),6.012)</f>
        <v>6.012</v>
      </c>
      <c r="AD67" s="32">
        <f>IFERROR(__xludf.DUMMYFUNCTION("""COMPUTED_VALUE"""),9.98285)</f>
        <v>9.98285</v>
      </c>
      <c r="AE67" s="32">
        <f>IFERROR(__xludf.DUMMYFUNCTION("""COMPUTED_VALUE"""),12.08576)</f>
        <v>12.08576</v>
      </c>
      <c r="AF67" s="32">
        <f>IFERROR(__xludf.DUMMYFUNCTION("""COMPUTED_VALUE"""),0.285347)</f>
        <v>0.285347</v>
      </c>
      <c r="AG67" s="32">
        <f>IFERROR(__xludf.DUMMYFUNCTION("""COMPUTED_VALUE"""),4.8135)</f>
        <v>4.8135</v>
      </c>
      <c r="AH67" s="32">
        <f>IFERROR(__xludf.DUMMYFUNCTION("""COMPUTED_VALUE"""),8.305632)</f>
        <v>8.305632</v>
      </c>
      <c r="AI67" s="32">
        <f>IFERROR(__xludf.DUMMYFUNCTION("""COMPUTED_VALUE"""),4.624391380046892)</f>
        <v>4.62439138</v>
      </c>
      <c r="AJ67" s="32">
        <f>IFERROR(__xludf.DUMMYFUNCTION("""COMPUTED_VALUE"""),-6.19626357420711)</f>
        <v>-6.196263574</v>
      </c>
      <c r="AK67" s="32">
        <f>IFERROR(__xludf.DUMMYFUNCTION("""COMPUTED_VALUE"""),41.6819)</f>
        <v>41.6819</v>
      </c>
      <c r="AL67" s="32">
        <f>IFERROR(__xludf.DUMMYFUNCTION("""COMPUTED_VALUE"""),82.9337)</f>
        <v>82.9337</v>
      </c>
      <c r="AM67" s="32">
        <f>IFERROR(__xludf.DUMMYFUNCTION("""COMPUTED_VALUE"""),-80.496467)</f>
        <v>-80.496467</v>
      </c>
      <c r="AN67" s="32">
        <f>IFERROR(__xludf.DUMMYFUNCTION("""COMPUTED_VALUE"""),-90.622288)</f>
        <v>-90.622288</v>
      </c>
      <c r="AO67" s="32">
        <f>IFERROR(__xludf.DUMMYFUNCTION("""COMPUTED_VALUE"""),24.0)</f>
        <v>24</v>
      </c>
      <c r="AP67" s="32">
        <f>IFERROR(__xludf.DUMMYFUNCTION("""COMPUTED_VALUE"""),0.44277663076837226)</f>
        <v>0.4427766308</v>
      </c>
      <c r="AQ67" s="13"/>
      <c r="AR67" s="13"/>
      <c r="AS67" s="13"/>
      <c r="AT67" s="13"/>
      <c r="AU67" s="13"/>
      <c r="AV67" s="13"/>
      <c r="AW67" s="13"/>
      <c r="AX67" s="13"/>
      <c r="AY67" s="13"/>
      <c r="AZ67" s="13"/>
    </row>
    <row r="68">
      <c r="A68" s="13" t="str">
        <f>IFERROR(__xludf.DUMMYFUNCTION("""COMPUTED_VALUE"""),"Supreme Industries Ltd.")</f>
        <v>Supreme Industries Ltd.</v>
      </c>
      <c r="B68" s="30">
        <f>IFERROR(__xludf.DUMMYFUNCTION("""COMPUTED_VALUE"""),509930.0)</f>
        <v>509930</v>
      </c>
      <c r="C68" s="13" t="str">
        <f>IFERROR(__xludf.DUMMYFUNCTION("""COMPUTED_VALUE"""),"SUPREMEIND")</f>
        <v>SUPREMEIND</v>
      </c>
      <c r="D68" s="13" t="str">
        <f>IFERROR(__xludf.DUMMYFUNCTION("""COMPUTED_VALUE"""),"INE195A01028")</f>
        <v>INE195A01028</v>
      </c>
      <c r="E68" s="13" t="str">
        <f>IFERROR(__xludf.DUMMYFUNCTION("""COMPUTED_VALUE"""),"Materials")</f>
        <v>Materials</v>
      </c>
      <c r="F68" s="13" t="str">
        <f>IFERROR(__xludf.DUMMYFUNCTION("""COMPUTED_VALUE"""),"Plastic Tubes &amp; Pipes")</f>
        <v>Plastic Tubes &amp; Pipes</v>
      </c>
      <c r="G68" s="31">
        <f>IFERROR(__xludf.DUMMYFUNCTION("""COMPUTED_VALUE"""),44809.0)</f>
        <v>44809</v>
      </c>
      <c r="H68" s="32">
        <f>IFERROR(__xludf.DUMMYFUNCTION("""COMPUTED_VALUE"""),2060.7)</f>
        <v>2060.7</v>
      </c>
      <c r="I68" s="32">
        <f>IFERROR(__xludf.DUMMYFUNCTION("""COMPUTED_VALUE"""),3.957624)</f>
        <v>3.957624</v>
      </c>
      <c r="J68" s="32">
        <f>IFERROR(__xludf.DUMMYFUNCTION("""COMPUTED_VALUE"""),1666.25)</f>
        <v>1666.25</v>
      </c>
      <c r="K68" s="32">
        <f>IFERROR(__xludf.DUMMYFUNCTION("""COMPUTED_VALUE"""),2693.9)</f>
        <v>2693.9</v>
      </c>
      <c r="L68" s="32">
        <f>IFERROR(__xludf.DUMMYFUNCTION("""COMPUTED_VALUE"""),773.3)</f>
        <v>773.3</v>
      </c>
      <c r="M68" s="32">
        <f>IFERROR(__xludf.DUMMYFUNCTION("""COMPUTED_VALUE"""),2693.9)</f>
        <v>2693.9</v>
      </c>
      <c r="N68" s="32">
        <f>IFERROR(__xludf.DUMMYFUNCTION("""COMPUTED_VALUE"""),773.3)</f>
        <v>773.3</v>
      </c>
      <c r="O68" s="32">
        <f>IFERROR(__xludf.DUMMYFUNCTION("""COMPUTED_VALUE"""),2693.9)</f>
        <v>2693.9</v>
      </c>
      <c r="P68" s="32">
        <f>IFERROR(__xludf.DUMMYFUNCTION("""COMPUTED_VALUE"""),3.36)</f>
        <v>3.36</v>
      </c>
      <c r="Q68" s="32">
        <f>IFERROR(__xludf.DUMMYFUNCTION("""COMPUTED_VALUE"""),2693.9)</f>
        <v>2693.9</v>
      </c>
      <c r="R68" s="32">
        <f>IFERROR(__xludf.DUMMYFUNCTION("""COMPUTED_VALUE"""),26176.4271009)</f>
        <v>26176.4271</v>
      </c>
      <c r="S68" s="32">
        <f>IFERROR(__xludf.DUMMYFUNCTION("""COMPUTED_VALUE"""),24653.50130575)</f>
        <v>24653.50131</v>
      </c>
      <c r="T68" s="32">
        <f>IFERROR(__xludf.DUMMYFUNCTION("""COMPUTED_VALUE"""),7.071599)</f>
        <v>7.071599</v>
      </c>
      <c r="U68" s="32">
        <f>IFERROR(__xludf.DUMMYFUNCTION("""COMPUTED_VALUE"""),8.858954)</f>
        <v>8.858954</v>
      </c>
      <c r="V68" s="32">
        <f>IFERROR(__xludf.DUMMYFUNCTION("""COMPUTED_VALUE"""),10.820113)</f>
        <v>10.820113</v>
      </c>
      <c r="W68" s="32">
        <f>IFERROR(__xludf.DUMMYFUNCTION("""COMPUTED_VALUE"""),-4.355898)</f>
        <v>-4.355898</v>
      </c>
      <c r="X68" s="32">
        <f>IFERROR(__xludf.DUMMYFUNCTION("""COMPUTED_VALUE"""),23.477106)</f>
        <v>23.477106</v>
      </c>
      <c r="Y68" s="32">
        <f>IFERROR(__xludf.DUMMYFUNCTION("""COMPUTED_VALUE"""),11.865365)</f>
        <v>11.865365</v>
      </c>
      <c r="Z68" s="32">
        <f>IFERROR(__xludf.DUMMYFUNCTION("""COMPUTED_VALUE"""),22.082851)</f>
        <v>22.082851</v>
      </c>
      <c r="AA68" s="32">
        <f>IFERROR(__xludf.DUMMYFUNCTION("""COMPUTED_VALUE"""),25.8524)</f>
        <v>25.8524</v>
      </c>
      <c r="AB68" s="32">
        <f>IFERROR(__xludf.DUMMYFUNCTION("""COMPUTED_VALUE"""),30.31485)</f>
        <v>30.31485</v>
      </c>
      <c r="AC68" s="32">
        <f>IFERROR(__xludf.DUMMYFUNCTION("""COMPUTED_VALUE"""),6.5412)</f>
        <v>6.5412</v>
      </c>
      <c r="AD68" s="32">
        <f>IFERROR(__xludf.DUMMYFUNCTION("""COMPUTED_VALUE"""),7.2668)</f>
        <v>7.2668</v>
      </c>
      <c r="AE68" s="32">
        <f>IFERROR(__xludf.DUMMYFUNCTION("""COMPUTED_VALUE"""),4.266155)</f>
        <v>4.266155</v>
      </c>
      <c r="AF68" s="32">
        <f>IFERROR(__xludf.DUMMYFUNCTION("""COMPUTED_VALUE"""),1.44942)</f>
        <v>1.44942</v>
      </c>
      <c r="AG68" s="32">
        <f>IFERROR(__xludf.DUMMYFUNCTION("""COMPUTED_VALUE"""),1.1654)</f>
        <v>1.1654</v>
      </c>
      <c r="AH68" s="32">
        <f>IFERROR(__xludf.DUMMYFUNCTION("""COMPUTED_VALUE"""),18.83111)</f>
        <v>18.83111</v>
      </c>
      <c r="AI68" s="32">
        <f>IFERROR(__xludf.DUMMYFUNCTION("""COMPUTED_VALUE"""),3.030829655343695)</f>
        <v>3.030829655</v>
      </c>
      <c r="AJ68" s="32">
        <f>IFERROR(__xludf.DUMMYFUNCTION("""COMPUTED_VALUE"""),55.643617755882914)</f>
        <v>55.64361776</v>
      </c>
      <c r="AK68" s="32">
        <f>IFERROR(__xludf.DUMMYFUNCTION("""COMPUTED_VALUE"""),79.6792)</f>
        <v>79.6792</v>
      </c>
      <c r="AL68" s="32">
        <f>IFERROR(__xludf.DUMMYFUNCTION("""COMPUTED_VALUE"""),314.9102)</f>
        <v>314.9102</v>
      </c>
      <c r="AM68" s="32">
        <f>IFERROR(__xludf.DUMMYFUNCTION("""COMPUTED_VALUE"""),37.027155)</f>
        <v>37.027155</v>
      </c>
      <c r="AN68" s="32">
        <f>IFERROR(__xludf.DUMMYFUNCTION("""COMPUTED_VALUE"""),2.340024)</f>
        <v>2.340024</v>
      </c>
      <c r="AO68" s="32">
        <f>IFERROR(__xludf.DUMMYFUNCTION("""COMPUTED_VALUE"""),24.0)</f>
        <v>24</v>
      </c>
      <c r="AP68" s="32">
        <f>IFERROR(__xludf.DUMMYFUNCTION("""COMPUTED_VALUE"""),0.23504955640521186)</f>
        <v>0.2350495564</v>
      </c>
      <c r="AQ68" s="13"/>
      <c r="AR68" s="13"/>
      <c r="AS68" s="13"/>
      <c r="AT68" s="13"/>
      <c r="AU68" s="13"/>
      <c r="AV68" s="13"/>
      <c r="AW68" s="13"/>
      <c r="AX68" s="13"/>
      <c r="AY68" s="13"/>
      <c r="AZ68" s="13"/>
    </row>
    <row r="69">
      <c r="A69" s="13" t="str">
        <f>IFERROR(__xludf.DUMMYFUNCTION("""COMPUTED_VALUE"""),"Larsen &amp; Toubro Ltd.")</f>
        <v>Larsen &amp; Toubro Ltd.</v>
      </c>
      <c r="B69" s="30">
        <f>IFERROR(__xludf.DUMMYFUNCTION("""COMPUTED_VALUE"""),500510.0)</f>
        <v>500510</v>
      </c>
      <c r="C69" s="13" t="str">
        <f>IFERROR(__xludf.DUMMYFUNCTION("""COMPUTED_VALUE"""),"LT")</f>
        <v>LT</v>
      </c>
      <c r="D69" s="13" t="str">
        <f>IFERROR(__xludf.DUMMYFUNCTION("""COMPUTED_VALUE"""),"INE018A01030")</f>
        <v>INE018A01030</v>
      </c>
      <c r="E69" s="13" t="str">
        <f>IFERROR(__xludf.DUMMYFUNCTION("""COMPUTED_VALUE"""),"Construction")</f>
        <v>Construction</v>
      </c>
      <c r="F69" s="13" t="str">
        <f>IFERROR(__xludf.DUMMYFUNCTION("""COMPUTED_VALUE"""),"Infrastructure")</f>
        <v>Infrastructure</v>
      </c>
      <c r="G69" s="31">
        <f>IFERROR(__xludf.DUMMYFUNCTION("""COMPUTED_VALUE"""),44809.0)</f>
        <v>44809</v>
      </c>
      <c r="H69" s="32">
        <f>IFERROR(__xludf.DUMMYFUNCTION("""COMPUTED_VALUE"""),1968.35)</f>
        <v>1968.35</v>
      </c>
      <c r="I69" s="32">
        <f>IFERROR(__xludf.DUMMYFUNCTION("""COMPUTED_VALUE"""),1.435197)</f>
        <v>1.435197</v>
      </c>
      <c r="J69" s="32">
        <f>IFERROR(__xludf.DUMMYFUNCTION("""COMPUTED_VALUE"""),1456.35)</f>
        <v>1456.35</v>
      </c>
      <c r="K69" s="32">
        <f>IFERROR(__xludf.DUMMYFUNCTION("""COMPUTED_VALUE"""),2078.55)</f>
        <v>2078.55</v>
      </c>
      <c r="L69" s="32">
        <f>IFERROR(__xludf.DUMMYFUNCTION("""COMPUTED_VALUE"""),661.0)</f>
        <v>661</v>
      </c>
      <c r="M69" s="32">
        <f>IFERROR(__xludf.DUMMYFUNCTION("""COMPUTED_VALUE"""),2078.55)</f>
        <v>2078.55</v>
      </c>
      <c r="N69" s="32">
        <f>IFERROR(__xludf.DUMMYFUNCTION("""COMPUTED_VALUE"""),661.0)</f>
        <v>661</v>
      </c>
      <c r="O69" s="32">
        <f>IFERROR(__xludf.DUMMYFUNCTION("""COMPUTED_VALUE"""),2078.55)</f>
        <v>2078.55</v>
      </c>
      <c r="P69" s="32">
        <f>IFERROR(__xludf.DUMMYFUNCTION("""COMPUTED_VALUE"""),16.666667)</f>
        <v>16.666667</v>
      </c>
      <c r="Q69" s="32">
        <f>IFERROR(__xludf.DUMMYFUNCTION("""COMPUTED_VALUE"""),2078.55)</f>
        <v>2078.55</v>
      </c>
      <c r="R69" s="32">
        <f>IFERROR(__xludf.DUMMYFUNCTION("""COMPUTED_VALUE"""),276590.809655165)</f>
        <v>276590.8097</v>
      </c>
      <c r="S69" s="32">
        <f>IFERROR(__xludf.DUMMYFUNCTION("""COMPUTED_VALUE"""),347336.668561995)</f>
        <v>347336.6686</v>
      </c>
      <c r="T69" s="32">
        <f>IFERROR(__xludf.DUMMYFUNCTION("""COMPUTED_VALUE"""),3.303768)</f>
        <v>3.303768</v>
      </c>
      <c r="U69" s="32">
        <f>IFERROR(__xludf.DUMMYFUNCTION("""COMPUTED_VALUE"""),10.575249)</f>
        <v>10.575249</v>
      </c>
      <c r="V69" s="32">
        <f>IFERROR(__xludf.DUMMYFUNCTION("""COMPUTED_VALUE"""),19.14591)</f>
        <v>19.14591</v>
      </c>
      <c r="W69" s="32">
        <f>IFERROR(__xludf.DUMMYFUNCTION("""COMPUTED_VALUE"""),16.36713)</f>
        <v>16.36713</v>
      </c>
      <c r="X69" s="32">
        <f>IFERROR(__xludf.DUMMYFUNCTION("""COMPUTED_VALUE"""),14.593326)</f>
        <v>14.593326</v>
      </c>
      <c r="Y69" s="32">
        <f>IFERROR(__xludf.DUMMYFUNCTION("""COMPUTED_VALUE"""),11.726148)</f>
        <v>11.726148</v>
      </c>
      <c r="Z69" s="32">
        <f>IFERROR(__xludf.DUMMYFUNCTION("""COMPUTED_VALUE"""),12.483335)</f>
        <v>12.483335</v>
      </c>
      <c r="AA69" s="32">
        <f>IFERROR(__xludf.DUMMYFUNCTION("""COMPUTED_VALUE"""),30.0727)</f>
        <v>30.0727</v>
      </c>
      <c r="AB69" s="32">
        <f>IFERROR(__xludf.DUMMYFUNCTION("""COMPUTED_VALUE"""),21.86115)</f>
        <v>21.86115</v>
      </c>
      <c r="AC69" s="32">
        <f>IFERROR(__xludf.DUMMYFUNCTION("""COMPUTED_VALUE"""),3.2797)</f>
        <v>3.2797</v>
      </c>
      <c r="AD69" s="32">
        <f>IFERROR(__xludf.DUMMYFUNCTION("""COMPUTED_VALUE"""),3.0288)</f>
        <v>3.0288</v>
      </c>
      <c r="AE69" s="32">
        <f>IFERROR(__xludf.DUMMYFUNCTION("""COMPUTED_VALUE"""),7.480316)</f>
        <v>7.480316</v>
      </c>
      <c r="AF69" s="32">
        <f>IFERROR(__xludf.DUMMYFUNCTION("""COMPUTED_VALUE"""),3.255692)</f>
        <v>3.255692</v>
      </c>
      <c r="AG69" s="32">
        <f>IFERROR(__xludf.DUMMYFUNCTION("""COMPUTED_VALUE"""),1.1177)</f>
        <v>1.1177</v>
      </c>
      <c r="AH69" s="32">
        <f>IFERROR(__xludf.DUMMYFUNCTION("""COMPUTED_VALUE"""),12.788782)</f>
        <v>12.788782</v>
      </c>
      <c r="AI69" s="32">
        <f>IFERROR(__xludf.DUMMYFUNCTION("""COMPUTED_VALUE"""),1.6964630493051416)</f>
        <v>1.696463049</v>
      </c>
      <c r="AJ69" s="32">
        <f>IFERROR(__xludf.DUMMYFUNCTION("""COMPUTED_VALUE"""),14.433149216125848)</f>
        <v>14.43314922</v>
      </c>
      <c r="AK69" s="32">
        <f>IFERROR(__xludf.DUMMYFUNCTION("""COMPUTED_VALUE"""),65.4498)</f>
        <v>65.4498</v>
      </c>
      <c r="AL69" s="32">
        <f>IFERROR(__xludf.DUMMYFUNCTION("""COMPUTED_VALUE"""),600.1251)</f>
        <v>600.1251</v>
      </c>
      <c r="AM69" s="32">
        <f>IFERROR(__xludf.DUMMYFUNCTION("""COMPUTED_VALUE"""),136.390733)</f>
        <v>136.390733</v>
      </c>
      <c r="AN69" s="32">
        <f>IFERROR(__xludf.DUMMYFUNCTION("""COMPUTED_VALUE"""),105.93929)</f>
        <v>105.93929</v>
      </c>
      <c r="AO69" s="32">
        <f>IFERROR(__xludf.DUMMYFUNCTION("""COMPUTED_VALUE"""),22.0)</f>
        <v>22</v>
      </c>
      <c r="AP69" s="32">
        <f>IFERROR(__xludf.DUMMYFUNCTION("""COMPUTED_VALUE"""),0.05301772870510705)</f>
        <v>0.05301772871</v>
      </c>
      <c r="AQ69" s="13"/>
      <c r="AR69" s="13"/>
      <c r="AS69" s="13"/>
      <c r="AT69" s="13"/>
      <c r="AU69" s="13"/>
      <c r="AV69" s="13"/>
      <c r="AW69" s="13"/>
      <c r="AX69" s="13"/>
      <c r="AY69" s="13"/>
      <c r="AZ69" s="13"/>
    </row>
    <row r="70">
      <c r="A70" s="13" t="str">
        <f>IFERROR(__xludf.DUMMYFUNCTION("""COMPUTED_VALUE"""),"Eicher Motors Ltd.")</f>
        <v>Eicher Motors Ltd.</v>
      </c>
      <c r="B70" s="30">
        <f>IFERROR(__xludf.DUMMYFUNCTION("""COMPUTED_VALUE"""),505200.0)</f>
        <v>505200</v>
      </c>
      <c r="C70" s="13" t="str">
        <f>IFERROR(__xludf.DUMMYFUNCTION("""COMPUTED_VALUE"""),"EICHERMOT")</f>
        <v>EICHERMOT</v>
      </c>
      <c r="D70" s="13" t="str">
        <f>IFERROR(__xludf.DUMMYFUNCTION("""COMPUTED_VALUE"""),"INE066A01021")</f>
        <v>INE066A01021</v>
      </c>
      <c r="E70" s="13" t="str">
        <f>IFERROR(__xludf.DUMMYFUNCTION("""COMPUTED_VALUE"""),"Automobile")</f>
        <v>Automobile</v>
      </c>
      <c r="F70" s="13" t="str">
        <f>IFERROR(__xludf.DUMMYFUNCTION("""COMPUTED_VALUE"""),"Two &amp; Three Wheelers")</f>
        <v>Two &amp; Three Wheelers</v>
      </c>
      <c r="G70" s="31">
        <f>IFERROR(__xludf.DUMMYFUNCTION("""COMPUTED_VALUE"""),44809.0)</f>
        <v>44809</v>
      </c>
      <c r="H70" s="32">
        <f>IFERROR(__xludf.DUMMYFUNCTION("""COMPUTED_VALUE"""),3400.5)</f>
        <v>3400.5</v>
      </c>
      <c r="I70" s="32">
        <f>IFERROR(__xludf.DUMMYFUNCTION("""COMPUTED_VALUE"""),-0.631191)</f>
        <v>-0.631191</v>
      </c>
      <c r="J70" s="32">
        <f>IFERROR(__xludf.DUMMYFUNCTION("""COMPUTED_VALUE"""),2159.55)</f>
        <v>2159.55</v>
      </c>
      <c r="K70" s="32">
        <f>IFERROR(__xludf.DUMMYFUNCTION("""COMPUTED_VALUE"""),3513.7)</f>
        <v>3513.7</v>
      </c>
      <c r="L70" s="32">
        <f>IFERROR(__xludf.DUMMYFUNCTION("""COMPUTED_VALUE"""),1245.01)</f>
        <v>1245.01</v>
      </c>
      <c r="M70" s="32">
        <f>IFERROR(__xludf.DUMMYFUNCTION("""COMPUTED_VALUE"""),3513.7)</f>
        <v>3513.7</v>
      </c>
      <c r="N70" s="32">
        <f>IFERROR(__xludf.DUMMYFUNCTION("""COMPUTED_VALUE"""),1245.01)</f>
        <v>1245.01</v>
      </c>
      <c r="O70" s="32">
        <f>IFERROR(__xludf.DUMMYFUNCTION("""COMPUTED_VALUE"""),3513.7)</f>
        <v>3513.7</v>
      </c>
      <c r="P70" s="32">
        <f>IFERROR(__xludf.DUMMYFUNCTION("""COMPUTED_VALUE"""),1.5)</f>
        <v>1.5</v>
      </c>
      <c r="Q70" s="32">
        <f>IFERROR(__xludf.DUMMYFUNCTION("""COMPUTED_VALUE"""),3513.7)</f>
        <v>3513.7</v>
      </c>
      <c r="R70" s="32">
        <f>IFERROR(__xludf.DUMMYFUNCTION("""COMPUTED_VALUE"""),92988.617586)</f>
        <v>92988.61759</v>
      </c>
      <c r="S70" s="32">
        <f>IFERROR(__xludf.DUMMYFUNCTION("""COMPUTED_VALUE"""),90481.390991)</f>
        <v>90481.39099</v>
      </c>
      <c r="T70" s="32">
        <f>IFERROR(__xludf.DUMMYFUNCTION("""COMPUTED_VALUE"""),1.353164)</f>
        <v>1.353164</v>
      </c>
      <c r="U70" s="32">
        <f>IFERROR(__xludf.DUMMYFUNCTION("""COMPUTED_VALUE"""),8.09651)</f>
        <v>8.09651</v>
      </c>
      <c r="V70" s="32">
        <f>IFERROR(__xludf.DUMMYFUNCTION("""COMPUTED_VALUE"""),26.636254)</f>
        <v>26.636254</v>
      </c>
      <c r="W70" s="32">
        <f>IFERROR(__xludf.DUMMYFUNCTION("""COMPUTED_VALUE"""),21.333762)</f>
        <v>21.333762</v>
      </c>
      <c r="X70" s="32">
        <f>IFERROR(__xludf.DUMMYFUNCTION("""COMPUTED_VALUE"""),29.542755)</f>
        <v>29.542755</v>
      </c>
      <c r="Y70" s="32">
        <f>IFERROR(__xludf.DUMMYFUNCTION("""COMPUTED_VALUE"""),1.379489)</f>
        <v>1.379489</v>
      </c>
      <c r="Z70" s="32">
        <f>IFERROR(__xludf.DUMMYFUNCTION("""COMPUTED_VALUE"""),32.2361)</f>
        <v>32.2361</v>
      </c>
      <c r="AA70" s="32">
        <f>IFERROR(__xludf.DUMMYFUNCTION("""COMPUTED_VALUE"""),45.3401)</f>
        <v>45.3401</v>
      </c>
      <c r="AB70" s="32">
        <f>IFERROR(__xludf.DUMMYFUNCTION("""COMPUTED_VALUE"""),40.29995)</f>
        <v>40.29995</v>
      </c>
      <c r="AC70" s="32">
        <f>IFERROR(__xludf.DUMMYFUNCTION("""COMPUTED_VALUE"""),7.0719)</f>
        <v>7.0719</v>
      </c>
      <c r="AD70" s="32">
        <f>IFERROR(__xludf.DUMMYFUNCTION("""COMPUTED_VALUE"""),6.40675)</f>
        <v>6.40675</v>
      </c>
      <c r="AE70" s="32">
        <f>IFERROR(__xludf.DUMMYFUNCTION("""COMPUTED_VALUE"""),3.246674)</f>
        <v>3.246674</v>
      </c>
      <c r="AF70" s="32">
        <f>IFERROR(__xludf.DUMMYFUNCTION("""COMPUTED_VALUE"""),13.123176)</f>
        <v>13.123176</v>
      </c>
      <c r="AG70" s="32">
        <f>IFERROR(__xludf.DUMMYFUNCTION("""COMPUTED_VALUE"""),0.6177)</f>
        <v>0.6177</v>
      </c>
      <c r="AH70" s="32">
        <f>IFERROR(__xludf.DUMMYFUNCTION("""COMPUTED_VALUE"""),30.08195)</f>
        <v>30.08195</v>
      </c>
      <c r="AI70" s="32">
        <f>IFERROR(__xludf.DUMMYFUNCTION("""COMPUTED_VALUE"""),8.078920522883086)</f>
        <v>8.078920523</v>
      </c>
      <c r="AJ70" s="32">
        <f>IFERROR(__xludf.DUMMYFUNCTION("""COMPUTED_VALUE"""),60.89468356166178)</f>
        <v>60.89468356</v>
      </c>
      <c r="AK70" s="32">
        <f>IFERROR(__xludf.DUMMYFUNCTION("""COMPUTED_VALUE"""),74.9712)</f>
        <v>74.9712</v>
      </c>
      <c r="AL70" s="32">
        <f>IFERROR(__xludf.DUMMYFUNCTION("""COMPUTED_VALUE"""),480.6601)</f>
        <v>480.6601</v>
      </c>
      <c r="AM70" s="32">
        <f>IFERROR(__xludf.DUMMYFUNCTION("""COMPUTED_VALUE"""),55.853694)</f>
        <v>55.853694</v>
      </c>
      <c r="AN70" s="32">
        <f>IFERROR(__xludf.DUMMYFUNCTION("""COMPUTED_VALUE"""),46.718727)</f>
        <v>46.718727</v>
      </c>
      <c r="AO70" s="32">
        <f>IFERROR(__xludf.DUMMYFUNCTION("""COMPUTED_VALUE"""),21.0)</f>
        <v>21</v>
      </c>
      <c r="AP70" s="32">
        <f>IFERROR(__xludf.DUMMYFUNCTION("""COMPUTED_VALUE"""),0.03221675157241649)</f>
        <v>0.03221675157</v>
      </c>
      <c r="AQ70" s="13"/>
      <c r="AR70" s="13"/>
      <c r="AS70" s="13"/>
      <c r="AT70" s="13"/>
      <c r="AU70" s="13"/>
      <c r="AV70" s="13"/>
      <c r="AW70" s="13"/>
      <c r="AX70" s="13"/>
      <c r="AY70" s="13"/>
      <c r="AZ70" s="13"/>
    </row>
    <row r="71">
      <c r="A71" s="13" t="str">
        <f>IFERROR(__xludf.DUMMYFUNCTION("""COMPUTED_VALUE"""),"Sonata Software Ltd.")</f>
        <v>Sonata Software Ltd.</v>
      </c>
      <c r="B71" s="30">
        <f>IFERROR(__xludf.DUMMYFUNCTION("""COMPUTED_VALUE"""),532221.0)</f>
        <v>532221</v>
      </c>
      <c r="C71" s="13" t="str">
        <f>IFERROR(__xludf.DUMMYFUNCTION("""COMPUTED_VALUE"""),"SONATSOFTW")</f>
        <v>SONATSOFTW</v>
      </c>
      <c r="D71" s="13" t="str">
        <f>IFERROR(__xludf.DUMMYFUNCTION("""COMPUTED_VALUE"""),"INE269A01021")</f>
        <v>INE269A01021</v>
      </c>
      <c r="E71" s="13" t="str">
        <f>IFERROR(__xludf.DUMMYFUNCTION("""COMPUTED_VALUE"""),"Technology")</f>
        <v>Technology</v>
      </c>
      <c r="F71" s="13" t="str">
        <f>IFERROR(__xludf.DUMMYFUNCTION("""COMPUTED_VALUE"""),"Software")</f>
        <v>Software</v>
      </c>
      <c r="G71" s="31">
        <f>IFERROR(__xludf.DUMMYFUNCTION("""COMPUTED_VALUE"""),44809.0)</f>
        <v>44809</v>
      </c>
      <c r="H71" s="32">
        <f>IFERROR(__xludf.DUMMYFUNCTION("""COMPUTED_VALUE"""),716.05)</f>
        <v>716.05</v>
      </c>
      <c r="I71" s="32">
        <f>IFERROR(__xludf.DUMMYFUNCTION("""COMPUTED_VALUE"""),-0.555517)</f>
        <v>-0.555517</v>
      </c>
      <c r="J71" s="32">
        <f>IFERROR(__xludf.DUMMYFUNCTION("""COMPUTED_VALUE"""),610.1)</f>
        <v>610.1</v>
      </c>
      <c r="K71" s="32">
        <f>IFERROR(__xludf.DUMMYFUNCTION("""COMPUTED_VALUE"""),1030.0)</f>
        <v>1030</v>
      </c>
      <c r="L71" s="32">
        <f>IFERROR(__xludf.DUMMYFUNCTION("""COMPUTED_VALUE"""),147.25)</f>
        <v>147.25</v>
      </c>
      <c r="M71" s="32">
        <f>IFERROR(__xludf.DUMMYFUNCTION("""COMPUTED_VALUE"""),1030.0)</f>
        <v>1030</v>
      </c>
      <c r="N71" s="32">
        <f>IFERROR(__xludf.DUMMYFUNCTION("""COMPUTED_VALUE"""),144.7)</f>
        <v>144.7</v>
      </c>
      <c r="O71" s="32">
        <f>IFERROR(__xludf.DUMMYFUNCTION("""COMPUTED_VALUE"""),1030.0)</f>
        <v>1030</v>
      </c>
      <c r="P71" s="32">
        <f>IFERROR(__xludf.DUMMYFUNCTION("""COMPUTED_VALUE"""),5.75)</f>
        <v>5.75</v>
      </c>
      <c r="Q71" s="32">
        <f>IFERROR(__xludf.DUMMYFUNCTION("""COMPUTED_VALUE"""),1030.0)</f>
        <v>1030</v>
      </c>
      <c r="R71" s="32">
        <f>IFERROR(__xludf.DUMMYFUNCTION("""COMPUTED_VALUE"""),7540.44803673)</f>
        <v>7540.448037</v>
      </c>
      <c r="S71" s="32">
        <f>IFERROR(__xludf.DUMMYFUNCTION("""COMPUTED_VALUE"""),6701.91538689)</f>
        <v>6701.915387</v>
      </c>
      <c r="T71" s="32">
        <f>IFERROR(__xludf.DUMMYFUNCTION("""COMPUTED_VALUE"""),1.308715)</f>
        <v>1.308715</v>
      </c>
      <c r="U71" s="32">
        <f>IFERROR(__xludf.DUMMYFUNCTION("""COMPUTED_VALUE"""),0.554697)</f>
        <v>0.554697</v>
      </c>
      <c r="V71" s="32">
        <f>IFERROR(__xludf.DUMMYFUNCTION("""COMPUTED_VALUE"""),2.747883)</f>
        <v>2.747883</v>
      </c>
      <c r="W71" s="32">
        <f>IFERROR(__xludf.DUMMYFUNCTION("""COMPUTED_VALUE"""),-16.334638)</f>
        <v>-16.334638</v>
      </c>
      <c r="X71" s="32">
        <f>IFERROR(__xludf.DUMMYFUNCTION("""COMPUTED_VALUE"""),32.957872)</f>
        <v>32.957872</v>
      </c>
      <c r="Y71" s="32">
        <f>IFERROR(__xludf.DUMMYFUNCTION("""COMPUTED_VALUE"""),35.253145)</f>
        <v>35.253145</v>
      </c>
      <c r="Z71" s="32">
        <f>IFERROR(__xludf.DUMMYFUNCTION("""COMPUTED_VALUE"""),43.67824)</f>
        <v>43.67824</v>
      </c>
      <c r="AA71" s="32">
        <f>IFERROR(__xludf.DUMMYFUNCTION("""COMPUTED_VALUE"""),18.9697)</f>
        <v>18.9697</v>
      </c>
      <c r="AB71" s="32">
        <f>IFERROR(__xludf.DUMMYFUNCTION("""COMPUTED_VALUE"""),16.8832)</f>
        <v>16.8832</v>
      </c>
      <c r="AC71" s="32">
        <f>IFERROR(__xludf.DUMMYFUNCTION("""COMPUTED_VALUE"""),6.2606)</f>
        <v>6.2606</v>
      </c>
      <c r="AD71" s="32">
        <f>IFERROR(__xludf.DUMMYFUNCTION("""COMPUTED_VALUE"""),5.0523)</f>
        <v>5.0523</v>
      </c>
      <c r="AE71" s="32">
        <f>IFERROR(__xludf.DUMMYFUNCTION("""COMPUTED_VALUE"""),9.574797)</f>
        <v>9.574797</v>
      </c>
      <c r="AF71" s="32">
        <f>IFERROR(__xludf.DUMMYFUNCTION("""COMPUTED_VALUE"""),0.937475)</f>
        <v>0.937475</v>
      </c>
      <c r="AG71" s="32">
        <f>IFERROR(__xludf.DUMMYFUNCTION("""COMPUTED_VALUE"""),2.9287)</f>
        <v>2.9287</v>
      </c>
      <c r="AH71" s="32">
        <f>IFERROR(__xludf.DUMMYFUNCTION("""COMPUTED_VALUE"""),11.235776)</f>
        <v>11.235776</v>
      </c>
      <c r="AI71" s="32">
        <f>IFERROR(__xludf.DUMMYFUNCTION("""COMPUTED_VALUE"""),1.2435411501461981)</f>
        <v>1.24354115</v>
      </c>
      <c r="AJ71" s="32">
        <f>IFERROR(__xludf.DUMMYFUNCTION("""COMPUTED_VALUE"""),16.744643890411265)</f>
        <v>16.74464389</v>
      </c>
      <c r="AK71" s="32">
        <f>IFERROR(__xludf.DUMMYFUNCTION("""COMPUTED_VALUE"""),37.7998)</f>
        <v>37.7998</v>
      </c>
      <c r="AL71" s="32">
        <f>IFERROR(__xludf.DUMMYFUNCTION("""COMPUTED_VALUE"""),114.5344)</f>
        <v>114.5344</v>
      </c>
      <c r="AM71" s="32">
        <f>IFERROR(__xludf.DUMMYFUNCTION("""COMPUTED_VALUE"""),43.341675)</f>
        <v>43.341675</v>
      </c>
      <c r="AN71" s="32">
        <f>IFERROR(__xludf.DUMMYFUNCTION("""COMPUTED_VALUE"""),45.864293)</f>
        <v>45.864293</v>
      </c>
      <c r="AO71" s="32">
        <f>IFERROR(__xludf.DUMMYFUNCTION("""COMPUTED_VALUE"""),21.0)</f>
        <v>21</v>
      </c>
      <c r="AP71" s="32">
        <f>IFERROR(__xludf.DUMMYFUNCTION("""COMPUTED_VALUE"""),0.3048058252427185)</f>
        <v>0.3048058252</v>
      </c>
      <c r="AQ71" s="13"/>
      <c r="AR71" s="13"/>
      <c r="AS71" s="13"/>
      <c r="AT71" s="13"/>
      <c r="AU71" s="13"/>
      <c r="AV71" s="13"/>
      <c r="AW71" s="13"/>
      <c r="AX71" s="13"/>
      <c r="AY71" s="13"/>
      <c r="AZ71" s="13"/>
    </row>
    <row r="72">
      <c r="A72" s="13" t="str">
        <f>IFERROR(__xludf.DUMMYFUNCTION("""COMPUTED_VALUE"""),"UTI Asset Management Company Ltd.")</f>
        <v>UTI Asset Management Company Ltd.</v>
      </c>
      <c r="B72" s="30">
        <f>IFERROR(__xludf.DUMMYFUNCTION("""COMPUTED_VALUE"""),543238.0)</f>
        <v>543238</v>
      </c>
      <c r="C72" s="13" t="str">
        <f>IFERROR(__xludf.DUMMYFUNCTION("""COMPUTED_VALUE"""),"UTIAMC")</f>
        <v>UTIAMC</v>
      </c>
      <c r="D72" s="13" t="str">
        <f>IFERROR(__xludf.DUMMYFUNCTION("""COMPUTED_VALUE"""),"INE094J01016")</f>
        <v>INE094J01016</v>
      </c>
      <c r="E72" s="13" t="str">
        <f>IFERROR(__xludf.DUMMYFUNCTION("""COMPUTED_VALUE"""),"Financial")</f>
        <v>Financial</v>
      </c>
      <c r="F72" s="13" t="str">
        <f>IFERROR(__xludf.DUMMYFUNCTION("""COMPUTED_VALUE"""),"Asset Management Companies")</f>
        <v>Asset Management Companies</v>
      </c>
      <c r="G72" s="31">
        <f>IFERROR(__xludf.DUMMYFUNCTION("""COMPUTED_VALUE"""),44809.0)</f>
        <v>44809</v>
      </c>
      <c r="H72" s="32">
        <f>IFERROR(__xludf.DUMMYFUNCTION("""COMPUTED_VALUE"""),839.95)</f>
        <v>839.95</v>
      </c>
      <c r="I72" s="32">
        <f>IFERROR(__xludf.DUMMYFUNCTION("""COMPUTED_VALUE"""),-1.437456)</f>
        <v>-1.437456</v>
      </c>
      <c r="J72" s="32">
        <f>IFERROR(__xludf.DUMMYFUNCTION("""COMPUTED_VALUE"""),595.0)</f>
        <v>595</v>
      </c>
      <c r="K72" s="32">
        <f>IFERROR(__xludf.DUMMYFUNCTION("""COMPUTED_VALUE"""),1216.2)</f>
        <v>1216.2</v>
      </c>
      <c r="L72" s="13"/>
      <c r="M72" s="13"/>
      <c r="N72" s="13"/>
      <c r="O72" s="13"/>
      <c r="P72" s="32">
        <f>IFERROR(__xludf.DUMMYFUNCTION("""COMPUTED_VALUE"""),471.1)</f>
        <v>471.1</v>
      </c>
      <c r="Q72" s="32">
        <f>IFERROR(__xludf.DUMMYFUNCTION("""COMPUTED_VALUE"""),1216.55)</f>
        <v>1216.55</v>
      </c>
      <c r="R72" s="32">
        <f>IFERROR(__xludf.DUMMYFUNCTION("""COMPUTED_VALUE"""),10655.200666125)</f>
        <v>10655.20067</v>
      </c>
      <c r="S72" s="32">
        <f>IFERROR(__xludf.DUMMYFUNCTION("""COMPUTED_VALUE"""),10396.517749625)</f>
        <v>10396.51775</v>
      </c>
      <c r="T72" s="32">
        <f>IFERROR(__xludf.DUMMYFUNCTION("""COMPUTED_VALUE"""),1.584326)</f>
        <v>1.584326</v>
      </c>
      <c r="U72" s="32">
        <f>IFERROR(__xludf.DUMMYFUNCTION("""COMPUTED_VALUE"""),15.615967)</f>
        <v>15.615967</v>
      </c>
      <c r="V72" s="32">
        <f>IFERROR(__xludf.DUMMYFUNCTION("""COMPUTED_VALUE"""),24.26215)</f>
        <v>24.26215</v>
      </c>
      <c r="W72" s="32">
        <f>IFERROR(__xludf.DUMMYFUNCTION("""COMPUTED_VALUE"""),-28.496637)</f>
        <v>-28.496637</v>
      </c>
      <c r="X72" s="13"/>
      <c r="Y72" s="13"/>
      <c r="Z72" s="13"/>
      <c r="AA72" s="32">
        <f>IFERROR(__xludf.DUMMYFUNCTION("""COMPUTED_VALUE"""),22.495)</f>
        <v>22.495</v>
      </c>
      <c r="AB72" s="32">
        <f>IFERROR(__xludf.DUMMYFUNCTION("""COMPUTED_VALUE"""),20.0491)</f>
        <v>20.0491</v>
      </c>
      <c r="AC72" s="32">
        <f>IFERROR(__xludf.DUMMYFUNCTION("""COMPUTED_VALUE"""),2.9253)</f>
        <v>2.9253</v>
      </c>
      <c r="AD72" s="32">
        <f>IFERROR(__xludf.DUMMYFUNCTION("""COMPUTED_VALUE"""),3.2734)</f>
        <v>3.2734</v>
      </c>
      <c r="AE72" s="32">
        <f>IFERROR(__xludf.DUMMYFUNCTION("""COMPUTED_VALUE"""),6.271022)</f>
        <v>6.271022</v>
      </c>
      <c r="AF72" s="32">
        <f>IFERROR(__xludf.DUMMYFUNCTION("""COMPUTED_VALUE"""),-1.675754)</f>
        <v>-1.675754</v>
      </c>
      <c r="AG72" s="32">
        <f>IFERROR(__xludf.DUMMYFUNCTION("""COMPUTED_VALUE"""),2.501)</f>
        <v>2.501</v>
      </c>
      <c r="AH72" s="32">
        <f>IFERROR(__xludf.DUMMYFUNCTION("""COMPUTED_VALUE"""),16.671773)</f>
        <v>16.671773</v>
      </c>
      <c r="AI72" s="32">
        <f>IFERROR(__xludf.DUMMYFUNCTION("""COMPUTED_VALUE"""),84.34418321954405)</f>
        <v>84.34418322</v>
      </c>
      <c r="AJ72" s="32">
        <f>IFERROR(__xludf.DUMMYFUNCTION("""COMPUTED_VALUE"""),30.53241064280188)</f>
        <v>30.53241064</v>
      </c>
      <c r="AK72" s="32">
        <f>IFERROR(__xludf.DUMMYFUNCTION("""COMPUTED_VALUE"""),37.3083)</f>
        <v>37.3083</v>
      </c>
      <c r="AL72" s="32">
        <f>IFERROR(__xludf.DUMMYFUNCTION("""COMPUTED_VALUE"""),286.8906)</f>
        <v>286.8906</v>
      </c>
      <c r="AM72" s="32">
        <f>IFERROR(__xludf.DUMMYFUNCTION("""COMPUTED_VALUE"""),27.489563)</f>
        <v>27.489563</v>
      </c>
      <c r="AN72" s="32">
        <f>IFERROR(__xludf.DUMMYFUNCTION("""COMPUTED_VALUE"""),37.750295)</f>
        <v>37.750295</v>
      </c>
      <c r="AO72" s="32">
        <f>IFERROR(__xludf.DUMMYFUNCTION("""COMPUTED_VALUE"""),21.0)</f>
        <v>21</v>
      </c>
      <c r="AP72" s="32">
        <f>IFERROR(__xludf.DUMMYFUNCTION("""COMPUTED_VALUE"""),0.3093652359809242)</f>
        <v>0.309365236</v>
      </c>
      <c r="AQ72" s="13"/>
      <c r="AR72" s="13"/>
      <c r="AS72" s="13"/>
      <c r="AT72" s="13"/>
      <c r="AU72" s="13"/>
      <c r="AV72" s="13"/>
      <c r="AW72" s="13"/>
      <c r="AX72" s="13"/>
      <c r="AY72" s="13"/>
      <c r="AZ72" s="13"/>
    </row>
    <row r="73">
      <c r="A73" s="13" t="str">
        <f>IFERROR(__xludf.DUMMYFUNCTION("""COMPUTED_VALUE"""),"Tata Communications Ltd.")</f>
        <v>Tata Communications Ltd.</v>
      </c>
      <c r="B73" s="30">
        <f>IFERROR(__xludf.DUMMYFUNCTION("""COMPUTED_VALUE"""),500483.0)</f>
        <v>500483</v>
      </c>
      <c r="C73" s="13" t="str">
        <f>IFERROR(__xludf.DUMMYFUNCTION("""COMPUTED_VALUE"""),"TATACOMM")</f>
        <v>TATACOMM</v>
      </c>
      <c r="D73" s="13" t="str">
        <f>IFERROR(__xludf.DUMMYFUNCTION("""COMPUTED_VALUE"""),"INE151A01013")</f>
        <v>INE151A01013</v>
      </c>
      <c r="E73" s="13" t="str">
        <f>IFERROR(__xludf.DUMMYFUNCTION("""COMPUTED_VALUE"""),"Communication")</f>
        <v>Communication</v>
      </c>
      <c r="F73" s="13" t="str">
        <f>IFERROR(__xludf.DUMMYFUNCTION("""COMPUTED_VALUE"""),"Telecom Services")</f>
        <v>Telecom Services</v>
      </c>
      <c r="G73" s="31">
        <f>IFERROR(__xludf.DUMMYFUNCTION("""COMPUTED_VALUE"""),44809.0)</f>
        <v>44809</v>
      </c>
      <c r="H73" s="32">
        <f>IFERROR(__xludf.DUMMYFUNCTION("""COMPUTED_VALUE"""),1264.5)</f>
        <v>1264.5</v>
      </c>
      <c r="I73" s="32">
        <f>IFERROR(__xludf.DUMMYFUNCTION("""COMPUTED_VALUE"""),1.525492)</f>
        <v>1.525492</v>
      </c>
      <c r="J73" s="32">
        <f>IFERROR(__xludf.DUMMYFUNCTION("""COMPUTED_VALUE"""),856.25)</f>
        <v>856.25</v>
      </c>
      <c r="K73" s="32">
        <f>IFERROR(__xludf.DUMMYFUNCTION("""COMPUTED_VALUE"""),1591.95)</f>
        <v>1591.95</v>
      </c>
      <c r="L73" s="32">
        <f>IFERROR(__xludf.DUMMYFUNCTION("""COMPUTED_VALUE"""),200.0)</f>
        <v>200</v>
      </c>
      <c r="M73" s="32">
        <f>IFERROR(__xludf.DUMMYFUNCTION("""COMPUTED_VALUE"""),1591.95)</f>
        <v>1591.95</v>
      </c>
      <c r="N73" s="32">
        <f>IFERROR(__xludf.DUMMYFUNCTION("""COMPUTED_VALUE"""),200.0)</f>
        <v>200</v>
      </c>
      <c r="O73" s="32">
        <f>IFERROR(__xludf.DUMMYFUNCTION("""COMPUTED_VALUE"""),1591.95)</f>
        <v>1591.95</v>
      </c>
      <c r="P73" s="32">
        <f>IFERROR(__xludf.DUMMYFUNCTION("""COMPUTED_VALUE"""),68.0)</f>
        <v>68</v>
      </c>
      <c r="Q73" s="32">
        <f>IFERROR(__xludf.DUMMYFUNCTION("""COMPUTED_VALUE"""),1591.95)</f>
        <v>1591.95</v>
      </c>
      <c r="R73" s="32">
        <f>IFERROR(__xludf.DUMMYFUNCTION("""COMPUTED_VALUE"""),36038.25)</f>
        <v>36038.25</v>
      </c>
      <c r="S73" s="32">
        <f>IFERROR(__xludf.DUMMYFUNCTION("""COMPUTED_VALUE"""),42214.5)</f>
        <v>42214.5</v>
      </c>
      <c r="T73" s="32">
        <f>IFERROR(__xludf.DUMMYFUNCTION("""COMPUTED_VALUE"""),8.257352)</f>
        <v>8.257352</v>
      </c>
      <c r="U73" s="32">
        <f>IFERROR(__xludf.DUMMYFUNCTION("""COMPUTED_VALUE"""),20.308263)</f>
        <v>20.308263</v>
      </c>
      <c r="V73" s="32">
        <f>IFERROR(__xludf.DUMMYFUNCTION("""COMPUTED_VALUE"""),32.373724)</f>
        <v>32.373724</v>
      </c>
      <c r="W73" s="32">
        <f>IFERROR(__xludf.DUMMYFUNCTION("""COMPUTED_VALUE"""),-7.562411)</f>
        <v>-7.562411</v>
      </c>
      <c r="X73" s="32">
        <f>IFERROR(__xludf.DUMMYFUNCTION("""COMPUTED_VALUE"""),43.715324)</f>
        <v>43.715324</v>
      </c>
      <c r="Y73" s="32">
        <f>IFERROR(__xludf.DUMMYFUNCTION("""COMPUTED_VALUE"""),14.093677)</f>
        <v>14.093677</v>
      </c>
      <c r="Z73" s="32">
        <f>IFERROR(__xludf.DUMMYFUNCTION("""COMPUTED_VALUE"""),18.800834)</f>
        <v>18.800834</v>
      </c>
      <c r="AA73" s="32">
        <f>IFERROR(__xludf.DUMMYFUNCTION("""COMPUTED_VALUE"""),20.8385)</f>
        <v>20.8385</v>
      </c>
      <c r="AB73" s="32">
        <f>IFERROR(__xludf.DUMMYFUNCTION("""COMPUTED_VALUE"""),43.4067)</f>
        <v>43.4067</v>
      </c>
      <c r="AC73" s="32">
        <f>IFERROR(__xludf.DUMMYFUNCTION("""COMPUTED_VALUE"""),24.638)</f>
        <v>24.638</v>
      </c>
      <c r="AD73" s="32">
        <f>IFERROR(__xludf.DUMMYFUNCTION("""COMPUTED_VALUE"""),28.56975)</f>
        <v>28.56975</v>
      </c>
      <c r="AE73" s="32">
        <f>IFERROR(__xludf.DUMMYFUNCTION("""COMPUTED_VALUE"""),7.51545)</f>
        <v>7.51545</v>
      </c>
      <c r="AF73" s="32">
        <f>IFERROR(__xludf.DUMMYFUNCTION("""COMPUTED_VALUE"""),2.986279)</f>
        <v>2.986279</v>
      </c>
      <c r="AG73" s="32">
        <f>IFERROR(__xludf.DUMMYFUNCTION("""COMPUTED_VALUE"""),1.637)</f>
        <v>1.637</v>
      </c>
      <c r="AH73" s="32">
        <f>IFERROR(__xludf.DUMMYFUNCTION("""COMPUTED_VALUE"""),8.66751)</f>
        <v>8.66751</v>
      </c>
      <c r="AI73" s="32">
        <f>IFERROR(__xludf.DUMMYFUNCTION("""COMPUTED_VALUE"""),2.1283528796170197)</f>
        <v>2.12835288</v>
      </c>
      <c r="AJ73" s="32">
        <f>IFERROR(__xludf.DUMMYFUNCTION("""COMPUTED_VALUE"""),8.572738604412178)</f>
        <v>8.572738604</v>
      </c>
      <c r="AK73" s="32">
        <f>IFERROR(__xludf.DUMMYFUNCTION("""COMPUTED_VALUE"""),60.6811)</f>
        <v>60.6811</v>
      </c>
      <c r="AL73" s="32">
        <f>IFERROR(__xludf.DUMMYFUNCTION("""COMPUTED_VALUE"""),51.3232)</f>
        <v>51.3232</v>
      </c>
      <c r="AM73" s="32">
        <f>IFERROR(__xludf.DUMMYFUNCTION("""COMPUTED_VALUE"""),147.502456)</f>
        <v>147.502456</v>
      </c>
      <c r="AN73" s="32">
        <f>IFERROR(__xludf.DUMMYFUNCTION("""COMPUTED_VALUE"""),56.869825)</f>
        <v>56.869825</v>
      </c>
      <c r="AO73" s="32">
        <f>IFERROR(__xludf.DUMMYFUNCTION("""COMPUTED_VALUE"""),20.7)</f>
        <v>20.7</v>
      </c>
      <c r="AP73" s="32">
        <f>IFERROR(__xludf.DUMMYFUNCTION("""COMPUTED_VALUE"""),0.2056911335154999)</f>
        <v>0.2056911335</v>
      </c>
      <c r="AQ73" s="13"/>
      <c r="AR73" s="13"/>
      <c r="AS73" s="13"/>
      <c r="AT73" s="13"/>
      <c r="AU73" s="13"/>
      <c r="AV73" s="13"/>
      <c r="AW73" s="13"/>
      <c r="AX73" s="13"/>
      <c r="AY73" s="13"/>
      <c r="AZ73" s="13"/>
    </row>
    <row r="74">
      <c r="A74" s="13" t="str">
        <f>IFERROR(__xludf.DUMMYFUNCTION("""COMPUTED_VALUE"""),"Bajaj Finance Ltd.")</f>
        <v>Bajaj Finance Ltd.</v>
      </c>
      <c r="B74" s="30">
        <f>IFERROR(__xludf.DUMMYFUNCTION("""COMPUTED_VALUE"""),500034.0)</f>
        <v>500034</v>
      </c>
      <c r="C74" s="13" t="str">
        <f>IFERROR(__xludf.DUMMYFUNCTION("""COMPUTED_VALUE"""),"BAJFINANCE")</f>
        <v>BAJFINANCE</v>
      </c>
      <c r="D74" s="13" t="str">
        <f>IFERROR(__xludf.DUMMYFUNCTION("""COMPUTED_VALUE"""),"INE296A01024")</f>
        <v>INE296A01024</v>
      </c>
      <c r="E74" s="13" t="str">
        <f>IFERROR(__xludf.DUMMYFUNCTION("""COMPUTED_VALUE"""),"Financial")</f>
        <v>Financial</v>
      </c>
      <c r="F74" s="13" t="str">
        <f>IFERROR(__xludf.DUMMYFUNCTION("""COMPUTED_VALUE"""),"Hire Purchase")</f>
        <v>Hire Purchase</v>
      </c>
      <c r="G74" s="31">
        <f>IFERROR(__xludf.DUMMYFUNCTION("""COMPUTED_VALUE"""),44809.0)</f>
        <v>44809</v>
      </c>
      <c r="H74" s="32">
        <f>IFERROR(__xludf.DUMMYFUNCTION("""COMPUTED_VALUE"""),7196.2)</f>
        <v>7196.2</v>
      </c>
      <c r="I74" s="32">
        <f>IFERROR(__xludf.DUMMYFUNCTION("""COMPUTED_VALUE"""),0.081359)</f>
        <v>0.081359</v>
      </c>
      <c r="J74" s="32">
        <f>IFERROR(__xludf.DUMMYFUNCTION("""COMPUTED_VALUE"""),5220.0)</f>
        <v>5220</v>
      </c>
      <c r="K74" s="32">
        <f>IFERROR(__xludf.DUMMYFUNCTION("""COMPUTED_VALUE"""),8050.0)</f>
        <v>8050</v>
      </c>
      <c r="L74" s="32">
        <f>IFERROR(__xludf.DUMMYFUNCTION("""COMPUTED_VALUE"""),1783.0)</f>
        <v>1783</v>
      </c>
      <c r="M74" s="32">
        <f>IFERROR(__xludf.DUMMYFUNCTION("""COMPUTED_VALUE"""),8050.0)</f>
        <v>8050</v>
      </c>
      <c r="N74" s="32">
        <f>IFERROR(__xludf.DUMMYFUNCTION("""COMPUTED_VALUE"""),1511.2)</f>
        <v>1511.2</v>
      </c>
      <c r="O74" s="32">
        <f>IFERROR(__xludf.DUMMYFUNCTION("""COMPUTED_VALUE"""),8050.0)</f>
        <v>8050</v>
      </c>
      <c r="P74" s="32">
        <f>IFERROR(__xludf.DUMMYFUNCTION("""COMPUTED_VALUE"""),2.132716)</f>
        <v>2.132716</v>
      </c>
      <c r="Q74" s="32">
        <f>IFERROR(__xludf.DUMMYFUNCTION("""COMPUTED_VALUE"""),8050.0)</f>
        <v>8050</v>
      </c>
      <c r="R74" s="32">
        <f>IFERROR(__xludf.DUMMYFUNCTION("""COMPUTED_VALUE"""),435678.98465146)</f>
        <v>435678.9847</v>
      </c>
      <c r="S74" s="32">
        <f>IFERROR(__xludf.DUMMYFUNCTION("""COMPUTED_VALUE"""),595322.41857331)</f>
        <v>595322.4186</v>
      </c>
      <c r="T74" s="32">
        <f>IFERROR(__xludf.DUMMYFUNCTION("""COMPUTED_VALUE"""),1.898869)</f>
        <v>1.898869</v>
      </c>
      <c r="U74" s="32">
        <f>IFERROR(__xludf.DUMMYFUNCTION("""COMPUTED_VALUE"""),-1.646245)</f>
        <v>-1.646245</v>
      </c>
      <c r="V74" s="32">
        <f>IFERROR(__xludf.DUMMYFUNCTION("""COMPUTED_VALUE"""),19.375601)</f>
        <v>19.375601</v>
      </c>
      <c r="W74" s="32">
        <f>IFERROR(__xludf.DUMMYFUNCTION("""COMPUTED_VALUE"""),-4.349097)</f>
        <v>-4.349097</v>
      </c>
      <c r="X74" s="32">
        <f>IFERROR(__xludf.DUMMYFUNCTION("""COMPUTED_VALUE"""),30.335329)</f>
        <v>30.335329</v>
      </c>
      <c r="Y74" s="32">
        <f>IFERROR(__xludf.DUMMYFUNCTION("""COMPUTED_VALUE"""),31.917078)</f>
        <v>31.917078</v>
      </c>
      <c r="Z74" s="32">
        <f>IFERROR(__xludf.DUMMYFUNCTION("""COMPUTED_VALUE"""),52.996058)</f>
        <v>52.996058</v>
      </c>
      <c r="AA74" s="32">
        <f>IFERROR(__xludf.DUMMYFUNCTION("""COMPUTED_VALUE"""),50.5326)</f>
        <v>50.5326</v>
      </c>
      <c r="AB74" s="32">
        <f>IFERROR(__xludf.DUMMYFUNCTION("""COMPUTED_VALUE"""),50.14915)</f>
        <v>50.14915</v>
      </c>
      <c r="AC74" s="32">
        <f>IFERROR(__xludf.DUMMYFUNCTION("""COMPUTED_VALUE"""),9.4898)</f>
        <v>9.4898</v>
      </c>
      <c r="AD74" s="32">
        <f>IFERROR(__xludf.DUMMYFUNCTION("""COMPUTED_VALUE"""),8.5932)</f>
        <v>8.5932</v>
      </c>
      <c r="AE74" s="32">
        <f>IFERROR(__xludf.DUMMYFUNCTION("""COMPUTED_VALUE"""),3.726339)</f>
        <v>3.726339</v>
      </c>
      <c r="AF74" s="32">
        <f>IFERROR(__xludf.DUMMYFUNCTION("""COMPUTED_VALUE"""),1.641167)</f>
        <v>1.641167</v>
      </c>
      <c r="AG74" s="32">
        <f>IFERROR(__xludf.DUMMYFUNCTION("""COMPUTED_VALUE"""),0.2779)</f>
        <v>0.2779</v>
      </c>
      <c r="AH74" s="32">
        <f>IFERROR(__xludf.DUMMYFUNCTION("""COMPUTED_VALUE"""),26.831481)</f>
        <v>26.831481</v>
      </c>
      <c r="AI74" s="32">
        <f>IFERROR(__xludf.DUMMYFUNCTION("""COMPUTED_VALUE"""),13.195735625857257)</f>
        <v>13.19573563</v>
      </c>
      <c r="AJ74" s="32">
        <f>IFERROR(__xludf.DUMMYFUNCTION("""COMPUTED_VALUE"""),-11.766006528233026)</f>
        <v>-11.76600653</v>
      </c>
      <c r="AK74" s="32">
        <f>IFERROR(__xludf.DUMMYFUNCTION("""COMPUTED_VALUE"""),142.412)</f>
        <v>142.412</v>
      </c>
      <c r="AL74" s="32">
        <f>IFERROR(__xludf.DUMMYFUNCTION("""COMPUTED_VALUE"""),758.3348)</f>
        <v>758.3348</v>
      </c>
      <c r="AM74" s="32">
        <f>IFERROR(__xludf.DUMMYFUNCTION("""COMPUTED_VALUE"""),-613.767943)</f>
        <v>-613.767943</v>
      </c>
      <c r="AN74" s="32">
        <f>IFERROR(__xludf.DUMMYFUNCTION("""COMPUTED_VALUE"""),-4478.16244)</f>
        <v>-4478.16244</v>
      </c>
      <c r="AO74" s="32">
        <f>IFERROR(__xludf.DUMMYFUNCTION("""COMPUTED_VALUE"""),20.0)</f>
        <v>20</v>
      </c>
      <c r="AP74" s="32">
        <f>IFERROR(__xludf.DUMMYFUNCTION("""COMPUTED_VALUE"""),0.10606211180124225)</f>
        <v>0.1060621118</v>
      </c>
      <c r="AQ74" s="13"/>
      <c r="AR74" s="13"/>
      <c r="AS74" s="13"/>
      <c r="AT74" s="13"/>
      <c r="AU74" s="13"/>
      <c r="AV74" s="13"/>
      <c r="AW74" s="13"/>
      <c r="AX74" s="13"/>
      <c r="AY74" s="13"/>
      <c r="AZ74" s="13"/>
    </row>
    <row r="75">
      <c r="A75" s="13" t="str">
        <f>IFERROR(__xludf.DUMMYFUNCTION("""COMPUTED_VALUE"""),"Muthoot Finance Ltd.")</f>
        <v>Muthoot Finance Ltd.</v>
      </c>
      <c r="B75" s="30">
        <f>IFERROR(__xludf.DUMMYFUNCTION("""COMPUTED_VALUE"""),533398.0)</f>
        <v>533398</v>
      </c>
      <c r="C75" s="13" t="str">
        <f>IFERROR(__xludf.DUMMYFUNCTION("""COMPUTED_VALUE"""),"MUTHOOTFIN")</f>
        <v>MUTHOOTFIN</v>
      </c>
      <c r="D75" s="13" t="str">
        <f>IFERROR(__xludf.DUMMYFUNCTION("""COMPUTED_VALUE"""),"INE414G01012")</f>
        <v>INE414G01012</v>
      </c>
      <c r="E75" s="13" t="str">
        <f>IFERROR(__xludf.DUMMYFUNCTION("""COMPUTED_VALUE"""),"Financial")</f>
        <v>Financial</v>
      </c>
      <c r="F75" s="13" t="str">
        <f>IFERROR(__xludf.DUMMYFUNCTION("""COMPUTED_VALUE"""),"Misc. Fin.services")</f>
        <v>Misc. Fin.services</v>
      </c>
      <c r="G75" s="31">
        <f>IFERROR(__xludf.DUMMYFUNCTION("""COMPUTED_VALUE"""),44809.0)</f>
        <v>44809</v>
      </c>
      <c r="H75" s="32">
        <f>IFERROR(__xludf.DUMMYFUNCTION("""COMPUTED_VALUE"""),1030.6)</f>
        <v>1030.6</v>
      </c>
      <c r="I75" s="32">
        <f>IFERROR(__xludf.DUMMYFUNCTION("""COMPUTED_VALUE"""),0.058252)</f>
        <v>0.058252</v>
      </c>
      <c r="J75" s="32">
        <f>IFERROR(__xludf.DUMMYFUNCTION("""COMPUTED_VALUE"""),960.4)</f>
        <v>960.4</v>
      </c>
      <c r="K75" s="32">
        <f>IFERROR(__xludf.DUMMYFUNCTION("""COMPUTED_VALUE"""),1722.55)</f>
        <v>1722.55</v>
      </c>
      <c r="L75" s="32">
        <f>IFERROR(__xludf.DUMMYFUNCTION("""COMPUTED_VALUE"""),476.8)</f>
        <v>476.8</v>
      </c>
      <c r="M75" s="32">
        <f>IFERROR(__xludf.DUMMYFUNCTION("""COMPUTED_VALUE"""),1722.55)</f>
        <v>1722.55</v>
      </c>
      <c r="N75" s="32">
        <f>IFERROR(__xludf.DUMMYFUNCTION("""COMPUTED_VALUE"""),356.0)</f>
        <v>356</v>
      </c>
      <c r="O75" s="32">
        <f>IFERROR(__xludf.DUMMYFUNCTION("""COMPUTED_VALUE"""),1722.55)</f>
        <v>1722.55</v>
      </c>
      <c r="P75" s="32">
        <f>IFERROR(__xludf.DUMMYFUNCTION("""COMPUTED_VALUE"""),72.6)</f>
        <v>72.6</v>
      </c>
      <c r="Q75" s="32">
        <f>IFERROR(__xludf.DUMMYFUNCTION("""COMPUTED_VALUE"""),1722.55)</f>
        <v>1722.55</v>
      </c>
      <c r="R75" s="32">
        <f>IFERROR(__xludf.DUMMYFUNCTION("""COMPUTED_VALUE"""),41394.198728085)</f>
        <v>41394.19873</v>
      </c>
      <c r="S75" s="32">
        <f>IFERROR(__xludf.DUMMYFUNCTION("""COMPUTED_VALUE"""),85524.071822435)</f>
        <v>85524.07182</v>
      </c>
      <c r="T75" s="32">
        <f>IFERROR(__xludf.DUMMYFUNCTION("""COMPUTED_VALUE"""),-1.608669)</f>
        <v>-1.608669</v>
      </c>
      <c r="U75" s="32">
        <f>IFERROR(__xludf.DUMMYFUNCTION("""COMPUTED_VALUE"""),-6.419686)</f>
        <v>-6.419686</v>
      </c>
      <c r="V75" s="32">
        <f>IFERROR(__xludf.DUMMYFUNCTION("""COMPUTED_VALUE"""),-6.796292)</f>
        <v>-6.796292</v>
      </c>
      <c r="W75" s="32">
        <f>IFERROR(__xludf.DUMMYFUNCTION("""COMPUTED_VALUE"""),-31.612475)</f>
        <v>-31.612475</v>
      </c>
      <c r="X75" s="32">
        <f>IFERROR(__xludf.DUMMYFUNCTION("""COMPUTED_VALUE"""),20.508088)</f>
        <v>20.508088</v>
      </c>
      <c r="Y75" s="32">
        <f>IFERROR(__xludf.DUMMYFUNCTION("""COMPUTED_VALUE"""),17.357597)</f>
        <v>17.357597</v>
      </c>
      <c r="Z75" s="32">
        <f>IFERROR(__xludf.DUMMYFUNCTION("""COMPUTED_VALUE"""),22.99798)</f>
        <v>22.99798</v>
      </c>
      <c r="AA75" s="32">
        <f>IFERROR(__xludf.DUMMYFUNCTION("""COMPUTED_VALUE"""),10.7295)</f>
        <v>10.7295</v>
      </c>
      <c r="AB75" s="32">
        <f>IFERROR(__xludf.DUMMYFUNCTION("""COMPUTED_VALUE"""),12.5273)</f>
        <v>12.5273</v>
      </c>
      <c r="AC75" s="32">
        <f>IFERROR(__xludf.DUMMYFUNCTION("""COMPUTED_VALUE"""),2.2017)</f>
        <v>2.2017</v>
      </c>
      <c r="AD75" s="32">
        <f>IFERROR(__xludf.DUMMYFUNCTION("""COMPUTED_VALUE"""),2.71815)</f>
        <v>2.71815</v>
      </c>
      <c r="AE75" s="32">
        <f>IFERROR(__xludf.DUMMYFUNCTION("""COMPUTED_VALUE"""),11.177615)</f>
        <v>11.177615</v>
      </c>
      <c r="AF75" s="32">
        <f>IFERROR(__xludf.DUMMYFUNCTION("""COMPUTED_VALUE"""),0.39344)</f>
        <v>0.39344</v>
      </c>
      <c r="AG75" s="32">
        <f>IFERROR(__xludf.DUMMYFUNCTION("""COMPUTED_VALUE"""),1.9392)</f>
        <v>1.9392</v>
      </c>
      <c r="AH75" s="32">
        <f>IFERROR(__xludf.DUMMYFUNCTION("""COMPUTED_VALUE"""),8.997479)</f>
        <v>8.997479</v>
      </c>
      <c r="AI75" s="32">
        <f>IFERROR(__xludf.DUMMYFUNCTION("""COMPUTED_VALUE"""),3.4843815730589087)</f>
        <v>3.484381573</v>
      </c>
      <c r="AJ75" s="32">
        <f>IFERROR(__xludf.DUMMYFUNCTION("""COMPUTED_VALUE"""),-25.928920202327166)</f>
        <v>-25.9289202</v>
      </c>
      <c r="AK75" s="32">
        <f>IFERROR(__xludf.DUMMYFUNCTION("""COMPUTED_VALUE"""),96.1225)</f>
        <v>96.1225</v>
      </c>
      <c r="AL75" s="32">
        <f>IFERROR(__xludf.DUMMYFUNCTION("""COMPUTED_VALUE"""),468.4358)</f>
        <v>468.4358</v>
      </c>
      <c r="AM75" s="32">
        <f>IFERROR(__xludf.DUMMYFUNCTION("""COMPUTED_VALUE"""),-39.777473)</f>
        <v>-39.777473</v>
      </c>
      <c r="AN75" s="32">
        <f>IFERROR(__xludf.DUMMYFUNCTION("""COMPUTED_VALUE"""),-53.075259)</f>
        <v>-53.075259</v>
      </c>
      <c r="AO75" s="32">
        <f>IFERROR(__xludf.DUMMYFUNCTION("""COMPUTED_VALUE"""),20.0)</f>
        <v>20</v>
      </c>
      <c r="AP75" s="32">
        <f>IFERROR(__xludf.DUMMYFUNCTION("""COMPUTED_VALUE"""),0.40170096659022964)</f>
        <v>0.4017009666</v>
      </c>
      <c r="AQ75" s="13"/>
      <c r="AR75" s="13"/>
      <c r="AS75" s="13"/>
      <c r="AT75" s="13"/>
      <c r="AU75" s="13"/>
      <c r="AV75" s="13"/>
      <c r="AW75" s="13"/>
      <c r="AX75" s="13"/>
      <c r="AY75" s="13"/>
      <c r="AZ75" s="13"/>
    </row>
    <row r="76">
      <c r="A76" s="13" t="str">
        <f>IFERROR(__xludf.DUMMYFUNCTION("""COMPUTED_VALUE"""),"Shriram Transport Finance Company Ltd.")</f>
        <v>Shriram Transport Finance Company Ltd.</v>
      </c>
      <c r="B76" s="30">
        <f>IFERROR(__xludf.DUMMYFUNCTION("""COMPUTED_VALUE"""),511218.0)</f>
        <v>511218</v>
      </c>
      <c r="C76" s="13" t="str">
        <f>IFERROR(__xludf.DUMMYFUNCTION("""COMPUTED_VALUE"""),"SRTRANSFIN")</f>
        <v>SRTRANSFIN</v>
      </c>
      <c r="D76" s="13" t="str">
        <f>IFERROR(__xludf.DUMMYFUNCTION("""COMPUTED_VALUE"""),"INE721A01013")</f>
        <v>INE721A01013</v>
      </c>
      <c r="E76" s="13" t="str">
        <f>IFERROR(__xludf.DUMMYFUNCTION("""COMPUTED_VALUE"""),"Financial")</f>
        <v>Financial</v>
      </c>
      <c r="F76" s="13" t="str">
        <f>IFERROR(__xludf.DUMMYFUNCTION("""COMPUTED_VALUE"""),"Equipment Leasing")</f>
        <v>Equipment Leasing</v>
      </c>
      <c r="G76" s="31">
        <f>IFERROR(__xludf.DUMMYFUNCTION("""COMPUTED_VALUE"""),44809.0)</f>
        <v>44809</v>
      </c>
      <c r="H76" s="32">
        <f>IFERROR(__xludf.DUMMYFUNCTION("""COMPUTED_VALUE"""),1320.8)</f>
        <v>1320.8</v>
      </c>
      <c r="I76" s="32">
        <f>IFERROR(__xludf.DUMMYFUNCTION("""COMPUTED_VALUE"""),0.932294)</f>
        <v>0.932294</v>
      </c>
      <c r="J76" s="32">
        <f>IFERROR(__xludf.DUMMYFUNCTION("""COMPUTED_VALUE"""),1002.0)</f>
        <v>1002</v>
      </c>
      <c r="K76" s="32">
        <f>IFERROR(__xludf.DUMMYFUNCTION("""COMPUTED_VALUE"""),1696.4)</f>
        <v>1696.4</v>
      </c>
      <c r="L76" s="32">
        <f>IFERROR(__xludf.DUMMYFUNCTION("""COMPUTED_VALUE"""),428.701735)</f>
        <v>428.701735</v>
      </c>
      <c r="M76" s="32">
        <f>IFERROR(__xludf.DUMMYFUNCTION("""COMPUTED_VALUE"""),1696.4)</f>
        <v>1696.4</v>
      </c>
      <c r="N76" s="32">
        <f>IFERROR(__xludf.DUMMYFUNCTION("""COMPUTED_VALUE"""),428.701735)</f>
        <v>428.701735</v>
      </c>
      <c r="O76" s="32">
        <f>IFERROR(__xludf.DUMMYFUNCTION("""COMPUTED_VALUE"""),1696.4)</f>
        <v>1696.4</v>
      </c>
      <c r="P76" s="32">
        <f>IFERROR(__xludf.DUMMYFUNCTION("""COMPUTED_VALUE"""),2.387089)</f>
        <v>2.387089</v>
      </c>
      <c r="Q76" s="32">
        <f>IFERROR(__xludf.DUMMYFUNCTION("""COMPUTED_VALUE"""),1696.4)</f>
        <v>1696.4</v>
      </c>
      <c r="R76" s="32">
        <f>IFERROR(__xludf.DUMMYFUNCTION("""COMPUTED_VALUE"""),35730.24369304)</f>
        <v>35730.24369</v>
      </c>
      <c r="S76" s="32">
        <f>IFERROR(__xludf.DUMMYFUNCTION("""COMPUTED_VALUE"""),133529.586256095)</f>
        <v>133529.5863</v>
      </c>
      <c r="T76" s="32">
        <f>IFERROR(__xludf.DUMMYFUNCTION("""COMPUTED_VALUE"""),-0.941238)</f>
        <v>-0.941238</v>
      </c>
      <c r="U76" s="32">
        <f>IFERROR(__xludf.DUMMYFUNCTION("""COMPUTED_VALUE"""),-2.875211)</f>
        <v>-2.875211</v>
      </c>
      <c r="V76" s="32">
        <f>IFERROR(__xludf.DUMMYFUNCTION("""COMPUTED_VALUE"""),12.074671)</f>
        <v>12.074671</v>
      </c>
      <c r="W76" s="32">
        <f>IFERROR(__xludf.DUMMYFUNCTION("""COMPUTED_VALUE"""),-2.166586)</f>
        <v>-2.166586</v>
      </c>
      <c r="X76" s="32">
        <f>IFERROR(__xludf.DUMMYFUNCTION("""COMPUTED_VALUE"""),11.248543)</f>
        <v>11.248543</v>
      </c>
      <c r="Y76" s="32">
        <f>IFERROR(__xludf.DUMMYFUNCTION("""COMPUTED_VALUE"""),4.829251)</f>
        <v>4.829251</v>
      </c>
      <c r="Z76" s="32">
        <f>IFERROR(__xludf.DUMMYFUNCTION("""COMPUTED_VALUE"""),8.056745)</f>
        <v>8.056745</v>
      </c>
      <c r="AA76" s="32">
        <f>IFERROR(__xludf.DUMMYFUNCTION("""COMPUTED_VALUE"""),10.1487)</f>
        <v>10.1487</v>
      </c>
      <c r="AB76" s="32">
        <f>IFERROR(__xludf.DUMMYFUNCTION("""COMPUTED_VALUE"""),13.43005)</f>
        <v>13.43005</v>
      </c>
      <c r="AC76" s="32">
        <f>IFERROR(__xludf.DUMMYFUNCTION("""COMPUTED_VALUE"""),1.3194)</f>
        <v>1.3194</v>
      </c>
      <c r="AD76" s="32">
        <f>IFERROR(__xludf.DUMMYFUNCTION("""COMPUTED_VALUE"""),1.51765)</f>
        <v>1.51765</v>
      </c>
      <c r="AE76" s="32">
        <f>IFERROR(__xludf.DUMMYFUNCTION("""COMPUTED_VALUE"""),10.811082)</f>
        <v>10.811082</v>
      </c>
      <c r="AF76" s="32">
        <f>IFERROR(__xludf.DUMMYFUNCTION("""COMPUTED_VALUE"""),0.617684)</f>
        <v>0.617684</v>
      </c>
      <c r="AG76" s="32">
        <f>IFERROR(__xludf.DUMMYFUNCTION("""COMPUTED_VALUE"""),1.5141)</f>
        <v>1.5141</v>
      </c>
      <c r="AH76" s="32">
        <f>IFERROR(__xludf.DUMMYFUNCTION("""COMPUTED_VALUE"""),9.238794)</f>
        <v>9.238794</v>
      </c>
      <c r="AI76" s="32">
        <f>IFERROR(__xludf.DUMMYFUNCTION("""COMPUTED_VALUE"""),1.820301531836719)</f>
        <v>1.820301532</v>
      </c>
      <c r="AJ76" s="32">
        <f>IFERROR(__xludf.DUMMYFUNCTION("""COMPUTED_VALUE"""),-4.033204992543193)</f>
        <v>-4.033204993</v>
      </c>
      <c r="AK76" s="32">
        <f>IFERROR(__xludf.DUMMYFUNCTION("""COMPUTED_VALUE"""),130.0412)</f>
        <v>130.0412</v>
      </c>
      <c r="AL76" s="32">
        <f>IFERROR(__xludf.DUMMYFUNCTION("""COMPUTED_VALUE"""),1000.2794)</f>
        <v>1000.2794</v>
      </c>
      <c r="AM76" s="32">
        <f>IFERROR(__xludf.DUMMYFUNCTION("""COMPUTED_VALUE"""),-327.481147)</f>
        <v>-327.481147</v>
      </c>
      <c r="AN76" s="32">
        <f>IFERROR(__xludf.DUMMYFUNCTION("""COMPUTED_VALUE"""),-501.501922)</f>
        <v>-501.501922</v>
      </c>
      <c r="AO76" s="32">
        <f>IFERROR(__xludf.DUMMYFUNCTION("""COMPUTED_VALUE"""),20.0)</f>
        <v>20</v>
      </c>
      <c r="AP76" s="32">
        <f>IFERROR(__xludf.DUMMYFUNCTION("""COMPUTED_VALUE"""),0.2214100448007546)</f>
        <v>0.2214100448</v>
      </c>
      <c r="AQ76" s="13"/>
      <c r="AR76" s="13"/>
      <c r="AS76" s="13"/>
      <c r="AT76" s="13"/>
      <c r="AU76" s="13"/>
      <c r="AV76" s="13"/>
      <c r="AW76" s="13"/>
      <c r="AX76" s="13"/>
      <c r="AY76" s="13"/>
      <c r="AZ76" s="13"/>
    </row>
    <row r="77">
      <c r="A77" s="13" t="str">
        <f>IFERROR(__xludf.DUMMYFUNCTION("""COMPUTED_VALUE"""),"Asian Paints Ltd.")</f>
        <v>Asian Paints Ltd.</v>
      </c>
      <c r="B77" s="30">
        <f>IFERROR(__xludf.DUMMYFUNCTION("""COMPUTED_VALUE"""),500820.0)</f>
        <v>500820</v>
      </c>
      <c r="C77" s="13" t="str">
        <f>IFERROR(__xludf.DUMMYFUNCTION("""COMPUTED_VALUE"""),"ASIANPAINT")</f>
        <v>ASIANPAINT</v>
      </c>
      <c r="D77" s="13" t="str">
        <f>IFERROR(__xludf.DUMMYFUNCTION("""COMPUTED_VALUE"""),"INE021A01026")</f>
        <v>INE021A01026</v>
      </c>
      <c r="E77" s="13" t="str">
        <f>IFERROR(__xludf.DUMMYFUNCTION("""COMPUTED_VALUE"""),"Materials")</f>
        <v>Materials</v>
      </c>
      <c r="F77" s="13" t="str">
        <f>IFERROR(__xludf.DUMMYFUNCTION("""COMPUTED_VALUE"""),"Paints &amp; Varnishes")</f>
        <v>Paints &amp; Varnishes</v>
      </c>
      <c r="G77" s="31">
        <f>IFERROR(__xludf.DUMMYFUNCTION("""COMPUTED_VALUE"""),44809.0)</f>
        <v>44809</v>
      </c>
      <c r="H77" s="32">
        <f>IFERROR(__xludf.DUMMYFUNCTION("""COMPUTED_VALUE"""),3424.8)</f>
        <v>3424.8</v>
      </c>
      <c r="I77" s="32">
        <f>IFERROR(__xludf.DUMMYFUNCTION("""COMPUTED_VALUE"""),-0.18216)</f>
        <v>-0.18216</v>
      </c>
      <c r="J77" s="32">
        <f>IFERROR(__xludf.DUMMYFUNCTION("""COMPUTED_VALUE"""),2560.0)</f>
        <v>2560</v>
      </c>
      <c r="K77" s="32">
        <f>IFERROR(__xludf.DUMMYFUNCTION("""COMPUTED_VALUE"""),3590.0)</f>
        <v>3590</v>
      </c>
      <c r="L77" s="32">
        <f>IFERROR(__xludf.DUMMYFUNCTION("""COMPUTED_VALUE"""),1431.2)</f>
        <v>1431.2</v>
      </c>
      <c r="M77" s="32">
        <f>IFERROR(__xludf.DUMMYFUNCTION("""COMPUTED_VALUE"""),3590.0)</f>
        <v>3590</v>
      </c>
      <c r="N77" s="32">
        <f>IFERROR(__xludf.DUMMYFUNCTION("""COMPUTED_VALUE"""),1082.0)</f>
        <v>1082</v>
      </c>
      <c r="O77" s="32">
        <f>IFERROR(__xludf.DUMMYFUNCTION("""COMPUTED_VALUE"""),3590.0)</f>
        <v>3590</v>
      </c>
      <c r="P77" s="32">
        <f>IFERROR(__xludf.DUMMYFUNCTION("""COMPUTED_VALUE"""),10.625)</f>
        <v>10.625</v>
      </c>
      <c r="Q77" s="32">
        <f>IFERROR(__xludf.DUMMYFUNCTION("""COMPUTED_VALUE"""),3590.0)</f>
        <v>3590</v>
      </c>
      <c r="R77" s="32">
        <f>IFERROR(__xludf.DUMMYFUNCTION("""COMPUTED_VALUE"""),328506.0591192)</f>
        <v>328506.0591</v>
      </c>
      <c r="S77" s="32">
        <f>IFERROR(__xludf.DUMMYFUNCTION("""COMPUTED_VALUE"""),326706.6960363)</f>
        <v>326706.696</v>
      </c>
      <c r="T77" s="32">
        <f>IFERROR(__xludf.DUMMYFUNCTION("""COMPUTED_VALUE"""),3.046441)</f>
        <v>3.046441</v>
      </c>
      <c r="U77" s="32">
        <f>IFERROR(__xludf.DUMMYFUNCTION("""COMPUTED_VALUE"""),-1.031643)</f>
        <v>-1.031643</v>
      </c>
      <c r="V77" s="32">
        <f>IFERROR(__xludf.DUMMYFUNCTION("""COMPUTED_VALUE"""),18.632443)</f>
        <v>18.632443</v>
      </c>
      <c r="W77" s="32">
        <f>IFERROR(__xludf.DUMMYFUNCTION("""COMPUTED_VALUE"""),2.575776)</f>
        <v>2.575776</v>
      </c>
      <c r="X77" s="32">
        <f>IFERROR(__xludf.DUMMYFUNCTION("""COMPUTED_VALUE"""),30.66566)</f>
        <v>30.66566</v>
      </c>
      <c r="Y77" s="32">
        <f>IFERROR(__xludf.DUMMYFUNCTION("""COMPUTED_VALUE"""),23.396995)</f>
        <v>23.396995</v>
      </c>
      <c r="Z77" s="32">
        <f>IFERROR(__xludf.DUMMYFUNCTION("""COMPUTED_VALUE"""),24.946254)</f>
        <v>24.946254</v>
      </c>
      <c r="AA77" s="32">
        <f>IFERROR(__xludf.DUMMYFUNCTION("""COMPUTED_VALUE"""),94.3937)</f>
        <v>94.3937</v>
      </c>
      <c r="AB77" s="32">
        <f>IFERROR(__xludf.DUMMYFUNCTION("""COMPUTED_VALUE"""),66.5685)</f>
        <v>66.5685</v>
      </c>
      <c r="AC77" s="32">
        <f>IFERROR(__xludf.DUMMYFUNCTION("""COMPUTED_VALUE"""),22.1568)</f>
        <v>22.1568</v>
      </c>
      <c r="AD77" s="32">
        <f>IFERROR(__xludf.DUMMYFUNCTION("""COMPUTED_VALUE"""),16.54795)</f>
        <v>16.54795</v>
      </c>
      <c r="AE77" s="32">
        <f>IFERROR(__xludf.DUMMYFUNCTION("""COMPUTED_VALUE"""),1.655507)</f>
        <v>1.655507</v>
      </c>
      <c r="AF77" s="32">
        <f>IFERROR(__xludf.DUMMYFUNCTION("""COMPUTED_VALUE"""),6.994154)</f>
        <v>6.994154</v>
      </c>
      <c r="AG77" s="32">
        <f>IFERROR(__xludf.DUMMYFUNCTION("""COMPUTED_VALUE"""),0.5593)</f>
        <v>0.5593</v>
      </c>
      <c r="AH77" s="32">
        <f>IFERROR(__xludf.DUMMYFUNCTION("""COMPUTED_VALUE"""),55.987315)</f>
        <v>55.987315</v>
      </c>
      <c r="AI77" s="32">
        <f>IFERROR(__xludf.DUMMYFUNCTION("""COMPUTED_VALUE"""),10.236362413493428)</f>
        <v>10.23636241</v>
      </c>
      <c r="AJ77" s="32">
        <f>IFERROR(__xludf.DUMMYFUNCTION("""COMPUTED_VALUE"""),333.00495607578387)</f>
        <v>333.0049561</v>
      </c>
      <c r="AK77" s="32">
        <f>IFERROR(__xludf.DUMMYFUNCTION("""COMPUTED_VALUE"""),36.2699)</f>
        <v>36.2699</v>
      </c>
      <c r="AL77" s="32">
        <f>IFERROR(__xludf.DUMMYFUNCTION("""COMPUTED_VALUE"""),154.519)</f>
        <v>154.519</v>
      </c>
      <c r="AM77" s="32">
        <f>IFERROR(__xludf.DUMMYFUNCTION("""COMPUTED_VALUE"""),10.284508)</f>
        <v>10.284508</v>
      </c>
      <c r="AN77" s="32">
        <f>IFERROR(__xludf.DUMMYFUNCTION("""COMPUTED_VALUE"""),5.45955)</f>
        <v>5.45955</v>
      </c>
      <c r="AO77" s="32">
        <f>IFERROR(__xludf.DUMMYFUNCTION("""COMPUTED_VALUE"""),19.15)</f>
        <v>19.15</v>
      </c>
      <c r="AP77" s="32">
        <f>IFERROR(__xludf.DUMMYFUNCTION("""COMPUTED_VALUE"""),0.04601671309192196)</f>
        <v>0.04601671309</v>
      </c>
      <c r="AQ77" s="13"/>
      <c r="AR77" s="13"/>
      <c r="AS77" s="13"/>
      <c r="AT77" s="13"/>
      <c r="AU77" s="13"/>
      <c r="AV77" s="13"/>
      <c r="AW77" s="13"/>
      <c r="AX77" s="13"/>
      <c r="AY77" s="13"/>
      <c r="AZ77" s="13"/>
    </row>
    <row r="78">
      <c r="A78" s="13" t="str">
        <f>IFERROR(__xludf.DUMMYFUNCTION("""COMPUTED_VALUE"""),"Mastek Ltd.")</f>
        <v>Mastek Ltd.</v>
      </c>
      <c r="B78" s="30">
        <f>IFERROR(__xludf.DUMMYFUNCTION("""COMPUTED_VALUE"""),523704.0)</f>
        <v>523704</v>
      </c>
      <c r="C78" s="13" t="str">
        <f>IFERROR(__xludf.DUMMYFUNCTION("""COMPUTED_VALUE"""),"MASTEK")</f>
        <v>MASTEK</v>
      </c>
      <c r="D78" s="13" t="str">
        <f>IFERROR(__xludf.DUMMYFUNCTION("""COMPUTED_VALUE"""),"INE759A01021")</f>
        <v>INE759A01021</v>
      </c>
      <c r="E78" s="13" t="str">
        <f>IFERROR(__xludf.DUMMYFUNCTION("""COMPUTED_VALUE"""),"Technology")</f>
        <v>Technology</v>
      </c>
      <c r="F78" s="13" t="str">
        <f>IFERROR(__xludf.DUMMYFUNCTION("""COMPUTED_VALUE"""),"Software")</f>
        <v>Software</v>
      </c>
      <c r="G78" s="31">
        <f>IFERROR(__xludf.DUMMYFUNCTION("""COMPUTED_VALUE"""),44809.0)</f>
        <v>44809</v>
      </c>
      <c r="H78" s="32">
        <f>IFERROR(__xludf.DUMMYFUNCTION("""COMPUTED_VALUE"""),1864.9)</f>
        <v>1864.9</v>
      </c>
      <c r="I78" s="32">
        <f>IFERROR(__xludf.DUMMYFUNCTION("""COMPUTED_VALUE"""),-0.501521)</f>
        <v>-0.501521</v>
      </c>
      <c r="J78" s="32">
        <f>IFERROR(__xludf.DUMMYFUNCTION("""COMPUTED_VALUE"""),1850.7)</f>
        <v>1850.7</v>
      </c>
      <c r="K78" s="32">
        <f>IFERROR(__xludf.DUMMYFUNCTION("""COMPUTED_VALUE"""),3669.0)</f>
        <v>3669</v>
      </c>
      <c r="L78" s="32">
        <f>IFERROR(__xludf.DUMMYFUNCTION("""COMPUTED_VALUE"""),165.7)</f>
        <v>165.7</v>
      </c>
      <c r="M78" s="32">
        <f>IFERROR(__xludf.DUMMYFUNCTION("""COMPUTED_VALUE"""),3669.0)</f>
        <v>3669</v>
      </c>
      <c r="N78" s="32">
        <f>IFERROR(__xludf.DUMMYFUNCTION("""COMPUTED_VALUE"""),165.7)</f>
        <v>165.7</v>
      </c>
      <c r="O78" s="32">
        <f>IFERROR(__xludf.DUMMYFUNCTION("""COMPUTED_VALUE"""),3669.0)</f>
        <v>3669</v>
      </c>
      <c r="P78" s="32">
        <f>IFERROR(__xludf.DUMMYFUNCTION("""COMPUTED_VALUE"""),25.75)</f>
        <v>25.75</v>
      </c>
      <c r="Q78" s="32">
        <f>IFERROR(__xludf.DUMMYFUNCTION("""COMPUTED_VALUE"""),3669.0)</f>
        <v>3669</v>
      </c>
      <c r="R78" s="32">
        <f>IFERROR(__xludf.DUMMYFUNCTION("""COMPUTED_VALUE"""),5608.65150339)</f>
        <v>5608.651503</v>
      </c>
      <c r="S78" s="32">
        <f>IFERROR(__xludf.DUMMYFUNCTION("""COMPUTED_VALUE"""),5046.60291045)</f>
        <v>5046.60291</v>
      </c>
      <c r="T78" s="32">
        <f>IFERROR(__xludf.DUMMYFUNCTION("""COMPUTED_VALUE"""),-3.104461)</f>
        <v>-3.104461</v>
      </c>
      <c r="U78" s="32">
        <f>IFERROR(__xludf.DUMMYFUNCTION("""COMPUTED_VALUE"""),-9.866847)</f>
        <v>-9.866847</v>
      </c>
      <c r="V78" s="32">
        <f>IFERROR(__xludf.DUMMYFUNCTION("""COMPUTED_VALUE"""),-29.026488)</f>
        <v>-29.026488</v>
      </c>
      <c r="W78" s="32">
        <f>IFERROR(__xludf.DUMMYFUNCTION("""COMPUTED_VALUE"""),-33.346438)</f>
        <v>-33.346438</v>
      </c>
      <c r="X78" s="32">
        <f>IFERROR(__xludf.DUMMYFUNCTION("""COMPUTED_VALUE"""),79.222496)</f>
        <v>79.222496</v>
      </c>
      <c r="Y78" s="32">
        <f>IFERROR(__xludf.DUMMYFUNCTION("""COMPUTED_VALUE"""),43.913311)</f>
        <v>43.913311</v>
      </c>
      <c r="Z78" s="32">
        <f>IFERROR(__xludf.DUMMYFUNCTION("""COMPUTED_VALUE"""),30.994518)</f>
        <v>30.994518</v>
      </c>
      <c r="AA78" s="32">
        <f>IFERROR(__xludf.DUMMYFUNCTION("""COMPUTED_VALUE"""),18.4922)</f>
        <v>18.4922</v>
      </c>
      <c r="AB78" s="32">
        <f>IFERROR(__xludf.DUMMYFUNCTION("""COMPUTED_VALUE"""),16.45095)</f>
        <v>16.45095</v>
      </c>
      <c r="AC78" s="32">
        <f>IFERROR(__xludf.DUMMYFUNCTION("""COMPUTED_VALUE"""),4.9581)</f>
        <v>4.9581</v>
      </c>
      <c r="AD78" s="32">
        <f>IFERROR(__xludf.DUMMYFUNCTION("""COMPUTED_VALUE"""),2.29605)</f>
        <v>2.29605</v>
      </c>
      <c r="AE78" s="32">
        <f>IFERROR(__xludf.DUMMYFUNCTION("""COMPUTED_VALUE"""),10.552676)</f>
        <v>10.552676</v>
      </c>
      <c r="AF78" s="32">
        <f>IFERROR(__xludf.DUMMYFUNCTION("""COMPUTED_VALUE"""),0.371074)</f>
        <v>0.371074</v>
      </c>
      <c r="AG78" s="32">
        <f>IFERROR(__xludf.DUMMYFUNCTION("""COMPUTED_VALUE"""),1.0205)</f>
        <v>1.0205</v>
      </c>
      <c r="AH78" s="32">
        <f>IFERROR(__xludf.DUMMYFUNCTION("""COMPUTED_VALUE"""),9.778533)</f>
        <v>9.778533</v>
      </c>
      <c r="AI78" s="32">
        <f>IFERROR(__xludf.DUMMYFUNCTION("""COMPUTED_VALUE"""),2.5069960233282673)</f>
        <v>2.506996023</v>
      </c>
      <c r="AJ78" s="32">
        <f>IFERROR(__xludf.DUMMYFUNCTION("""COMPUTED_VALUE"""),20.507702304983727)</f>
        <v>20.5077023</v>
      </c>
      <c r="AK78" s="32">
        <f>IFERROR(__xludf.DUMMYFUNCTION("""COMPUTED_VALUE"""),100.7757)</f>
        <v>100.7757</v>
      </c>
      <c r="AL78" s="32">
        <f>IFERROR(__xludf.DUMMYFUNCTION("""COMPUTED_VALUE"""),375.7473)</f>
        <v>375.7473</v>
      </c>
      <c r="AM78" s="32">
        <f>IFERROR(__xludf.DUMMYFUNCTION("""COMPUTED_VALUE"""),91.102598)</f>
        <v>91.102598</v>
      </c>
      <c r="AN78" s="32">
        <f>IFERROR(__xludf.DUMMYFUNCTION("""COMPUTED_VALUE"""),76.862092)</f>
        <v>76.862092</v>
      </c>
      <c r="AO78" s="32">
        <f>IFERROR(__xludf.DUMMYFUNCTION("""COMPUTED_VALUE"""),19.0)</f>
        <v>19</v>
      </c>
      <c r="AP78" s="32">
        <f>IFERROR(__xludf.DUMMYFUNCTION("""COMPUTED_VALUE"""),0.49171436358680837)</f>
        <v>0.4917143636</v>
      </c>
      <c r="AQ78" s="13"/>
      <c r="AR78" s="13"/>
      <c r="AS78" s="13"/>
      <c r="AT78" s="13"/>
      <c r="AU78" s="13"/>
      <c r="AV78" s="13"/>
      <c r="AW78" s="13"/>
      <c r="AX78" s="13"/>
      <c r="AY78" s="13"/>
      <c r="AZ78" s="13"/>
    </row>
    <row r="79">
      <c r="A79" s="13" t="str">
        <f>IFERROR(__xludf.DUMMYFUNCTION("""COMPUTED_VALUE"""),"Cummins India Ltd.")</f>
        <v>Cummins India Ltd.</v>
      </c>
      <c r="B79" s="30">
        <f>IFERROR(__xludf.DUMMYFUNCTION("""COMPUTED_VALUE"""),500480.0)</f>
        <v>500480</v>
      </c>
      <c r="C79" s="13" t="str">
        <f>IFERROR(__xludf.DUMMYFUNCTION("""COMPUTED_VALUE"""),"CUMMINSIND")</f>
        <v>CUMMINSIND</v>
      </c>
      <c r="D79" s="13" t="str">
        <f>IFERROR(__xludf.DUMMYFUNCTION("""COMPUTED_VALUE"""),"INE298A01020")</f>
        <v>INE298A01020</v>
      </c>
      <c r="E79" s="13" t="str">
        <f>IFERROR(__xludf.DUMMYFUNCTION("""COMPUTED_VALUE"""),"Capital Goods")</f>
        <v>Capital Goods</v>
      </c>
      <c r="F79" s="13" t="str">
        <f>IFERROR(__xludf.DUMMYFUNCTION("""COMPUTED_VALUE"""),"Diesel Engines")</f>
        <v>Diesel Engines</v>
      </c>
      <c r="G79" s="31">
        <f>IFERROR(__xludf.DUMMYFUNCTION("""COMPUTED_VALUE"""),44809.0)</f>
        <v>44809</v>
      </c>
      <c r="H79" s="32">
        <f>IFERROR(__xludf.DUMMYFUNCTION("""COMPUTED_VALUE"""),1211.45)</f>
        <v>1211.45</v>
      </c>
      <c r="I79" s="32">
        <f>IFERROR(__xludf.DUMMYFUNCTION("""COMPUTED_VALUE"""),0.81974)</f>
        <v>0.81974</v>
      </c>
      <c r="J79" s="32">
        <f>IFERROR(__xludf.DUMMYFUNCTION("""COMPUTED_VALUE"""),842.0)</f>
        <v>842</v>
      </c>
      <c r="K79" s="32">
        <f>IFERROR(__xludf.DUMMYFUNCTION("""COMPUTED_VALUE"""),1289.4)</f>
        <v>1289.4</v>
      </c>
      <c r="L79" s="32">
        <f>IFERROR(__xludf.DUMMYFUNCTION("""COMPUTED_VALUE"""),280.0)</f>
        <v>280</v>
      </c>
      <c r="M79" s="32">
        <f>IFERROR(__xludf.DUMMYFUNCTION("""COMPUTED_VALUE"""),1289.4)</f>
        <v>1289.4</v>
      </c>
      <c r="N79" s="32">
        <f>IFERROR(__xludf.DUMMYFUNCTION("""COMPUTED_VALUE"""),280.0)</f>
        <v>280</v>
      </c>
      <c r="O79" s="32">
        <f>IFERROR(__xludf.DUMMYFUNCTION("""COMPUTED_VALUE"""),1289.4)</f>
        <v>1289.4</v>
      </c>
      <c r="P79" s="32">
        <f>IFERROR(__xludf.DUMMYFUNCTION("""COMPUTED_VALUE"""),31.071429)</f>
        <v>31.071429</v>
      </c>
      <c r="Q79" s="32">
        <f>IFERROR(__xludf.DUMMYFUNCTION("""COMPUTED_VALUE"""),1289.4)</f>
        <v>1289.4</v>
      </c>
      <c r="R79" s="32">
        <f>IFERROR(__xludf.DUMMYFUNCTION("""COMPUTED_VALUE"""),33581.394)</f>
        <v>33581.394</v>
      </c>
      <c r="S79" s="32">
        <f>IFERROR(__xludf.DUMMYFUNCTION("""COMPUTED_VALUE"""),31687.654)</f>
        <v>31687.654</v>
      </c>
      <c r="T79" s="32">
        <f>IFERROR(__xludf.DUMMYFUNCTION("""COMPUTED_VALUE"""),0.410278)</f>
        <v>0.410278</v>
      </c>
      <c r="U79" s="32">
        <f>IFERROR(__xludf.DUMMYFUNCTION("""COMPUTED_VALUE"""),2.826465)</f>
        <v>2.826465</v>
      </c>
      <c r="V79" s="32">
        <f>IFERROR(__xludf.DUMMYFUNCTION("""COMPUTED_VALUE"""),19.981183)</f>
        <v>19.981183</v>
      </c>
      <c r="W79" s="32">
        <f>IFERROR(__xludf.DUMMYFUNCTION("""COMPUTED_VALUE"""),18.080803)</f>
        <v>18.080803</v>
      </c>
      <c r="X79" s="32">
        <f>IFERROR(__xludf.DUMMYFUNCTION("""COMPUTED_VALUE"""),29.040729)</f>
        <v>29.040729</v>
      </c>
      <c r="Y79" s="32">
        <f>IFERROR(__xludf.DUMMYFUNCTION("""COMPUTED_VALUE"""),5.938421)</f>
        <v>5.938421</v>
      </c>
      <c r="Z79" s="32">
        <f>IFERROR(__xludf.DUMMYFUNCTION("""COMPUTED_VALUE"""),10.200207)</f>
        <v>10.200207</v>
      </c>
      <c r="AA79" s="32">
        <f>IFERROR(__xludf.DUMMYFUNCTION("""COMPUTED_VALUE"""),38.0953)</f>
        <v>38.0953</v>
      </c>
      <c r="AB79" s="32">
        <f>IFERROR(__xludf.DUMMYFUNCTION("""COMPUTED_VALUE"""),28.79585)</f>
        <v>28.79585</v>
      </c>
      <c r="AC79" s="32">
        <f>IFERROR(__xludf.DUMMYFUNCTION("""COMPUTED_VALUE"""),6.3473)</f>
        <v>6.3473</v>
      </c>
      <c r="AD79" s="32">
        <f>IFERROR(__xludf.DUMMYFUNCTION("""COMPUTED_VALUE"""),4.91925)</f>
        <v>4.91925</v>
      </c>
      <c r="AE79" s="32">
        <f>IFERROR(__xludf.DUMMYFUNCTION("""COMPUTED_VALUE"""),4.14969)</f>
        <v>4.14969</v>
      </c>
      <c r="AF79" s="32">
        <f>IFERROR(__xludf.DUMMYFUNCTION("""COMPUTED_VALUE"""),7.382158)</f>
        <v>7.382158</v>
      </c>
      <c r="AG79" s="32">
        <f>IFERROR(__xludf.DUMMYFUNCTION("""COMPUTED_VALUE"""),1.5275)</f>
        <v>1.5275</v>
      </c>
      <c r="AH79" s="32">
        <f>IFERROR(__xludf.DUMMYFUNCTION("""COMPUTED_VALUE"""),26.187927)</f>
        <v>26.187927</v>
      </c>
      <c r="AI79" s="32">
        <f>IFERROR(__xludf.DUMMYFUNCTION("""COMPUTED_VALUE"""),5.130557019694837)</f>
        <v>5.13055702</v>
      </c>
      <c r="AJ79" s="32">
        <f>IFERROR(__xludf.DUMMYFUNCTION("""COMPUTED_VALUE"""),47.17349235113153)</f>
        <v>47.17349235</v>
      </c>
      <c r="AK79" s="32">
        <f>IFERROR(__xludf.DUMMYFUNCTION("""COMPUTED_VALUE"""),31.9239)</f>
        <v>31.9239</v>
      </c>
      <c r="AL79" s="32">
        <f>IFERROR(__xludf.DUMMYFUNCTION("""COMPUTED_VALUE"""),191.6006)</f>
        <v>191.6006</v>
      </c>
      <c r="AM79" s="32">
        <f>IFERROR(__xludf.DUMMYFUNCTION("""COMPUTED_VALUE"""),25.680736)</f>
        <v>25.680736</v>
      </c>
      <c r="AN79" s="32">
        <f>IFERROR(__xludf.DUMMYFUNCTION("""COMPUTED_VALUE"""),27.430014)</f>
        <v>27.430014</v>
      </c>
      <c r="AO79" s="32">
        <f>IFERROR(__xludf.DUMMYFUNCTION("""COMPUTED_VALUE"""),18.5)</f>
        <v>18.5</v>
      </c>
      <c r="AP79" s="32">
        <f>IFERROR(__xludf.DUMMYFUNCTION("""COMPUTED_VALUE"""),0.060454474949588985)</f>
        <v>0.06045447495</v>
      </c>
      <c r="AQ79" s="13"/>
      <c r="AR79" s="13"/>
      <c r="AS79" s="13"/>
      <c r="AT79" s="13"/>
      <c r="AU79" s="13"/>
      <c r="AV79" s="13"/>
      <c r="AW79" s="13"/>
      <c r="AX79" s="13"/>
      <c r="AY79" s="13"/>
      <c r="AZ79" s="13"/>
    </row>
    <row r="80">
      <c r="A80" s="13" t="str">
        <f>IFERROR(__xludf.DUMMYFUNCTION("""COMPUTED_VALUE"""),"Galaxy Surfactants Ltd.")</f>
        <v>Galaxy Surfactants Ltd.</v>
      </c>
      <c r="B80" s="30">
        <f>IFERROR(__xludf.DUMMYFUNCTION("""COMPUTED_VALUE"""),540935.0)</f>
        <v>540935</v>
      </c>
      <c r="C80" s="13" t="str">
        <f>IFERROR(__xludf.DUMMYFUNCTION("""COMPUTED_VALUE"""),"GALAXYSURF")</f>
        <v>GALAXYSURF</v>
      </c>
      <c r="D80" s="13" t="str">
        <f>IFERROR(__xludf.DUMMYFUNCTION("""COMPUTED_VALUE"""),"INE600K01018")</f>
        <v>INE600K01018</v>
      </c>
      <c r="E80" s="13" t="str">
        <f>IFERROR(__xludf.DUMMYFUNCTION("""COMPUTED_VALUE"""),"Chemicals")</f>
        <v>Chemicals</v>
      </c>
      <c r="F80" s="13" t="str">
        <f>IFERROR(__xludf.DUMMYFUNCTION("""COMPUTED_VALUE"""),"Organic Chemicals")</f>
        <v>Organic Chemicals</v>
      </c>
      <c r="G80" s="31">
        <f>IFERROR(__xludf.DUMMYFUNCTION("""COMPUTED_VALUE"""),44809.0)</f>
        <v>44809</v>
      </c>
      <c r="H80" s="32">
        <f>IFERROR(__xludf.DUMMYFUNCTION("""COMPUTED_VALUE"""),3243.75)</f>
        <v>3243.75</v>
      </c>
      <c r="I80" s="32">
        <f>IFERROR(__xludf.DUMMYFUNCTION("""COMPUTED_VALUE"""),-0.919407)</f>
        <v>-0.919407</v>
      </c>
      <c r="J80" s="32">
        <f>IFERROR(__xludf.DUMMYFUNCTION("""COMPUTED_VALUE"""),2585.0)</f>
        <v>2585</v>
      </c>
      <c r="K80" s="32">
        <f>IFERROR(__xludf.DUMMYFUNCTION("""COMPUTED_VALUE"""),3600.0)</f>
        <v>3600</v>
      </c>
      <c r="L80" s="32">
        <f>IFERROR(__xludf.DUMMYFUNCTION("""COMPUTED_VALUE"""),975.0)</f>
        <v>975</v>
      </c>
      <c r="M80" s="32">
        <f>IFERROR(__xludf.DUMMYFUNCTION("""COMPUTED_VALUE"""),3600.0)</f>
        <v>3600</v>
      </c>
      <c r="N80" s="13"/>
      <c r="O80" s="13"/>
      <c r="P80" s="32">
        <f>IFERROR(__xludf.DUMMYFUNCTION("""COMPUTED_VALUE"""),871.8)</f>
        <v>871.8</v>
      </c>
      <c r="Q80" s="32">
        <f>IFERROR(__xludf.DUMMYFUNCTION("""COMPUTED_VALUE"""),3600.0)</f>
        <v>3600</v>
      </c>
      <c r="R80" s="32">
        <f>IFERROR(__xludf.DUMMYFUNCTION("""COMPUTED_VALUE"""),11502.93973888)</f>
        <v>11502.93974</v>
      </c>
      <c r="S80" s="32">
        <f>IFERROR(__xludf.DUMMYFUNCTION("""COMPUTED_VALUE"""),11898.20850832)</f>
        <v>11898.20851</v>
      </c>
      <c r="T80" s="32">
        <f>IFERROR(__xludf.DUMMYFUNCTION("""COMPUTED_VALUE"""),1.108098)</f>
        <v>1.108098</v>
      </c>
      <c r="U80" s="32">
        <f>IFERROR(__xludf.DUMMYFUNCTION("""COMPUTED_VALUE"""),3.969679)</f>
        <v>3.969679</v>
      </c>
      <c r="V80" s="32">
        <f>IFERROR(__xludf.DUMMYFUNCTION("""COMPUTED_VALUE"""),9.65839)</f>
        <v>9.65839</v>
      </c>
      <c r="W80" s="32">
        <f>IFERROR(__xludf.DUMMYFUNCTION("""COMPUTED_VALUE"""),1.750341)</f>
        <v>1.750341</v>
      </c>
      <c r="X80" s="32">
        <f>IFERROR(__xludf.DUMMYFUNCTION("""COMPUTED_VALUE"""),36.503883)</f>
        <v>36.503883</v>
      </c>
      <c r="Y80" s="13"/>
      <c r="Z80" s="13"/>
      <c r="AA80" s="32">
        <f>IFERROR(__xludf.DUMMYFUNCTION("""COMPUTED_VALUE"""),40.1737)</f>
        <v>40.1737</v>
      </c>
      <c r="AB80" s="32">
        <f>IFERROR(__xludf.DUMMYFUNCTION("""COMPUTED_VALUE"""),31.2823)</f>
        <v>31.2823</v>
      </c>
      <c r="AC80" s="32">
        <f>IFERROR(__xludf.DUMMYFUNCTION("""COMPUTED_VALUE"""),6.8686)</f>
        <v>6.8686</v>
      </c>
      <c r="AD80" s="32">
        <f>IFERROR(__xludf.DUMMYFUNCTION("""COMPUTED_VALUE"""),6.5068)</f>
        <v>6.5068</v>
      </c>
      <c r="AE80" s="32">
        <f>IFERROR(__xludf.DUMMYFUNCTION("""COMPUTED_VALUE"""),3.213182)</f>
        <v>3.213182</v>
      </c>
      <c r="AF80" s="32">
        <f>IFERROR(__xludf.DUMMYFUNCTION("""COMPUTED_VALUE"""),3.062456)</f>
        <v>3.062456</v>
      </c>
      <c r="AG80" s="32">
        <f>IFERROR(__xludf.DUMMYFUNCTION("""COMPUTED_VALUE"""),0.5555)</f>
        <v>0.5555</v>
      </c>
      <c r="AH80" s="32">
        <f>IFERROR(__xludf.DUMMYFUNCTION("""COMPUTED_VALUE"""),26.663847)</f>
        <v>26.663847</v>
      </c>
      <c r="AI80" s="32">
        <f>IFERROR(__xludf.DUMMYFUNCTION("""COMPUTED_VALUE"""),2.8627024816721875)</f>
        <v>2.862702482</v>
      </c>
      <c r="AJ80" s="32">
        <f>IFERROR(__xludf.DUMMYFUNCTION("""COMPUTED_VALUE"""),2333.253496730223)</f>
        <v>2333.253497</v>
      </c>
      <c r="AK80" s="32">
        <f>IFERROR(__xludf.DUMMYFUNCTION("""COMPUTED_VALUE"""),80.7593)</f>
        <v>80.7593</v>
      </c>
      <c r="AL80" s="32">
        <f>IFERROR(__xludf.DUMMYFUNCTION("""COMPUTED_VALUE"""),472.3555)</f>
        <v>472.3555</v>
      </c>
      <c r="AM80" s="32">
        <f>IFERROR(__xludf.DUMMYFUNCTION("""COMPUTED_VALUE"""),1.390691)</f>
        <v>1.390691</v>
      </c>
      <c r="AN80" s="32">
        <f>IFERROR(__xludf.DUMMYFUNCTION("""COMPUTED_VALUE"""),-46.930889)</f>
        <v>-46.930889</v>
      </c>
      <c r="AO80" s="32">
        <f>IFERROR(__xludf.DUMMYFUNCTION("""COMPUTED_VALUE"""),18.0)</f>
        <v>18</v>
      </c>
      <c r="AP80" s="32">
        <f>IFERROR(__xludf.DUMMYFUNCTION("""COMPUTED_VALUE"""),0.09895833333333333)</f>
        <v>0.09895833333</v>
      </c>
      <c r="AQ80" s="13"/>
      <c r="AR80" s="13"/>
      <c r="AS80" s="13"/>
      <c r="AT80" s="13"/>
      <c r="AU80" s="13"/>
      <c r="AV80" s="13"/>
      <c r="AW80" s="13"/>
      <c r="AX80" s="13"/>
      <c r="AY80" s="13"/>
      <c r="AZ80" s="13"/>
    </row>
    <row r="81">
      <c r="A81" s="13" t="str">
        <f>IFERROR(__xludf.DUMMYFUNCTION("""COMPUTED_VALUE"""),"Hindustan Zinc Ltd.")</f>
        <v>Hindustan Zinc Ltd.</v>
      </c>
      <c r="B81" s="30">
        <f>IFERROR(__xludf.DUMMYFUNCTION("""COMPUTED_VALUE"""),500188.0)</f>
        <v>500188</v>
      </c>
      <c r="C81" s="13" t="str">
        <f>IFERROR(__xludf.DUMMYFUNCTION("""COMPUTED_VALUE"""),"HINDZINC")</f>
        <v>HINDZINC</v>
      </c>
      <c r="D81" s="13" t="str">
        <f>IFERROR(__xludf.DUMMYFUNCTION("""COMPUTED_VALUE"""),"INE267A01025")</f>
        <v>INE267A01025</v>
      </c>
      <c r="E81" s="13" t="str">
        <f>IFERROR(__xludf.DUMMYFUNCTION("""COMPUTED_VALUE"""),"Metals &amp; Mining")</f>
        <v>Metals &amp; Mining</v>
      </c>
      <c r="F81" s="13" t="str">
        <f>IFERROR(__xludf.DUMMYFUNCTION("""COMPUTED_VALUE"""),"Non-Ferrous Metal")</f>
        <v>Non-Ferrous Metal</v>
      </c>
      <c r="G81" s="31">
        <f>IFERROR(__xludf.DUMMYFUNCTION("""COMPUTED_VALUE"""),44809.0)</f>
        <v>44809</v>
      </c>
      <c r="H81" s="32">
        <f>IFERROR(__xludf.DUMMYFUNCTION("""COMPUTED_VALUE"""),287.45)</f>
        <v>287.45</v>
      </c>
      <c r="I81" s="32">
        <f>IFERROR(__xludf.DUMMYFUNCTION("""COMPUTED_VALUE"""),0.71829)</f>
        <v>0.71829</v>
      </c>
      <c r="J81" s="32">
        <f>IFERROR(__xludf.DUMMYFUNCTION("""COMPUTED_VALUE"""),242.05)</f>
        <v>242.05</v>
      </c>
      <c r="K81" s="32">
        <f>IFERROR(__xludf.DUMMYFUNCTION("""COMPUTED_VALUE"""),408.6)</f>
        <v>408.6</v>
      </c>
      <c r="L81" s="32">
        <f>IFERROR(__xludf.DUMMYFUNCTION("""COMPUTED_VALUE"""),116.05)</f>
        <v>116.05</v>
      </c>
      <c r="M81" s="32">
        <f>IFERROR(__xludf.DUMMYFUNCTION("""COMPUTED_VALUE"""),408.6)</f>
        <v>408.6</v>
      </c>
      <c r="N81" s="32">
        <f>IFERROR(__xludf.DUMMYFUNCTION("""COMPUTED_VALUE"""),116.05)</f>
        <v>116.05</v>
      </c>
      <c r="O81" s="32">
        <f>IFERROR(__xludf.DUMMYFUNCTION("""COMPUTED_VALUE"""),408.6)</f>
        <v>408.6</v>
      </c>
      <c r="P81" s="32">
        <f>IFERROR(__xludf.DUMMYFUNCTION("""COMPUTED_VALUE"""),0.57)</f>
        <v>0.57</v>
      </c>
      <c r="Q81" s="32">
        <f>IFERROR(__xludf.DUMMYFUNCTION("""COMPUTED_VALUE"""),408.6)</f>
        <v>408.6</v>
      </c>
      <c r="R81" s="32">
        <f>IFERROR(__xludf.DUMMYFUNCTION("""COMPUTED_VALUE"""),121499.047845)</f>
        <v>121499.0478</v>
      </c>
      <c r="S81" s="32">
        <f>IFERROR(__xludf.DUMMYFUNCTION("""COMPUTED_VALUE"""),102857.477665)</f>
        <v>102857.4777</v>
      </c>
      <c r="T81" s="32">
        <f>IFERROR(__xludf.DUMMYFUNCTION("""COMPUTED_VALUE"""),0.806593)</f>
        <v>0.806593</v>
      </c>
      <c r="U81" s="32">
        <f>IFERROR(__xludf.DUMMYFUNCTION("""COMPUTED_VALUE"""),6.011433)</f>
        <v>6.011433</v>
      </c>
      <c r="V81" s="32">
        <f>IFERROR(__xludf.DUMMYFUNCTION("""COMPUTED_VALUE"""),-4.087421)</f>
        <v>-4.087421</v>
      </c>
      <c r="W81" s="32">
        <f>IFERROR(__xludf.DUMMYFUNCTION("""COMPUTED_VALUE"""),-11.567451)</f>
        <v>-11.567451</v>
      </c>
      <c r="X81" s="32">
        <f>IFERROR(__xludf.DUMMYFUNCTION("""COMPUTED_VALUE"""),10.198583)</f>
        <v>10.198583</v>
      </c>
      <c r="Y81" s="32">
        <f>IFERROR(__xludf.DUMMYFUNCTION("""COMPUTED_VALUE"""),-0.80138)</f>
        <v>-0.80138</v>
      </c>
      <c r="Z81" s="32">
        <f>IFERROR(__xludf.DUMMYFUNCTION("""COMPUTED_VALUE"""),8.413751)</f>
        <v>8.413751</v>
      </c>
      <c r="AA81" s="32">
        <f>IFERROR(__xludf.DUMMYFUNCTION("""COMPUTED_VALUE"""),11.3128)</f>
        <v>11.3128</v>
      </c>
      <c r="AB81" s="32">
        <f>IFERROR(__xludf.DUMMYFUNCTION("""COMPUTED_VALUE"""),13.57985)</f>
        <v>13.57985</v>
      </c>
      <c r="AC81" s="32">
        <f>IFERROR(__xludf.DUMMYFUNCTION("""COMPUTED_VALUE"""),3.2508)</f>
        <v>3.2508</v>
      </c>
      <c r="AD81" s="32">
        <f>IFERROR(__xludf.DUMMYFUNCTION("""COMPUTED_VALUE"""),3.1449)</f>
        <v>3.1449</v>
      </c>
      <c r="AE81" s="32">
        <f>IFERROR(__xludf.DUMMYFUNCTION("""COMPUTED_VALUE"""),16.54349)</f>
        <v>16.54349</v>
      </c>
      <c r="AF81" s="32">
        <f>IFERROR(__xludf.DUMMYFUNCTION("""COMPUTED_VALUE"""),3.799424)</f>
        <v>3.799424</v>
      </c>
      <c r="AG81" s="32">
        <f>IFERROR(__xludf.DUMMYFUNCTION("""COMPUTED_VALUE"""),6.2598)</f>
        <v>6.2598</v>
      </c>
      <c r="AH81" s="32">
        <f>IFERROR(__xludf.DUMMYFUNCTION("""COMPUTED_VALUE"""),5.418399)</f>
        <v>5.418399</v>
      </c>
      <c r="AI81" s="32">
        <f>IFERROR(__xludf.DUMMYFUNCTION("""COMPUTED_VALUE"""),3.839075070936552)</f>
        <v>3.839075071</v>
      </c>
      <c r="AJ81" s="32">
        <f>IFERROR(__xludf.DUMMYFUNCTION("""COMPUTED_VALUE"""),9.573638629343629)</f>
        <v>9.573638629</v>
      </c>
      <c r="AK81" s="32">
        <f>IFERROR(__xludf.DUMMYFUNCTION("""COMPUTED_VALUE"""),25.4182)</f>
        <v>25.4182</v>
      </c>
      <c r="AL81" s="32">
        <f>IFERROR(__xludf.DUMMYFUNCTION("""COMPUTED_VALUE"""),88.455)</f>
        <v>88.455</v>
      </c>
      <c r="AM81" s="32">
        <f>IFERROR(__xludf.DUMMYFUNCTION("""COMPUTED_VALUE"""),30.03787)</f>
        <v>30.03787</v>
      </c>
      <c r="AN81" s="32">
        <f>IFERROR(__xludf.DUMMYFUNCTION("""COMPUTED_VALUE"""),19.763314)</f>
        <v>19.763314</v>
      </c>
      <c r="AO81" s="32">
        <f>IFERROR(__xludf.DUMMYFUNCTION("""COMPUTED_VALUE"""),18.0)</f>
        <v>18</v>
      </c>
      <c r="AP81" s="32">
        <f>IFERROR(__xludf.DUMMYFUNCTION("""COMPUTED_VALUE"""),0.29650024473813025)</f>
        <v>0.2965002447</v>
      </c>
      <c r="AQ81" s="13"/>
      <c r="AR81" s="13"/>
      <c r="AS81" s="13"/>
      <c r="AT81" s="13"/>
      <c r="AU81" s="13"/>
      <c r="AV81" s="13"/>
      <c r="AW81" s="13"/>
      <c r="AX81" s="13"/>
      <c r="AY81" s="13"/>
      <c r="AZ81" s="13"/>
    </row>
    <row r="82">
      <c r="A82" s="13" t="str">
        <f>IFERROR(__xludf.DUMMYFUNCTION("""COMPUTED_VALUE"""),"JSW Steel Ltd.")</f>
        <v>JSW Steel Ltd.</v>
      </c>
      <c r="B82" s="30">
        <f>IFERROR(__xludf.DUMMYFUNCTION("""COMPUTED_VALUE"""),500228.0)</f>
        <v>500228</v>
      </c>
      <c r="C82" s="13" t="str">
        <f>IFERROR(__xludf.DUMMYFUNCTION("""COMPUTED_VALUE"""),"JSWSTEEL")</f>
        <v>JSWSTEEL</v>
      </c>
      <c r="D82" s="13" t="str">
        <f>IFERROR(__xludf.DUMMYFUNCTION("""COMPUTED_VALUE"""),"INE019A01038")</f>
        <v>INE019A01038</v>
      </c>
      <c r="E82" s="13" t="str">
        <f>IFERROR(__xludf.DUMMYFUNCTION("""COMPUTED_VALUE"""),"Metals &amp; Mining")</f>
        <v>Metals &amp; Mining</v>
      </c>
      <c r="F82" s="13" t="str">
        <f>IFERROR(__xludf.DUMMYFUNCTION("""COMPUTED_VALUE"""),"Finished Steel")</f>
        <v>Finished Steel</v>
      </c>
      <c r="G82" s="31">
        <f>IFERROR(__xludf.DUMMYFUNCTION("""COMPUTED_VALUE"""),44809.0)</f>
        <v>44809</v>
      </c>
      <c r="H82" s="32">
        <f>IFERROR(__xludf.DUMMYFUNCTION("""COMPUTED_VALUE"""),681.95)</f>
        <v>681.95</v>
      </c>
      <c r="I82" s="32">
        <f>IFERROR(__xludf.DUMMYFUNCTION("""COMPUTED_VALUE"""),3.107046)</f>
        <v>3.107046</v>
      </c>
      <c r="J82" s="32">
        <f>IFERROR(__xludf.DUMMYFUNCTION("""COMPUTED_VALUE"""),520.05)</f>
        <v>520.05</v>
      </c>
      <c r="K82" s="32">
        <f>IFERROR(__xludf.DUMMYFUNCTION("""COMPUTED_VALUE"""),790.0)</f>
        <v>790</v>
      </c>
      <c r="L82" s="32">
        <f>IFERROR(__xludf.DUMMYFUNCTION("""COMPUTED_VALUE"""),132.5)</f>
        <v>132.5</v>
      </c>
      <c r="M82" s="32">
        <f>IFERROR(__xludf.DUMMYFUNCTION("""COMPUTED_VALUE"""),790.0)</f>
        <v>790</v>
      </c>
      <c r="N82" s="32">
        <f>IFERROR(__xludf.DUMMYFUNCTION("""COMPUTED_VALUE"""),132.5)</f>
        <v>132.5</v>
      </c>
      <c r="O82" s="32">
        <f>IFERROR(__xludf.DUMMYFUNCTION("""COMPUTED_VALUE"""),790.0)</f>
        <v>790</v>
      </c>
      <c r="P82" s="32">
        <f>IFERROR(__xludf.DUMMYFUNCTION("""COMPUTED_VALUE"""),4.219962)</f>
        <v>4.219962</v>
      </c>
      <c r="Q82" s="32">
        <f>IFERROR(__xludf.DUMMYFUNCTION("""COMPUTED_VALUE"""),790.0)</f>
        <v>790</v>
      </c>
      <c r="R82" s="32">
        <f>IFERROR(__xludf.DUMMYFUNCTION("""COMPUTED_VALUE"""),164842.3479058)</f>
        <v>164842.3479</v>
      </c>
      <c r="S82" s="32">
        <f>IFERROR(__xludf.DUMMYFUNCTION("""COMPUTED_VALUE"""),212446.8737994)</f>
        <v>212446.8738</v>
      </c>
      <c r="T82" s="32">
        <f>IFERROR(__xludf.DUMMYFUNCTION("""COMPUTED_VALUE"""),2.241379)</f>
        <v>2.241379</v>
      </c>
      <c r="U82" s="32">
        <f>IFERROR(__xludf.DUMMYFUNCTION("""COMPUTED_VALUE"""),2.649206)</f>
        <v>2.649206</v>
      </c>
      <c r="V82" s="32">
        <f>IFERROR(__xludf.DUMMYFUNCTION("""COMPUTED_VALUE"""),21.246333)</f>
        <v>21.246333</v>
      </c>
      <c r="W82" s="32">
        <f>IFERROR(__xludf.DUMMYFUNCTION("""COMPUTED_VALUE"""),-1.295412)</f>
        <v>-1.295412</v>
      </c>
      <c r="X82" s="32">
        <f>IFERROR(__xludf.DUMMYFUNCTION("""COMPUTED_VALUE"""),46.973629)</f>
        <v>46.973629</v>
      </c>
      <c r="Y82" s="32">
        <f>IFERROR(__xludf.DUMMYFUNCTION("""COMPUTED_VALUE"""),21.761677)</f>
        <v>21.761677</v>
      </c>
      <c r="Z82" s="32">
        <f>IFERROR(__xludf.DUMMYFUNCTION("""COMPUTED_VALUE"""),25.989872)</f>
        <v>25.989872</v>
      </c>
      <c r="AA82" s="32">
        <f>IFERROR(__xludf.DUMMYFUNCTION("""COMPUTED_VALUE"""),10.5706)</f>
        <v>10.5706</v>
      </c>
      <c r="AB82" s="32">
        <f>IFERROR(__xludf.DUMMYFUNCTION("""COMPUTED_VALUE"""),10.43425)</f>
        <v>10.43425</v>
      </c>
      <c r="AC82" s="32">
        <f>IFERROR(__xludf.DUMMYFUNCTION("""COMPUTED_VALUE"""),2.4301)</f>
        <v>2.4301</v>
      </c>
      <c r="AD82" s="32">
        <f>IFERROR(__xludf.DUMMYFUNCTION("""COMPUTED_VALUE"""),2.3768)</f>
        <v>2.3768</v>
      </c>
      <c r="AE82" s="32">
        <f>IFERROR(__xludf.DUMMYFUNCTION("""COMPUTED_VALUE"""),13.563214)</f>
        <v>13.563214</v>
      </c>
      <c r="AF82" s="32">
        <f>IFERROR(__xludf.DUMMYFUNCTION("""COMPUTED_VALUE"""),0.273035)</f>
        <v>0.273035</v>
      </c>
      <c r="AG82" s="32">
        <f>IFERROR(__xludf.DUMMYFUNCTION("""COMPUTED_VALUE"""),2.5434)</f>
        <v>2.5434</v>
      </c>
      <c r="AH82" s="32">
        <f>IFERROR(__xludf.DUMMYFUNCTION("""COMPUTED_VALUE"""),6.146478)</f>
        <v>6.146478</v>
      </c>
      <c r="AI82" s="32">
        <f>IFERROR(__xludf.DUMMYFUNCTION("""COMPUTED_VALUE"""),1.0781267644610424)</f>
        <v>1.078126764</v>
      </c>
      <c r="AJ82" s="32">
        <f>IFERROR(__xludf.DUMMYFUNCTION("""COMPUTED_VALUE"""),6.2749275944347165)</f>
        <v>6.274927594</v>
      </c>
      <c r="AK82" s="32">
        <f>IFERROR(__xludf.DUMMYFUNCTION("""COMPUTED_VALUE"""),64.5328)</f>
        <v>64.5328</v>
      </c>
      <c r="AL82" s="32">
        <f>IFERROR(__xludf.DUMMYFUNCTION("""COMPUTED_VALUE"""),280.7056)</f>
        <v>280.7056</v>
      </c>
      <c r="AM82" s="32">
        <f>IFERROR(__xludf.DUMMYFUNCTION("""COMPUTED_VALUE"""),109.458333)</f>
        <v>109.458333</v>
      </c>
      <c r="AN82" s="32">
        <f>IFERROR(__xludf.DUMMYFUNCTION("""COMPUTED_VALUE"""),36.1125)</f>
        <v>36.1125</v>
      </c>
      <c r="AO82" s="32">
        <f>IFERROR(__xludf.DUMMYFUNCTION("""COMPUTED_VALUE"""),17.35)</f>
        <v>17.35</v>
      </c>
      <c r="AP82" s="32">
        <f>IFERROR(__xludf.DUMMYFUNCTION("""COMPUTED_VALUE"""),0.13677215189873412)</f>
        <v>0.1367721519</v>
      </c>
      <c r="AQ82" s="13"/>
      <c r="AR82" s="13"/>
      <c r="AS82" s="13"/>
      <c r="AT82" s="13"/>
      <c r="AU82" s="13"/>
      <c r="AV82" s="13"/>
      <c r="AW82" s="13"/>
      <c r="AX82" s="13"/>
      <c r="AY82" s="13"/>
      <c r="AZ82" s="13"/>
    </row>
    <row r="83">
      <c r="A83" s="13" t="str">
        <f>IFERROR(__xludf.DUMMYFUNCTION("""COMPUTED_VALUE"""),"Coal India Ltd.")</f>
        <v>Coal India Ltd.</v>
      </c>
      <c r="B83" s="30">
        <f>IFERROR(__xludf.DUMMYFUNCTION("""COMPUTED_VALUE"""),533278.0)</f>
        <v>533278</v>
      </c>
      <c r="C83" s="13" t="str">
        <f>IFERROR(__xludf.DUMMYFUNCTION("""COMPUTED_VALUE"""),"COALINDIA")</f>
        <v>COALINDIA</v>
      </c>
      <c r="D83" s="13" t="str">
        <f>IFERROR(__xludf.DUMMYFUNCTION("""COMPUTED_VALUE"""),"INE522F01014")</f>
        <v>INE522F01014</v>
      </c>
      <c r="E83" s="13" t="str">
        <f>IFERROR(__xludf.DUMMYFUNCTION("""COMPUTED_VALUE"""),"Materials")</f>
        <v>Materials</v>
      </c>
      <c r="F83" s="13" t="str">
        <f>IFERROR(__xludf.DUMMYFUNCTION("""COMPUTED_VALUE"""),"Coal &amp; Lignite")</f>
        <v>Coal &amp; Lignite</v>
      </c>
      <c r="G83" s="31">
        <f>IFERROR(__xludf.DUMMYFUNCTION("""COMPUTED_VALUE"""),44809.0)</f>
        <v>44809</v>
      </c>
      <c r="H83" s="32">
        <f>IFERROR(__xludf.DUMMYFUNCTION("""COMPUTED_VALUE"""),231.6)</f>
        <v>231.6</v>
      </c>
      <c r="I83" s="32">
        <f>IFERROR(__xludf.DUMMYFUNCTION("""COMPUTED_VALUE"""),1.003053)</f>
        <v>1.003053</v>
      </c>
      <c r="J83" s="32">
        <f>IFERROR(__xludf.DUMMYFUNCTION("""COMPUTED_VALUE"""),139.15)</f>
        <v>139.15</v>
      </c>
      <c r="K83" s="32">
        <f>IFERROR(__xludf.DUMMYFUNCTION("""COMPUTED_VALUE"""),236.8)</f>
        <v>236.8</v>
      </c>
      <c r="L83" s="32">
        <f>IFERROR(__xludf.DUMMYFUNCTION("""COMPUTED_VALUE"""),109.5)</f>
        <v>109.5</v>
      </c>
      <c r="M83" s="32">
        <f>IFERROR(__xludf.DUMMYFUNCTION("""COMPUTED_VALUE"""),236.8)</f>
        <v>236.8</v>
      </c>
      <c r="N83" s="32">
        <f>IFERROR(__xludf.DUMMYFUNCTION("""COMPUTED_VALUE"""),109.5)</f>
        <v>109.5</v>
      </c>
      <c r="O83" s="32">
        <f>IFERROR(__xludf.DUMMYFUNCTION("""COMPUTED_VALUE"""),316.95)</f>
        <v>316.95</v>
      </c>
      <c r="P83" s="32">
        <f>IFERROR(__xludf.DUMMYFUNCTION("""COMPUTED_VALUE"""),109.5)</f>
        <v>109.5</v>
      </c>
      <c r="Q83" s="32">
        <f>IFERROR(__xludf.DUMMYFUNCTION("""COMPUTED_VALUE"""),447.25)</f>
        <v>447.25</v>
      </c>
      <c r="R83" s="32">
        <f>IFERROR(__xludf.DUMMYFUNCTION("""COMPUTED_VALUE"""),142728.78805332)</f>
        <v>142728.7881</v>
      </c>
      <c r="S83" s="32">
        <f>IFERROR(__xludf.DUMMYFUNCTION("""COMPUTED_VALUE"""),108100.63325484)</f>
        <v>108100.6333</v>
      </c>
      <c r="T83" s="32">
        <f>IFERROR(__xludf.DUMMYFUNCTION("""COMPUTED_VALUE"""),0.717547)</f>
        <v>0.717547</v>
      </c>
      <c r="U83" s="32">
        <f>IFERROR(__xludf.DUMMYFUNCTION("""COMPUTED_VALUE"""),11.803041)</f>
        <v>11.803041</v>
      </c>
      <c r="V83" s="32">
        <f>IFERROR(__xludf.DUMMYFUNCTION("""COMPUTED_VALUE"""),17.563452)</f>
        <v>17.563452</v>
      </c>
      <c r="W83" s="32">
        <f>IFERROR(__xludf.DUMMYFUNCTION("""COMPUTED_VALUE"""),58.250769)</f>
        <v>58.250769</v>
      </c>
      <c r="X83" s="32">
        <f>IFERROR(__xludf.DUMMYFUNCTION("""COMPUTED_VALUE"""),8.335251)</f>
        <v>8.335251</v>
      </c>
      <c r="Y83" s="32">
        <f>IFERROR(__xludf.DUMMYFUNCTION("""COMPUTED_VALUE"""),-1.239262)</f>
        <v>-1.239262</v>
      </c>
      <c r="Z83" s="32">
        <f>IFERROR(__xludf.DUMMYFUNCTION("""COMPUTED_VALUE"""),-4.332316)</f>
        <v>-4.332316</v>
      </c>
      <c r="AA83" s="32">
        <f>IFERROR(__xludf.DUMMYFUNCTION("""COMPUTED_VALUE"""),6.1999)</f>
        <v>6.1999</v>
      </c>
      <c r="AB83" s="32">
        <f>IFERROR(__xludf.DUMMYFUNCTION("""COMPUTED_VALUE"""),7.1129)</f>
        <v>7.1129</v>
      </c>
      <c r="AC83" s="32">
        <f>IFERROR(__xludf.DUMMYFUNCTION("""COMPUTED_VALUE"""),2.7447)</f>
        <v>2.7447</v>
      </c>
      <c r="AD83" s="32">
        <f>IFERROR(__xludf.DUMMYFUNCTION("""COMPUTED_VALUE"""),2.81475)</f>
        <v>2.81475</v>
      </c>
      <c r="AE83" s="32">
        <f>IFERROR(__xludf.DUMMYFUNCTION("""COMPUTED_VALUE"""),32.991278)</f>
        <v>32.991278</v>
      </c>
      <c r="AF83" s="32">
        <f>IFERROR(__xludf.DUMMYFUNCTION("""COMPUTED_VALUE"""),0.282976)</f>
        <v>0.282976</v>
      </c>
      <c r="AG83" s="32">
        <f>IFERROR(__xludf.DUMMYFUNCTION("""COMPUTED_VALUE"""),7.3402)</f>
        <v>7.3402</v>
      </c>
      <c r="AH83" s="32">
        <f>IFERROR(__xludf.DUMMYFUNCTION("""COMPUTED_VALUE"""),2.976708)</f>
        <v>2.976708</v>
      </c>
      <c r="AI83" s="32">
        <f>IFERROR(__xludf.DUMMYFUNCTION("""COMPUTED_VALUE"""),1.2995700360958118)</f>
        <v>1.299570036</v>
      </c>
      <c r="AJ83" s="32">
        <f>IFERROR(__xludf.DUMMYFUNCTION("""COMPUTED_VALUE"""),3.4737755598555378)</f>
        <v>3.47377556</v>
      </c>
      <c r="AK83" s="32">
        <f>IFERROR(__xludf.DUMMYFUNCTION("""COMPUTED_VALUE"""),37.3554)</f>
        <v>37.3554</v>
      </c>
      <c r="AL83" s="32">
        <f>IFERROR(__xludf.DUMMYFUNCTION("""COMPUTED_VALUE"""),84.3802)</f>
        <v>84.3802</v>
      </c>
      <c r="AM83" s="32">
        <f>IFERROR(__xludf.DUMMYFUNCTION("""COMPUTED_VALUE"""),66.670956)</f>
        <v>66.670956</v>
      </c>
      <c r="AN83" s="32">
        <f>IFERROR(__xludf.DUMMYFUNCTION("""COMPUTED_VALUE"""),44.201758)</f>
        <v>44.201758</v>
      </c>
      <c r="AO83" s="32">
        <f>IFERROR(__xludf.DUMMYFUNCTION("""COMPUTED_VALUE"""),17.0)</f>
        <v>17</v>
      </c>
      <c r="AP83" s="32">
        <f>IFERROR(__xludf.DUMMYFUNCTION("""COMPUTED_VALUE"""),0.02195945945945953)</f>
        <v>0.02195945946</v>
      </c>
      <c r="AQ83" s="13"/>
      <c r="AR83" s="13"/>
      <c r="AS83" s="13"/>
      <c r="AT83" s="13"/>
      <c r="AU83" s="13"/>
      <c r="AV83" s="13"/>
      <c r="AW83" s="13"/>
      <c r="AX83" s="13"/>
      <c r="AY83" s="13"/>
      <c r="AZ83" s="13"/>
    </row>
    <row r="84">
      <c r="A84" s="13" t="str">
        <f>IFERROR(__xludf.DUMMYFUNCTION("""COMPUTED_VALUE"""),"Rites Ltd.")</f>
        <v>Rites Ltd.</v>
      </c>
      <c r="B84" s="30">
        <f>IFERROR(__xludf.DUMMYFUNCTION("""COMPUTED_VALUE"""),541556.0)</f>
        <v>541556</v>
      </c>
      <c r="C84" s="13" t="str">
        <f>IFERROR(__xludf.DUMMYFUNCTION("""COMPUTED_VALUE"""),"RITES")</f>
        <v>RITES</v>
      </c>
      <c r="D84" s="13" t="str">
        <f>IFERROR(__xludf.DUMMYFUNCTION("""COMPUTED_VALUE"""),"INE320J01015")</f>
        <v>INE320J01015</v>
      </c>
      <c r="E84" s="13" t="str">
        <f>IFERROR(__xludf.DUMMYFUNCTION("""COMPUTED_VALUE"""),"Construction")</f>
        <v>Construction</v>
      </c>
      <c r="F84" s="13" t="str">
        <f>IFERROR(__xludf.DUMMYFUNCTION("""COMPUTED_VALUE"""),"Infrastructure")</f>
        <v>Infrastructure</v>
      </c>
      <c r="G84" s="31">
        <f>IFERROR(__xludf.DUMMYFUNCTION("""COMPUTED_VALUE"""),44809.0)</f>
        <v>44809</v>
      </c>
      <c r="H84" s="32">
        <f>IFERROR(__xludf.DUMMYFUNCTION("""COMPUTED_VALUE"""),299.0)</f>
        <v>299</v>
      </c>
      <c r="I84" s="32">
        <f>IFERROR(__xludf.DUMMYFUNCTION("""COMPUTED_VALUE"""),0.133958)</f>
        <v>0.133958</v>
      </c>
      <c r="J84" s="32">
        <f>IFERROR(__xludf.DUMMYFUNCTION("""COMPUTED_VALUE"""),226.2)</f>
        <v>226.2</v>
      </c>
      <c r="K84" s="32">
        <f>IFERROR(__xludf.DUMMYFUNCTION("""COMPUTED_VALUE"""),318.0)</f>
        <v>318</v>
      </c>
      <c r="L84" s="32">
        <f>IFERROR(__xludf.DUMMYFUNCTION("""COMPUTED_VALUE"""),190.65)</f>
        <v>190.65</v>
      </c>
      <c r="M84" s="32">
        <f>IFERROR(__xludf.DUMMYFUNCTION("""COMPUTED_VALUE"""),331.0)</f>
        <v>331</v>
      </c>
      <c r="N84" s="13"/>
      <c r="O84" s="13"/>
      <c r="P84" s="32">
        <f>IFERROR(__xludf.DUMMYFUNCTION("""COMPUTED_VALUE"""),152.0)</f>
        <v>152</v>
      </c>
      <c r="Q84" s="32">
        <f>IFERROR(__xludf.DUMMYFUNCTION("""COMPUTED_VALUE"""),331.0)</f>
        <v>331</v>
      </c>
      <c r="R84" s="32">
        <f>IFERROR(__xludf.DUMMYFUNCTION("""COMPUTED_VALUE"""),7179.018874125)</f>
        <v>7179.018874</v>
      </c>
      <c r="S84" s="32">
        <f>IFERROR(__xludf.DUMMYFUNCTION("""COMPUTED_VALUE"""),3827.21736469)</f>
        <v>3827.217365</v>
      </c>
      <c r="T84" s="32">
        <f>IFERROR(__xludf.DUMMYFUNCTION("""COMPUTED_VALUE"""),2.961433)</f>
        <v>2.961433</v>
      </c>
      <c r="U84" s="32">
        <f>IFERROR(__xludf.DUMMYFUNCTION("""COMPUTED_VALUE"""),11.838414)</f>
        <v>11.838414</v>
      </c>
      <c r="V84" s="32">
        <f>IFERROR(__xludf.DUMMYFUNCTION("""COMPUTED_VALUE"""),22.340426)</f>
        <v>22.340426</v>
      </c>
      <c r="W84" s="32">
        <f>IFERROR(__xludf.DUMMYFUNCTION("""COMPUTED_VALUE"""),9.144004)</f>
        <v>9.144004</v>
      </c>
      <c r="X84" s="32">
        <f>IFERROR(__xludf.DUMMYFUNCTION("""COMPUTED_VALUE"""),10.146165)</f>
        <v>10.146165</v>
      </c>
      <c r="Y84" s="13"/>
      <c r="Z84" s="13"/>
      <c r="AA84" s="32">
        <f>IFERROR(__xludf.DUMMYFUNCTION("""COMPUTED_VALUE"""),12.3372)</f>
        <v>12.3372</v>
      </c>
      <c r="AB84" s="32">
        <f>IFERROR(__xludf.DUMMYFUNCTION("""COMPUTED_VALUE"""),13.0365)</f>
        <v>13.0365</v>
      </c>
      <c r="AC84" s="32">
        <f>IFERROR(__xludf.DUMMYFUNCTION("""COMPUTED_VALUE"""),2.7267)</f>
        <v>2.7267</v>
      </c>
      <c r="AD84" s="32">
        <f>IFERROR(__xludf.DUMMYFUNCTION("""COMPUTED_VALUE"""),2.38485)</f>
        <v>2.38485</v>
      </c>
      <c r="AE84" s="32">
        <f>IFERROR(__xludf.DUMMYFUNCTION("""COMPUTED_VALUE"""),24.409555)</f>
        <v>24.409555</v>
      </c>
      <c r="AF84" s="32">
        <f>IFERROR(__xludf.DUMMYFUNCTION("""COMPUTED_VALUE"""),1.732319)</f>
        <v>1.732319</v>
      </c>
      <c r="AG84" s="32">
        <f>IFERROR(__xludf.DUMMYFUNCTION("""COMPUTED_VALUE"""),5.6904)</f>
        <v>5.6904</v>
      </c>
      <c r="AH84" s="32">
        <f>IFERROR(__xludf.DUMMYFUNCTION("""COMPUTED_VALUE"""),4.260085)</f>
        <v>4.260085</v>
      </c>
      <c r="AI84" s="32">
        <f>IFERROR(__xludf.DUMMYFUNCTION("""COMPUTED_VALUE"""),2.4816165461840796)</f>
        <v>2.481616546</v>
      </c>
      <c r="AJ84" s="32">
        <f>IFERROR(__xludf.DUMMYFUNCTION("""COMPUTED_VALUE"""),23.185798773132447)</f>
        <v>23.18579877</v>
      </c>
      <c r="AK84" s="32">
        <f>IFERROR(__xludf.DUMMYFUNCTION("""COMPUTED_VALUE"""),24.2154)</f>
        <v>24.2154</v>
      </c>
      <c r="AL84" s="32">
        <f>IFERROR(__xludf.DUMMYFUNCTION("""COMPUTED_VALUE"""),109.5635)</f>
        <v>109.5635</v>
      </c>
      <c r="AM84" s="32">
        <f>IFERROR(__xludf.DUMMYFUNCTION("""COMPUTED_VALUE"""),12.885144)</f>
        <v>12.885144</v>
      </c>
      <c r="AN84" s="32">
        <f>IFERROR(__xludf.DUMMYFUNCTION("""COMPUTED_VALUE"""),6.873075)</f>
        <v>6.873075</v>
      </c>
      <c r="AO84" s="32">
        <f>IFERROR(__xludf.DUMMYFUNCTION("""COMPUTED_VALUE"""),17.0)</f>
        <v>17</v>
      </c>
      <c r="AP84" s="32">
        <f>IFERROR(__xludf.DUMMYFUNCTION("""COMPUTED_VALUE"""),0.059748427672955975)</f>
        <v>0.05974842767</v>
      </c>
      <c r="AQ84" s="13"/>
      <c r="AR84" s="13"/>
      <c r="AS84" s="13"/>
      <c r="AT84" s="13"/>
      <c r="AU84" s="13"/>
      <c r="AV84" s="13"/>
      <c r="AW84" s="13"/>
      <c r="AX84" s="13"/>
      <c r="AY84" s="13"/>
      <c r="AZ84" s="13"/>
    </row>
    <row r="85">
      <c r="A85" s="13" t="str">
        <f>IFERROR(__xludf.DUMMYFUNCTION("""COMPUTED_VALUE"""),"SRF Ltd.")</f>
        <v>SRF Ltd.</v>
      </c>
      <c r="B85" s="30">
        <f>IFERROR(__xludf.DUMMYFUNCTION("""COMPUTED_VALUE"""),503806.0)</f>
        <v>503806</v>
      </c>
      <c r="C85" s="13" t="str">
        <f>IFERROR(__xludf.DUMMYFUNCTION("""COMPUTED_VALUE"""),"SRF")</f>
        <v>SRF</v>
      </c>
      <c r="D85" s="13" t="str">
        <f>IFERROR(__xludf.DUMMYFUNCTION("""COMPUTED_VALUE"""),"INE647A01010")</f>
        <v>INE647A01010</v>
      </c>
      <c r="E85" s="13" t="str">
        <f>IFERROR(__xludf.DUMMYFUNCTION("""COMPUTED_VALUE"""),"Diversified")</f>
        <v>Diversified</v>
      </c>
      <c r="F85" s="13" t="str">
        <f>IFERROR(__xludf.DUMMYFUNCTION("""COMPUTED_VALUE"""),"Diversified")</f>
        <v>Diversified</v>
      </c>
      <c r="G85" s="31">
        <f>IFERROR(__xludf.DUMMYFUNCTION("""COMPUTED_VALUE"""),44809.0)</f>
        <v>44809</v>
      </c>
      <c r="H85" s="32">
        <f>IFERROR(__xludf.DUMMYFUNCTION("""COMPUTED_VALUE"""),2601.2)</f>
        <v>2601.2</v>
      </c>
      <c r="I85" s="32">
        <f>IFERROR(__xludf.DUMMYFUNCTION("""COMPUTED_VALUE"""),-0.084505)</f>
        <v>-0.084505</v>
      </c>
      <c r="J85" s="32">
        <f>IFERROR(__xludf.DUMMYFUNCTION("""COMPUTED_VALUE"""),1973.1)</f>
        <v>1973.1</v>
      </c>
      <c r="K85" s="32">
        <f>IFERROR(__xludf.DUMMYFUNCTION("""COMPUTED_VALUE"""),2773.35)</f>
        <v>2773.35</v>
      </c>
      <c r="L85" s="32">
        <f>IFERROR(__xludf.DUMMYFUNCTION("""COMPUTED_VALUE"""),493.53)</f>
        <v>493.53</v>
      </c>
      <c r="M85" s="32">
        <f>IFERROR(__xludf.DUMMYFUNCTION("""COMPUTED_VALUE"""),2773.35)</f>
        <v>2773.35</v>
      </c>
      <c r="N85" s="32">
        <f>IFERROR(__xludf.DUMMYFUNCTION("""COMPUTED_VALUE"""),302.0)</f>
        <v>302</v>
      </c>
      <c r="O85" s="32">
        <f>IFERROR(__xludf.DUMMYFUNCTION("""COMPUTED_VALUE"""),2773.35)</f>
        <v>2773.35</v>
      </c>
      <c r="P85" s="32">
        <f>IFERROR(__xludf.DUMMYFUNCTION("""COMPUTED_VALUE"""),2.6)</f>
        <v>2.6</v>
      </c>
      <c r="Q85" s="32">
        <f>IFERROR(__xludf.DUMMYFUNCTION("""COMPUTED_VALUE"""),2773.35)</f>
        <v>2773.35</v>
      </c>
      <c r="R85" s="32">
        <f>IFERROR(__xludf.DUMMYFUNCTION("""COMPUTED_VALUE"""),77106.025479)</f>
        <v>77106.02548</v>
      </c>
      <c r="S85" s="32">
        <f>IFERROR(__xludf.DUMMYFUNCTION("""COMPUTED_VALUE"""),79922.6419475)</f>
        <v>79922.64195</v>
      </c>
      <c r="T85" s="32">
        <f>IFERROR(__xludf.DUMMYFUNCTION("""COMPUTED_VALUE"""),8.313381)</f>
        <v>8.313381</v>
      </c>
      <c r="U85" s="32">
        <f>IFERROR(__xludf.DUMMYFUNCTION("""COMPUTED_VALUE"""),6.00269)</f>
        <v>6.00269</v>
      </c>
      <c r="V85" s="32">
        <f>IFERROR(__xludf.DUMMYFUNCTION("""COMPUTED_VALUE"""),9.572653)</f>
        <v>9.572653</v>
      </c>
      <c r="W85" s="32">
        <f>IFERROR(__xludf.DUMMYFUNCTION("""COMPUTED_VALUE"""),25.765729)</f>
        <v>25.765729</v>
      </c>
      <c r="X85" s="32">
        <f>IFERROR(__xludf.DUMMYFUNCTION("""COMPUTED_VALUE"""),68.151094)</f>
        <v>68.151094</v>
      </c>
      <c r="Y85" s="32">
        <f>IFERROR(__xludf.DUMMYFUNCTION("""COMPUTED_VALUE"""),53.95289)</f>
        <v>53.95289</v>
      </c>
      <c r="Z85" s="32">
        <f>IFERROR(__xludf.DUMMYFUNCTION("""COMPUTED_VALUE"""),50.524983)</f>
        <v>50.524983</v>
      </c>
      <c r="AA85" s="32">
        <f>IFERROR(__xludf.DUMMYFUNCTION("""COMPUTED_VALUE"""),36.7851)</f>
        <v>36.7851</v>
      </c>
      <c r="AB85" s="32">
        <f>IFERROR(__xludf.DUMMYFUNCTION("""COMPUTED_VALUE"""),24.74895)</f>
        <v>24.74895</v>
      </c>
      <c r="AC85" s="32">
        <f>IFERROR(__xludf.DUMMYFUNCTION("""COMPUTED_VALUE"""),8.4315)</f>
        <v>8.4315</v>
      </c>
      <c r="AD85" s="32">
        <f>IFERROR(__xludf.DUMMYFUNCTION("""COMPUTED_VALUE"""),4.3164)</f>
        <v>4.3164</v>
      </c>
      <c r="AE85" s="32">
        <f>IFERROR(__xludf.DUMMYFUNCTION("""COMPUTED_VALUE"""),3.903365)</f>
        <v>3.903365</v>
      </c>
      <c r="AF85" s="32">
        <f>IFERROR(__xludf.DUMMYFUNCTION("""COMPUTED_VALUE"""),1.04331)</f>
        <v>1.04331</v>
      </c>
      <c r="AG85" s="32">
        <f>IFERROR(__xludf.DUMMYFUNCTION("""COMPUTED_VALUE"""),0.6443)</f>
        <v>0.6443</v>
      </c>
      <c r="AH85" s="32">
        <f>IFERROR(__xludf.DUMMYFUNCTION("""COMPUTED_VALUE"""),22.588503)</f>
        <v>22.588503</v>
      </c>
      <c r="AI85" s="32">
        <f>IFERROR(__xludf.DUMMYFUNCTION("""COMPUTED_VALUE"""),5.7174146165293775)</f>
        <v>5.717414617</v>
      </c>
      <c r="AJ85" s="32">
        <f>IFERROR(__xludf.DUMMYFUNCTION("""COMPUTED_VALUE"""),36.61741612322626)</f>
        <v>36.61741612</v>
      </c>
      <c r="AK85" s="32">
        <f>IFERROR(__xludf.DUMMYFUNCTION("""COMPUTED_VALUE"""),70.8996)</f>
        <v>70.8996</v>
      </c>
      <c r="AL85" s="32">
        <f>IFERROR(__xludf.DUMMYFUNCTION("""COMPUTED_VALUE"""),309.3238)</f>
        <v>309.3238</v>
      </c>
      <c r="AM85" s="32">
        <f>IFERROR(__xludf.DUMMYFUNCTION("""COMPUTED_VALUE"""),71.038391)</f>
        <v>71.038391</v>
      </c>
      <c r="AN85" s="32">
        <f>IFERROR(__xludf.DUMMYFUNCTION("""COMPUTED_VALUE"""),-3.049052)</f>
        <v>-3.049052</v>
      </c>
      <c r="AO85" s="32">
        <f>IFERROR(__xludf.DUMMYFUNCTION("""COMPUTED_VALUE"""),16.75)</f>
        <v>16.75</v>
      </c>
      <c r="AP85" s="32">
        <f>IFERROR(__xludf.DUMMYFUNCTION("""COMPUTED_VALUE"""),0.06207294427317147)</f>
        <v>0.06207294427</v>
      </c>
      <c r="AQ85" s="13"/>
      <c r="AR85" s="13"/>
      <c r="AS85" s="13"/>
      <c r="AT85" s="13"/>
      <c r="AU85" s="13"/>
      <c r="AV85" s="13"/>
      <c r="AW85" s="13"/>
      <c r="AX85" s="13"/>
      <c r="AY85" s="13"/>
      <c r="AZ85" s="13"/>
    </row>
    <row r="86">
      <c r="A86" s="13" t="str">
        <f>IFERROR(__xludf.DUMMYFUNCTION("""COMPUTED_VALUE"""),"JB Chemicals &amp; Pharmaceuticals Ltd.")</f>
        <v>JB Chemicals &amp; Pharmaceuticals Ltd.</v>
      </c>
      <c r="B86" s="30">
        <f>IFERROR(__xludf.DUMMYFUNCTION("""COMPUTED_VALUE"""),506943.0)</f>
        <v>506943</v>
      </c>
      <c r="C86" s="13" t="str">
        <f>IFERROR(__xludf.DUMMYFUNCTION("""COMPUTED_VALUE"""),"JBCHEPHARM")</f>
        <v>JBCHEPHARM</v>
      </c>
      <c r="D86" s="13" t="str">
        <f>IFERROR(__xludf.DUMMYFUNCTION("""COMPUTED_VALUE"""),"INE572A01028")</f>
        <v>INE572A01028</v>
      </c>
      <c r="E86" s="13" t="str">
        <f>IFERROR(__xludf.DUMMYFUNCTION("""COMPUTED_VALUE"""),"Healthcare")</f>
        <v>Healthcare</v>
      </c>
      <c r="F86" s="13" t="str">
        <f>IFERROR(__xludf.DUMMYFUNCTION("""COMPUTED_VALUE"""),"Drugs &amp; Pharma")</f>
        <v>Drugs &amp; Pharma</v>
      </c>
      <c r="G86" s="31">
        <f>IFERROR(__xludf.DUMMYFUNCTION("""COMPUTED_VALUE"""),44809.0)</f>
        <v>44809</v>
      </c>
      <c r="H86" s="32">
        <f>IFERROR(__xludf.DUMMYFUNCTION("""COMPUTED_VALUE"""),1844.65)</f>
        <v>1844.65</v>
      </c>
      <c r="I86" s="32">
        <f>IFERROR(__xludf.DUMMYFUNCTION("""COMPUTED_VALUE"""),2.808973)</f>
        <v>2.808973</v>
      </c>
      <c r="J86" s="32">
        <f>IFERROR(__xludf.DUMMYFUNCTION("""COMPUTED_VALUE"""),1342.2)</f>
        <v>1342.2</v>
      </c>
      <c r="K86" s="32">
        <f>IFERROR(__xludf.DUMMYFUNCTION("""COMPUTED_VALUE"""),1985.0)</f>
        <v>1985</v>
      </c>
      <c r="L86" s="32">
        <f>IFERROR(__xludf.DUMMYFUNCTION("""COMPUTED_VALUE"""),315.05)</f>
        <v>315.05</v>
      </c>
      <c r="M86" s="32">
        <f>IFERROR(__xludf.DUMMYFUNCTION("""COMPUTED_VALUE"""),1985.0)</f>
        <v>1985</v>
      </c>
      <c r="N86" s="32">
        <f>IFERROR(__xludf.DUMMYFUNCTION("""COMPUTED_VALUE"""),236.0)</f>
        <v>236</v>
      </c>
      <c r="O86" s="32">
        <f>IFERROR(__xludf.DUMMYFUNCTION("""COMPUTED_VALUE"""),1985.0)</f>
        <v>1985</v>
      </c>
      <c r="P86" s="32">
        <f>IFERROR(__xludf.DUMMYFUNCTION("""COMPUTED_VALUE"""),14.67)</f>
        <v>14.67</v>
      </c>
      <c r="Q86" s="32">
        <f>IFERROR(__xludf.DUMMYFUNCTION("""COMPUTED_VALUE"""),1985.0)</f>
        <v>1985</v>
      </c>
      <c r="R86" s="32">
        <f>IFERROR(__xludf.DUMMYFUNCTION("""COMPUTED_VALUE"""),14264.720323555)</f>
        <v>14264.72032</v>
      </c>
      <c r="S86" s="32">
        <f>IFERROR(__xludf.DUMMYFUNCTION("""COMPUTED_VALUE"""),13805.644570515)</f>
        <v>13805.64457</v>
      </c>
      <c r="T86" s="32">
        <f>IFERROR(__xludf.DUMMYFUNCTION("""COMPUTED_VALUE"""),1.521739)</f>
        <v>1.521739</v>
      </c>
      <c r="U86" s="32">
        <f>IFERROR(__xludf.DUMMYFUNCTION("""COMPUTED_VALUE"""),1.619612)</f>
        <v>1.619612</v>
      </c>
      <c r="V86" s="32">
        <f>IFERROR(__xludf.DUMMYFUNCTION("""COMPUTED_VALUE"""),16.75739)</f>
        <v>16.75739</v>
      </c>
      <c r="W86" s="32">
        <f>IFERROR(__xludf.DUMMYFUNCTION("""COMPUTED_VALUE"""),9.396869)</f>
        <v>9.396869</v>
      </c>
      <c r="X86" s="32">
        <f>IFERROR(__xludf.DUMMYFUNCTION("""COMPUTED_VALUE"""),69.858827)</f>
        <v>69.858827</v>
      </c>
      <c r="Y86" s="32">
        <f>IFERROR(__xludf.DUMMYFUNCTION("""COMPUTED_VALUE"""),46.350852)</f>
        <v>46.350852</v>
      </c>
      <c r="Z86" s="32">
        <f>IFERROR(__xludf.DUMMYFUNCTION("""COMPUTED_VALUE"""),39.063437)</f>
        <v>39.063437</v>
      </c>
      <c r="AA86" s="32">
        <f>IFERROR(__xludf.DUMMYFUNCTION("""COMPUTED_VALUE"""),37.9039)</f>
        <v>37.9039</v>
      </c>
      <c r="AB86" s="32">
        <f>IFERROR(__xludf.DUMMYFUNCTION("""COMPUTED_VALUE"""),18.6691)</f>
        <v>18.6691</v>
      </c>
      <c r="AC86" s="32">
        <f>IFERROR(__xludf.DUMMYFUNCTION("""COMPUTED_VALUE"""),6.4694)</f>
        <v>6.4694</v>
      </c>
      <c r="AD86" s="32">
        <f>IFERROR(__xludf.DUMMYFUNCTION("""COMPUTED_VALUE"""),2.9078)</f>
        <v>2.9078</v>
      </c>
      <c r="AE86" s="32">
        <f>IFERROR(__xludf.DUMMYFUNCTION("""COMPUTED_VALUE"""),3.695245)</f>
        <v>3.695245</v>
      </c>
      <c r="AF86" s="32">
        <f>IFERROR(__xludf.DUMMYFUNCTION("""COMPUTED_VALUE"""),2.380239)</f>
        <v>2.380239</v>
      </c>
      <c r="AG86" s="32">
        <f>IFERROR(__xludf.DUMMYFUNCTION("""COMPUTED_VALUE"""),0.8954)</f>
        <v>0.8954</v>
      </c>
      <c r="AH86" s="32">
        <f>IFERROR(__xludf.DUMMYFUNCTION("""COMPUTED_VALUE"""),23.816181)</f>
        <v>23.816181</v>
      </c>
      <c r="AI86" s="32">
        <f>IFERROR(__xludf.DUMMYFUNCTION("""COMPUTED_VALUE"""),5.479968745915394)</f>
        <v>5.479968746</v>
      </c>
      <c r="AJ86" s="32">
        <f>IFERROR(__xludf.DUMMYFUNCTION("""COMPUTED_VALUE"""),83.8437843209637)</f>
        <v>83.84378432</v>
      </c>
      <c r="AK86" s="32">
        <f>IFERROR(__xludf.DUMMYFUNCTION("""COMPUTED_VALUE"""),48.0425)</f>
        <v>48.0425</v>
      </c>
      <c r="AL86" s="32">
        <f>IFERROR(__xludf.DUMMYFUNCTION("""COMPUTED_VALUE"""),281.4784)</f>
        <v>281.4784</v>
      </c>
      <c r="AM86" s="32">
        <f>IFERROR(__xludf.DUMMYFUNCTION("""COMPUTED_VALUE"""),22.014764)</f>
        <v>22.014764</v>
      </c>
      <c r="AN86" s="32">
        <f>IFERROR(__xludf.DUMMYFUNCTION("""COMPUTED_VALUE"""),-71.246823)</f>
        <v>-71.246823</v>
      </c>
      <c r="AO86" s="32">
        <f>IFERROR(__xludf.DUMMYFUNCTION("""COMPUTED_VALUE"""),16.5)</f>
        <v>16.5</v>
      </c>
      <c r="AP86" s="32">
        <f>IFERROR(__xludf.DUMMYFUNCTION("""COMPUTED_VALUE"""),0.07070528967254404)</f>
        <v>0.07070528967</v>
      </c>
      <c r="AQ86" s="13"/>
      <c r="AR86" s="13"/>
      <c r="AS86" s="13"/>
      <c r="AT86" s="13"/>
      <c r="AU86" s="13"/>
      <c r="AV86" s="13"/>
      <c r="AW86" s="13"/>
      <c r="AX86" s="13"/>
      <c r="AY86" s="13"/>
      <c r="AZ86" s="13"/>
    </row>
    <row r="87">
      <c r="A87" s="13" t="str">
        <f>IFERROR(__xludf.DUMMYFUNCTION("""COMPUTED_VALUE"""),"Bharat Petroleum Corporation Ltd.")</f>
        <v>Bharat Petroleum Corporation Ltd.</v>
      </c>
      <c r="B87" s="30">
        <f>IFERROR(__xludf.DUMMYFUNCTION("""COMPUTED_VALUE"""),500547.0)</f>
        <v>500547</v>
      </c>
      <c r="C87" s="13" t="str">
        <f>IFERROR(__xludf.DUMMYFUNCTION("""COMPUTED_VALUE"""),"BPCL")</f>
        <v>BPCL</v>
      </c>
      <c r="D87" s="13" t="str">
        <f>IFERROR(__xludf.DUMMYFUNCTION("""COMPUTED_VALUE"""),"INE029A01011")</f>
        <v>INE029A01011</v>
      </c>
      <c r="E87" s="13" t="str">
        <f>IFERROR(__xludf.DUMMYFUNCTION("""COMPUTED_VALUE"""),"Energy")</f>
        <v>Energy</v>
      </c>
      <c r="F87" s="13" t="str">
        <f>IFERROR(__xludf.DUMMYFUNCTION("""COMPUTED_VALUE"""),"Oil Refineries &amp; Marketing")</f>
        <v>Oil Refineries &amp; Marketing</v>
      </c>
      <c r="G87" s="31">
        <f>IFERROR(__xludf.DUMMYFUNCTION("""COMPUTED_VALUE"""),44809.0)</f>
        <v>44809</v>
      </c>
      <c r="H87" s="32">
        <f>IFERROR(__xludf.DUMMYFUNCTION("""COMPUTED_VALUE"""),324.75)</f>
        <v>324.75</v>
      </c>
      <c r="I87" s="32">
        <f>IFERROR(__xludf.DUMMYFUNCTION("""COMPUTED_VALUE"""),0.8697)</f>
        <v>0.8697</v>
      </c>
      <c r="J87" s="32">
        <f>IFERROR(__xludf.DUMMYFUNCTION("""COMPUTED_VALUE"""),293.35)</f>
        <v>293.35</v>
      </c>
      <c r="K87" s="32">
        <f>IFERROR(__xludf.DUMMYFUNCTION("""COMPUTED_VALUE"""),503.0)</f>
        <v>503</v>
      </c>
      <c r="L87" s="32">
        <f>IFERROR(__xludf.DUMMYFUNCTION("""COMPUTED_VALUE"""),252.0)</f>
        <v>252</v>
      </c>
      <c r="M87" s="32">
        <f>IFERROR(__xludf.DUMMYFUNCTION("""COMPUTED_VALUE"""),549.7)</f>
        <v>549.7</v>
      </c>
      <c r="N87" s="32">
        <f>IFERROR(__xludf.DUMMYFUNCTION("""COMPUTED_VALUE"""),238.55)</f>
        <v>238.55</v>
      </c>
      <c r="O87" s="32">
        <f>IFERROR(__xludf.DUMMYFUNCTION("""COMPUTED_VALUE"""),551.55)</f>
        <v>551.55</v>
      </c>
      <c r="P87" s="32">
        <f>IFERROR(__xludf.DUMMYFUNCTION("""COMPUTED_VALUE"""),12.166667)</f>
        <v>12.166667</v>
      </c>
      <c r="Q87" s="32">
        <f>IFERROR(__xludf.DUMMYFUNCTION("""COMPUTED_VALUE"""),551.55)</f>
        <v>551.55</v>
      </c>
      <c r="R87" s="32">
        <f>IFERROR(__xludf.DUMMYFUNCTION("""COMPUTED_VALUE"""),70446.4828614)</f>
        <v>70446.48286</v>
      </c>
      <c r="S87" s="32">
        <f>IFERROR(__xludf.DUMMYFUNCTION("""COMPUTED_VALUE"""),119675.29462052001)</f>
        <v>119675.2946</v>
      </c>
      <c r="T87" s="32">
        <f>IFERROR(__xludf.DUMMYFUNCTION("""COMPUTED_VALUE"""),-1.321787)</f>
        <v>-1.321787</v>
      </c>
      <c r="U87" s="32">
        <f>IFERROR(__xludf.DUMMYFUNCTION("""COMPUTED_VALUE"""),-2.754903)</f>
        <v>-2.754903</v>
      </c>
      <c r="V87" s="32">
        <f>IFERROR(__xludf.DUMMYFUNCTION("""COMPUTED_VALUE"""),-1.036112)</f>
        <v>-1.036112</v>
      </c>
      <c r="W87" s="32">
        <f>IFERROR(__xludf.DUMMYFUNCTION("""COMPUTED_VALUE"""),-33.899858)</f>
        <v>-33.899858</v>
      </c>
      <c r="X87" s="32">
        <f>IFERROR(__xludf.DUMMYFUNCTION("""COMPUTED_VALUE"""),-3.692154)</f>
        <v>-3.692154</v>
      </c>
      <c r="Y87" s="32">
        <f>IFERROR(__xludf.DUMMYFUNCTION("""COMPUTED_VALUE"""),-9.371166)</f>
        <v>-9.371166</v>
      </c>
      <c r="Z87" s="32">
        <f>IFERROR(__xludf.DUMMYFUNCTION("""COMPUTED_VALUE"""),10.876715)</f>
        <v>10.876715</v>
      </c>
      <c r="AA87" s="32">
        <f>IFERROR(__xludf.DUMMYFUNCTION("""COMPUTED_VALUE"""),26.4717)</f>
        <v>26.4717</v>
      </c>
      <c r="AB87" s="32">
        <f>IFERROR(__xludf.DUMMYFUNCTION("""COMPUTED_VALUE"""),10.91685)</f>
        <v>10.91685</v>
      </c>
      <c r="AC87" s="32">
        <f>IFERROR(__xludf.DUMMYFUNCTION("""COMPUTED_VALUE"""),1.5513)</f>
        <v>1.5513</v>
      </c>
      <c r="AD87" s="32">
        <f>IFERROR(__xludf.DUMMYFUNCTION("""COMPUTED_VALUE"""),2.11315)</f>
        <v>2.11315</v>
      </c>
      <c r="AE87" s="32">
        <f>IFERROR(__xludf.DUMMYFUNCTION("""COMPUTED_VALUE"""),7.21332)</f>
        <v>7.21332</v>
      </c>
      <c r="AF87" s="32">
        <f>IFERROR(__xludf.DUMMYFUNCTION("""COMPUTED_VALUE"""),7.675375)</f>
        <v>7.675375</v>
      </c>
      <c r="AG87" s="32">
        <f>IFERROR(__xludf.DUMMYFUNCTION("""COMPUTED_VALUE"""),4.9276)</f>
        <v>4.9276</v>
      </c>
      <c r="AH87" s="32">
        <f>IFERROR(__xludf.DUMMYFUNCTION("""COMPUTED_VALUE"""),9.653172)</f>
        <v>9.653172</v>
      </c>
      <c r="AI87" s="32">
        <f>IFERROR(__xludf.DUMMYFUNCTION("""COMPUTED_VALUE"""),0.1463726118025724)</f>
        <v>0.1463726118</v>
      </c>
      <c r="AJ87" s="32">
        <f>IFERROR(__xludf.DUMMYFUNCTION("""COMPUTED_VALUE"""),3.4641898412490786)</f>
        <v>3.464189841</v>
      </c>
      <c r="AK87" s="32">
        <f>IFERROR(__xludf.DUMMYFUNCTION("""COMPUTED_VALUE"""),12.2659)</f>
        <v>12.2659</v>
      </c>
      <c r="AL87" s="32">
        <f>IFERROR(__xludf.DUMMYFUNCTION("""COMPUTED_VALUE"""),209.3019)</f>
        <v>209.3019</v>
      </c>
      <c r="AM87" s="32">
        <f>IFERROR(__xludf.DUMMYFUNCTION("""COMPUTED_VALUE"""),95.4971)</f>
        <v>95.4971</v>
      </c>
      <c r="AN87" s="32">
        <f>IFERROR(__xludf.DUMMYFUNCTION("""COMPUTED_VALUE"""),42.97875)</f>
        <v>42.97875</v>
      </c>
      <c r="AO87" s="32">
        <f>IFERROR(__xludf.DUMMYFUNCTION("""COMPUTED_VALUE"""),16.0)</f>
        <v>16</v>
      </c>
      <c r="AP87" s="32">
        <f>IFERROR(__xludf.DUMMYFUNCTION("""COMPUTED_VALUE"""),0.3543737574552684)</f>
        <v>0.3543737575</v>
      </c>
      <c r="AQ87" s="13"/>
      <c r="AR87" s="13"/>
      <c r="AS87" s="13"/>
      <c r="AT87" s="13"/>
      <c r="AU87" s="13"/>
      <c r="AV87" s="13"/>
      <c r="AW87" s="13"/>
      <c r="AX87" s="13"/>
      <c r="AY87" s="13"/>
      <c r="AZ87" s="13"/>
    </row>
    <row r="88">
      <c r="A88" s="13" t="str">
        <f>IFERROR(__xludf.DUMMYFUNCTION("""COMPUTED_VALUE"""),"Schaeffler India Ltd.")</f>
        <v>Schaeffler India Ltd.</v>
      </c>
      <c r="B88" s="30">
        <f>IFERROR(__xludf.DUMMYFUNCTION("""COMPUTED_VALUE"""),505790.0)</f>
        <v>505790</v>
      </c>
      <c r="C88" s="13" t="str">
        <f>IFERROR(__xludf.DUMMYFUNCTION("""COMPUTED_VALUE"""),"SCHAEFFLER")</f>
        <v>SCHAEFFLER</v>
      </c>
      <c r="D88" s="13" t="str">
        <f>IFERROR(__xludf.DUMMYFUNCTION("""COMPUTED_VALUE"""),"INE513A01022")</f>
        <v>INE513A01022</v>
      </c>
      <c r="E88" s="13" t="str">
        <f>IFERROR(__xludf.DUMMYFUNCTION("""COMPUTED_VALUE"""),"Capital Goods")</f>
        <v>Capital Goods</v>
      </c>
      <c r="F88" s="13" t="str">
        <f>IFERROR(__xludf.DUMMYFUNCTION("""COMPUTED_VALUE"""),"Ball Bearings")</f>
        <v>Ball Bearings</v>
      </c>
      <c r="G88" s="31">
        <f>IFERROR(__xludf.DUMMYFUNCTION("""COMPUTED_VALUE"""),44809.0)</f>
        <v>44809</v>
      </c>
      <c r="H88" s="32">
        <f>IFERROR(__xludf.DUMMYFUNCTION("""COMPUTED_VALUE"""),3320.3)</f>
        <v>3320.3</v>
      </c>
      <c r="I88" s="32">
        <f>IFERROR(__xludf.DUMMYFUNCTION("""COMPUTED_VALUE"""),5.68482)</f>
        <v>5.68482</v>
      </c>
      <c r="J88" s="32">
        <f>IFERROR(__xludf.DUMMYFUNCTION("""COMPUTED_VALUE"""),1415.0)</f>
        <v>1415</v>
      </c>
      <c r="K88" s="32">
        <f>IFERROR(__xludf.DUMMYFUNCTION("""COMPUTED_VALUE"""),3444.95)</f>
        <v>3444.95</v>
      </c>
      <c r="L88" s="32">
        <f>IFERROR(__xludf.DUMMYFUNCTION("""COMPUTED_VALUE"""),605.05)</f>
        <v>605.05</v>
      </c>
      <c r="M88" s="32">
        <f>IFERROR(__xludf.DUMMYFUNCTION("""COMPUTED_VALUE"""),3444.95)</f>
        <v>3444.95</v>
      </c>
      <c r="N88" s="32">
        <f>IFERROR(__xludf.DUMMYFUNCTION("""COMPUTED_VALUE"""),605.05)</f>
        <v>605.05</v>
      </c>
      <c r="O88" s="32">
        <f>IFERROR(__xludf.DUMMYFUNCTION("""COMPUTED_VALUE"""),3444.95)</f>
        <v>3444.95</v>
      </c>
      <c r="P88" s="32">
        <f>IFERROR(__xludf.DUMMYFUNCTION("""COMPUTED_VALUE"""),5.94)</f>
        <v>5.94</v>
      </c>
      <c r="Q88" s="32">
        <f>IFERROR(__xludf.DUMMYFUNCTION("""COMPUTED_VALUE"""),3444.95)</f>
        <v>3444.95</v>
      </c>
      <c r="R88" s="32">
        <f>IFERROR(__xludf.DUMMYFUNCTION("""COMPUTED_VALUE"""),51920.17158225)</f>
        <v>51920.17158</v>
      </c>
      <c r="S88" s="32">
        <f>IFERROR(__xludf.DUMMYFUNCTION("""COMPUTED_VALUE"""),47671.4975635)</f>
        <v>47671.49756</v>
      </c>
      <c r="T88" s="32">
        <f>IFERROR(__xludf.DUMMYFUNCTION("""COMPUTED_VALUE"""),10.252196)</f>
        <v>10.252196</v>
      </c>
      <c r="U88" s="32">
        <f>IFERROR(__xludf.DUMMYFUNCTION("""COMPUTED_VALUE"""),18.607559)</f>
        <v>18.607559</v>
      </c>
      <c r="V88" s="32">
        <f>IFERROR(__xludf.DUMMYFUNCTION("""COMPUTED_VALUE"""),42.517437)</f>
        <v>42.517437</v>
      </c>
      <c r="W88" s="32">
        <f>IFERROR(__xludf.DUMMYFUNCTION("""COMPUTED_VALUE"""),124.167381)</f>
        <v>124.167381</v>
      </c>
      <c r="X88" s="32">
        <f>IFERROR(__xludf.DUMMYFUNCTION("""COMPUTED_VALUE"""),60.75582)</f>
        <v>60.75582</v>
      </c>
      <c r="Y88" s="32">
        <f>IFERROR(__xludf.DUMMYFUNCTION("""COMPUTED_VALUE"""),27.216259)</f>
        <v>27.216259</v>
      </c>
      <c r="Z88" s="32">
        <f>IFERROR(__xludf.DUMMYFUNCTION("""COMPUTED_VALUE"""),26.430884)</f>
        <v>26.430884</v>
      </c>
      <c r="AA88" s="32">
        <f>IFERROR(__xludf.DUMMYFUNCTION("""COMPUTED_VALUE"""),65.3643)</f>
        <v>65.3643</v>
      </c>
      <c r="AB88" s="32">
        <f>IFERROR(__xludf.DUMMYFUNCTION("""COMPUTED_VALUE"""),42.25355)</f>
        <v>42.25355</v>
      </c>
      <c r="AC88" s="32">
        <f>IFERROR(__xludf.DUMMYFUNCTION("""COMPUTED_VALUE"""),13.519)</f>
        <v>13.519</v>
      </c>
      <c r="AD88" s="32">
        <f>IFERROR(__xludf.DUMMYFUNCTION("""COMPUTED_VALUE"""),5.18025)</f>
        <v>5.18025</v>
      </c>
      <c r="AE88" s="32">
        <f>IFERROR(__xludf.DUMMYFUNCTION("""COMPUTED_VALUE"""),2.231187)</f>
        <v>2.231187</v>
      </c>
      <c r="AF88" s="32">
        <f>IFERROR(__xludf.DUMMYFUNCTION("""COMPUTED_VALUE"""),2.221314)</f>
        <v>2.221314</v>
      </c>
      <c r="AG88" s="32">
        <f>IFERROR(__xludf.DUMMYFUNCTION("""COMPUTED_VALUE"""),0.0963)</f>
        <v>0.0963</v>
      </c>
      <c r="AH88" s="32">
        <f>IFERROR(__xludf.DUMMYFUNCTION("""COMPUTED_VALUE"""),37.967105)</f>
        <v>37.967105</v>
      </c>
      <c r="AI88" s="32">
        <f>IFERROR(__xludf.DUMMYFUNCTION("""COMPUTED_VALUE"""),8.205946380552668)</f>
        <v>8.205946381</v>
      </c>
      <c r="AJ88" s="32">
        <f>IFERROR(__xludf.DUMMYFUNCTION("""COMPUTED_VALUE"""),111.73557919007037)</f>
        <v>111.7355792</v>
      </c>
      <c r="AK88" s="32">
        <f>IFERROR(__xludf.DUMMYFUNCTION("""COMPUTED_VALUE"""),50.819)</f>
        <v>50.819</v>
      </c>
      <c r="AL88" s="32">
        <f>IFERROR(__xludf.DUMMYFUNCTION("""COMPUTED_VALUE"""),245.7096)</f>
        <v>245.7096</v>
      </c>
      <c r="AM88" s="32">
        <f>IFERROR(__xludf.DUMMYFUNCTION("""COMPUTED_VALUE"""),148.646833)</f>
        <v>148.646833</v>
      </c>
      <c r="AN88" s="32">
        <f>IFERROR(__xludf.DUMMYFUNCTION("""COMPUTED_VALUE"""),100.946897)</f>
        <v>100.946897</v>
      </c>
      <c r="AO88" s="32">
        <f>IFERROR(__xludf.DUMMYFUNCTION("""COMPUTED_VALUE"""),16.0)</f>
        <v>16</v>
      </c>
      <c r="AP88" s="32">
        <f>IFERROR(__xludf.DUMMYFUNCTION("""COMPUTED_VALUE"""),0.036183398888227594)</f>
        <v>0.03618339889</v>
      </c>
      <c r="AQ88" s="13"/>
      <c r="AR88" s="13"/>
      <c r="AS88" s="13"/>
      <c r="AT88" s="13"/>
      <c r="AU88" s="13"/>
      <c r="AV88" s="13"/>
      <c r="AW88" s="13"/>
      <c r="AX88" s="13"/>
      <c r="AY88" s="13"/>
      <c r="AZ88" s="13"/>
    </row>
    <row r="89">
      <c r="A89" s="13" t="str">
        <f>IFERROR(__xludf.DUMMYFUNCTION("""COMPUTED_VALUE"""),"Cochin Shipyard Ltd.")</f>
        <v>Cochin Shipyard Ltd.</v>
      </c>
      <c r="B89" s="30">
        <f>IFERROR(__xludf.DUMMYFUNCTION("""COMPUTED_VALUE"""),540678.0)</f>
        <v>540678</v>
      </c>
      <c r="C89" s="13" t="str">
        <f>IFERROR(__xludf.DUMMYFUNCTION("""COMPUTED_VALUE"""),"COCHINSHIP")</f>
        <v>COCHINSHIP</v>
      </c>
      <c r="D89" s="13" t="str">
        <f>IFERROR(__xludf.DUMMYFUNCTION("""COMPUTED_VALUE"""),"INE704P01017")</f>
        <v>INE704P01017</v>
      </c>
      <c r="E89" s="13" t="str">
        <f>IFERROR(__xludf.DUMMYFUNCTION("""COMPUTED_VALUE"""),"Capital Goods")</f>
        <v>Capital Goods</v>
      </c>
      <c r="F89" s="13" t="str">
        <f>IFERROR(__xludf.DUMMYFUNCTION("""COMPUTED_VALUE"""),"Ship Building")</f>
        <v>Ship Building</v>
      </c>
      <c r="G89" s="31">
        <f>IFERROR(__xludf.DUMMYFUNCTION("""COMPUTED_VALUE"""),44809.0)</f>
        <v>44809</v>
      </c>
      <c r="H89" s="32">
        <f>IFERROR(__xludf.DUMMYFUNCTION("""COMPUTED_VALUE"""),377.0)</f>
        <v>377</v>
      </c>
      <c r="I89" s="32">
        <f>IFERROR(__xludf.DUMMYFUNCTION("""COMPUTED_VALUE"""),-0.619481)</f>
        <v>-0.619481</v>
      </c>
      <c r="J89" s="32">
        <f>IFERROR(__xludf.DUMMYFUNCTION("""COMPUTED_VALUE"""),280.75)</f>
        <v>280.75</v>
      </c>
      <c r="K89" s="32">
        <f>IFERROR(__xludf.DUMMYFUNCTION("""COMPUTED_VALUE"""),394.3)</f>
        <v>394.3</v>
      </c>
      <c r="L89" s="32">
        <f>IFERROR(__xludf.DUMMYFUNCTION("""COMPUTED_VALUE"""),209.0)</f>
        <v>209</v>
      </c>
      <c r="M89" s="32">
        <f>IFERROR(__xludf.DUMMYFUNCTION("""COMPUTED_VALUE"""),491.7)</f>
        <v>491.7</v>
      </c>
      <c r="N89" s="32">
        <f>IFERROR(__xludf.DUMMYFUNCTION("""COMPUTED_VALUE"""),209.0)</f>
        <v>209</v>
      </c>
      <c r="O89" s="32">
        <f>IFERROR(__xludf.DUMMYFUNCTION("""COMPUTED_VALUE"""),599.0)</f>
        <v>599</v>
      </c>
      <c r="P89" s="32">
        <f>IFERROR(__xludf.DUMMYFUNCTION("""COMPUTED_VALUE"""),209.0)</f>
        <v>209</v>
      </c>
      <c r="Q89" s="32">
        <f>IFERROR(__xludf.DUMMYFUNCTION("""COMPUTED_VALUE"""),599.0)</f>
        <v>599</v>
      </c>
      <c r="R89" s="32">
        <f>IFERROR(__xludf.DUMMYFUNCTION("""COMPUTED_VALUE"""),4952.4956835)</f>
        <v>4952.495684</v>
      </c>
      <c r="S89" s="32">
        <f>IFERROR(__xludf.DUMMYFUNCTION("""COMPUTED_VALUE"""),2903.3936927)</f>
        <v>2903.393693</v>
      </c>
      <c r="T89" s="32">
        <f>IFERROR(__xludf.DUMMYFUNCTION("""COMPUTED_VALUE"""),3.443545)</f>
        <v>3.443545</v>
      </c>
      <c r="U89" s="32">
        <f>IFERROR(__xludf.DUMMYFUNCTION("""COMPUTED_VALUE"""),13.554217)</f>
        <v>13.554217</v>
      </c>
      <c r="V89" s="32">
        <f>IFERROR(__xludf.DUMMYFUNCTION("""COMPUTED_VALUE"""),15.132081)</f>
        <v>15.132081</v>
      </c>
      <c r="W89" s="32">
        <f>IFERROR(__xludf.DUMMYFUNCTION("""COMPUTED_VALUE"""),3.614127)</f>
        <v>3.614127</v>
      </c>
      <c r="X89" s="32">
        <f>IFERROR(__xludf.DUMMYFUNCTION("""COMPUTED_VALUE"""),3.650844)</f>
        <v>3.650844</v>
      </c>
      <c r="Y89" s="32">
        <f>IFERROR(__xludf.DUMMYFUNCTION("""COMPUTED_VALUE"""),-6.816689)</f>
        <v>-6.816689</v>
      </c>
      <c r="Z89" s="13"/>
      <c r="AA89" s="32">
        <f>IFERROR(__xludf.DUMMYFUNCTION("""COMPUTED_VALUE"""),8.5759)</f>
        <v>8.5759</v>
      </c>
      <c r="AB89" s="32">
        <f>IFERROR(__xludf.DUMMYFUNCTION("""COMPUTED_VALUE"""),9.19425)</f>
        <v>9.19425</v>
      </c>
      <c r="AC89" s="32">
        <f>IFERROR(__xludf.DUMMYFUNCTION("""COMPUTED_VALUE"""),1.1166)</f>
        <v>1.1166</v>
      </c>
      <c r="AD89" s="32">
        <f>IFERROR(__xludf.DUMMYFUNCTION("""COMPUTED_VALUE"""),1.29165)</f>
        <v>1.29165</v>
      </c>
      <c r="AE89" s="32">
        <f>IFERROR(__xludf.DUMMYFUNCTION("""COMPUTED_VALUE"""),38.625498)</f>
        <v>38.625498</v>
      </c>
      <c r="AF89" s="32">
        <f>IFERROR(__xludf.DUMMYFUNCTION("""COMPUTED_VALUE"""),0.49075)</f>
        <v>0.49075</v>
      </c>
      <c r="AG89" s="32">
        <f>IFERROR(__xludf.DUMMYFUNCTION("""COMPUTED_VALUE"""),4.4489)</f>
        <v>4.4489</v>
      </c>
      <c r="AH89" s="32">
        <f>IFERROR(__xludf.DUMMYFUNCTION("""COMPUTED_VALUE"""),3.204144)</f>
        <v>3.204144</v>
      </c>
      <c r="AI89" s="32">
        <f>IFERROR(__xludf.DUMMYFUNCTION("""COMPUTED_VALUE"""),1.4996774088882725)</f>
        <v>1.499677409</v>
      </c>
      <c r="AJ89" s="32">
        <f>IFERROR(__xludf.DUMMYFUNCTION("""COMPUTED_VALUE"""),6.27303235101551)</f>
        <v>6.273032351</v>
      </c>
      <c r="AK89" s="32">
        <f>IFERROR(__xludf.DUMMYFUNCTION("""COMPUTED_VALUE"""),43.9019)</f>
        <v>43.9019</v>
      </c>
      <c r="AL89" s="32">
        <f>IFERROR(__xludf.DUMMYFUNCTION("""COMPUTED_VALUE"""),337.1864)</f>
        <v>337.1864</v>
      </c>
      <c r="AM89" s="32">
        <f>IFERROR(__xludf.DUMMYFUNCTION("""COMPUTED_VALUE"""),60.018816)</f>
        <v>60.018816</v>
      </c>
      <c r="AN89" s="32">
        <f>IFERROR(__xludf.DUMMYFUNCTION("""COMPUTED_VALUE"""),53.408268)</f>
        <v>53.408268</v>
      </c>
      <c r="AO89" s="32">
        <f>IFERROR(__xludf.DUMMYFUNCTION("""COMPUTED_VALUE"""),15.5)</f>
        <v>15.5</v>
      </c>
      <c r="AP89" s="32">
        <f>IFERROR(__xludf.DUMMYFUNCTION("""COMPUTED_VALUE"""),0.04387522191224958)</f>
        <v>0.04387522191</v>
      </c>
      <c r="AQ89" s="13"/>
      <c r="AR89" s="13"/>
      <c r="AS89" s="13"/>
      <c r="AT89" s="13"/>
      <c r="AU89" s="13"/>
      <c r="AV89" s="13"/>
      <c r="AW89" s="13"/>
      <c r="AX89" s="13"/>
      <c r="AY89" s="13"/>
      <c r="AZ89" s="13"/>
    </row>
    <row r="90">
      <c r="A90" s="13" t="str">
        <f>IFERROR(__xludf.DUMMYFUNCTION("""COMPUTED_VALUE"""),"HDFC Bank Ltd.")</f>
        <v>HDFC Bank Ltd.</v>
      </c>
      <c r="B90" s="30">
        <f>IFERROR(__xludf.DUMMYFUNCTION("""COMPUTED_VALUE"""),500180.0)</f>
        <v>500180</v>
      </c>
      <c r="C90" s="13" t="str">
        <f>IFERROR(__xludf.DUMMYFUNCTION("""COMPUTED_VALUE"""),"HDFCBANK")</f>
        <v>HDFCBANK</v>
      </c>
      <c r="D90" s="13" t="str">
        <f>IFERROR(__xludf.DUMMYFUNCTION("""COMPUTED_VALUE"""),"INE040A01026")</f>
        <v>INE040A01026</v>
      </c>
      <c r="E90" s="13" t="str">
        <f>IFERROR(__xludf.DUMMYFUNCTION("""COMPUTED_VALUE"""),"Financial")</f>
        <v>Financial</v>
      </c>
      <c r="F90" s="13" t="str">
        <f>IFERROR(__xludf.DUMMYFUNCTION("""COMPUTED_VALUE"""),"Banking")</f>
        <v>Banking</v>
      </c>
      <c r="G90" s="31">
        <f>IFERROR(__xludf.DUMMYFUNCTION("""COMPUTED_VALUE"""),44809.0)</f>
        <v>44809</v>
      </c>
      <c r="H90" s="32">
        <f>IFERROR(__xludf.DUMMYFUNCTION("""COMPUTED_VALUE"""),1495.05)</f>
        <v>1495.05</v>
      </c>
      <c r="I90" s="32">
        <f>IFERROR(__xludf.DUMMYFUNCTION("""COMPUTED_VALUE"""),0.642881)</f>
        <v>0.642881</v>
      </c>
      <c r="J90" s="32">
        <f>IFERROR(__xludf.DUMMYFUNCTION("""COMPUTED_VALUE"""),1271.6)</f>
        <v>1271.6</v>
      </c>
      <c r="K90" s="32">
        <f>IFERROR(__xludf.DUMMYFUNCTION("""COMPUTED_VALUE"""),1725.0)</f>
        <v>1725</v>
      </c>
      <c r="L90" s="32">
        <f>IFERROR(__xludf.DUMMYFUNCTION("""COMPUTED_VALUE"""),738.75)</f>
        <v>738.75</v>
      </c>
      <c r="M90" s="32">
        <f>IFERROR(__xludf.DUMMYFUNCTION("""COMPUTED_VALUE"""),1725.0)</f>
        <v>1725</v>
      </c>
      <c r="N90" s="32">
        <f>IFERROR(__xludf.DUMMYFUNCTION("""COMPUTED_VALUE"""),738.75)</f>
        <v>738.75</v>
      </c>
      <c r="O90" s="32">
        <f>IFERROR(__xludf.DUMMYFUNCTION("""COMPUTED_VALUE"""),1725.0)</f>
        <v>1725</v>
      </c>
      <c r="P90" s="32">
        <f>IFERROR(__xludf.DUMMYFUNCTION("""COMPUTED_VALUE"""),15.7)</f>
        <v>15.7</v>
      </c>
      <c r="Q90" s="32">
        <f>IFERROR(__xludf.DUMMYFUNCTION("""COMPUTED_VALUE"""),1725.0)</f>
        <v>1725</v>
      </c>
      <c r="R90" s="32">
        <f>IFERROR(__xludf.DUMMYFUNCTION("""COMPUTED_VALUE"""),832128.75163428)</f>
        <v>832128.7516</v>
      </c>
      <c r="S90" s="32">
        <f>IFERROR(__xludf.DUMMYFUNCTION("""COMPUTED_VALUE"""),898755.87734844)</f>
        <v>898755.8773</v>
      </c>
      <c r="T90" s="32">
        <f>IFERROR(__xludf.DUMMYFUNCTION("""COMPUTED_VALUE"""),2.044229)</f>
        <v>2.044229</v>
      </c>
      <c r="U90" s="32">
        <f>IFERROR(__xludf.DUMMYFUNCTION("""COMPUTED_VALUE"""),4.410224)</f>
        <v>4.410224</v>
      </c>
      <c r="V90" s="32">
        <f>IFERROR(__xludf.DUMMYFUNCTION("""COMPUTED_VALUE"""),8.31341)</f>
        <v>8.31341</v>
      </c>
      <c r="W90" s="32">
        <f>IFERROR(__xludf.DUMMYFUNCTION("""COMPUTED_VALUE"""),-5.139431)</f>
        <v>-5.139431</v>
      </c>
      <c r="X90" s="32">
        <f>IFERROR(__xludf.DUMMYFUNCTION("""COMPUTED_VALUE"""),9.97971)</f>
        <v>9.97971</v>
      </c>
      <c r="Y90" s="32">
        <f>IFERROR(__xludf.DUMMYFUNCTION("""COMPUTED_VALUE"""),11.297363)</f>
        <v>11.297363</v>
      </c>
      <c r="Z90" s="32">
        <f>IFERROR(__xludf.DUMMYFUNCTION("""COMPUTED_VALUE"""),17.618601)</f>
        <v>17.618601</v>
      </c>
      <c r="AA90" s="32">
        <f>IFERROR(__xludf.DUMMYFUNCTION("""COMPUTED_VALUE"""),20.9553)</f>
        <v>20.9553</v>
      </c>
      <c r="AB90" s="32">
        <f>IFERROR(__xludf.DUMMYFUNCTION("""COMPUTED_VALUE"""),26.76325)</f>
        <v>26.76325</v>
      </c>
      <c r="AC90" s="32">
        <f>IFERROR(__xludf.DUMMYFUNCTION("""COMPUTED_VALUE"""),3.2263)</f>
        <v>3.2263</v>
      </c>
      <c r="AD90" s="32">
        <f>IFERROR(__xludf.DUMMYFUNCTION("""COMPUTED_VALUE"""),3.9862)</f>
        <v>3.9862</v>
      </c>
      <c r="AE90" s="32">
        <f>IFERROR(__xludf.DUMMYFUNCTION("""COMPUTED_VALUE"""),10.261231)</f>
        <v>10.261231</v>
      </c>
      <c r="AF90" s="32">
        <f>IFERROR(__xludf.DUMMYFUNCTION("""COMPUTED_VALUE"""),1.230197)</f>
        <v>1.230197</v>
      </c>
      <c r="AG90" s="32">
        <f>IFERROR(__xludf.DUMMYFUNCTION("""COMPUTED_VALUE"""),1.0368)</f>
        <v>1.0368</v>
      </c>
      <c r="AH90" s="32">
        <f>IFERROR(__xludf.DUMMYFUNCTION("""COMPUTED_VALUE"""),12.97292)</f>
        <v>12.97292</v>
      </c>
      <c r="AI90" s="32">
        <f>IFERROR(__xludf.DUMMYFUNCTION("""COMPUTED_VALUE"""),5.9034453024308355)</f>
        <v>5.903445302</v>
      </c>
      <c r="AJ90" s="32">
        <f>IFERROR(__xludf.DUMMYFUNCTION("""COMPUTED_VALUE"""),-69.57842596765772)</f>
        <v>-69.57842597</v>
      </c>
      <c r="AK90" s="32">
        <f>IFERROR(__xludf.DUMMYFUNCTION("""COMPUTED_VALUE"""),71.3448)</f>
        <v>71.3448</v>
      </c>
      <c r="AL90" s="32">
        <f>IFERROR(__xludf.DUMMYFUNCTION("""COMPUTED_VALUE"""),463.3985)</f>
        <v>463.3985</v>
      </c>
      <c r="AM90" s="32">
        <f>IFERROR(__xludf.DUMMYFUNCTION("""COMPUTED_VALUE"""),-21.566279)</f>
        <v>-21.566279</v>
      </c>
      <c r="AN90" s="32">
        <f>IFERROR(__xludf.DUMMYFUNCTION("""COMPUTED_VALUE"""),-54.650744)</f>
        <v>-54.650744</v>
      </c>
      <c r="AO90" s="32">
        <f>IFERROR(__xludf.DUMMYFUNCTION("""COMPUTED_VALUE"""),15.5)</f>
        <v>15.5</v>
      </c>
      <c r="AP90" s="32">
        <f>IFERROR(__xludf.DUMMYFUNCTION("""COMPUTED_VALUE"""),0.133304347826087)</f>
        <v>0.1333043478</v>
      </c>
      <c r="AQ90" s="13"/>
      <c r="AR90" s="13"/>
      <c r="AS90" s="13"/>
      <c r="AT90" s="13"/>
      <c r="AU90" s="13"/>
      <c r="AV90" s="13"/>
      <c r="AW90" s="13"/>
      <c r="AX90" s="13"/>
      <c r="AY90" s="13"/>
      <c r="AZ90" s="13"/>
    </row>
    <row r="91">
      <c r="A91" s="13" t="str">
        <f>IFERROR(__xludf.DUMMYFUNCTION("""COMPUTED_VALUE"""),"REC Ltd.")</f>
        <v>REC Ltd.</v>
      </c>
      <c r="B91" s="30">
        <f>IFERROR(__xludf.DUMMYFUNCTION("""COMPUTED_VALUE"""),532955.0)</f>
        <v>532955</v>
      </c>
      <c r="C91" s="13" t="str">
        <f>IFERROR(__xludf.DUMMYFUNCTION("""COMPUTED_VALUE"""),"RECLTD")</f>
        <v>RECLTD</v>
      </c>
      <c r="D91" s="13" t="str">
        <f>IFERROR(__xludf.DUMMYFUNCTION("""COMPUTED_VALUE"""),"INE020B01018")</f>
        <v>INE020B01018</v>
      </c>
      <c r="E91" s="13" t="str">
        <f>IFERROR(__xludf.DUMMYFUNCTION("""COMPUTED_VALUE"""),"Financial")</f>
        <v>Financial</v>
      </c>
      <c r="F91" s="13" t="str">
        <f>IFERROR(__xludf.DUMMYFUNCTION("""COMPUTED_VALUE"""),"SIDCs/SFCs")</f>
        <v>SIDCs/SFCs</v>
      </c>
      <c r="G91" s="31">
        <f>IFERROR(__xludf.DUMMYFUNCTION("""COMPUTED_VALUE"""),44809.0)</f>
        <v>44809</v>
      </c>
      <c r="H91" s="32">
        <f>IFERROR(__xludf.DUMMYFUNCTION("""COMPUTED_VALUE"""),106.25)</f>
        <v>106.25</v>
      </c>
      <c r="I91" s="32">
        <f>IFERROR(__xludf.DUMMYFUNCTION("""COMPUTED_VALUE"""),-0.839944)</f>
        <v>-0.839944</v>
      </c>
      <c r="J91" s="32">
        <f>IFERROR(__xludf.DUMMYFUNCTION("""COMPUTED_VALUE"""),82.2375)</f>
        <v>82.2375</v>
      </c>
      <c r="K91" s="32">
        <f>IFERROR(__xludf.DUMMYFUNCTION("""COMPUTED_VALUE"""),126.6375)</f>
        <v>126.6375</v>
      </c>
      <c r="L91" s="32">
        <f>IFERROR(__xludf.DUMMYFUNCTION("""COMPUTED_VALUE"""),59.0625)</f>
        <v>59.0625</v>
      </c>
      <c r="M91" s="32">
        <f>IFERROR(__xludf.DUMMYFUNCTION("""COMPUTED_VALUE"""),126.6375)</f>
        <v>126.6375</v>
      </c>
      <c r="N91" s="32">
        <f>IFERROR(__xludf.DUMMYFUNCTION("""COMPUTED_VALUE"""),59.0625)</f>
        <v>59.0625</v>
      </c>
      <c r="O91" s="32">
        <f>IFERROR(__xludf.DUMMYFUNCTION("""COMPUTED_VALUE"""),138.0)</f>
        <v>138</v>
      </c>
      <c r="P91" s="32">
        <f>IFERROR(__xludf.DUMMYFUNCTION("""COMPUTED_VALUE"""),19.875)</f>
        <v>19.875</v>
      </c>
      <c r="Q91" s="32">
        <f>IFERROR(__xludf.DUMMYFUNCTION("""COMPUTED_VALUE"""),167.925)</f>
        <v>167.925</v>
      </c>
      <c r="R91" s="32">
        <f>IFERROR(__xludf.DUMMYFUNCTION("""COMPUTED_VALUE"""),27978.005)</f>
        <v>27978.005</v>
      </c>
      <c r="S91" s="32">
        <f>IFERROR(__xludf.DUMMYFUNCTION("""COMPUTED_VALUE"""),358296.26904)</f>
        <v>358296.269</v>
      </c>
      <c r="T91" s="32">
        <f>IFERROR(__xludf.DUMMYFUNCTION("""COMPUTED_VALUE"""),-2.163904)</f>
        <v>-2.163904</v>
      </c>
      <c r="U91" s="32">
        <f>IFERROR(__xludf.DUMMYFUNCTION("""COMPUTED_VALUE"""),6.757096)</f>
        <v>6.757096</v>
      </c>
      <c r="V91" s="32">
        <f>IFERROR(__xludf.DUMMYFUNCTION("""COMPUTED_VALUE"""),18.897748)</f>
        <v>18.897748</v>
      </c>
      <c r="W91" s="32">
        <f>IFERROR(__xludf.DUMMYFUNCTION("""COMPUTED_VALUE"""),-8.157753)</f>
        <v>-8.157753</v>
      </c>
      <c r="X91" s="32">
        <f>IFERROR(__xludf.DUMMYFUNCTION("""COMPUTED_VALUE"""),-0.74941)</f>
        <v>-0.74941</v>
      </c>
      <c r="Y91" s="32">
        <f>IFERROR(__xludf.DUMMYFUNCTION("""COMPUTED_VALUE"""),-2.93265)</f>
        <v>-2.93265</v>
      </c>
      <c r="Z91" s="32">
        <f>IFERROR(__xludf.DUMMYFUNCTION("""COMPUTED_VALUE"""),3.984248)</f>
        <v>3.984248</v>
      </c>
      <c r="AA91" s="32">
        <f>IFERROR(__xludf.DUMMYFUNCTION("""COMPUTED_VALUE"""),2.7373)</f>
        <v>2.7373</v>
      </c>
      <c r="AB91" s="32">
        <f>IFERROR(__xludf.DUMMYFUNCTION("""COMPUTED_VALUE"""),4.2138)</f>
        <v>4.2138</v>
      </c>
      <c r="AC91" s="32">
        <f>IFERROR(__xludf.DUMMYFUNCTION("""COMPUTED_VALUE"""),0.5194)</f>
        <v>0.5194</v>
      </c>
      <c r="AD91" s="32">
        <f>IFERROR(__xludf.DUMMYFUNCTION("""COMPUTED_VALUE"""),0.65425)</f>
        <v>0.65425</v>
      </c>
      <c r="AE91" s="32">
        <f>IFERROR(__xludf.DUMMYFUNCTION("""COMPUTED_VALUE"""),9.645188)</f>
        <v>9.645188</v>
      </c>
      <c r="AF91" s="32">
        <f>IFERROR(__xludf.DUMMYFUNCTION("""COMPUTED_VALUE"""),0.281078)</f>
        <v>0.281078</v>
      </c>
      <c r="AG91" s="32">
        <f>IFERROR(__xludf.DUMMYFUNCTION("""COMPUTED_VALUE"""),10.8)</f>
        <v>10.8</v>
      </c>
      <c r="AH91" s="32">
        <f>IFERROR(__xludf.DUMMYFUNCTION("""COMPUTED_VALUE"""),10.395532)</f>
        <v>10.395532</v>
      </c>
      <c r="AI91" s="32">
        <f>IFERROR(__xludf.DUMMYFUNCTION("""COMPUTED_VALUE"""),0.716066996708877)</f>
        <v>0.7160669967</v>
      </c>
      <c r="AJ91" s="32">
        <f>IFERROR(__xludf.DUMMYFUNCTION("""COMPUTED_VALUE"""),-7.156085664299892)</f>
        <v>-7.156085664</v>
      </c>
      <c r="AK91" s="32">
        <f>IFERROR(__xludf.DUMMYFUNCTION("""COMPUTED_VALUE"""),38.8163)</f>
        <v>38.8163</v>
      </c>
      <c r="AL91" s="32">
        <f>IFERROR(__xludf.DUMMYFUNCTION("""COMPUTED_VALUE"""),204.5711)</f>
        <v>204.5711</v>
      </c>
      <c r="AM91" s="32">
        <f>IFERROR(__xludf.DUMMYFUNCTION("""COMPUTED_VALUE"""),-19.79665)</f>
        <v>-19.79665</v>
      </c>
      <c r="AN91" s="32">
        <f>IFERROR(__xludf.DUMMYFUNCTION("""COMPUTED_VALUE"""),-20.828945)</f>
        <v>-20.828945</v>
      </c>
      <c r="AO91" s="32">
        <f>IFERROR(__xludf.DUMMYFUNCTION("""COMPUTED_VALUE"""),15.3)</f>
        <v>15.3</v>
      </c>
      <c r="AP91" s="32">
        <f>IFERROR(__xludf.DUMMYFUNCTION("""COMPUTED_VALUE"""),0.16100758054327227)</f>
        <v>0.1610075805</v>
      </c>
      <c r="AQ91" s="13"/>
      <c r="AR91" s="13"/>
      <c r="AS91" s="13"/>
      <c r="AT91" s="13"/>
      <c r="AU91" s="13"/>
      <c r="AV91" s="13"/>
      <c r="AW91" s="13"/>
      <c r="AX91" s="13"/>
      <c r="AY91" s="13"/>
      <c r="AZ91" s="13"/>
    </row>
    <row r="92">
      <c r="A92" s="13" t="str">
        <f>IFERROR(__xludf.DUMMYFUNCTION("""COMPUTED_VALUE"""),"GHCL Ltd.")</f>
        <v>GHCL Ltd.</v>
      </c>
      <c r="B92" s="30">
        <f>IFERROR(__xludf.DUMMYFUNCTION("""COMPUTED_VALUE"""),500171.0)</f>
        <v>500171</v>
      </c>
      <c r="C92" s="13" t="str">
        <f>IFERROR(__xludf.DUMMYFUNCTION("""COMPUTED_VALUE"""),"GHCL")</f>
        <v>GHCL</v>
      </c>
      <c r="D92" s="13" t="str">
        <f>IFERROR(__xludf.DUMMYFUNCTION("""COMPUTED_VALUE"""),"INE539A01019")</f>
        <v>INE539A01019</v>
      </c>
      <c r="E92" s="13" t="str">
        <f>IFERROR(__xludf.DUMMYFUNCTION("""COMPUTED_VALUE"""),"Chemicals")</f>
        <v>Chemicals</v>
      </c>
      <c r="F92" s="13" t="str">
        <f>IFERROR(__xludf.DUMMYFUNCTION("""COMPUTED_VALUE"""),"Soda Ash")</f>
        <v>Soda Ash</v>
      </c>
      <c r="G92" s="31">
        <f>IFERROR(__xludf.DUMMYFUNCTION("""COMPUTED_VALUE"""),44809.0)</f>
        <v>44809</v>
      </c>
      <c r="H92" s="32">
        <f>IFERROR(__xludf.DUMMYFUNCTION("""COMPUTED_VALUE"""),617.95)</f>
        <v>617.95</v>
      </c>
      <c r="I92" s="32">
        <f>IFERROR(__xludf.DUMMYFUNCTION("""COMPUTED_VALUE"""),0.791062)</f>
        <v>0.791062</v>
      </c>
      <c r="J92" s="32">
        <f>IFERROR(__xludf.DUMMYFUNCTION("""COMPUTED_VALUE"""),348.5)</f>
        <v>348.5</v>
      </c>
      <c r="K92" s="32">
        <f>IFERROR(__xludf.DUMMYFUNCTION("""COMPUTED_VALUE"""),695.6)</f>
        <v>695.6</v>
      </c>
      <c r="L92" s="32">
        <f>IFERROR(__xludf.DUMMYFUNCTION("""COMPUTED_VALUE"""),68.8)</f>
        <v>68.8</v>
      </c>
      <c r="M92" s="32">
        <f>IFERROR(__xludf.DUMMYFUNCTION("""COMPUTED_VALUE"""),695.6)</f>
        <v>695.6</v>
      </c>
      <c r="N92" s="32">
        <f>IFERROR(__xludf.DUMMYFUNCTION("""COMPUTED_VALUE"""),68.8)</f>
        <v>68.8</v>
      </c>
      <c r="O92" s="32">
        <f>IFERROR(__xludf.DUMMYFUNCTION("""COMPUTED_VALUE"""),695.6)</f>
        <v>695.6</v>
      </c>
      <c r="P92" s="32">
        <f>IFERROR(__xludf.DUMMYFUNCTION("""COMPUTED_VALUE"""),6.5)</f>
        <v>6.5</v>
      </c>
      <c r="Q92" s="32">
        <f>IFERROR(__xludf.DUMMYFUNCTION("""COMPUTED_VALUE"""),695.6)</f>
        <v>695.6</v>
      </c>
      <c r="R92" s="32">
        <f>IFERROR(__xludf.DUMMYFUNCTION("""COMPUTED_VALUE"""),5906.72364587)</f>
        <v>5906.723646</v>
      </c>
      <c r="S92" s="32">
        <f>IFERROR(__xludf.DUMMYFUNCTION("""COMPUTED_VALUE"""),6372.10661073)</f>
        <v>6372.106611</v>
      </c>
      <c r="T92" s="32">
        <f>IFERROR(__xludf.DUMMYFUNCTION("""COMPUTED_VALUE"""),1.971947)</f>
        <v>1.971947</v>
      </c>
      <c r="U92" s="32">
        <f>IFERROR(__xludf.DUMMYFUNCTION("""COMPUTED_VALUE"""),1.319889)</f>
        <v>1.319889</v>
      </c>
      <c r="V92" s="32">
        <f>IFERROR(__xludf.DUMMYFUNCTION("""COMPUTED_VALUE"""),-3.505621)</f>
        <v>-3.505621</v>
      </c>
      <c r="W92" s="32">
        <f>IFERROR(__xludf.DUMMYFUNCTION("""COMPUTED_VALUE"""),64.852608)</f>
        <v>64.852608</v>
      </c>
      <c r="X92" s="32">
        <f>IFERROR(__xludf.DUMMYFUNCTION("""COMPUTED_VALUE"""),46.808217)</f>
        <v>46.808217</v>
      </c>
      <c r="Y92" s="32">
        <f>IFERROR(__xludf.DUMMYFUNCTION("""COMPUTED_VALUE"""),20.933727)</f>
        <v>20.933727</v>
      </c>
      <c r="Z92" s="32">
        <f>IFERROR(__xludf.DUMMYFUNCTION("""COMPUTED_VALUE"""),31.148708)</f>
        <v>31.148708</v>
      </c>
      <c r="AA92" s="32">
        <f>IFERROR(__xludf.DUMMYFUNCTION("""COMPUTED_VALUE"""),6.5609)</f>
        <v>6.5609</v>
      </c>
      <c r="AB92" s="32">
        <f>IFERROR(__xludf.DUMMYFUNCTION("""COMPUTED_VALUE"""),7.24715)</f>
        <v>7.24715</v>
      </c>
      <c r="AC92" s="32">
        <f>IFERROR(__xludf.DUMMYFUNCTION("""COMPUTED_VALUE"""),1.7199)</f>
        <v>1.7199</v>
      </c>
      <c r="AD92" s="32">
        <f>IFERROR(__xludf.DUMMYFUNCTION("""COMPUTED_VALUE"""),1.24575)</f>
        <v>1.24575</v>
      </c>
      <c r="AE92" s="32">
        <f>IFERROR(__xludf.DUMMYFUNCTION("""COMPUTED_VALUE"""),18.550249)</f>
        <v>18.550249</v>
      </c>
      <c r="AF92" s="32">
        <f>IFERROR(__xludf.DUMMYFUNCTION("""COMPUTED_VALUE"""),0.690593)</f>
        <v>0.690593</v>
      </c>
      <c r="AG92" s="32">
        <f>IFERROR(__xludf.DUMMYFUNCTION("""COMPUTED_VALUE"""),2.427)</f>
        <v>2.427</v>
      </c>
      <c r="AH92" s="32">
        <f>IFERROR(__xludf.DUMMYFUNCTION("""COMPUTED_VALUE"""),4.934339)</f>
        <v>4.934339</v>
      </c>
      <c r="AI92" s="32">
        <f>IFERROR(__xludf.DUMMYFUNCTION("""COMPUTED_VALUE"""),1.2769002851099154)</f>
        <v>1.276900285</v>
      </c>
      <c r="AJ92" s="32">
        <f>IFERROR(__xludf.DUMMYFUNCTION("""COMPUTED_VALUE"""),9.18019900822169)</f>
        <v>9.180199008</v>
      </c>
      <c r="AK92" s="32">
        <f>IFERROR(__xludf.DUMMYFUNCTION("""COMPUTED_VALUE"""),94.0883)</f>
        <v>94.0883</v>
      </c>
      <c r="AL92" s="32">
        <f>IFERROR(__xludf.DUMMYFUNCTION("""COMPUTED_VALUE"""),358.9201)</f>
        <v>358.9201</v>
      </c>
      <c r="AM92" s="32">
        <f>IFERROR(__xludf.DUMMYFUNCTION("""COMPUTED_VALUE"""),67.479811)</f>
        <v>67.479811</v>
      </c>
      <c r="AN92" s="32">
        <f>IFERROR(__xludf.DUMMYFUNCTION("""COMPUTED_VALUE"""),15.937074)</f>
        <v>15.937074</v>
      </c>
      <c r="AO92" s="32">
        <f>IFERROR(__xludf.DUMMYFUNCTION("""COMPUTED_VALUE"""),15.0)</f>
        <v>15</v>
      </c>
      <c r="AP92" s="32">
        <f>IFERROR(__xludf.DUMMYFUNCTION("""COMPUTED_VALUE"""),0.1116302472685451)</f>
        <v>0.1116302473</v>
      </c>
      <c r="AQ92" s="13"/>
      <c r="AR92" s="13"/>
      <c r="AS92" s="13"/>
      <c r="AT92" s="13"/>
      <c r="AU92" s="13"/>
      <c r="AV92" s="13"/>
      <c r="AW92" s="13"/>
      <c r="AX92" s="13"/>
      <c r="AY92" s="13"/>
      <c r="AZ92" s="13"/>
    </row>
    <row r="93">
      <c r="A93" s="13" t="str">
        <f>IFERROR(__xludf.DUMMYFUNCTION("""COMPUTED_VALUE"""),"JK Cement Ltd")</f>
        <v>JK Cement Ltd</v>
      </c>
      <c r="B93" s="30">
        <f>IFERROR(__xludf.DUMMYFUNCTION("""COMPUTED_VALUE"""),532644.0)</f>
        <v>532644</v>
      </c>
      <c r="C93" s="13" t="str">
        <f>IFERROR(__xludf.DUMMYFUNCTION("""COMPUTED_VALUE"""),"JKCEMENT")</f>
        <v>JKCEMENT</v>
      </c>
      <c r="D93" s="13" t="str">
        <f>IFERROR(__xludf.DUMMYFUNCTION("""COMPUTED_VALUE"""),"INE823G01014")</f>
        <v>INE823G01014</v>
      </c>
      <c r="E93" s="13" t="str">
        <f>IFERROR(__xludf.DUMMYFUNCTION("""COMPUTED_VALUE"""),"Materials")</f>
        <v>Materials</v>
      </c>
      <c r="F93" s="13" t="str">
        <f>IFERROR(__xludf.DUMMYFUNCTION("""COMPUTED_VALUE"""),"Cement")</f>
        <v>Cement</v>
      </c>
      <c r="G93" s="31">
        <f>IFERROR(__xludf.DUMMYFUNCTION("""COMPUTED_VALUE"""),44809.0)</f>
        <v>44809</v>
      </c>
      <c r="H93" s="32">
        <f>IFERROR(__xludf.DUMMYFUNCTION("""COMPUTED_VALUE"""),2699.7)</f>
        <v>2699.7</v>
      </c>
      <c r="I93" s="32">
        <f>IFERROR(__xludf.DUMMYFUNCTION("""COMPUTED_VALUE"""),-0.205157)</f>
        <v>-0.205157</v>
      </c>
      <c r="J93" s="32">
        <f>IFERROR(__xludf.DUMMYFUNCTION("""COMPUTED_VALUE"""),2003.7)</f>
        <v>2003.7</v>
      </c>
      <c r="K93" s="32">
        <f>IFERROR(__xludf.DUMMYFUNCTION("""COMPUTED_VALUE"""),3838.0)</f>
        <v>3838</v>
      </c>
      <c r="L93" s="32">
        <f>IFERROR(__xludf.DUMMYFUNCTION("""COMPUTED_VALUE"""),795.25)</f>
        <v>795.25</v>
      </c>
      <c r="M93" s="32">
        <f>IFERROR(__xludf.DUMMYFUNCTION("""COMPUTED_VALUE"""),3838.0)</f>
        <v>3838</v>
      </c>
      <c r="N93" s="32">
        <f>IFERROR(__xludf.DUMMYFUNCTION("""COMPUTED_VALUE"""),649.55)</f>
        <v>649.55</v>
      </c>
      <c r="O93" s="32">
        <f>IFERROR(__xludf.DUMMYFUNCTION("""COMPUTED_VALUE"""),3838.0)</f>
        <v>3838</v>
      </c>
      <c r="P93" s="32">
        <f>IFERROR(__xludf.DUMMYFUNCTION("""COMPUTED_VALUE"""),31.25)</f>
        <v>31.25</v>
      </c>
      <c r="Q93" s="32">
        <f>IFERROR(__xludf.DUMMYFUNCTION("""COMPUTED_VALUE"""),3838.0)</f>
        <v>3838</v>
      </c>
      <c r="R93" s="32">
        <f>IFERROR(__xludf.DUMMYFUNCTION("""COMPUTED_VALUE"""),20819.93023195)</f>
        <v>20819.93023</v>
      </c>
      <c r="S93" s="32">
        <f>IFERROR(__xludf.DUMMYFUNCTION("""COMPUTED_VALUE"""),24213.72867534)</f>
        <v>24213.72868</v>
      </c>
      <c r="T93" s="32">
        <f>IFERROR(__xludf.DUMMYFUNCTION("""COMPUTED_VALUE"""),1.85049)</f>
        <v>1.85049</v>
      </c>
      <c r="U93" s="32">
        <f>IFERROR(__xludf.DUMMYFUNCTION("""COMPUTED_VALUE"""),6.429867)</f>
        <v>6.429867</v>
      </c>
      <c r="V93" s="32">
        <f>IFERROR(__xludf.DUMMYFUNCTION("""COMPUTED_VALUE"""),25.863074)</f>
        <v>25.863074</v>
      </c>
      <c r="W93" s="32">
        <f>IFERROR(__xludf.DUMMYFUNCTION("""COMPUTED_VALUE"""),-22.862408)</f>
        <v>-22.862408</v>
      </c>
      <c r="X93" s="32">
        <f>IFERROR(__xludf.DUMMYFUNCTION("""COMPUTED_VALUE"""),39.312198)</f>
        <v>39.312198</v>
      </c>
      <c r="Y93" s="32">
        <f>IFERROR(__xludf.DUMMYFUNCTION("""COMPUTED_VALUE"""),21.835466)</f>
        <v>21.835466</v>
      </c>
      <c r="Z93" s="32">
        <f>IFERROR(__xludf.DUMMYFUNCTION("""COMPUTED_VALUE"""),29.305953)</f>
        <v>29.305953</v>
      </c>
      <c r="AA93" s="32">
        <f>IFERROR(__xludf.DUMMYFUNCTION("""COMPUTED_VALUE"""),31.648)</f>
        <v>31.648</v>
      </c>
      <c r="AB93" s="32">
        <f>IFERROR(__xludf.DUMMYFUNCTION("""COMPUTED_VALUE"""),23.93745)</f>
        <v>23.93745</v>
      </c>
      <c r="AC93" s="32">
        <f>IFERROR(__xludf.DUMMYFUNCTION("""COMPUTED_VALUE"""),4.6413)</f>
        <v>4.6413</v>
      </c>
      <c r="AD93" s="32">
        <f>IFERROR(__xludf.DUMMYFUNCTION("""COMPUTED_VALUE"""),3.6242)</f>
        <v>3.6242</v>
      </c>
      <c r="AE93" s="32">
        <f>IFERROR(__xludf.DUMMYFUNCTION("""COMPUTED_VALUE"""),5.724698)</f>
        <v>5.724698</v>
      </c>
      <c r="AF93" s="32">
        <f>IFERROR(__xludf.DUMMYFUNCTION("""COMPUTED_VALUE"""),1.000726)</f>
        <v>1.000726</v>
      </c>
      <c r="AG93" s="32">
        <f>IFERROR(__xludf.DUMMYFUNCTION("""COMPUTED_VALUE"""),0.5555)</f>
        <v>0.5555</v>
      </c>
      <c r="AH93" s="32">
        <f>IFERROR(__xludf.DUMMYFUNCTION("""COMPUTED_VALUE"""),14.980239)</f>
        <v>14.980239</v>
      </c>
      <c r="AI93" s="32">
        <f>IFERROR(__xludf.DUMMYFUNCTION("""COMPUTED_VALUE"""),2.436124385973493)</f>
        <v>2.436124386</v>
      </c>
      <c r="AJ93" s="32">
        <f>IFERROR(__xludf.DUMMYFUNCTION("""COMPUTED_VALUE"""),23.700433521256468)</f>
        <v>23.70043352</v>
      </c>
      <c r="AK93" s="32">
        <f>IFERROR(__xludf.DUMMYFUNCTION("""COMPUTED_VALUE"""),85.1396)</f>
        <v>85.1396</v>
      </c>
      <c r="AL93" s="32">
        <f>IFERROR(__xludf.DUMMYFUNCTION("""COMPUTED_VALUE"""),580.5428)</f>
        <v>580.5428</v>
      </c>
      <c r="AM93" s="32">
        <f>IFERROR(__xludf.DUMMYFUNCTION("""COMPUTED_VALUE"""),113.689831)</f>
        <v>113.689831</v>
      </c>
      <c r="AN93" s="32">
        <f>IFERROR(__xludf.DUMMYFUNCTION("""COMPUTED_VALUE"""),-124.589968)</f>
        <v>-124.589968</v>
      </c>
      <c r="AO93" s="32">
        <f>IFERROR(__xludf.DUMMYFUNCTION("""COMPUTED_VALUE"""),15.0)</f>
        <v>15</v>
      </c>
      <c r="AP93" s="32">
        <f>IFERROR(__xludf.DUMMYFUNCTION("""COMPUTED_VALUE"""),0.2965867639395519)</f>
        <v>0.2965867639</v>
      </c>
      <c r="AQ93" s="13"/>
      <c r="AR93" s="13"/>
      <c r="AS93" s="13"/>
      <c r="AT93" s="13"/>
      <c r="AU93" s="13"/>
      <c r="AV93" s="13"/>
      <c r="AW93" s="13"/>
      <c r="AX93" s="13"/>
      <c r="AY93" s="13"/>
      <c r="AZ93" s="13"/>
    </row>
    <row r="94">
      <c r="A94" s="13" t="str">
        <f>IFERROR(__xludf.DUMMYFUNCTION("""COMPUTED_VALUE"""),"Thyrocare Technologies Ltd.")</f>
        <v>Thyrocare Technologies Ltd.</v>
      </c>
      <c r="B94" s="30">
        <f>IFERROR(__xludf.DUMMYFUNCTION("""COMPUTED_VALUE"""),539871.0)</f>
        <v>539871</v>
      </c>
      <c r="C94" s="13" t="str">
        <f>IFERROR(__xludf.DUMMYFUNCTION("""COMPUTED_VALUE"""),"THYROCARE")</f>
        <v>THYROCARE</v>
      </c>
      <c r="D94" s="13" t="str">
        <f>IFERROR(__xludf.DUMMYFUNCTION("""COMPUTED_VALUE"""),"INE594H01019")</f>
        <v>INE594H01019</v>
      </c>
      <c r="E94" s="13" t="str">
        <f>IFERROR(__xludf.DUMMYFUNCTION("""COMPUTED_VALUE"""),"Healthcare")</f>
        <v>Healthcare</v>
      </c>
      <c r="F94" s="13" t="str">
        <f>IFERROR(__xludf.DUMMYFUNCTION("""COMPUTED_VALUE"""),"Diagnostics Services")</f>
        <v>Diagnostics Services</v>
      </c>
      <c r="G94" s="31">
        <f>IFERROR(__xludf.DUMMYFUNCTION("""COMPUTED_VALUE"""),44809.0)</f>
        <v>44809</v>
      </c>
      <c r="H94" s="32">
        <f>IFERROR(__xludf.DUMMYFUNCTION("""COMPUTED_VALUE"""),631.05)</f>
        <v>631.05</v>
      </c>
      <c r="I94" s="32">
        <f>IFERROR(__xludf.DUMMYFUNCTION("""COMPUTED_VALUE"""),1.782258)</f>
        <v>1.782258</v>
      </c>
      <c r="J94" s="32">
        <f>IFERROR(__xludf.DUMMYFUNCTION("""COMPUTED_VALUE"""),600.9)</f>
        <v>600.9</v>
      </c>
      <c r="K94" s="32">
        <f>IFERROR(__xludf.DUMMYFUNCTION("""COMPUTED_VALUE"""),1311.55)</f>
        <v>1311.55</v>
      </c>
      <c r="L94" s="32">
        <f>IFERROR(__xludf.DUMMYFUNCTION("""COMPUTED_VALUE"""),409.6)</f>
        <v>409.6</v>
      </c>
      <c r="M94" s="32">
        <f>IFERROR(__xludf.DUMMYFUNCTION("""COMPUTED_VALUE"""),1465.9)</f>
        <v>1465.9</v>
      </c>
      <c r="N94" s="32">
        <f>IFERROR(__xludf.DUMMYFUNCTION("""COMPUTED_VALUE"""),406.65)</f>
        <v>406.65</v>
      </c>
      <c r="O94" s="32">
        <f>IFERROR(__xludf.DUMMYFUNCTION("""COMPUTED_VALUE"""),1465.9)</f>
        <v>1465.9</v>
      </c>
      <c r="P94" s="32">
        <f>IFERROR(__xludf.DUMMYFUNCTION("""COMPUTED_VALUE"""),406.65)</f>
        <v>406.65</v>
      </c>
      <c r="Q94" s="32">
        <f>IFERROR(__xludf.DUMMYFUNCTION("""COMPUTED_VALUE"""),1465.9)</f>
        <v>1465.9</v>
      </c>
      <c r="R94" s="32">
        <f>IFERROR(__xludf.DUMMYFUNCTION("""COMPUTED_VALUE"""),3347.4583323)</f>
        <v>3347.458332</v>
      </c>
      <c r="S94" s="32">
        <f>IFERROR(__xludf.DUMMYFUNCTION("""COMPUTED_VALUE"""),3141.15110066)</f>
        <v>3141.151101</v>
      </c>
      <c r="T94" s="32">
        <f>IFERROR(__xludf.DUMMYFUNCTION("""COMPUTED_VALUE"""),0.541703)</f>
        <v>0.541703</v>
      </c>
      <c r="U94" s="32">
        <f>IFERROR(__xludf.DUMMYFUNCTION("""COMPUTED_VALUE"""),0.613839)</f>
        <v>0.613839</v>
      </c>
      <c r="V94" s="32">
        <f>IFERROR(__xludf.DUMMYFUNCTION("""COMPUTED_VALUE"""),-0.426036)</f>
        <v>-0.426036</v>
      </c>
      <c r="W94" s="32">
        <f>IFERROR(__xludf.DUMMYFUNCTION("""COMPUTED_VALUE"""),-49.868923)</f>
        <v>-49.868923</v>
      </c>
      <c r="X94" s="32">
        <f>IFERROR(__xludf.DUMMYFUNCTION("""COMPUTED_VALUE"""),10.339834)</f>
        <v>10.339834</v>
      </c>
      <c r="Y94" s="32">
        <f>IFERROR(__xludf.DUMMYFUNCTION("""COMPUTED_VALUE"""),-1.355057)</f>
        <v>-1.355057</v>
      </c>
      <c r="Z94" s="13"/>
      <c r="AA94" s="32">
        <f>IFERROR(__xludf.DUMMYFUNCTION("""COMPUTED_VALUE"""),23.5405)</f>
        <v>23.5405</v>
      </c>
      <c r="AB94" s="32">
        <f>IFERROR(__xludf.DUMMYFUNCTION("""COMPUTED_VALUE"""),31.13305)</f>
        <v>31.13305</v>
      </c>
      <c r="AC94" s="32">
        <f>IFERROR(__xludf.DUMMYFUNCTION("""COMPUTED_VALUE"""),6.1466)</f>
        <v>6.1466</v>
      </c>
      <c r="AD94" s="32">
        <f>IFERROR(__xludf.DUMMYFUNCTION("""COMPUTED_VALUE"""),7.66455)</f>
        <v>7.66455</v>
      </c>
      <c r="AE94" s="32">
        <f>IFERROR(__xludf.DUMMYFUNCTION("""COMPUTED_VALUE"""),6.353445)</f>
        <v>6.353445</v>
      </c>
      <c r="AF94" s="32">
        <f>IFERROR(__xludf.DUMMYFUNCTION("""COMPUTED_VALUE"""),0.968215)</f>
        <v>0.968215</v>
      </c>
      <c r="AG94" s="32">
        <f>IFERROR(__xludf.DUMMYFUNCTION("""COMPUTED_VALUE"""),2.3772)</f>
        <v>2.3772</v>
      </c>
      <c r="AH94" s="32">
        <f>IFERROR(__xludf.DUMMYFUNCTION("""COMPUTED_VALUE"""),14.320922)</f>
        <v>14.320922</v>
      </c>
      <c r="AI94" s="32">
        <f>IFERROR(__xludf.DUMMYFUNCTION("""COMPUTED_VALUE"""),6.064675578483948)</f>
        <v>6.064675578</v>
      </c>
      <c r="AJ94" s="32">
        <f>IFERROR(__xludf.DUMMYFUNCTION("""COMPUTED_VALUE"""),29.51643005290539)</f>
        <v>29.51643005</v>
      </c>
      <c r="AK94" s="32">
        <f>IFERROR(__xludf.DUMMYFUNCTION("""COMPUTED_VALUE"""),26.8792)</f>
        <v>26.8792</v>
      </c>
      <c r="AL94" s="32">
        <f>IFERROR(__xludf.DUMMYFUNCTION("""COMPUTED_VALUE"""),102.9431)</f>
        <v>102.9431</v>
      </c>
      <c r="AM94" s="32">
        <f>IFERROR(__xludf.DUMMYFUNCTION("""COMPUTED_VALUE"""),21.438563)</f>
        <v>21.438563</v>
      </c>
      <c r="AN94" s="32">
        <f>IFERROR(__xludf.DUMMYFUNCTION("""COMPUTED_VALUE"""),17.606805)</f>
        <v>17.606805</v>
      </c>
      <c r="AO94" s="32">
        <f>IFERROR(__xludf.DUMMYFUNCTION("""COMPUTED_VALUE"""),15.0)</f>
        <v>15</v>
      </c>
      <c r="AP94" s="32">
        <f>IFERROR(__xludf.DUMMYFUNCTION("""COMPUTED_VALUE"""),0.51885174030727)</f>
        <v>0.5188517403</v>
      </c>
      <c r="AQ94" s="13"/>
      <c r="AR94" s="13"/>
      <c r="AS94" s="13"/>
      <c r="AT94" s="13"/>
      <c r="AU94" s="13"/>
      <c r="AV94" s="13"/>
      <c r="AW94" s="13"/>
      <c r="AX94" s="13"/>
      <c r="AY94" s="13"/>
      <c r="AZ94" s="13"/>
    </row>
    <row r="95">
      <c r="A95" s="13" t="str">
        <f>IFERROR(__xludf.DUMMYFUNCTION("""COMPUTED_VALUE"""),"Power Grid Corporation Of India Ltd.")</f>
        <v>Power Grid Corporation Of India Ltd.</v>
      </c>
      <c r="B95" s="30">
        <f>IFERROR(__xludf.DUMMYFUNCTION("""COMPUTED_VALUE"""),532898.0)</f>
        <v>532898</v>
      </c>
      <c r="C95" s="13" t="str">
        <f>IFERROR(__xludf.DUMMYFUNCTION("""COMPUTED_VALUE"""),"POWERGRID")</f>
        <v>POWERGRID</v>
      </c>
      <c r="D95" s="13" t="str">
        <f>IFERROR(__xludf.DUMMYFUNCTION("""COMPUTED_VALUE"""),"INE752E01010")</f>
        <v>INE752E01010</v>
      </c>
      <c r="E95" s="13" t="str">
        <f>IFERROR(__xludf.DUMMYFUNCTION("""COMPUTED_VALUE"""),"Energy")</f>
        <v>Energy</v>
      </c>
      <c r="F95" s="13" t="str">
        <f>IFERROR(__xludf.DUMMYFUNCTION("""COMPUTED_VALUE"""),"Electricity Distribution")</f>
        <v>Electricity Distribution</v>
      </c>
      <c r="G95" s="31">
        <f>IFERROR(__xludf.DUMMYFUNCTION("""COMPUTED_VALUE"""),44809.0)</f>
        <v>44809</v>
      </c>
      <c r="H95" s="32">
        <f>IFERROR(__xludf.DUMMYFUNCTION("""COMPUTED_VALUE"""),223.4)</f>
        <v>223.4</v>
      </c>
      <c r="I95" s="32">
        <f>IFERROR(__xludf.DUMMYFUNCTION("""COMPUTED_VALUE"""),-0.356824)</f>
        <v>-0.356824</v>
      </c>
      <c r="J95" s="32">
        <f>IFERROR(__xludf.DUMMYFUNCTION("""COMPUTED_VALUE"""),170.2)</f>
        <v>170.2</v>
      </c>
      <c r="K95" s="32">
        <f>IFERROR(__xludf.DUMMYFUNCTION("""COMPUTED_VALUE"""),248.35)</f>
        <v>248.35</v>
      </c>
      <c r="L95" s="32">
        <f>IFERROR(__xludf.DUMMYFUNCTION("""COMPUTED_VALUE"""),91.6125)</f>
        <v>91.6125</v>
      </c>
      <c r="M95" s="32">
        <f>IFERROR(__xludf.DUMMYFUNCTION("""COMPUTED_VALUE"""),248.35)</f>
        <v>248.35</v>
      </c>
      <c r="N95" s="32">
        <f>IFERROR(__xludf.DUMMYFUNCTION("""COMPUTED_VALUE"""),91.6125)</f>
        <v>91.6125</v>
      </c>
      <c r="O95" s="32">
        <f>IFERROR(__xludf.DUMMYFUNCTION("""COMPUTED_VALUE"""),248.35)</f>
        <v>248.35</v>
      </c>
      <c r="P95" s="32">
        <f>IFERROR(__xludf.DUMMYFUNCTION("""COMPUTED_VALUE"""),38.8125)</f>
        <v>38.8125</v>
      </c>
      <c r="Q95" s="32">
        <f>IFERROR(__xludf.DUMMYFUNCTION("""COMPUTED_VALUE"""),248.35)</f>
        <v>248.35</v>
      </c>
      <c r="R95" s="32">
        <f>IFERROR(__xludf.DUMMYFUNCTION("""COMPUTED_VALUE"""),156006.00330336002)</f>
        <v>156006.0033</v>
      </c>
      <c r="S95" s="32">
        <f>IFERROR(__xludf.DUMMYFUNCTION("""COMPUTED_VALUE"""),286006.74321087997)</f>
        <v>286006.7432</v>
      </c>
      <c r="T95" s="32">
        <f>IFERROR(__xludf.DUMMYFUNCTION("""COMPUTED_VALUE"""),-3.059232)</f>
        <v>-3.059232</v>
      </c>
      <c r="U95" s="32">
        <f>IFERROR(__xludf.DUMMYFUNCTION("""COMPUTED_VALUE"""),1.177536)</f>
        <v>1.177536</v>
      </c>
      <c r="V95" s="32">
        <f>IFERROR(__xludf.DUMMYFUNCTION("""COMPUTED_VALUE"""),-1.150442)</f>
        <v>-1.150442</v>
      </c>
      <c r="W95" s="32">
        <f>IFERROR(__xludf.DUMMYFUNCTION("""COMPUTED_VALUE"""),27.257192)</f>
        <v>27.257192</v>
      </c>
      <c r="X95" s="32">
        <f>IFERROR(__xludf.DUMMYFUNCTION("""COMPUTED_VALUE"""),14.795641)</f>
        <v>14.795641</v>
      </c>
      <c r="Y95" s="32">
        <f>IFERROR(__xludf.DUMMYFUNCTION("""COMPUTED_VALUE"""),6.481118)</f>
        <v>6.481118</v>
      </c>
      <c r="Z95" s="32">
        <f>IFERROR(__xludf.DUMMYFUNCTION("""COMPUTED_VALUE"""),9.163522)</f>
        <v>9.163522</v>
      </c>
      <c r="AA95" s="32">
        <f>IFERROR(__xludf.DUMMYFUNCTION("""COMPUTED_VALUE"""),10.0042)</f>
        <v>10.0042</v>
      </c>
      <c r="AB95" s="32">
        <f>IFERROR(__xludf.DUMMYFUNCTION("""COMPUTED_VALUE"""),10.31745)</f>
        <v>10.31745</v>
      </c>
      <c r="AC95" s="32">
        <f>IFERROR(__xludf.DUMMYFUNCTION("""COMPUTED_VALUE"""),2.3732)</f>
        <v>2.3732</v>
      </c>
      <c r="AD95" s="32">
        <f>IFERROR(__xludf.DUMMYFUNCTION("""COMPUTED_VALUE"""),1.9359)</f>
        <v>1.9359</v>
      </c>
      <c r="AE95" s="32">
        <f>IFERROR(__xludf.DUMMYFUNCTION("""COMPUTED_VALUE"""),9.138855)</f>
        <v>9.138855</v>
      </c>
      <c r="AF95" s="32">
        <f>IFERROR(__xludf.DUMMYFUNCTION("""COMPUTED_VALUE"""),0.554727)</f>
        <v>0.554727</v>
      </c>
      <c r="AG95" s="32">
        <f>IFERROR(__xludf.DUMMYFUNCTION("""COMPUTED_VALUE"""),6.5951)</f>
        <v>6.5951</v>
      </c>
      <c r="AH95" s="32">
        <f>IFERROR(__xludf.DUMMYFUNCTION("""COMPUTED_VALUE"""),7.529002)</f>
        <v>7.529002</v>
      </c>
      <c r="AI95" s="32">
        <f>IFERROR(__xludf.DUMMYFUNCTION("""COMPUTED_VALUE"""),3.6876431903637084)</f>
        <v>3.68764319</v>
      </c>
      <c r="AJ95" s="32">
        <f>IFERROR(__xludf.DUMMYFUNCTION("""COMPUTED_VALUE"""),5.971859967698075)</f>
        <v>5.971859968</v>
      </c>
      <c r="AK95" s="32">
        <f>IFERROR(__xludf.DUMMYFUNCTION("""COMPUTED_VALUE"""),22.3556)</f>
        <v>22.3556</v>
      </c>
      <c r="AL95" s="32">
        <f>IFERROR(__xludf.DUMMYFUNCTION("""COMPUTED_VALUE"""),94.2394)</f>
        <v>94.2394</v>
      </c>
      <c r="AM95" s="32">
        <f>IFERROR(__xludf.DUMMYFUNCTION("""COMPUTED_VALUE"""),37.450659)</f>
        <v>37.450659</v>
      </c>
      <c r="AN95" s="32">
        <f>IFERROR(__xludf.DUMMYFUNCTION("""COMPUTED_VALUE"""),21.934241)</f>
        <v>21.934241</v>
      </c>
      <c r="AO95" s="32">
        <f>IFERROR(__xludf.DUMMYFUNCTION("""COMPUTED_VALUE"""),14.75)</f>
        <v>14.75</v>
      </c>
      <c r="AP95" s="32">
        <f>IFERROR(__xludf.DUMMYFUNCTION("""COMPUTED_VALUE"""),0.10046305617072675)</f>
        <v>0.1004630562</v>
      </c>
      <c r="AQ95" s="13"/>
      <c r="AR95" s="13"/>
      <c r="AS95" s="13"/>
      <c r="AT95" s="13"/>
      <c r="AU95" s="13"/>
      <c r="AV95" s="13"/>
      <c r="AW95" s="13"/>
      <c r="AX95" s="13"/>
      <c r="AY95" s="13"/>
      <c r="AZ95" s="13"/>
    </row>
    <row r="96">
      <c r="A96" s="13" t="str">
        <f>IFERROR(__xludf.DUMMYFUNCTION("""COMPUTED_VALUE"""),"NMDC Ltd.")</f>
        <v>NMDC Ltd.</v>
      </c>
      <c r="B96" s="30">
        <f>IFERROR(__xludf.DUMMYFUNCTION("""COMPUTED_VALUE"""),526371.0)</f>
        <v>526371</v>
      </c>
      <c r="C96" s="13" t="str">
        <f>IFERROR(__xludf.DUMMYFUNCTION("""COMPUTED_VALUE"""),"NMDC")</f>
        <v>NMDC</v>
      </c>
      <c r="D96" s="13" t="str">
        <f>IFERROR(__xludf.DUMMYFUNCTION("""COMPUTED_VALUE"""),"INE584A01023")</f>
        <v>INE584A01023</v>
      </c>
      <c r="E96" s="13" t="str">
        <f>IFERROR(__xludf.DUMMYFUNCTION("""COMPUTED_VALUE"""),"Metals &amp; Mining")</f>
        <v>Metals &amp; Mining</v>
      </c>
      <c r="F96" s="13" t="str">
        <f>IFERROR(__xludf.DUMMYFUNCTION("""COMPUTED_VALUE"""),"Minerals")</f>
        <v>Minerals</v>
      </c>
      <c r="G96" s="31">
        <f>IFERROR(__xludf.DUMMYFUNCTION("""COMPUTED_VALUE"""),44809.0)</f>
        <v>44809</v>
      </c>
      <c r="H96" s="32">
        <f>IFERROR(__xludf.DUMMYFUNCTION("""COMPUTED_VALUE"""),122.5)</f>
        <v>122.5</v>
      </c>
      <c r="I96" s="32">
        <f>IFERROR(__xludf.DUMMYFUNCTION("""COMPUTED_VALUE"""),0.409836)</f>
        <v>0.409836</v>
      </c>
      <c r="J96" s="32">
        <f>IFERROR(__xludf.DUMMYFUNCTION("""COMPUTED_VALUE"""),99.6)</f>
        <v>99.6</v>
      </c>
      <c r="K96" s="32">
        <f>IFERROR(__xludf.DUMMYFUNCTION("""COMPUTED_VALUE"""),175.4)</f>
        <v>175.4</v>
      </c>
      <c r="L96" s="32">
        <f>IFERROR(__xludf.DUMMYFUNCTION("""COMPUTED_VALUE"""),61.55)</f>
        <v>61.55</v>
      </c>
      <c r="M96" s="32">
        <f>IFERROR(__xludf.DUMMYFUNCTION("""COMPUTED_VALUE"""),213.2)</f>
        <v>213.2</v>
      </c>
      <c r="N96" s="32">
        <f>IFERROR(__xludf.DUMMYFUNCTION("""COMPUTED_VALUE"""),61.55)</f>
        <v>61.55</v>
      </c>
      <c r="O96" s="32">
        <f>IFERROR(__xludf.DUMMYFUNCTION("""COMPUTED_VALUE"""),213.2)</f>
        <v>213.2</v>
      </c>
      <c r="P96" s="32">
        <f>IFERROR(__xludf.DUMMYFUNCTION("""COMPUTED_VALUE"""),0.403333)</f>
        <v>0.403333</v>
      </c>
      <c r="Q96" s="32">
        <f>IFERROR(__xludf.DUMMYFUNCTION("""COMPUTED_VALUE"""),571.8)</f>
        <v>571.8</v>
      </c>
      <c r="R96" s="32">
        <f>IFERROR(__xludf.DUMMYFUNCTION("""COMPUTED_VALUE"""),35885.26863325)</f>
        <v>35885.26863</v>
      </c>
      <c r="S96" s="32">
        <f>IFERROR(__xludf.DUMMYFUNCTION("""COMPUTED_VALUE"""),31223.2453115)</f>
        <v>31223.24531</v>
      </c>
      <c r="T96" s="32">
        <f>IFERROR(__xludf.DUMMYFUNCTION("""COMPUTED_VALUE"""),-0.366002)</f>
        <v>-0.366002</v>
      </c>
      <c r="U96" s="32">
        <f>IFERROR(__xludf.DUMMYFUNCTION("""COMPUTED_VALUE"""),14.05959)</f>
        <v>14.05959</v>
      </c>
      <c r="V96" s="32">
        <f>IFERROR(__xludf.DUMMYFUNCTION("""COMPUTED_VALUE"""),-3.429247)</f>
        <v>-3.429247</v>
      </c>
      <c r="W96" s="32">
        <f>IFERROR(__xludf.DUMMYFUNCTION("""COMPUTED_VALUE"""),-20.76326)</f>
        <v>-20.76326</v>
      </c>
      <c r="X96" s="32">
        <f>IFERROR(__xludf.DUMMYFUNCTION("""COMPUTED_VALUE"""),15.453652)</f>
        <v>15.453652</v>
      </c>
      <c r="Y96" s="32">
        <f>IFERROR(__xludf.DUMMYFUNCTION("""COMPUTED_VALUE"""),-1.851705)</f>
        <v>-1.851705</v>
      </c>
      <c r="Z96" s="32">
        <f>IFERROR(__xludf.DUMMYFUNCTION("""COMPUTED_VALUE"""),-4.236081)</f>
        <v>-4.236081</v>
      </c>
      <c r="AA96" s="32">
        <f>IFERROR(__xludf.DUMMYFUNCTION("""COMPUTED_VALUE"""),4.6999)</f>
        <v>4.6999</v>
      </c>
      <c r="AB96" s="32">
        <f>IFERROR(__xludf.DUMMYFUNCTION("""COMPUTED_VALUE"""),7.56485)</f>
        <v>7.56485</v>
      </c>
      <c r="AC96" s="32">
        <f>IFERROR(__xludf.DUMMYFUNCTION("""COMPUTED_VALUE"""),0.9844)</f>
        <v>0.9844</v>
      </c>
      <c r="AD96" s="32">
        <f>IFERROR(__xludf.DUMMYFUNCTION("""COMPUTED_VALUE"""),1.2138)</f>
        <v>1.2138</v>
      </c>
      <c r="AE96" s="32">
        <f>IFERROR(__xludf.DUMMYFUNCTION("""COMPUTED_VALUE"""),36.413567)</f>
        <v>36.413567</v>
      </c>
      <c r="AF96" s="32">
        <f>IFERROR(__xludf.DUMMYFUNCTION("""COMPUTED_VALUE"""),0.159551)</f>
        <v>0.159551</v>
      </c>
      <c r="AG96" s="32">
        <f>IFERROR(__xludf.DUMMYFUNCTION("""COMPUTED_VALUE"""),12.0376)</f>
        <v>12.0376</v>
      </c>
      <c r="AH96" s="32">
        <f>IFERROR(__xludf.DUMMYFUNCTION("""COMPUTED_VALUE"""),2.832015)</f>
        <v>2.832015</v>
      </c>
      <c r="AI96" s="32">
        <f>IFERROR(__xludf.DUMMYFUNCTION("""COMPUTED_VALUE"""),1.4867580148334956)</f>
        <v>1.486758015</v>
      </c>
      <c r="AJ96" s="32">
        <f>IFERROR(__xludf.DUMMYFUNCTION("""COMPUTED_VALUE"""),4.69741819121628)</f>
        <v>4.697418191</v>
      </c>
      <c r="AK96" s="32">
        <f>IFERROR(__xludf.DUMMYFUNCTION("""COMPUTED_VALUE"""),26.0536)</f>
        <v>26.0536</v>
      </c>
      <c r="AL96" s="32">
        <f>IFERROR(__xludf.DUMMYFUNCTION("""COMPUTED_VALUE"""),124.3929)</f>
        <v>124.3929</v>
      </c>
      <c r="AM96" s="32">
        <f>IFERROR(__xludf.DUMMYFUNCTION("""COMPUTED_VALUE"""),26.066673)</f>
        <v>26.066673</v>
      </c>
      <c r="AN96" s="32">
        <f>IFERROR(__xludf.DUMMYFUNCTION("""COMPUTED_VALUE"""),17.281196)</f>
        <v>17.281196</v>
      </c>
      <c r="AO96" s="32">
        <f>IFERROR(__xludf.DUMMYFUNCTION("""COMPUTED_VALUE"""),14.74)</f>
        <v>14.74</v>
      </c>
      <c r="AP96" s="32">
        <f>IFERROR(__xludf.DUMMYFUNCTION("""COMPUTED_VALUE"""),0.3015963511972634)</f>
        <v>0.3015963512</v>
      </c>
      <c r="AQ96" s="13"/>
      <c r="AR96" s="13"/>
      <c r="AS96" s="13"/>
      <c r="AT96" s="13"/>
      <c r="AU96" s="13"/>
      <c r="AV96" s="13"/>
      <c r="AW96" s="13"/>
      <c r="AX96" s="13"/>
      <c r="AY96" s="13"/>
      <c r="AZ96" s="13"/>
    </row>
    <row r="97">
      <c r="A97" s="13" t="str">
        <f>IFERROR(__xludf.DUMMYFUNCTION("""COMPUTED_VALUE"""),"DCM Shriram Ltd.")</f>
        <v>DCM Shriram Ltd.</v>
      </c>
      <c r="B97" s="30">
        <f>IFERROR(__xludf.DUMMYFUNCTION("""COMPUTED_VALUE"""),523367.0)</f>
        <v>523367</v>
      </c>
      <c r="C97" s="13" t="str">
        <f>IFERROR(__xludf.DUMMYFUNCTION("""COMPUTED_VALUE"""),"DCMSHRIRAM")</f>
        <v>DCMSHRIRAM</v>
      </c>
      <c r="D97" s="13" t="str">
        <f>IFERROR(__xludf.DUMMYFUNCTION("""COMPUTED_VALUE"""),"INE499A01024")</f>
        <v>INE499A01024</v>
      </c>
      <c r="E97" s="13" t="str">
        <f>IFERROR(__xludf.DUMMYFUNCTION("""COMPUTED_VALUE"""),"Diversified")</f>
        <v>Diversified</v>
      </c>
      <c r="F97" s="13" t="str">
        <f>IFERROR(__xludf.DUMMYFUNCTION("""COMPUTED_VALUE"""),"Diversified")</f>
        <v>Diversified</v>
      </c>
      <c r="G97" s="31">
        <f>IFERROR(__xludf.DUMMYFUNCTION("""COMPUTED_VALUE"""),44809.0)</f>
        <v>44809</v>
      </c>
      <c r="H97" s="32">
        <f>IFERROR(__xludf.DUMMYFUNCTION("""COMPUTED_VALUE"""),1052.25)</f>
        <v>1052.25</v>
      </c>
      <c r="I97" s="32">
        <f>IFERROR(__xludf.DUMMYFUNCTION("""COMPUTED_VALUE"""),2.859238)</f>
        <v>2.859238</v>
      </c>
      <c r="J97" s="32">
        <f>IFERROR(__xludf.DUMMYFUNCTION("""COMPUTED_VALUE"""),895.0)</f>
        <v>895</v>
      </c>
      <c r="K97" s="32">
        <f>IFERROR(__xludf.DUMMYFUNCTION("""COMPUTED_VALUE"""),1263.85)</f>
        <v>1263.85</v>
      </c>
      <c r="L97" s="32">
        <f>IFERROR(__xludf.DUMMYFUNCTION("""COMPUTED_VALUE"""),172.6)</f>
        <v>172.6</v>
      </c>
      <c r="M97" s="32">
        <f>IFERROR(__xludf.DUMMYFUNCTION("""COMPUTED_VALUE"""),1263.85)</f>
        <v>1263.85</v>
      </c>
      <c r="N97" s="32">
        <f>IFERROR(__xludf.DUMMYFUNCTION("""COMPUTED_VALUE"""),172.6)</f>
        <v>172.6</v>
      </c>
      <c r="O97" s="32">
        <f>IFERROR(__xludf.DUMMYFUNCTION("""COMPUTED_VALUE"""),1263.85)</f>
        <v>1263.85</v>
      </c>
      <c r="P97" s="32">
        <f>IFERROR(__xludf.DUMMYFUNCTION("""COMPUTED_VALUE"""),4.0)</f>
        <v>4</v>
      </c>
      <c r="Q97" s="32">
        <f>IFERROR(__xludf.DUMMYFUNCTION("""COMPUTED_VALUE"""),1263.85)</f>
        <v>1263.85</v>
      </c>
      <c r="R97" s="32">
        <f>IFERROR(__xludf.DUMMYFUNCTION("""COMPUTED_VALUE"""),16409.0280966)</f>
        <v>16409.0281</v>
      </c>
      <c r="S97" s="32">
        <f>IFERROR(__xludf.DUMMYFUNCTION("""COMPUTED_VALUE"""),15929.71918288)</f>
        <v>15929.71918</v>
      </c>
      <c r="T97" s="32">
        <f>IFERROR(__xludf.DUMMYFUNCTION("""COMPUTED_VALUE"""),1.129265)</f>
        <v>1.129265</v>
      </c>
      <c r="U97" s="32">
        <f>IFERROR(__xludf.DUMMYFUNCTION("""COMPUTED_VALUE"""),0.324165)</f>
        <v>0.324165</v>
      </c>
      <c r="V97" s="32">
        <f>IFERROR(__xludf.DUMMYFUNCTION("""COMPUTED_VALUE"""),5.472861)</f>
        <v>5.472861</v>
      </c>
      <c r="W97" s="32">
        <f>IFERROR(__xludf.DUMMYFUNCTION("""COMPUTED_VALUE"""),17.040209)</f>
        <v>17.040209</v>
      </c>
      <c r="X97" s="32">
        <f>IFERROR(__xludf.DUMMYFUNCTION("""COMPUTED_VALUE"""),41.858229)</f>
        <v>41.858229</v>
      </c>
      <c r="Y97" s="32">
        <f>IFERROR(__xludf.DUMMYFUNCTION("""COMPUTED_VALUE"""),21.097943)</f>
        <v>21.097943</v>
      </c>
      <c r="Z97" s="13"/>
      <c r="AA97" s="32">
        <f>IFERROR(__xludf.DUMMYFUNCTION("""COMPUTED_VALUE"""),13.9759)</f>
        <v>13.9759</v>
      </c>
      <c r="AB97" s="32">
        <f>IFERROR(__xludf.DUMMYFUNCTION("""COMPUTED_VALUE"""),9.83335)</f>
        <v>9.83335</v>
      </c>
      <c r="AC97" s="32">
        <f>IFERROR(__xludf.DUMMYFUNCTION("""COMPUTED_VALUE"""),2.8251)</f>
        <v>2.8251</v>
      </c>
      <c r="AD97" s="32">
        <f>IFERROR(__xludf.DUMMYFUNCTION("""COMPUTED_VALUE"""),1.89435)</f>
        <v>1.89435</v>
      </c>
      <c r="AE97" s="32">
        <f>IFERROR(__xludf.DUMMYFUNCTION("""COMPUTED_VALUE"""),11.730429)</f>
        <v>11.730429</v>
      </c>
      <c r="AF97" s="32">
        <f>IFERROR(__xludf.DUMMYFUNCTION("""COMPUTED_VALUE"""),1.041337)</f>
        <v>1.041337</v>
      </c>
      <c r="AG97" s="32">
        <f>IFERROR(__xludf.DUMMYFUNCTION("""COMPUTED_VALUE"""),1.4022)</f>
        <v>1.4022</v>
      </c>
      <c r="AH97" s="32">
        <f>IFERROR(__xludf.DUMMYFUNCTION("""COMPUTED_VALUE"""),7.762454)</f>
        <v>7.762454</v>
      </c>
      <c r="AI97" s="32">
        <f>IFERROR(__xludf.DUMMYFUNCTION("""COMPUTED_VALUE"""),1.5245817926278713)</f>
        <v>1.524581793</v>
      </c>
      <c r="AJ97" s="32">
        <f>IFERROR(__xludf.DUMMYFUNCTION("""COMPUTED_VALUE"""),13.402126904341861)</f>
        <v>13.4021269</v>
      </c>
      <c r="AK97" s="32">
        <f>IFERROR(__xludf.DUMMYFUNCTION("""COMPUTED_VALUE"""),74.6071)</f>
        <v>74.6071</v>
      </c>
      <c r="AL97" s="32">
        <f>IFERROR(__xludf.DUMMYFUNCTION("""COMPUTED_VALUE"""),369.0851)</f>
        <v>369.0851</v>
      </c>
      <c r="AM97" s="32">
        <f>IFERROR(__xludf.DUMMYFUNCTION("""COMPUTED_VALUE"""),78.509779)</f>
        <v>78.509779</v>
      </c>
      <c r="AN97" s="32">
        <f>IFERROR(__xludf.DUMMYFUNCTION("""COMPUTED_VALUE"""),13.637704)</f>
        <v>13.637704</v>
      </c>
      <c r="AO97" s="32">
        <f>IFERROR(__xludf.DUMMYFUNCTION("""COMPUTED_VALUE"""),14.7)</f>
        <v>14.7</v>
      </c>
      <c r="AP97" s="32">
        <f>IFERROR(__xludf.DUMMYFUNCTION("""COMPUTED_VALUE"""),0.1674249317561419)</f>
        <v>0.1674249318</v>
      </c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>
      <c r="A98" s="13" t="str">
        <f>IFERROR(__xludf.DUMMYFUNCTION("""COMPUTED_VALUE"""),"SKF India Ltd.")</f>
        <v>SKF India Ltd.</v>
      </c>
      <c r="B98" s="30">
        <f>IFERROR(__xludf.DUMMYFUNCTION("""COMPUTED_VALUE"""),500472.0)</f>
        <v>500472</v>
      </c>
      <c r="C98" s="13" t="str">
        <f>IFERROR(__xludf.DUMMYFUNCTION("""COMPUTED_VALUE"""),"SKFINDIA")</f>
        <v>SKFINDIA</v>
      </c>
      <c r="D98" s="13" t="str">
        <f>IFERROR(__xludf.DUMMYFUNCTION("""COMPUTED_VALUE"""),"INE640A01023")</f>
        <v>INE640A01023</v>
      </c>
      <c r="E98" s="13" t="str">
        <f>IFERROR(__xludf.DUMMYFUNCTION("""COMPUTED_VALUE"""),"Capital Goods")</f>
        <v>Capital Goods</v>
      </c>
      <c r="F98" s="13" t="str">
        <f>IFERROR(__xludf.DUMMYFUNCTION("""COMPUTED_VALUE"""),"Ball Bearings")</f>
        <v>Ball Bearings</v>
      </c>
      <c r="G98" s="31">
        <f>IFERROR(__xludf.DUMMYFUNCTION("""COMPUTED_VALUE"""),44809.0)</f>
        <v>44809</v>
      </c>
      <c r="H98" s="32">
        <f>IFERROR(__xludf.DUMMYFUNCTION("""COMPUTED_VALUE"""),4890.2)</f>
        <v>4890.2</v>
      </c>
      <c r="I98" s="32">
        <f>IFERROR(__xludf.DUMMYFUNCTION("""COMPUTED_VALUE"""),-0.736831)</f>
        <v>-0.736831</v>
      </c>
      <c r="J98" s="32">
        <f>IFERROR(__xludf.DUMMYFUNCTION("""COMPUTED_VALUE"""),2855.35)</f>
        <v>2855.35</v>
      </c>
      <c r="K98" s="32">
        <f>IFERROR(__xludf.DUMMYFUNCTION("""COMPUTED_VALUE"""),4990.0)</f>
        <v>4990</v>
      </c>
      <c r="L98" s="32">
        <f>IFERROR(__xludf.DUMMYFUNCTION("""COMPUTED_VALUE"""),1230.0)</f>
        <v>1230</v>
      </c>
      <c r="M98" s="32">
        <f>IFERROR(__xludf.DUMMYFUNCTION("""COMPUTED_VALUE"""),4990.0)</f>
        <v>4990</v>
      </c>
      <c r="N98" s="32">
        <f>IFERROR(__xludf.DUMMYFUNCTION("""COMPUTED_VALUE"""),1230.0)</f>
        <v>1230</v>
      </c>
      <c r="O98" s="32">
        <f>IFERROR(__xludf.DUMMYFUNCTION("""COMPUTED_VALUE"""),4990.0)</f>
        <v>4990</v>
      </c>
      <c r="P98" s="32">
        <f>IFERROR(__xludf.DUMMYFUNCTION("""COMPUTED_VALUE"""),25.25)</f>
        <v>25.25</v>
      </c>
      <c r="Q98" s="32">
        <f>IFERROR(__xludf.DUMMYFUNCTION("""COMPUTED_VALUE"""),4990.0)</f>
        <v>4990</v>
      </c>
      <c r="R98" s="32">
        <f>IFERROR(__xludf.DUMMYFUNCTION("""COMPUTED_VALUE"""),24176.15266626)</f>
        <v>24176.15267</v>
      </c>
      <c r="S98" s="32">
        <f>IFERROR(__xludf.DUMMYFUNCTION("""COMPUTED_VALUE"""),23980.706161785)</f>
        <v>23980.70616</v>
      </c>
      <c r="T98" s="32">
        <f>IFERROR(__xludf.DUMMYFUNCTION("""COMPUTED_VALUE"""),3.835823)</f>
        <v>3.835823</v>
      </c>
      <c r="U98" s="32">
        <f>IFERROR(__xludf.DUMMYFUNCTION("""COMPUTED_VALUE"""),13.622528)</f>
        <v>13.622528</v>
      </c>
      <c r="V98" s="32">
        <f>IFERROR(__xludf.DUMMYFUNCTION("""COMPUTED_VALUE"""),40.72923)</f>
        <v>40.72923</v>
      </c>
      <c r="W98" s="32">
        <f>IFERROR(__xludf.DUMMYFUNCTION("""COMPUTED_VALUE"""),51.413444)</f>
        <v>51.413444</v>
      </c>
      <c r="X98" s="32">
        <f>IFERROR(__xludf.DUMMYFUNCTION("""COMPUTED_VALUE"""),37.645981)</f>
        <v>37.645981</v>
      </c>
      <c r="Y98" s="32">
        <f>IFERROR(__xludf.DUMMYFUNCTION("""COMPUTED_VALUE"""),26.2268)</f>
        <v>26.2268</v>
      </c>
      <c r="Z98" s="32">
        <f>IFERROR(__xludf.DUMMYFUNCTION("""COMPUTED_VALUE"""),23.166424)</f>
        <v>23.166424</v>
      </c>
      <c r="AA98" s="32">
        <f>IFERROR(__xludf.DUMMYFUNCTION("""COMPUTED_VALUE"""),54.4434)</f>
        <v>54.4434</v>
      </c>
      <c r="AB98" s="32">
        <f>IFERROR(__xludf.DUMMYFUNCTION("""COMPUTED_VALUE"""),33.48615)</f>
        <v>33.48615</v>
      </c>
      <c r="AC98" s="32">
        <f>IFERROR(__xludf.DUMMYFUNCTION("""COMPUTED_VALUE"""),12.0229)</f>
        <v>12.0229</v>
      </c>
      <c r="AD98" s="32">
        <f>IFERROR(__xludf.DUMMYFUNCTION("""COMPUTED_VALUE"""),5.80925)</f>
        <v>5.80925</v>
      </c>
      <c r="AE98" s="32">
        <f>IFERROR(__xludf.DUMMYFUNCTION("""COMPUTED_VALUE"""),2.755328)</f>
        <v>2.755328</v>
      </c>
      <c r="AF98" s="32">
        <f>IFERROR(__xludf.DUMMYFUNCTION("""COMPUTED_VALUE"""),5.373992)</f>
        <v>5.373992</v>
      </c>
      <c r="AG98" s="32">
        <f>IFERROR(__xludf.DUMMYFUNCTION("""COMPUTED_VALUE"""),0.2972)</f>
        <v>0.2972</v>
      </c>
      <c r="AH98" s="32">
        <f>IFERROR(__xludf.DUMMYFUNCTION("""COMPUTED_VALUE"""),36.192376)</f>
        <v>36.192376</v>
      </c>
      <c r="AI98" s="32">
        <f>IFERROR(__xludf.DUMMYFUNCTION("""COMPUTED_VALUE"""),6.003365366208935)</f>
        <v>6.003365366</v>
      </c>
      <c r="AJ98" s="32">
        <f>IFERROR(__xludf.DUMMYFUNCTION("""COMPUTED_VALUE"""),423.4743854661061)</f>
        <v>423.4743855</v>
      </c>
      <c r="AK98" s="32">
        <f>IFERROR(__xludf.DUMMYFUNCTION("""COMPUTED_VALUE"""),90.0017)</f>
        <v>90.0017</v>
      </c>
      <c r="AL98" s="32">
        <f>IFERROR(__xludf.DUMMYFUNCTION("""COMPUTED_VALUE"""),407.5548)</f>
        <v>407.5548</v>
      </c>
      <c r="AM98" s="32">
        <f>IFERROR(__xludf.DUMMYFUNCTION("""COMPUTED_VALUE"""),11.54733)</f>
        <v>11.54733</v>
      </c>
      <c r="AN98" s="32">
        <f>IFERROR(__xludf.DUMMYFUNCTION("""COMPUTED_VALUE"""),-0.163835)</f>
        <v>-0.163835</v>
      </c>
      <c r="AO98" s="32">
        <f>IFERROR(__xludf.DUMMYFUNCTION("""COMPUTED_VALUE"""),14.5)</f>
        <v>14.5</v>
      </c>
      <c r="AP98" s="32">
        <f>IFERROR(__xludf.DUMMYFUNCTION("""COMPUTED_VALUE"""),0.020000000000000035)</f>
        <v>0.02</v>
      </c>
      <c r="AQ98" s="13"/>
      <c r="AR98" s="13"/>
      <c r="AS98" s="13"/>
      <c r="AT98" s="13"/>
      <c r="AU98" s="13"/>
      <c r="AV98" s="13"/>
      <c r="AW98" s="13"/>
      <c r="AX98" s="13"/>
      <c r="AY98" s="13"/>
      <c r="AZ98" s="13"/>
    </row>
    <row r="99">
      <c r="A99" s="13" t="str">
        <f>IFERROR(__xludf.DUMMYFUNCTION("""COMPUTED_VALUE"""),"Oil India Ltd.")</f>
        <v>Oil India Ltd.</v>
      </c>
      <c r="B99" s="30">
        <f>IFERROR(__xludf.DUMMYFUNCTION("""COMPUTED_VALUE"""),533106.0)</f>
        <v>533106</v>
      </c>
      <c r="C99" s="13" t="str">
        <f>IFERROR(__xludf.DUMMYFUNCTION("""COMPUTED_VALUE"""),"OIL")</f>
        <v>OIL</v>
      </c>
      <c r="D99" s="13" t="str">
        <f>IFERROR(__xludf.DUMMYFUNCTION("""COMPUTED_VALUE"""),"INE274J01014")</f>
        <v>INE274J01014</v>
      </c>
      <c r="E99" s="13" t="str">
        <f>IFERROR(__xludf.DUMMYFUNCTION("""COMPUTED_VALUE"""),"Energy")</f>
        <v>Energy</v>
      </c>
      <c r="F99" s="13" t="str">
        <f>IFERROR(__xludf.DUMMYFUNCTION("""COMPUTED_VALUE"""),"Oil &amp; Gas Exploration")</f>
        <v>Oil &amp; Gas Exploration</v>
      </c>
      <c r="G99" s="31">
        <f>IFERROR(__xludf.DUMMYFUNCTION("""COMPUTED_VALUE"""),44809.0)</f>
        <v>44809</v>
      </c>
      <c r="H99" s="32">
        <f>IFERROR(__xludf.DUMMYFUNCTION("""COMPUTED_VALUE"""),193.45)</f>
        <v>193.45</v>
      </c>
      <c r="I99" s="32">
        <f>IFERROR(__xludf.DUMMYFUNCTION("""COMPUTED_VALUE"""),1.415465)</f>
        <v>1.415465</v>
      </c>
      <c r="J99" s="32">
        <f>IFERROR(__xludf.DUMMYFUNCTION("""COMPUTED_VALUE"""),169.6)</f>
        <v>169.6</v>
      </c>
      <c r="K99" s="32">
        <f>IFERROR(__xludf.DUMMYFUNCTION("""COMPUTED_VALUE"""),306.0)</f>
        <v>306</v>
      </c>
      <c r="L99" s="32">
        <f>IFERROR(__xludf.DUMMYFUNCTION("""COMPUTED_VALUE"""),63.5)</f>
        <v>63.5</v>
      </c>
      <c r="M99" s="32">
        <f>IFERROR(__xludf.DUMMYFUNCTION("""COMPUTED_VALUE"""),306.0)</f>
        <v>306</v>
      </c>
      <c r="N99" s="32">
        <f>IFERROR(__xludf.DUMMYFUNCTION("""COMPUTED_VALUE"""),63.5)</f>
        <v>63.5</v>
      </c>
      <c r="O99" s="32">
        <f>IFERROR(__xludf.DUMMYFUNCTION("""COMPUTED_VALUE"""),306.0)</f>
        <v>306</v>
      </c>
      <c r="P99" s="32">
        <f>IFERROR(__xludf.DUMMYFUNCTION("""COMPUTED_VALUE"""),63.5)</f>
        <v>63.5</v>
      </c>
      <c r="Q99" s="32">
        <f>IFERROR(__xludf.DUMMYFUNCTION("""COMPUTED_VALUE"""),334.975)</f>
        <v>334.975</v>
      </c>
      <c r="R99" s="32">
        <f>IFERROR(__xludf.DUMMYFUNCTION("""COMPUTED_VALUE"""),20961.55240002)</f>
        <v>20961.5524</v>
      </c>
      <c r="S99" s="32">
        <f>IFERROR(__xludf.DUMMYFUNCTION("""COMPUTED_VALUE"""),34992.30907555)</f>
        <v>34992.30908</v>
      </c>
      <c r="T99" s="32">
        <f>IFERROR(__xludf.DUMMYFUNCTION("""COMPUTED_VALUE"""),1.150327)</f>
        <v>1.150327</v>
      </c>
      <c r="U99" s="32">
        <f>IFERROR(__xludf.DUMMYFUNCTION("""COMPUTED_VALUE"""),2.92631)</f>
        <v>2.92631</v>
      </c>
      <c r="V99" s="32">
        <f>IFERROR(__xludf.DUMMYFUNCTION("""COMPUTED_VALUE"""),-22.912931)</f>
        <v>-22.912931</v>
      </c>
      <c r="W99" s="32">
        <f>IFERROR(__xludf.DUMMYFUNCTION("""COMPUTED_VALUE"""),7.531962)</f>
        <v>7.531962</v>
      </c>
      <c r="X99" s="32">
        <f>IFERROR(__xludf.DUMMYFUNCTION("""COMPUTED_VALUE"""),9.498003)</f>
        <v>9.498003</v>
      </c>
      <c r="Y99" s="32">
        <f>IFERROR(__xludf.DUMMYFUNCTION("""COMPUTED_VALUE"""),-1.214081)</f>
        <v>-1.214081</v>
      </c>
      <c r="Z99" s="32">
        <f>IFERROR(__xludf.DUMMYFUNCTION("""COMPUTED_VALUE"""),-2.318746)</f>
        <v>-2.318746</v>
      </c>
      <c r="AA99" s="32">
        <f>IFERROR(__xludf.DUMMYFUNCTION("""COMPUTED_VALUE"""),2.8433)</f>
        <v>2.8433</v>
      </c>
      <c r="AB99" s="32">
        <f>IFERROR(__xludf.DUMMYFUNCTION("""COMPUTED_VALUE"""),5.6864)</f>
        <v>5.6864</v>
      </c>
      <c r="AC99" s="32">
        <f>IFERROR(__xludf.DUMMYFUNCTION("""COMPUTED_VALUE"""),0.622)</f>
        <v>0.622</v>
      </c>
      <c r="AD99" s="32">
        <f>IFERROR(__xludf.DUMMYFUNCTION("""COMPUTED_VALUE"""),0.6818)</f>
        <v>0.6818</v>
      </c>
      <c r="AE99" s="32">
        <f>IFERROR(__xludf.DUMMYFUNCTION("""COMPUTED_VALUE"""),38.824478)</f>
        <v>38.824478</v>
      </c>
      <c r="AF99" s="32">
        <f>IFERROR(__xludf.DUMMYFUNCTION("""COMPUTED_VALUE"""),0.064814)</f>
        <v>0.064814</v>
      </c>
      <c r="AG99" s="32">
        <f>IFERROR(__xludf.DUMMYFUNCTION("""COMPUTED_VALUE"""),7.372)</f>
        <v>7.372</v>
      </c>
      <c r="AH99" s="32">
        <f>IFERROR(__xludf.DUMMYFUNCTION("""COMPUTED_VALUE"""),2.435647)</f>
        <v>2.435647</v>
      </c>
      <c r="AI99" s="32">
        <f>IFERROR(__xludf.DUMMYFUNCTION("""COMPUTED_VALUE"""),0.5925317805030211)</f>
        <v>0.5925317805</v>
      </c>
      <c r="AJ99" s="32">
        <f>IFERROR(__xludf.DUMMYFUNCTION("""COMPUTED_VALUE"""),2.2516133827899676)</f>
        <v>2.251613383</v>
      </c>
      <c r="AK99" s="32">
        <f>IFERROR(__xludf.DUMMYFUNCTION("""COMPUTED_VALUE"""),67.9845)</f>
        <v>67.9845</v>
      </c>
      <c r="AL99" s="32">
        <f>IFERROR(__xludf.DUMMYFUNCTION("""COMPUTED_VALUE"""),310.7955)</f>
        <v>310.7955</v>
      </c>
      <c r="AM99" s="32">
        <f>IFERROR(__xludf.DUMMYFUNCTION("""COMPUTED_VALUE"""),85.849171)</f>
        <v>85.849171</v>
      </c>
      <c r="AN99" s="32">
        <f>IFERROR(__xludf.DUMMYFUNCTION("""COMPUTED_VALUE"""),45.239623)</f>
        <v>45.239623</v>
      </c>
      <c r="AO99" s="32">
        <f>IFERROR(__xludf.DUMMYFUNCTION("""COMPUTED_VALUE"""),14.25)</f>
        <v>14.25</v>
      </c>
      <c r="AP99" s="32">
        <f>IFERROR(__xludf.DUMMYFUNCTION("""COMPUTED_VALUE"""),0.3678104575163399)</f>
        <v>0.3678104575</v>
      </c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>
      <c r="A100" s="13" t="str">
        <f>IFERROR(__xludf.DUMMYFUNCTION("""COMPUTED_VALUE"""),"Alembic Pharmaceuticals Ltd.")</f>
        <v>Alembic Pharmaceuticals Ltd.</v>
      </c>
      <c r="B100" s="30">
        <f>IFERROR(__xludf.DUMMYFUNCTION("""COMPUTED_VALUE"""),533573.0)</f>
        <v>533573</v>
      </c>
      <c r="C100" s="13" t="str">
        <f>IFERROR(__xludf.DUMMYFUNCTION("""COMPUTED_VALUE"""),"APLLTD")</f>
        <v>APLLTD</v>
      </c>
      <c r="D100" s="13" t="str">
        <f>IFERROR(__xludf.DUMMYFUNCTION("""COMPUTED_VALUE"""),"INE901L01018")</f>
        <v>INE901L01018</v>
      </c>
      <c r="E100" s="13" t="str">
        <f>IFERROR(__xludf.DUMMYFUNCTION("""COMPUTED_VALUE"""),"Healthcare")</f>
        <v>Healthcare</v>
      </c>
      <c r="F100" s="13" t="str">
        <f>IFERROR(__xludf.DUMMYFUNCTION("""COMPUTED_VALUE"""),"Drugs &amp; Pharma")</f>
        <v>Drugs &amp; Pharma</v>
      </c>
      <c r="G100" s="31">
        <f>IFERROR(__xludf.DUMMYFUNCTION("""COMPUTED_VALUE"""),44809.0)</f>
        <v>44809</v>
      </c>
      <c r="H100" s="32">
        <f>IFERROR(__xludf.DUMMYFUNCTION("""COMPUTED_VALUE"""),640.0)</f>
        <v>640</v>
      </c>
      <c r="I100" s="32">
        <f>IFERROR(__xludf.DUMMYFUNCTION("""COMPUTED_VALUE"""),-0.605684)</f>
        <v>-0.605684</v>
      </c>
      <c r="J100" s="32">
        <f>IFERROR(__xludf.DUMMYFUNCTION("""COMPUTED_VALUE"""),635.2)</f>
        <v>635.2</v>
      </c>
      <c r="K100" s="32">
        <f>IFERROR(__xludf.DUMMYFUNCTION("""COMPUTED_VALUE"""),864.05)</f>
        <v>864.05</v>
      </c>
      <c r="L100" s="32">
        <f>IFERROR(__xludf.DUMMYFUNCTION("""COMPUTED_VALUE"""),434.8)</f>
        <v>434.8</v>
      </c>
      <c r="M100" s="32">
        <f>IFERROR(__xludf.DUMMYFUNCTION("""COMPUTED_VALUE"""),1150.0)</f>
        <v>1150</v>
      </c>
      <c r="N100" s="32">
        <f>IFERROR(__xludf.DUMMYFUNCTION("""COMPUTED_VALUE"""),412.4)</f>
        <v>412.4</v>
      </c>
      <c r="O100" s="32">
        <f>IFERROR(__xludf.DUMMYFUNCTION("""COMPUTED_VALUE"""),1150.0)</f>
        <v>1150</v>
      </c>
      <c r="P100" s="32">
        <f>IFERROR(__xludf.DUMMYFUNCTION("""COMPUTED_VALUE"""),31.0)</f>
        <v>31</v>
      </c>
      <c r="Q100" s="32">
        <f>IFERROR(__xludf.DUMMYFUNCTION("""COMPUTED_VALUE"""),1150.0)</f>
        <v>1150</v>
      </c>
      <c r="R100" s="32">
        <f>IFERROR(__xludf.DUMMYFUNCTION("""COMPUTED_VALUE"""),12591.83372344)</f>
        <v>12591.83372</v>
      </c>
      <c r="S100" s="32">
        <f>IFERROR(__xludf.DUMMYFUNCTION("""COMPUTED_VALUE"""),12860.7311075)</f>
        <v>12860.73111</v>
      </c>
      <c r="T100" s="32">
        <f>IFERROR(__xludf.DUMMYFUNCTION("""COMPUTED_VALUE"""),-1.689708)</f>
        <v>-1.689708</v>
      </c>
      <c r="U100" s="32">
        <f>IFERROR(__xludf.DUMMYFUNCTION("""COMPUTED_VALUE"""),-8.955118)</f>
        <v>-8.955118</v>
      </c>
      <c r="V100" s="32">
        <f>IFERROR(__xludf.DUMMYFUNCTION("""COMPUTED_VALUE"""),-12.436722)</f>
        <v>-12.436722</v>
      </c>
      <c r="W100" s="32">
        <f>IFERROR(__xludf.DUMMYFUNCTION("""COMPUTED_VALUE"""),-17.392707)</f>
        <v>-17.392707</v>
      </c>
      <c r="X100" s="32">
        <f>IFERROR(__xludf.DUMMYFUNCTION("""COMPUTED_VALUE"""),9.062374)</f>
        <v>9.062374</v>
      </c>
      <c r="Y100" s="32">
        <f>IFERROR(__xludf.DUMMYFUNCTION("""COMPUTED_VALUE"""),4.519083)</f>
        <v>4.519083</v>
      </c>
      <c r="Z100" s="32">
        <f>IFERROR(__xludf.DUMMYFUNCTION("""COMPUTED_VALUE"""),24.094791)</f>
        <v>24.094791</v>
      </c>
      <c r="AA100" s="32">
        <f>IFERROR(__xludf.DUMMYFUNCTION("""COMPUTED_VALUE"""),39.936)</f>
        <v>39.936</v>
      </c>
      <c r="AB100" s="32">
        <f>IFERROR(__xludf.DUMMYFUNCTION("""COMPUTED_VALUE"""),18.4918)</f>
        <v>18.4918</v>
      </c>
      <c r="AC100" s="32">
        <f>IFERROR(__xludf.DUMMYFUNCTION("""COMPUTED_VALUE"""),2.4314)</f>
        <v>2.4314</v>
      </c>
      <c r="AD100" s="32">
        <f>IFERROR(__xludf.DUMMYFUNCTION("""COMPUTED_VALUE"""),3.8447)</f>
        <v>3.8447</v>
      </c>
      <c r="AE100" s="32">
        <f>IFERROR(__xludf.DUMMYFUNCTION("""COMPUTED_VALUE"""),3.255692)</f>
        <v>3.255692</v>
      </c>
      <c r="AF100" s="32">
        <f>IFERROR(__xludf.DUMMYFUNCTION("""COMPUTED_VALUE"""),-11.79666)</f>
        <v>-11.79666</v>
      </c>
      <c r="AG100" s="32">
        <f>IFERROR(__xludf.DUMMYFUNCTION("""COMPUTED_VALUE"""),1.5624)</f>
        <v>1.5624</v>
      </c>
      <c r="AH100" s="32">
        <f>IFERROR(__xludf.DUMMYFUNCTION("""COMPUTED_VALUE"""),18.306569)</f>
        <v>18.306569</v>
      </c>
      <c r="AI100" s="32">
        <f>IFERROR(__xludf.DUMMYFUNCTION("""COMPUTED_VALUE"""),2.4021506941070987)</f>
        <v>2.402150694</v>
      </c>
      <c r="AJ100" s="32">
        <f>IFERROR(__xludf.DUMMYFUNCTION("""COMPUTED_VALUE"""),8.60462335377004)</f>
        <v>8.604623354</v>
      </c>
      <c r="AK100" s="32">
        <f>IFERROR(__xludf.DUMMYFUNCTION("""COMPUTED_VALUE"""),16.0406)</f>
        <v>16.0406</v>
      </c>
      <c r="AL100" s="32">
        <f>IFERROR(__xludf.DUMMYFUNCTION("""COMPUTED_VALUE"""),263.4717)</f>
        <v>263.4717</v>
      </c>
      <c r="AM100" s="32">
        <f>IFERROR(__xludf.DUMMYFUNCTION("""COMPUTED_VALUE"""),74.45332)</f>
        <v>74.45332</v>
      </c>
      <c r="AN100" s="32">
        <f>IFERROR(__xludf.DUMMYFUNCTION("""COMPUTED_VALUE"""),44.683795)</f>
        <v>44.683795</v>
      </c>
      <c r="AO100" s="32">
        <f>IFERROR(__xludf.DUMMYFUNCTION("""COMPUTED_VALUE"""),14.0)</f>
        <v>14</v>
      </c>
      <c r="AP100" s="32">
        <f>IFERROR(__xludf.DUMMYFUNCTION("""COMPUTED_VALUE"""),0.25930212371969213)</f>
        <v>0.2593021237</v>
      </c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>
      <c r="A101" s="13" t="str">
        <f>IFERROR(__xludf.DUMMYFUNCTION("""COMPUTED_VALUE"""),"Dhanuka Agritech Ltd.")</f>
        <v>Dhanuka Agritech Ltd.</v>
      </c>
      <c r="B101" s="30">
        <f>IFERROR(__xludf.DUMMYFUNCTION("""COMPUTED_VALUE"""),507717.0)</f>
        <v>507717</v>
      </c>
      <c r="C101" s="13" t="str">
        <f>IFERROR(__xludf.DUMMYFUNCTION("""COMPUTED_VALUE"""),"DHANUKA")</f>
        <v>DHANUKA</v>
      </c>
      <c r="D101" s="13" t="str">
        <f>IFERROR(__xludf.DUMMYFUNCTION("""COMPUTED_VALUE"""),"INE435G01025")</f>
        <v>INE435G01025</v>
      </c>
      <c r="E101" s="13" t="str">
        <f>IFERROR(__xludf.DUMMYFUNCTION("""COMPUTED_VALUE"""),"Chemicals")</f>
        <v>Chemicals</v>
      </c>
      <c r="F101" s="13" t="str">
        <f>IFERROR(__xludf.DUMMYFUNCTION("""COMPUTED_VALUE"""),"Pesticides")</f>
        <v>Pesticides</v>
      </c>
      <c r="G101" s="31">
        <f>IFERROR(__xludf.DUMMYFUNCTION("""COMPUTED_VALUE"""),44809.0)</f>
        <v>44809</v>
      </c>
      <c r="H101" s="32">
        <f>IFERROR(__xludf.DUMMYFUNCTION("""COMPUTED_VALUE"""),740.55)</f>
        <v>740.55</v>
      </c>
      <c r="I101" s="32">
        <f>IFERROR(__xludf.DUMMYFUNCTION("""COMPUTED_VALUE"""),3.004381)</f>
        <v>3.004381</v>
      </c>
      <c r="J101" s="32">
        <f>IFERROR(__xludf.DUMMYFUNCTION("""COMPUTED_VALUE"""),662.75)</f>
        <v>662.75</v>
      </c>
      <c r="K101" s="32">
        <f>IFERROR(__xludf.DUMMYFUNCTION("""COMPUTED_VALUE"""),860.0)</f>
        <v>860</v>
      </c>
      <c r="L101" s="32">
        <f>IFERROR(__xludf.DUMMYFUNCTION("""COMPUTED_VALUE"""),261.0)</f>
        <v>261</v>
      </c>
      <c r="M101" s="32">
        <f>IFERROR(__xludf.DUMMYFUNCTION("""COMPUTED_VALUE"""),1053.9)</f>
        <v>1053.9</v>
      </c>
      <c r="N101" s="32">
        <f>IFERROR(__xludf.DUMMYFUNCTION("""COMPUTED_VALUE"""),261.0)</f>
        <v>261</v>
      </c>
      <c r="O101" s="32">
        <f>IFERROR(__xludf.DUMMYFUNCTION("""COMPUTED_VALUE"""),1053.9)</f>
        <v>1053.9</v>
      </c>
      <c r="P101" s="32">
        <f>IFERROR(__xludf.DUMMYFUNCTION("""COMPUTED_VALUE"""),1.2)</f>
        <v>1.2</v>
      </c>
      <c r="Q101" s="32">
        <f>IFERROR(__xludf.DUMMYFUNCTION("""COMPUTED_VALUE"""),1053.9)</f>
        <v>1053.9</v>
      </c>
      <c r="R101" s="32">
        <f>IFERROR(__xludf.DUMMYFUNCTION("""COMPUTED_VALUE"""),3449.35778382)</f>
        <v>3449.357784</v>
      </c>
      <c r="S101" s="32">
        <f>IFERROR(__xludf.DUMMYFUNCTION("""COMPUTED_VALUE"""),3159.82909392)</f>
        <v>3159.829094</v>
      </c>
      <c r="T101" s="32">
        <f>IFERROR(__xludf.DUMMYFUNCTION("""COMPUTED_VALUE"""),4.251425)</f>
        <v>4.251425</v>
      </c>
      <c r="U101" s="32">
        <f>IFERROR(__xludf.DUMMYFUNCTION("""COMPUTED_VALUE"""),7.046834)</f>
        <v>7.046834</v>
      </c>
      <c r="V101" s="32">
        <f>IFERROR(__xludf.DUMMYFUNCTION("""COMPUTED_VALUE"""),5.371372)</f>
        <v>5.371372</v>
      </c>
      <c r="W101" s="32">
        <f>IFERROR(__xludf.DUMMYFUNCTION("""COMPUTED_VALUE"""),-9.799026)</f>
        <v>-9.799026</v>
      </c>
      <c r="X101" s="32">
        <f>IFERROR(__xludf.DUMMYFUNCTION("""COMPUTED_VALUE"""),33.550204)</f>
        <v>33.550204</v>
      </c>
      <c r="Y101" s="32">
        <f>IFERROR(__xludf.DUMMYFUNCTION("""COMPUTED_VALUE"""),1.687765)</f>
        <v>1.687765</v>
      </c>
      <c r="Z101" s="32">
        <f>IFERROR(__xludf.DUMMYFUNCTION("""COMPUTED_VALUE"""),23.461397)</f>
        <v>23.461397</v>
      </c>
      <c r="AA101" s="32">
        <f>IFERROR(__xludf.DUMMYFUNCTION("""COMPUTED_VALUE"""),16.4211)</f>
        <v>16.4211</v>
      </c>
      <c r="AB101" s="32">
        <f>IFERROR(__xludf.DUMMYFUNCTION("""COMPUTED_VALUE"""),17.58775)</f>
        <v>17.58775</v>
      </c>
      <c r="AC101" s="32">
        <f>IFERROR(__xludf.DUMMYFUNCTION("""COMPUTED_VALUE"""),3.4062)</f>
        <v>3.4062</v>
      </c>
      <c r="AD101" s="32">
        <f>IFERROR(__xludf.DUMMYFUNCTION("""COMPUTED_VALUE"""),3.85635)</f>
        <v>3.85635</v>
      </c>
      <c r="AE101" s="32">
        <f>IFERROR(__xludf.DUMMYFUNCTION("""COMPUTED_VALUE"""),9.932219)</f>
        <v>9.932219</v>
      </c>
      <c r="AF101" s="32">
        <f>IFERROR(__xludf.DUMMYFUNCTION("""COMPUTED_VALUE"""),1.443106)</f>
        <v>1.443106</v>
      </c>
      <c r="AG101" s="32">
        <f>IFERROR(__xludf.DUMMYFUNCTION("""COMPUTED_VALUE"""),1.8906)</f>
        <v>1.8906</v>
      </c>
      <c r="AH101" s="32">
        <f>IFERROR(__xludf.DUMMYFUNCTION("""COMPUTED_VALUE"""),10.655623)</f>
        <v>10.655623</v>
      </c>
      <c r="AI101" s="32">
        <f>IFERROR(__xludf.DUMMYFUNCTION("""COMPUTED_VALUE"""),2.289323318490889)</f>
        <v>2.289323318</v>
      </c>
      <c r="AJ101" s="32">
        <f>IFERROR(__xludf.DUMMYFUNCTION("""COMPUTED_VALUE"""),33.08028866554205)</f>
        <v>33.08028867</v>
      </c>
      <c r="AK101" s="32">
        <f>IFERROR(__xludf.DUMMYFUNCTION("""COMPUTED_VALUE"""),44.9574)</f>
        <v>44.9574</v>
      </c>
      <c r="AL101" s="32">
        <f>IFERROR(__xludf.DUMMYFUNCTION("""COMPUTED_VALUE"""),216.7372)</f>
        <v>216.7372</v>
      </c>
      <c r="AM101" s="32">
        <f>IFERROR(__xludf.DUMMYFUNCTION("""COMPUTED_VALUE"""),22.386359)</f>
        <v>22.386359</v>
      </c>
      <c r="AN101" s="32">
        <f>IFERROR(__xludf.DUMMYFUNCTION("""COMPUTED_VALUE"""),13.655549)</f>
        <v>13.655549</v>
      </c>
      <c r="AO101" s="32">
        <f>IFERROR(__xludf.DUMMYFUNCTION("""COMPUTED_VALUE"""),14.0)</f>
        <v>14</v>
      </c>
      <c r="AP101" s="32">
        <f>IFERROR(__xludf.DUMMYFUNCTION("""COMPUTED_VALUE"""),0.13889534883720936)</f>
        <v>0.1388953488</v>
      </c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>
      <c r="A102" s="13" t="str">
        <f>IFERROR(__xludf.DUMMYFUNCTION("""COMPUTED_VALUE"""),"Hindustan Petroleum Corporation Ltd.")</f>
        <v>Hindustan Petroleum Corporation Ltd.</v>
      </c>
      <c r="B102" s="30">
        <f>IFERROR(__xludf.DUMMYFUNCTION("""COMPUTED_VALUE"""),500104.0)</f>
        <v>500104</v>
      </c>
      <c r="C102" s="13" t="str">
        <f>IFERROR(__xludf.DUMMYFUNCTION("""COMPUTED_VALUE"""),"HINDPETRO")</f>
        <v>HINDPETRO</v>
      </c>
      <c r="D102" s="13" t="str">
        <f>IFERROR(__xludf.DUMMYFUNCTION("""COMPUTED_VALUE"""),"INE094A01015")</f>
        <v>INE094A01015</v>
      </c>
      <c r="E102" s="13" t="str">
        <f>IFERROR(__xludf.DUMMYFUNCTION("""COMPUTED_VALUE"""),"Energy")</f>
        <v>Energy</v>
      </c>
      <c r="F102" s="13" t="str">
        <f>IFERROR(__xludf.DUMMYFUNCTION("""COMPUTED_VALUE"""),"Oil Refineries &amp; Marketing")</f>
        <v>Oil Refineries &amp; Marketing</v>
      </c>
      <c r="G102" s="31">
        <f>IFERROR(__xludf.DUMMYFUNCTION("""COMPUTED_VALUE"""),44809.0)</f>
        <v>44809</v>
      </c>
      <c r="H102" s="32">
        <f>IFERROR(__xludf.DUMMYFUNCTION("""COMPUTED_VALUE"""),238.65)</f>
        <v>238.65</v>
      </c>
      <c r="I102" s="32">
        <f>IFERROR(__xludf.DUMMYFUNCTION("""COMPUTED_VALUE"""),0.125865)</f>
        <v>0.125865</v>
      </c>
      <c r="J102" s="32">
        <f>IFERROR(__xludf.DUMMYFUNCTION("""COMPUTED_VALUE"""),206.5)</f>
        <v>206.5</v>
      </c>
      <c r="K102" s="32">
        <f>IFERROR(__xludf.DUMMYFUNCTION("""COMPUTED_VALUE"""),354.8)</f>
        <v>354.8</v>
      </c>
      <c r="L102" s="32">
        <f>IFERROR(__xludf.DUMMYFUNCTION("""COMPUTED_VALUE"""),150.0)</f>
        <v>150</v>
      </c>
      <c r="M102" s="32">
        <f>IFERROR(__xludf.DUMMYFUNCTION("""COMPUTED_VALUE"""),354.8)</f>
        <v>354.8</v>
      </c>
      <c r="N102" s="32">
        <f>IFERROR(__xludf.DUMMYFUNCTION("""COMPUTED_VALUE"""),150.0)</f>
        <v>150</v>
      </c>
      <c r="O102" s="32">
        <f>IFERROR(__xludf.DUMMYFUNCTION("""COMPUTED_VALUE"""),485.4)</f>
        <v>485.4</v>
      </c>
      <c r="P102" s="32">
        <f>IFERROR(__xludf.DUMMYFUNCTION("""COMPUTED_VALUE"""),20.988889)</f>
        <v>20.988889</v>
      </c>
      <c r="Q102" s="32">
        <f>IFERROR(__xludf.DUMMYFUNCTION("""COMPUTED_VALUE"""),493.0)</f>
        <v>493</v>
      </c>
      <c r="R102" s="32">
        <f>IFERROR(__xludf.DUMMYFUNCTION("""COMPUTED_VALUE"""),33853.656253425)</f>
        <v>33853.65625</v>
      </c>
      <c r="S102" s="32">
        <f>IFERROR(__xludf.DUMMYFUNCTION("""COMPUTED_VALUE"""),73139.0615779)</f>
        <v>73139.06158</v>
      </c>
      <c r="T102" s="32">
        <f>IFERROR(__xludf.DUMMYFUNCTION("""COMPUTED_VALUE"""),-1.15966)</f>
        <v>-1.15966</v>
      </c>
      <c r="U102" s="32">
        <f>IFERROR(__xludf.DUMMYFUNCTION("""COMPUTED_VALUE"""),-2.512255)</f>
        <v>-2.512255</v>
      </c>
      <c r="V102" s="32">
        <f>IFERROR(__xludf.DUMMYFUNCTION("""COMPUTED_VALUE"""),2.468871)</f>
        <v>2.468871</v>
      </c>
      <c r="W102" s="32">
        <f>IFERROR(__xludf.DUMMYFUNCTION("""COMPUTED_VALUE"""),-13.516941)</f>
        <v>-13.516941</v>
      </c>
      <c r="X102" s="32">
        <f>IFERROR(__xludf.DUMMYFUNCTION("""COMPUTED_VALUE"""),-2.464326)</f>
        <v>-2.464326</v>
      </c>
      <c r="Y102" s="32">
        <f>IFERROR(__xludf.DUMMYFUNCTION("""COMPUTED_VALUE"""),-12.915732)</f>
        <v>-12.915732</v>
      </c>
      <c r="Z102" s="32">
        <f>IFERROR(__xludf.DUMMYFUNCTION("""COMPUTED_VALUE"""),13.581009)</f>
        <v>13.581009</v>
      </c>
      <c r="AA102" s="13"/>
      <c r="AB102" s="32">
        <f>IFERROR(__xludf.DUMMYFUNCTION("""COMPUTED_VALUE"""),6.006)</f>
        <v>6.006</v>
      </c>
      <c r="AC102" s="32">
        <f>IFERROR(__xludf.DUMMYFUNCTION("""COMPUTED_VALUE"""),1.0884)</f>
        <v>1.0884</v>
      </c>
      <c r="AD102" s="32">
        <f>IFERROR(__xludf.DUMMYFUNCTION("""COMPUTED_VALUE"""),1.148)</f>
        <v>1.148</v>
      </c>
      <c r="AE102" s="32">
        <f>IFERROR(__xludf.DUMMYFUNCTION("""COMPUTED_VALUE"""),-6.521928)</f>
        <v>-6.521928</v>
      </c>
      <c r="AF102" s="13"/>
      <c r="AG102" s="32">
        <f>IFERROR(__xludf.DUMMYFUNCTION("""COMPUTED_VALUE"""),5.8651)</f>
        <v>5.8651</v>
      </c>
      <c r="AH102" s="32">
        <f>IFERROR(__xludf.DUMMYFUNCTION("""COMPUTED_VALUE"""),-24.217671)</f>
        <v>-24.217671</v>
      </c>
      <c r="AI102" s="32">
        <f>IFERROR(__xludf.DUMMYFUNCTION("""COMPUTED_VALUE"""),0.08125543210326136)</f>
        <v>0.0812554321</v>
      </c>
      <c r="AJ102" s="32">
        <f>IFERROR(__xludf.DUMMYFUNCTION("""COMPUTED_VALUE"""),2.1412500800699927)</f>
        <v>2.14125008</v>
      </c>
      <c r="AK102" s="32">
        <f>IFERROR(__xludf.DUMMYFUNCTION("""COMPUTED_VALUE"""),-23.0291)</f>
        <v>-23.0291</v>
      </c>
      <c r="AL102" s="32">
        <f>IFERROR(__xludf.DUMMYFUNCTION("""COMPUTED_VALUE"""),219.7212)</f>
        <v>219.7212</v>
      </c>
      <c r="AM102" s="32">
        <f>IFERROR(__xludf.DUMMYFUNCTION("""COMPUTED_VALUE"""),111.453456)</f>
        <v>111.453456</v>
      </c>
      <c r="AN102" s="32">
        <f>IFERROR(__xludf.DUMMYFUNCTION("""COMPUTED_VALUE"""),21.439992)</f>
        <v>21.439992</v>
      </c>
      <c r="AO102" s="32">
        <f>IFERROR(__xludf.DUMMYFUNCTION("""COMPUTED_VALUE"""),14.0)</f>
        <v>14</v>
      </c>
      <c r="AP102" s="32">
        <f>IFERROR(__xludf.DUMMYFUNCTION("""COMPUTED_VALUE"""),0.3273675310033822)</f>
        <v>0.327367531</v>
      </c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>
      <c r="A103" s="13" t="str">
        <f>IFERROR(__xludf.DUMMYFUNCTION("""COMPUTED_VALUE"""),"Polycab India Ltd.")</f>
        <v>Polycab India Ltd.</v>
      </c>
      <c r="B103" s="30">
        <f>IFERROR(__xludf.DUMMYFUNCTION("""COMPUTED_VALUE"""),542652.0)</f>
        <v>542652</v>
      </c>
      <c r="C103" s="13" t="str">
        <f>IFERROR(__xludf.DUMMYFUNCTION("""COMPUTED_VALUE"""),"POLYCAB")</f>
        <v>POLYCAB</v>
      </c>
      <c r="D103" s="13" t="str">
        <f>IFERROR(__xludf.DUMMYFUNCTION("""COMPUTED_VALUE"""),"INE455K01017")</f>
        <v>INE455K01017</v>
      </c>
      <c r="E103" s="13" t="str">
        <f>IFERROR(__xludf.DUMMYFUNCTION("""COMPUTED_VALUE"""),"Capital Goods")</f>
        <v>Capital Goods</v>
      </c>
      <c r="F103" s="13" t="str">
        <f>IFERROR(__xludf.DUMMYFUNCTION("""COMPUTED_VALUE"""),"Wires &amp; cables")</f>
        <v>Wires &amp; cables</v>
      </c>
      <c r="G103" s="31">
        <f>IFERROR(__xludf.DUMMYFUNCTION("""COMPUTED_VALUE"""),44809.0)</f>
        <v>44809</v>
      </c>
      <c r="H103" s="32">
        <f>IFERROR(__xludf.DUMMYFUNCTION("""COMPUTED_VALUE"""),2498.85)</f>
        <v>2498.85</v>
      </c>
      <c r="I103" s="32">
        <f>IFERROR(__xludf.DUMMYFUNCTION("""COMPUTED_VALUE"""),1.026906)</f>
        <v>1.026906</v>
      </c>
      <c r="J103" s="32">
        <f>IFERROR(__xludf.DUMMYFUNCTION("""COMPUTED_VALUE"""),2043.85)</f>
        <v>2043.85</v>
      </c>
      <c r="K103" s="32">
        <f>IFERROR(__xludf.DUMMYFUNCTION("""COMPUTED_VALUE"""),2820.05)</f>
        <v>2820.05</v>
      </c>
      <c r="L103" s="32">
        <f>IFERROR(__xludf.DUMMYFUNCTION("""COMPUTED_VALUE"""),570.0)</f>
        <v>570</v>
      </c>
      <c r="M103" s="32">
        <f>IFERROR(__xludf.DUMMYFUNCTION("""COMPUTED_VALUE"""),2820.05)</f>
        <v>2820.05</v>
      </c>
      <c r="N103" s="13"/>
      <c r="O103" s="13"/>
      <c r="P103" s="32">
        <f>IFERROR(__xludf.DUMMYFUNCTION("""COMPUTED_VALUE"""),525.05)</f>
        <v>525.05</v>
      </c>
      <c r="Q103" s="32">
        <f>IFERROR(__xludf.DUMMYFUNCTION("""COMPUTED_VALUE"""),2820.05)</f>
        <v>2820.05</v>
      </c>
      <c r="R103" s="32">
        <f>IFERROR(__xludf.DUMMYFUNCTION("""COMPUTED_VALUE"""),37369.25705487)</f>
        <v>37369.25705</v>
      </c>
      <c r="S103" s="32">
        <f>IFERROR(__xludf.DUMMYFUNCTION("""COMPUTED_VALUE"""),35943.04650395)</f>
        <v>35943.0465</v>
      </c>
      <c r="T103" s="32">
        <f>IFERROR(__xludf.DUMMYFUNCTION("""COMPUTED_VALUE"""),3.757759)</f>
        <v>3.757759</v>
      </c>
      <c r="U103" s="32">
        <f>IFERROR(__xludf.DUMMYFUNCTION("""COMPUTED_VALUE"""),5.225813)</f>
        <v>5.225813</v>
      </c>
      <c r="V103" s="32">
        <f>IFERROR(__xludf.DUMMYFUNCTION("""COMPUTED_VALUE"""),1.833853)</f>
        <v>1.833853</v>
      </c>
      <c r="W103" s="32">
        <f>IFERROR(__xludf.DUMMYFUNCTION("""COMPUTED_VALUE"""),11.940599)</f>
        <v>11.940599</v>
      </c>
      <c r="X103" s="32">
        <f>IFERROR(__xludf.DUMMYFUNCTION("""COMPUTED_VALUE"""),60.578589)</f>
        <v>60.578589</v>
      </c>
      <c r="Y103" s="13"/>
      <c r="Z103" s="13"/>
      <c r="AA103" s="32">
        <f>IFERROR(__xludf.DUMMYFUNCTION("""COMPUTED_VALUE"""),35.443)</f>
        <v>35.443</v>
      </c>
      <c r="AB103" s="32">
        <f>IFERROR(__xludf.DUMMYFUNCTION("""COMPUTED_VALUE"""),24.79875)</f>
        <v>24.79875</v>
      </c>
      <c r="AC103" s="32">
        <f>IFERROR(__xludf.DUMMYFUNCTION("""COMPUTED_VALUE"""),6.5187)</f>
        <v>6.5187</v>
      </c>
      <c r="AD103" s="32">
        <f>IFERROR(__xludf.DUMMYFUNCTION("""COMPUTED_VALUE"""),4.7028)</f>
        <v>4.7028</v>
      </c>
      <c r="AE103" s="32">
        <f>IFERROR(__xludf.DUMMYFUNCTION("""COMPUTED_VALUE"""),4.035914)</f>
        <v>4.035914</v>
      </c>
      <c r="AF103" s="32">
        <f>IFERROR(__xludf.DUMMYFUNCTION("""COMPUTED_VALUE"""),1.467699)</f>
        <v>1.467699</v>
      </c>
      <c r="AG103" s="32">
        <f>IFERROR(__xludf.DUMMYFUNCTION("""COMPUTED_VALUE"""),0.5606)</f>
        <v>0.5606</v>
      </c>
      <c r="AH103" s="32">
        <f>IFERROR(__xludf.DUMMYFUNCTION("""COMPUTED_VALUE"""),23.022837)</f>
        <v>23.022837</v>
      </c>
      <c r="AI103" s="32">
        <f>IFERROR(__xludf.DUMMYFUNCTION("""COMPUTED_VALUE"""),2.829425417215666)</f>
        <v>2.829425417</v>
      </c>
      <c r="AJ103" s="32">
        <f>IFERROR(__xludf.DUMMYFUNCTION("""COMPUTED_VALUE"""),73.0423252331752)</f>
        <v>73.04232523</v>
      </c>
      <c r="AK103" s="32">
        <f>IFERROR(__xludf.DUMMYFUNCTION("""COMPUTED_VALUE"""),70.4611)</f>
        <v>70.4611</v>
      </c>
      <c r="AL103" s="32">
        <f>IFERROR(__xludf.DUMMYFUNCTION("""COMPUTED_VALUE"""),383.1044)</f>
        <v>383.1044</v>
      </c>
      <c r="AM103" s="32">
        <f>IFERROR(__xludf.DUMMYFUNCTION("""COMPUTED_VALUE"""),34.234524)</f>
        <v>34.234524</v>
      </c>
      <c r="AN103" s="32">
        <f>IFERROR(__xludf.DUMMYFUNCTION("""COMPUTED_VALUE"""),2.174006)</f>
        <v>2.174006</v>
      </c>
      <c r="AO103" s="32">
        <f>IFERROR(__xludf.DUMMYFUNCTION("""COMPUTED_VALUE"""),14.0)</f>
        <v>14</v>
      </c>
      <c r="AP103" s="32">
        <f>IFERROR(__xludf.DUMMYFUNCTION("""COMPUTED_VALUE"""),0.11389868973954372)</f>
        <v>0.1138986897</v>
      </c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>
      <c r="A104" s="13" t="str">
        <f>IFERROR(__xludf.DUMMYFUNCTION("""COMPUTED_VALUE"""),"Ratnamani Metals &amp; Tubes Ltd.")</f>
        <v>Ratnamani Metals &amp; Tubes Ltd.</v>
      </c>
      <c r="B104" s="30">
        <f>IFERROR(__xludf.DUMMYFUNCTION("""COMPUTED_VALUE"""),520111.0)</f>
        <v>520111</v>
      </c>
      <c r="C104" s="13" t="str">
        <f>IFERROR(__xludf.DUMMYFUNCTION("""COMPUTED_VALUE"""),"RATNAMANI")</f>
        <v>RATNAMANI</v>
      </c>
      <c r="D104" s="13" t="str">
        <f>IFERROR(__xludf.DUMMYFUNCTION("""COMPUTED_VALUE"""),"INE703B01027")</f>
        <v>INE703B01027</v>
      </c>
      <c r="E104" s="13" t="str">
        <f>IFERROR(__xludf.DUMMYFUNCTION("""COMPUTED_VALUE"""),"Metals &amp; Mining")</f>
        <v>Metals &amp; Mining</v>
      </c>
      <c r="F104" s="13" t="str">
        <f>IFERROR(__xludf.DUMMYFUNCTION("""COMPUTED_VALUE"""),"Steel Tubes &amp; Pipes")</f>
        <v>Steel Tubes &amp; Pipes</v>
      </c>
      <c r="G104" s="31">
        <f>IFERROR(__xludf.DUMMYFUNCTION("""COMPUTED_VALUE"""),44809.0)</f>
        <v>44809</v>
      </c>
      <c r="H104" s="32">
        <f>IFERROR(__xludf.DUMMYFUNCTION("""COMPUTED_VALUE"""),1877.7)</f>
        <v>1877.7</v>
      </c>
      <c r="I104" s="32">
        <f>IFERROR(__xludf.DUMMYFUNCTION("""COMPUTED_VALUE"""),2.421862)</f>
        <v>2.421862</v>
      </c>
      <c r="J104" s="32">
        <f>IFERROR(__xludf.DUMMYFUNCTION("""COMPUTED_VALUE"""),1237.066667)</f>
        <v>1237.066667</v>
      </c>
      <c r="K104" s="32">
        <f>IFERROR(__xludf.DUMMYFUNCTION("""COMPUTED_VALUE"""),1939.0)</f>
        <v>1939</v>
      </c>
      <c r="L104" s="32">
        <f>IFERROR(__xludf.DUMMYFUNCTION("""COMPUTED_VALUE"""),477.033333)</f>
        <v>477.033333</v>
      </c>
      <c r="M104" s="32">
        <f>IFERROR(__xludf.DUMMYFUNCTION("""COMPUTED_VALUE"""),1939.0)</f>
        <v>1939</v>
      </c>
      <c r="N104" s="32">
        <f>IFERROR(__xludf.DUMMYFUNCTION("""COMPUTED_VALUE"""),477.033333)</f>
        <v>477.033333</v>
      </c>
      <c r="O104" s="32">
        <f>IFERROR(__xludf.DUMMYFUNCTION("""COMPUTED_VALUE"""),1939.0)</f>
        <v>1939</v>
      </c>
      <c r="P104" s="32">
        <f>IFERROR(__xludf.DUMMYFUNCTION("""COMPUTED_VALUE"""),0.92)</f>
        <v>0.92</v>
      </c>
      <c r="Q104" s="32">
        <f>IFERROR(__xludf.DUMMYFUNCTION("""COMPUTED_VALUE"""),1939.0)</f>
        <v>1939</v>
      </c>
      <c r="R104" s="32">
        <f>IFERROR(__xludf.DUMMYFUNCTION("""COMPUTED_VALUE"""),13161.17484)</f>
        <v>13161.17484</v>
      </c>
      <c r="S104" s="32">
        <f>IFERROR(__xludf.DUMMYFUNCTION("""COMPUTED_VALUE"""),12833.65796)</f>
        <v>12833.65796</v>
      </c>
      <c r="T104" s="32">
        <f>IFERROR(__xludf.DUMMYFUNCTION("""COMPUTED_VALUE"""),2.349286)</f>
        <v>2.349286</v>
      </c>
      <c r="U104" s="32">
        <f>IFERROR(__xludf.DUMMYFUNCTION("""COMPUTED_VALUE"""),5.539162)</f>
        <v>5.539162</v>
      </c>
      <c r="V104" s="32">
        <f>IFERROR(__xludf.DUMMYFUNCTION("""COMPUTED_VALUE"""),12.034606)</f>
        <v>12.034606</v>
      </c>
      <c r="W104" s="32">
        <f>IFERROR(__xludf.DUMMYFUNCTION("""COMPUTED_VALUE"""),32.22929)</f>
        <v>32.22929</v>
      </c>
      <c r="X104" s="32">
        <f>IFERROR(__xludf.DUMMYFUNCTION("""COMPUTED_VALUE"""),45.319246)</f>
        <v>45.319246</v>
      </c>
      <c r="Y104" s="32">
        <f>IFERROR(__xludf.DUMMYFUNCTION("""COMPUTED_VALUE"""),26.369191)</f>
        <v>26.369191</v>
      </c>
      <c r="Z104" s="32">
        <f>IFERROR(__xludf.DUMMYFUNCTION("""COMPUTED_VALUE"""),38.116085)</f>
        <v>38.116085</v>
      </c>
      <c r="AA104" s="32">
        <f>IFERROR(__xludf.DUMMYFUNCTION("""COMPUTED_VALUE"""),36.9792)</f>
        <v>36.9792</v>
      </c>
      <c r="AB104" s="32">
        <f>IFERROR(__xludf.DUMMYFUNCTION("""COMPUTED_VALUE"""),26.8032)</f>
        <v>26.8032</v>
      </c>
      <c r="AC104" s="32">
        <f>IFERROR(__xludf.DUMMYFUNCTION("""COMPUTED_VALUE"""),5.675)</f>
        <v>5.675</v>
      </c>
      <c r="AD104" s="32">
        <f>IFERROR(__xludf.DUMMYFUNCTION("""COMPUTED_VALUE"""),3.488)</f>
        <v>3.488</v>
      </c>
      <c r="AE104" s="32">
        <f>IFERROR(__xludf.DUMMYFUNCTION("""COMPUTED_VALUE"""),4.08453)</f>
        <v>4.08453</v>
      </c>
      <c r="AF104" s="32">
        <f>IFERROR(__xludf.DUMMYFUNCTION("""COMPUTED_VALUE"""),2.113139)</f>
        <v>2.113139</v>
      </c>
      <c r="AG104" s="32">
        <f>IFERROR(__xludf.DUMMYFUNCTION("""COMPUTED_VALUE"""),0.496)</f>
        <v>0.496</v>
      </c>
      <c r="AH104" s="32">
        <f>IFERROR(__xludf.DUMMYFUNCTION("""COMPUTED_VALUE"""),22.166131)</f>
        <v>22.166131</v>
      </c>
      <c r="AI104" s="32">
        <f>IFERROR(__xludf.DUMMYFUNCTION("""COMPUTED_VALUE"""),3.6664994713858885)</f>
        <v>3.666499471</v>
      </c>
      <c r="AJ104" s="32">
        <f>IFERROR(__xludf.DUMMYFUNCTION("""COMPUTED_VALUE"""),-46.50567166605124)</f>
        <v>-46.50567167</v>
      </c>
      <c r="AK104" s="32">
        <f>IFERROR(__xludf.DUMMYFUNCTION("""COMPUTED_VALUE"""),51.2301)</f>
        <v>51.2301</v>
      </c>
      <c r="AL104" s="32">
        <f>IFERROR(__xludf.DUMMYFUNCTION("""COMPUTED_VALUE"""),333.8214)</f>
        <v>333.8214</v>
      </c>
      <c r="AM104" s="32">
        <f>IFERROR(__xludf.DUMMYFUNCTION("""COMPUTED_VALUE"""),-60.563581)</f>
        <v>-60.563581</v>
      </c>
      <c r="AN104" s="32">
        <f>IFERROR(__xludf.DUMMYFUNCTION("""COMPUTED_VALUE"""),-86.900531)</f>
        <v>-86.900531</v>
      </c>
      <c r="AO104" s="32">
        <f>IFERROR(__xludf.DUMMYFUNCTION("""COMPUTED_VALUE"""),14.0)</f>
        <v>14</v>
      </c>
      <c r="AP104" s="32">
        <f>IFERROR(__xludf.DUMMYFUNCTION("""COMPUTED_VALUE"""),0.03161423414130993)</f>
        <v>0.03161423414</v>
      </c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>
      <c r="A105" s="13" t="str">
        <f>IFERROR(__xludf.DUMMYFUNCTION("""COMPUTED_VALUE"""),"Linde India Ltd.")</f>
        <v>Linde India Ltd.</v>
      </c>
      <c r="B105" s="30">
        <f>IFERROR(__xludf.DUMMYFUNCTION("""COMPUTED_VALUE"""),523457.0)</f>
        <v>523457</v>
      </c>
      <c r="C105" s="13" t="str">
        <f>IFERROR(__xludf.DUMMYFUNCTION("""COMPUTED_VALUE"""),"LINDEINDIA")</f>
        <v>LINDEINDIA</v>
      </c>
      <c r="D105" s="13" t="str">
        <f>IFERROR(__xludf.DUMMYFUNCTION("""COMPUTED_VALUE"""),"INE473A01011")</f>
        <v>INE473A01011</v>
      </c>
      <c r="E105" s="13" t="str">
        <f>IFERROR(__xludf.DUMMYFUNCTION("""COMPUTED_VALUE"""),"Chemicals")</f>
        <v>Chemicals</v>
      </c>
      <c r="F105" s="13" t="str">
        <f>IFERROR(__xludf.DUMMYFUNCTION("""COMPUTED_VALUE"""),"Indl.Gases")</f>
        <v>Indl.Gases</v>
      </c>
      <c r="G105" s="31">
        <f>IFERROR(__xludf.DUMMYFUNCTION("""COMPUTED_VALUE"""),44809.0)</f>
        <v>44809</v>
      </c>
      <c r="H105" s="32">
        <f>IFERROR(__xludf.DUMMYFUNCTION("""COMPUTED_VALUE"""),3419.6)</f>
        <v>3419.6</v>
      </c>
      <c r="I105" s="32">
        <f>IFERROR(__xludf.DUMMYFUNCTION("""COMPUTED_VALUE"""),1.038573)</f>
        <v>1.038573</v>
      </c>
      <c r="J105" s="32">
        <f>IFERROR(__xludf.DUMMYFUNCTION("""COMPUTED_VALUE"""),2258.7)</f>
        <v>2258.7</v>
      </c>
      <c r="K105" s="32">
        <f>IFERROR(__xludf.DUMMYFUNCTION("""COMPUTED_VALUE"""),4192.35)</f>
        <v>4192.35</v>
      </c>
      <c r="L105" s="32">
        <f>IFERROR(__xludf.DUMMYFUNCTION("""COMPUTED_VALUE"""),378.0)</f>
        <v>378</v>
      </c>
      <c r="M105" s="32">
        <f>IFERROR(__xludf.DUMMYFUNCTION("""COMPUTED_VALUE"""),4192.35)</f>
        <v>4192.35</v>
      </c>
      <c r="N105" s="32">
        <f>IFERROR(__xludf.DUMMYFUNCTION("""COMPUTED_VALUE"""),365.05)</f>
        <v>365.05</v>
      </c>
      <c r="O105" s="32">
        <f>IFERROR(__xludf.DUMMYFUNCTION("""COMPUTED_VALUE"""),4192.35)</f>
        <v>4192.35</v>
      </c>
      <c r="P105" s="32">
        <f>IFERROR(__xludf.DUMMYFUNCTION("""COMPUTED_VALUE"""),7.025)</f>
        <v>7.025</v>
      </c>
      <c r="Q105" s="32">
        <f>IFERROR(__xludf.DUMMYFUNCTION("""COMPUTED_VALUE"""),4192.35)</f>
        <v>4192.35</v>
      </c>
      <c r="R105" s="32">
        <f>IFERROR(__xludf.DUMMYFUNCTION("""COMPUTED_VALUE"""),29163.79289708)</f>
        <v>29163.7929</v>
      </c>
      <c r="S105" s="32">
        <f>IFERROR(__xludf.DUMMYFUNCTION("""COMPUTED_VALUE"""),27838.520795115)</f>
        <v>27838.5208</v>
      </c>
      <c r="T105" s="32">
        <f>IFERROR(__xludf.DUMMYFUNCTION("""COMPUTED_VALUE"""),2.998449)</f>
        <v>2.998449</v>
      </c>
      <c r="U105" s="32">
        <f>IFERROR(__xludf.DUMMYFUNCTION("""COMPUTED_VALUE"""),-4.270537)</f>
        <v>-4.270537</v>
      </c>
      <c r="V105" s="32">
        <f>IFERROR(__xludf.DUMMYFUNCTION("""COMPUTED_VALUE"""),12.079448)</f>
        <v>12.079448</v>
      </c>
      <c r="W105" s="32">
        <f>IFERROR(__xludf.DUMMYFUNCTION("""COMPUTED_VALUE"""),36.778529)</f>
        <v>36.778529</v>
      </c>
      <c r="X105" s="32">
        <f>IFERROR(__xludf.DUMMYFUNCTION("""COMPUTED_VALUE"""),90.261983)</f>
        <v>90.261983</v>
      </c>
      <c r="Y105" s="32">
        <f>IFERROR(__xludf.DUMMYFUNCTION("""COMPUTED_VALUE"""),52.85909)</f>
        <v>52.85909</v>
      </c>
      <c r="Z105" s="32">
        <f>IFERROR(__xludf.DUMMYFUNCTION("""COMPUTED_VALUE"""),23.416581)</f>
        <v>23.416581</v>
      </c>
      <c r="AA105" s="32">
        <f>IFERROR(__xludf.DUMMYFUNCTION("""COMPUTED_VALUE"""),78.9784)</f>
        <v>78.9784</v>
      </c>
      <c r="AB105" s="32">
        <f>IFERROR(__xludf.DUMMYFUNCTION("""COMPUTED_VALUE"""),57.31905)</f>
        <v>57.31905</v>
      </c>
      <c r="AC105" s="32">
        <f>IFERROR(__xludf.DUMMYFUNCTION("""COMPUTED_VALUE"""),10.2996)</f>
        <v>10.2996</v>
      </c>
      <c r="AD105" s="32">
        <f>IFERROR(__xludf.DUMMYFUNCTION("""COMPUTED_VALUE"""),3.3153)</f>
        <v>3.3153</v>
      </c>
      <c r="AE105" s="32">
        <f>IFERROR(__xludf.DUMMYFUNCTION("""COMPUTED_VALUE"""),1.687834)</f>
        <v>1.687834</v>
      </c>
      <c r="AF105" s="32">
        <f>IFERROR(__xludf.DUMMYFUNCTION("""COMPUTED_VALUE"""),0.674679)</f>
        <v>0.674679</v>
      </c>
      <c r="AG105" s="32">
        <f>IFERROR(__xludf.DUMMYFUNCTION("""COMPUTED_VALUE"""),0.395)</f>
        <v>0.395</v>
      </c>
      <c r="AH105" s="32">
        <f>IFERROR(__xludf.DUMMYFUNCTION("""COMPUTED_VALUE"""),46.281753)</f>
        <v>46.281753</v>
      </c>
      <c r="AI105" s="32">
        <f>IFERROR(__xludf.DUMMYFUNCTION("""COMPUTED_VALUE"""),12.82661294663222)</f>
        <v>12.82661295</v>
      </c>
      <c r="AJ105" s="32">
        <f>IFERROR(__xludf.DUMMYFUNCTION("""COMPUTED_VALUE"""),49.52433763373738)</f>
        <v>49.52433763</v>
      </c>
      <c r="AK105" s="32">
        <f>IFERROR(__xludf.DUMMYFUNCTION("""COMPUTED_VALUE"""),43.3074)</f>
        <v>43.3074</v>
      </c>
      <c r="AL105" s="32">
        <f>IFERROR(__xludf.DUMMYFUNCTION("""COMPUTED_VALUE"""),332.0872)</f>
        <v>332.0872</v>
      </c>
      <c r="AM105" s="32">
        <f>IFERROR(__xludf.DUMMYFUNCTION("""COMPUTED_VALUE"""),69.04906)</f>
        <v>69.04906</v>
      </c>
      <c r="AN105" s="32">
        <f>IFERROR(__xludf.DUMMYFUNCTION("""COMPUTED_VALUE"""),76.001126)</f>
        <v>76.001126</v>
      </c>
      <c r="AO105" s="32">
        <f>IFERROR(__xludf.DUMMYFUNCTION("""COMPUTED_VALUE"""),13.5)</f>
        <v>13.5</v>
      </c>
      <c r="AP105" s="32">
        <f>IFERROR(__xludf.DUMMYFUNCTION("""COMPUTED_VALUE"""),0.18432382792467242)</f>
        <v>0.1843238279</v>
      </c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>
      <c r="A106" s="13" t="str">
        <f>IFERROR(__xludf.DUMMYFUNCTION("""COMPUTED_VALUE"""),"Info Edge (India) Ltd.")</f>
        <v>Info Edge (India) Ltd.</v>
      </c>
      <c r="B106" s="30">
        <f>IFERROR(__xludf.DUMMYFUNCTION("""COMPUTED_VALUE"""),532777.0)</f>
        <v>532777</v>
      </c>
      <c r="C106" s="13" t="str">
        <f>IFERROR(__xludf.DUMMYFUNCTION("""COMPUTED_VALUE"""),"NAUKRI")</f>
        <v>NAUKRI</v>
      </c>
      <c r="D106" s="13" t="str">
        <f>IFERROR(__xludf.DUMMYFUNCTION("""COMPUTED_VALUE"""),"INE663F01024")</f>
        <v>INE663F01024</v>
      </c>
      <c r="E106" s="13" t="str">
        <f>IFERROR(__xludf.DUMMYFUNCTION("""COMPUTED_VALUE"""),"Services")</f>
        <v>Services</v>
      </c>
      <c r="F106" s="13" t="str">
        <f>IFERROR(__xludf.DUMMYFUNCTION("""COMPUTED_VALUE"""),"E-Commerce")</f>
        <v>E-Commerce</v>
      </c>
      <c r="G106" s="31">
        <f>IFERROR(__xludf.DUMMYFUNCTION("""COMPUTED_VALUE"""),44809.0)</f>
        <v>44809</v>
      </c>
      <c r="H106" s="32">
        <f>IFERROR(__xludf.DUMMYFUNCTION("""COMPUTED_VALUE"""),4255.45)</f>
        <v>4255.45</v>
      </c>
      <c r="I106" s="32">
        <f>IFERROR(__xludf.DUMMYFUNCTION("""COMPUTED_VALUE"""),0.072901)</f>
        <v>0.072901</v>
      </c>
      <c r="J106" s="32">
        <f>IFERROR(__xludf.DUMMYFUNCTION("""COMPUTED_VALUE"""),3313.0)</f>
        <v>3313</v>
      </c>
      <c r="K106" s="32">
        <f>IFERROR(__xludf.DUMMYFUNCTION("""COMPUTED_VALUE"""),7465.4)</f>
        <v>7465.4</v>
      </c>
      <c r="L106" s="32">
        <f>IFERROR(__xludf.DUMMYFUNCTION("""COMPUTED_VALUE"""),1580.0)</f>
        <v>1580</v>
      </c>
      <c r="M106" s="32">
        <f>IFERROR(__xludf.DUMMYFUNCTION("""COMPUTED_VALUE"""),7465.4)</f>
        <v>7465.4</v>
      </c>
      <c r="N106" s="32">
        <f>IFERROR(__xludf.DUMMYFUNCTION("""COMPUTED_VALUE"""),950.0)</f>
        <v>950</v>
      </c>
      <c r="O106" s="32">
        <f>IFERROR(__xludf.DUMMYFUNCTION("""COMPUTED_VALUE"""),7465.4)</f>
        <v>7465.4</v>
      </c>
      <c r="P106" s="32">
        <f>IFERROR(__xludf.DUMMYFUNCTION("""COMPUTED_VALUE"""),94.05)</f>
        <v>94.05</v>
      </c>
      <c r="Q106" s="32">
        <f>IFERROR(__xludf.DUMMYFUNCTION("""COMPUTED_VALUE"""),7465.4)</f>
        <v>7465.4</v>
      </c>
      <c r="R106" s="32">
        <f>IFERROR(__xludf.DUMMYFUNCTION("""COMPUTED_VALUE"""),54884.03290120001)</f>
        <v>54884.0329</v>
      </c>
      <c r="S106" s="32">
        <f>IFERROR(__xludf.DUMMYFUNCTION("""COMPUTED_VALUE"""),54022.949412)</f>
        <v>54022.94941</v>
      </c>
      <c r="T106" s="32">
        <f>IFERROR(__xludf.DUMMYFUNCTION("""COMPUTED_VALUE"""),-4.079839)</f>
        <v>-4.079839</v>
      </c>
      <c r="U106" s="32">
        <f>IFERROR(__xludf.DUMMYFUNCTION("""COMPUTED_VALUE"""),-0.061061)</f>
        <v>-0.061061</v>
      </c>
      <c r="V106" s="32">
        <f>IFERROR(__xludf.DUMMYFUNCTION("""COMPUTED_VALUE"""),11.131568)</f>
        <v>11.131568</v>
      </c>
      <c r="W106" s="32">
        <f>IFERROR(__xludf.DUMMYFUNCTION("""COMPUTED_VALUE"""),-31.187238)</f>
        <v>-31.187238</v>
      </c>
      <c r="X106" s="32">
        <f>IFERROR(__xludf.DUMMYFUNCTION("""COMPUTED_VALUE"""),26.184646)</f>
        <v>26.184646</v>
      </c>
      <c r="Y106" s="32">
        <f>IFERROR(__xludf.DUMMYFUNCTION("""COMPUTED_VALUE"""),34.877226)</f>
        <v>34.877226</v>
      </c>
      <c r="Z106" s="32">
        <f>IFERROR(__xludf.DUMMYFUNCTION("""COMPUTED_VALUE"""),28.896533)</f>
        <v>28.896533</v>
      </c>
      <c r="AA106" s="32">
        <f>IFERROR(__xludf.DUMMYFUNCTION("""COMPUTED_VALUE"""),4.2954)</f>
        <v>4.2954</v>
      </c>
      <c r="AB106" s="32">
        <f>IFERROR(__xludf.DUMMYFUNCTION("""COMPUTED_VALUE"""),75.6764)</f>
        <v>75.6764</v>
      </c>
      <c r="AC106" s="32">
        <f>IFERROR(__xludf.DUMMYFUNCTION("""COMPUTED_VALUE"""),3.1368)</f>
        <v>3.1368</v>
      </c>
      <c r="AD106" s="32">
        <f>IFERROR(__xludf.DUMMYFUNCTION("""COMPUTED_VALUE"""),10.32945)</f>
        <v>10.32945</v>
      </c>
      <c r="AE106" s="32">
        <f>IFERROR(__xludf.DUMMYFUNCTION("""COMPUTED_VALUE"""),3.337705)</f>
        <v>3.337705</v>
      </c>
      <c r="AF106" s="32">
        <f>IFERROR(__xludf.DUMMYFUNCTION("""COMPUTED_VALUE"""),0.03165)</f>
        <v>0.03165</v>
      </c>
      <c r="AG106" s="32">
        <f>IFERROR(__xludf.DUMMYFUNCTION("""COMPUTED_VALUE"""),0.3055)</f>
        <v>0.3055</v>
      </c>
      <c r="AH106" s="32">
        <f>IFERROR(__xludf.DUMMYFUNCTION("""COMPUTED_VALUE"""),47.299099)</f>
        <v>47.299099</v>
      </c>
      <c r="AI106" s="32">
        <f>IFERROR(__xludf.DUMMYFUNCTION("""COMPUTED_VALUE"""),30.43561820368739)</f>
        <v>30.4356182</v>
      </c>
      <c r="AJ106" s="32">
        <f>IFERROR(__xludf.DUMMYFUNCTION("""COMPUTED_VALUE"""),77.65692663770783)</f>
        <v>77.65692664</v>
      </c>
      <c r="AK106" s="32">
        <f>IFERROR(__xludf.DUMMYFUNCTION("""COMPUTED_VALUE"""),990.6293)</f>
        <v>990.6293</v>
      </c>
      <c r="AL106" s="32">
        <f>IFERROR(__xludf.DUMMYFUNCTION("""COMPUTED_VALUE"""),1356.5261)</f>
        <v>1356.5261</v>
      </c>
      <c r="AM106" s="32">
        <f>IFERROR(__xludf.DUMMYFUNCTION("""COMPUTED_VALUE"""),54.912397)</f>
        <v>54.912397</v>
      </c>
      <c r="AN106" s="32">
        <f>IFERROR(__xludf.DUMMYFUNCTION("""COMPUTED_VALUE"""),849.507556)</f>
        <v>849.507556</v>
      </c>
      <c r="AO106" s="32">
        <f>IFERROR(__xludf.DUMMYFUNCTION("""COMPUTED_VALUE"""),13.0)</f>
        <v>13</v>
      </c>
      <c r="AP106" s="32">
        <f>IFERROR(__xludf.DUMMYFUNCTION("""COMPUTED_VALUE"""),0.42997696037720684)</f>
        <v>0.4299769604</v>
      </c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>
      <c r="A107" s="13" t="str">
        <f>IFERROR(__xludf.DUMMYFUNCTION("""COMPUTED_VALUE"""),"Indian Oil Corporation Ltd.")</f>
        <v>Indian Oil Corporation Ltd.</v>
      </c>
      <c r="B107" s="30">
        <f>IFERROR(__xludf.DUMMYFUNCTION("""COMPUTED_VALUE"""),530965.0)</f>
        <v>530965</v>
      </c>
      <c r="C107" s="13" t="str">
        <f>IFERROR(__xludf.DUMMYFUNCTION("""COMPUTED_VALUE"""),"IOC")</f>
        <v>IOC</v>
      </c>
      <c r="D107" s="13" t="str">
        <f>IFERROR(__xludf.DUMMYFUNCTION("""COMPUTED_VALUE"""),"INE242A01010")</f>
        <v>INE242A01010</v>
      </c>
      <c r="E107" s="13" t="str">
        <f>IFERROR(__xludf.DUMMYFUNCTION("""COMPUTED_VALUE"""),"Energy")</f>
        <v>Energy</v>
      </c>
      <c r="F107" s="13" t="str">
        <f>IFERROR(__xludf.DUMMYFUNCTION("""COMPUTED_VALUE"""),"Oil Refineries &amp; Marketing")</f>
        <v>Oil Refineries &amp; Marketing</v>
      </c>
      <c r="G107" s="31">
        <f>IFERROR(__xludf.DUMMYFUNCTION("""COMPUTED_VALUE"""),44809.0)</f>
        <v>44809</v>
      </c>
      <c r="H107" s="32">
        <f>IFERROR(__xludf.DUMMYFUNCTION("""COMPUTED_VALUE"""),70.95)</f>
        <v>70.95</v>
      </c>
      <c r="I107" s="32">
        <f>IFERROR(__xludf.DUMMYFUNCTION("""COMPUTED_VALUE"""),-0.490884)</f>
        <v>-0.490884</v>
      </c>
      <c r="J107" s="32">
        <f>IFERROR(__xludf.DUMMYFUNCTION("""COMPUTED_VALUE"""),67.7)</f>
        <v>67.7</v>
      </c>
      <c r="K107" s="32">
        <f>IFERROR(__xludf.DUMMYFUNCTION("""COMPUTED_VALUE"""),94.5)</f>
        <v>94.5</v>
      </c>
      <c r="L107" s="32">
        <f>IFERROR(__xludf.DUMMYFUNCTION("""COMPUTED_VALUE"""),47.433333)</f>
        <v>47.433333</v>
      </c>
      <c r="M107" s="32">
        <f>IFERROR(__xludf.DUMMYFUNCTION("""COMPUTED_VALUE"""),104.0)</f>
        <v>104</v>
      </c>
      <c r="N107" s="32">
        <f>IFERROR(__xludf.DUMMYFUNCTION("""COMPUTED_VALUE"""),47.433333)</f>
        <v>47.433333</v>
      </c>
      <c r="O107" s="32">
        <f>IFERROR(__xludf.DUMMYFUNCTION("""COMPUTED_VALUE"""),147.333333)</f>
        <v>147.333333</v>
      </c>
      <c r="P107" s="32">
        <f>IFERROR(__xludf.DUMMYFUNCTION("""COMPUTED_VALUE"""),5.669444)</f>
        <v>5.669444</v>
      </c>
      <c r="Q107" s="32">
        <f>IFERROR(__xludf.DUMMYFUNCTION("""COMPUTED_VALUE"""),154.316667)</f>
        <v>154.316667</v>
      </c>
      <c r="R107" s="32">
        <f>IFERROR(__xludf.DUMMYFUNCTION("""COMPUTED_VALUE"""),100260.7925193)</f>
        <v>100260.7925</v>
      </c>
      <c r="S107" s="32">
        <f>IFERROR(__xludf.DUMMYFUNCTION("""COMPUTED_VALUE"""),214259.97728696)</f>
        <v>214259.9773</v>
      </c>
      <c r="T107" s="32">
        <f>IFERROR(__xludf.DUMMYFUNCTION("""COMPUTED_VALUE"""),-1.32128)</f>
        <v>-1.32128</v>
      </c>
      <c r="U107" s="32">
        <f>IFERROR(__xludf.DUMMYFUNCTION("""COMPUTED_VALUE"""),-0.351124)</f>
        <v>-0.351124</v>
      </c>
      <c r="V107" s="32">
        <f>IFERROR(__xludf.DUMMYFUNCTION("""COMPUTED_VALUE"""),-10.038039)</f>
        <v>-10.038039</v>
      </c>
      <c r="W107" s="32">
        <f>IFERROR(__xludf.DUMMYFUNCTION("""COMPUTED_VALUE"""),-5.901857)</f>
        <v>-5.901857</v>
      </c>
      <c r="X107" s="32">
        <f>IFERROR(__xludf.DUMMYFUNCTION("""COMPUTED_VALUE"""),-4.015924)</f>
        <v>-4.015924</v>
      </c>
      <c r="Y107" s="32">
        <f>IFERROR(__xludf.DUMMYFUNCTION("""COMPUTED_VALUE"""),-13.081315)</f>
        <v>-13.081315</v>
      </c>
      <c r="Z107" s="32">
        <f>IFERROR(__xludf.DUMMYFUNCTION("""COMPUTED_VALUE"""),5.72563)</f>
        <v>5.72563</v>
      </c>
      <c r="AA107" s="32">
        <f>IFERROR(__xludf.DUMMYFUNCTION("""COMPUTED_VALUE"""),5.3578)</f>
        <v>5.3578</v>
      </c>
      <c r="AB107" s="32">
        <f>IFERROR(__xludf.DUMMYFUNCTION("""COMPUTED_VALUE"""),7.5005)</f>
        <v>7.5005</v>
      </c>
      <c r="AC107" s="32">
        <f>IFERROR(__xludf.DUMMYFUNCTION("""COMPUTED_VALUE"""),0.7214)</f>
        <v>0.7214</v>
      </c>
      <c r="AD107" s="32">
        <f>IFERROR(__xludf.DUMMYFUNCTION("""COMPUTED_VALUE"""),0.94495)</f>
        <v>0.94495</v>
      </c>
      <c r="AE107" s="32">
        <f>IFERROR(__xludf.DUMMYFUNCTION("""COMPUTED_VALUE"""),16.58989)</f>
        <v>16.58989</v>
      </c>
      <c r="AF107" s="32">
        <f>IFERROR(__xludf.DUMMYFUNCTION("""COMPUTED_VALUE"""),1.217148)</f>
        <v>1.217148</v>
      </c>
      <c r="AG107" s="32">
        <f>IFERROR(__xludf.DUMMYFUNCTION("""COMPUTED_VALUE"""),11.831)</f>
        <v>11.831</v>
      </c>
      <c r="AH107" s="32">
        <f>IFERROR(__xludf.DUMMYFUNCTION("""COMPUTED_VALUE"""),4.775421)</f>
        <v>4.775421</v>
      </c>
      <c r="AI107" s="32">
        <f>IFERROR(__xludf.DUMMYFUNCTION("""COMPUTED_VALUE"""),0.11998755389604801)</f>
        <v>0.1199875539</v>
      </c>
      <c r="AJ107" s="32">
        <f>IFERROR(__xludf.DUMMYFUNCTION("""COMPUTED_VALUE"""),4.080563530050268)</f>
        <v>4.08056353</v>
      </c>
      <c r="AK107" s="32">
        <f>IFERROR(__xludf.DUMMYFUNCTION("""COMPUTED_VALUE"""),13.2518)</f>
        <v>13.2518</v>
      </c>
      <c r="AL107" s="32">
        <f>IFERROR(__xludf.DUMMYFUNCTION("""COMPUTED_VALUE"""),98.4265)</f>
        <v>98.4265</v>
      </c>
      <c r="AM107" s="32">
        <f>IFERROR(__xludf.DUMMYFUNCTION("""COMPUTED_VALUE"""),26.762033)</f>
        <v>26.762033</v>
      </c>
      <c r="AN107" s="32">
        <f>IFERROR(__xludf.DUMMYFUNCTION("""COMPUTED_VALUE"""),19.535695)</f>
        <v>19.535695</v>
      </c>
      <c r="AO107" s="32">
        <f>IFERROR(__xludf.DUMMYFUNCTION("""COMPUTED_VALUE"""),12.6)</f>
        <v>12.6</v>
      </c>
      <c r="AP107" s="32">
        <f>IFERROR(__xludf.DUMMYFUNCTION("""COMPUTED_VALUE"""),0.24920634920634918)</f>
        <v>0.2492063492</v>
      </c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>
      <c r="A108" s="13" t="str">
        <f>IFERROR(__xludf.DUMMYFUNCTION("""COMPUTED_VALUE"""),"KSB Ltd.")</f>
        <v>KSB Ltd.</v>
      </c>
      <c r="B108" s="30">
        <f>IFERROR(__xludf.DUMMYFUNCTION("""COMPUTED_VALUE"""),500249.0)</f>
        <v>500249</v>
      </c>
      <c r="C108" s="13" t="str">
        <f>IFERROR(__xludf.DUMMYFUNCTION("""COMPUTED_VALUE"""),"KSB")</f>
        <v>KSB</v>
      </c>
      <c r="D108" s="13" t="str">
        <f>IFERROR(__xludf.DUMMYFUNCTION("""COMPUTED_VALUE"""),"INE999A01015")</f>
        <v>INE999A01015</v>
      </c>
      <c r="E108" s="13" t="str">
        <f>IFERROR(__xludf.DUMMYFUNCTION("""COMPUTED_VALUE"""),"Capital Goods")</f>
        <v>Capital Goods</v>
      </c>
      <c r="F108" s="13" t="str">
        <f>IFERROR(__xludf.DUMMYFUNCTION("""COMPUTED_VALUE"""),"Pumps &amp; Compressors")</f>
        <v>Pumps &amp; Compressors</v>
      </c>
      <c r="G108" s="31">
        <f>IFERROR(__xludf.DUMMYFUNCTION("""COMPUTED_VALUE"""),44809.0)</f>
        <v>44809</v>
      </c>
      <c r="H108" s="32">
        <f>IFERROR(__xludf.DUMMYFUNCTION("""COMPUTED_VALUE"""),1942.5)</f>
        <v>1942.5</v>
      </c>
      <c r="I108" s="32">
        <f>IFERROR(__xludf.DUMMYFUNCTION("""COMPUTED_VALUE"""),-0.0823)</f>
        <v>-0.0823</v>
      </c>
      <c r="J108" s="32">
        <f>IFERROR(__xludf.DUMMYFUNCTION("""COMPUTED_VALUE"""),960.0)</f>
        <v>960</v>
      </c>
      <c r="K108" s="32">
        <f>IFERROR(__xludf.DUMMYFUNCTION("""COMPUTED_VALUE"""),1985.7)</f>
        <v>1985.7</v>
      </c>
      <c r="L108" s="32">
        <f>IFERROR(__xludf.DUMMYFUNCTION("""COMPUTED_VALUE"""),386.0)</f>
        <v>386</v>
      </c>
      <c r="M108" s="32">
        <f>IFERROR(__xludf.DUMMYFUNCTION("""COMPUTED_VALUE"""),1985.7)</f>
        <v>1985.7</v>
      </c>
      <c r="N108" s="32">
        <f>IFERROR(__xludf.DUMMYFUNCTION("""COMPUTED_VALUE"""),386.0)</f>
        <v>386</v>
      </c>
      <c r="O108" s="32">
        <f>IFERROR(__xludf.DUMMYFUNCTION("""COMPUTED_VALUE"""),1985.7)</f>
        <v>1985.7</v>
      </c>
      <c r="P108" s="32">
        <f>IFERROR(__xludf.DUMMYFUNCTION("""COMPUTED_VALUE"""),18.575)</f>
        <v>18.575</v>
      </c>
      <c r="Q108" s="32">
        <f>IFERROR(__xludf.DUMMYFUNCTION("""COMPUTED_VALUE"""),1985.7)</f>
        <v>1985.7</v>
      </c>
      <c r="R108" s="32">
        <f>IFERROR(__xludf.DUMMYFUNCTION("""COMPUTED_VALUE"""),6761.423697)</f>
        <v>6761.423697</v>
      </c>
      <c r="S108" s="32">
        <f>IFERROR(__xludf.DUMMYFUNCTION("""COMPUTED_VALUE"""),6407.58985388)</f>
        <v>6407.589854</v>
      </c>
      <c r="T108" s="32">
        <f>IFERROR(__xludf.DUMMYFUNCTION("""COMPUTED_VALUE"""),1.757511)</f>
        <v>1.757511</v>
      </c>
      <c r="U108" s="32">
        <f>IFERROR(__xludf.DUMMYFUNCTION("""COMPUTED_VALUE"""),26.382563)</f>
        <v>26.382563</v>
      </c>
      <c r="V108" s="32">
        <f>IFERROR(__xludf.DUMMYFUNCTION("""COMPUTED_VALUE"""),37.187048)</f>
        <v>37.187048</v>
      </c>
      <c r="W108" s="32">
        <f>IFERROR(__xludf.DUMMYFUNCTION("""COMPUTED_VALUE"""),60.041195)</f>
        <v>60.041195</v>
      </c>
      <c r="X108" s="32">
        <f>IFERROR(__xludf.DUMMYFUNCTION("""COMPUTED_VALUE"""),49.222418)</f>
        <v>49.222418</v>
      </c>
      <c r="Y108" s="32">
        <f>IFERROR(__xludf.DUMMYFUNCTION("""COMPUTED_VALUE"""),23.097506)</f>
        <v>23.097506</v>
      </c>
      <c r="Z108" s="32">
        <f>IFERROR(__xludf.DUMMYFUNCTION("""COMPUTED_VALUE"""),25.185757)</f>
        <v>25.185757</v>
      </c>
      <c r="AA108" s="32">
        <f>IFERROR(__xludf.DUMMYFUNCTION("""COMPUTED_VALUE"""),40.5917)</f>
        <v>40.5917</v>
      </c>
      <c r="AB108" s="32">
        <f>IFERROR(__xludf.DUMMYFUNCTION("""COMPUTED_VALUE"""),29.96885)</f>
        <v>29.96885</v>
      </c>
      <c r="AC108" s="32">
        <f>IFERROR(__xludf.DUMMYFUNCTION("""COMPUTED_VALUE"""),6.3859)</f>
        <v>6.3859</v>
      </c>
      <c r="AD108" s="32">
        <f>IFERROR(__xludf.DUMMYFUNCTION("""COMPUTED_VALUE"""),3.6271)</f>
        <v>3.6271</v>
      </c>
      <c r="AE108" s="32">
        <f>IFERROR(__xludf.DUMMYFUNCTION("""COMPUTED_VALUE"""),4.095588)</f>
        <v>4.095588</v>
      </c>
      <c r="AF108" s="32">
        <f>IFERROR(__xludf.DUMMYFUNCTION("""COMPUTED_VALUE"""),2.324848)</f>
        <v>2.324848</v>
      </c>
      <c r="AG108" s="32">
        <f>IFERROR(__xludf.DUMMYFUNCTION("""COMPUTED_VALUE"""),0.6436)</f>
        <v>0.6436</v>
      </c>
      <c r="AH108" s="32">
        <f>IFERROR(__xludf.DUMMYFUNCTION("""COMPUTED_VALUE"""),24.188712)</f>
        <v>24.188712</v>
      </c>
      <c r="AI108" s="32">
        <f>IFERROR(__xludf.DUMMYFUNCTION("""COMPUTED_VALUE"""),4.027533772337383)</f>
        <v>4.027533772</v>
      </c>
      <c r="AJ108" s="32">
        <f>IFERROR(__xludf.DUMMYFUNCTION("""COMPUTED_VALUE"""),108.20701752392536)</f>
        <v>108.2070175</v>
      </c>
      <c r="AK108" s="32">
        <f>IFERROR(__xludf.DUMMYFUNCTION("""COMPUTED_VALUE"""),47.7191)</f>
        <v>47.7191</v>
      </c>
      <c r="AL108" s="32">
        <f>IFERROR(__xludf.DUMMYFUNCTION("""COMPUTED_VALUE"""),303.3247)</f>
        <v>303.3247</v>
      </c>
      <c r="AM108" s="32">
        <f>IFERROR(__xludf.DUMMYFUNCTION("""COMPUTED_VALUE"""),17.95162)</f>
        <v>17.95162</v>
      </c>
      <c r="AN108" s="32">
        <f>IFERROR(__xludf.DUMMYFUNCTION("""COMPUTED_VALUE"""),17.522121)</f>
        <v>17.522121</v>
      </c>
      <c r="AO108" s="32">
        <f>IFERROR(__xludf.DUMMYFUNCTION("""COMPUTED_VALUE"""),12.5)</f>
        <v>12.5</v>
      </c>
      <c r="AP108" s="32">
        <f>IFERROR(__xludf.DUMMYFUNCTION("""COMPUTED_VALUE"""),0.021755552198217277)</f>
        <v>0.0217555522</v>
      </c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>
      <c r="A109" s="13" t="str">
        <f>IFERROR(__xludf.DUMMYFUNCTION("""COMPUTED_VALUE"""),"Tata Chemicals Ltd.")</f>
        <v>Tata Chemicals Ltd.</v>
      </c>
      <c r="B109" s="30">
        <f>IFERROR(__xludf.DUMMYFUNCTION("""COMPUTED_VALUE"""),500770.0)</f>
        <v>500770</v>
      </c>
      <c r="C109" s="13" t="str">
        <f>IFERROR(__xludf.DUMMYFUNCTION("""COMPUTED_VALUE"""),"TATACHEM")</f>
        <v>TATACHEM</v>
      </c>
      <c r="D109" s="13" t="str">
        <f>IFERROR(__xludf.DUMMYFUNCTION("""COMPUTED_VALUE"""),"INE092A01019")</f>
        <v>INE092A01019</v>
      </c>
      <c r="E109" s="13" t="str">
        <f>IFERROR(__xludf.DUMMYFUNCTION("""COMPUTED_VALUE"""),"Chemicals")</f>
        <v>Chemicals</v>
      </c>
      <c r="F109" s="13" t="str">
        <f>IFERROR(__xludf.DUMMYFUNCTION("""COMPUTED_VALUE"""),"Soda Ash")</f>
        <v>Soda Ash</v>
      </c>
      <c r="G109" s="31">
        <f>IFERROR(__xludf.DUMMYFUNCTION("""COMPUTED_VALUE"""),44809.0)</f>
        <v>44809</v>
      </c>
      <c r="H109" s="32">
        <f>IFERROR(__xludf.DUMMYFUNCTION("""COMPUTED_VALUE"""),1119.15)</f>
        <v>1119.15</v>
      </c>
      <c r="I109" s="32">
        <f>IFERROR(__xludf.DUMMYFUNCTION("""COMPUTED_VALUE"""),-0.058046)</f>
        <v>-0.058046</v>
      </c>
      <c r="J109" s="32">
        <f>IFERROR(__xludf.DUMMYFUNCTION("""COMPUTED_VALUE"""),773.35)</f>
        <v>773.35</v>
      </c>
      <c r="K109" s="32">
        <f>IFERROR(__xludf.DUMMYFUNCTION("""COMPUTED_VALUE"""),1182.4)</f>
        <v>1182.4</v>
      </c>
      <c r="L109" s="32">
        <f>IFERROR(__xludf.DUMMYFUNCTION("""COMPUTED_VALUE"""),197.0)</f>
        <v>197</v>
      </c>
      <c r="M109" s="32">
        <f>IFERROR(__xludf.DUMMYFUNCTION("""COMPUTED_VALUE"""),1182.4)</f>
        <v>1182.4</v>
      </c>
      <c r="N109" s="32">
        <f>IFERROR(__xludf.DUMMYFUNCTION("""COMPUTED_VALUE"""),197.0)</f>
        <v>197</v>
      </c>
      <c r="O109" s="32">
        <f>IFERROR(__xludf.DUMMYFUNCTION("""COMPUTED_VALUE"""),1182.4)</f>
        <v>1182.4</v>
      </c>
      <c r="P109" s="32">
        <f>IFERROR(__xludf.DUMMYFUNCTION("""COMPUTED_VALUE"""),31.5)</f>
        <v>31.5</v>
      </c>
      <c r="Q109" s="32">
        <f>IFERROR(__xludf.DUMMYFUNCTION("""COMPUTED_VALUE"""),1182.4)</f>
        <v>1182.4</v>
      </c>
      <c r="R109" s="32">
        <f>IFERROR(__xludf.DUMMYFUNCTION("""COMPUTED_VALUE"""),28511.04885237)</f>
        <v>28511.04885</v>
      </c>
      <c r="S109" s="32">
        <f>IFERROR(__xludf.DUMMYFUNCTION("""COMPUTED_VALUE"""),32694.79801044)</f>
        <v>32694.79801</v>
      </c>
      <c r="T109" s="32">
        <f>IFERROR(__xludf.DUMMYFUNCTION("""COMPUTED_VALUE"""),0.769854)</f>
        <v>0.769854</v>
      </c>
      <c r="U109" s="32">
        <f>IFERROR(__xludf.DUMMYFUNCTION("""COMPUTED_VALUE"""),17.706142)</f>
        <v>17.706142</v>
      </c>
      <c r="V109" s="32">
        <f>IFERROR(__xludf.DUMMYFUNCTION("""COMPUTED_VALUE"""),19.605643)</f>
        <v>19.605643</v>
      </c>
      <c r="W109" s="32">
        <f>IFERROR(__xludf.DUMMYFUNCTION("""COMPUTED_VALUE"""),33.073722)</f>
        <v>33.073722</v>
      </c>
      <c r="X109" s="32">
        <f>IFERROR(__xludf.DUMMYFUNCTION("""COMPUTED_VALUE"""),24.964012)</f>
        <v>24.964012</v>
      </c>
      <c r="Y109" s="32">
        <f>IFERROR(__xludf.DUMMYFUNCTION("""COMPUTED_VALUE"""),14.027534)</f>
        <v>14.027534</v>
      </c>
      <c r="Z109" s="32">
        <f>IFERROR(__xludf.DUMMYFUNCTION("""COMPUTED_VALUE"""),13.886721)</f>
        <v>13.886721</v>
      </c>
      <c r="AA109" s="32">
        <f>IFERROR(__xludf.DUMMYFUNCTION("""COMPUTED_VALUE"""),18.2928)</f>
        <v>18.2928</v>
      </c>
      <c r="AB109" s="32">
        <f>IFERROR(__xludf.DUMMYFUNCTION("""COMPUTED_VALUE"""),12.1008)</f>
        <v>12.1008</v>
      </c>
      <c r="AC109" s="32">
        <f>IFERROR(__xludf.DUMMYFUNCTION("""COMPUTED_VALUE"""),1.5114)</f>
        <v>1.5114</v>
      </c>
      <c r="AD109" s="32">
        <f>IFERROR(__xludf.DUMMYFUNCTION("""COMPUTED_VALUE"""),1.3343)</f>
        <v>1.3343</v>
      </c>
      <c r="AE109" s="32">
        <f>IFERROR(__xludf.DUMMYFUNCTION("""COMPUTED_VALUE"""),7.320193)</f>
        <v>7.320193</v>
      </c>
      <c r="AF109" s="32">
        <f>IFERROR(__xludf.DUMMYFUNCTION("""COMPUTED_VALUE"""),3.437815)</f>
        <v>3.437815</v>
      </c>
      <c r="AG109" s="32">
        <f>IFERROR(__xludf.DUMMYFUNCTION("""COMPUTED_VALUE"""),1.1169)</f>
        <v>1.1169</v>
      </c>
      <c r="AH109" s="32">
        <f>IFERROR(__xludf.DUMMYFUNCTION("""COMPUTED_VALUE"""),11.022861)</f>
        <v>11.022861</v>
      </c>
      <c r="AI109" s="32">
        <f>IFERROR(__xludf.DUMMYFUNCTION("""COMPUTED_VALUE"""),2.0902712378972543)</f>
        <v>2.090271238</v>
      </c>
      <c r="AJ109" s="32">
        <f>IFERROR(__xludf.DUMMYFUNCTION("""COMPUTED_VALUE"""),17.33900667893306)</f>
        <v>17.33900668</v>
      </c>
      <c r="AK109" s="32">
        <f>IFERROR(__xludf.DUMMYFUNCTION("""COMPUTED_VALUE"""),61.1824)</f>
        <v>61.1824</v>
      </c>
      <c r="AL109" s="32">
        <f>IFERROR(__xludf.DUMMYFUNCTION("""COMPUTED_VALUE"""),740.5049)</f>
        <v>740.5049</v>
      </c>
      <c r="AM109" s="32">
        <f>IFERROR(__xludf.DUMMYFUNCTION("""COMPUTED_VALUE"""),64.544277)</f>
        <v>64.544277</v>
      </c>
      <c r="AN109" s="32">
        <f>IFERROR(__xludf.DUMMYFUNCTION("""COMPUTED_VALUE"""),2.144371)</f>
        <v>2.144371</v>
      </c>
      <c r="AO109" s="32">
        <f>IFERROR(__xludf.DUMMYFUNCTION("""COMPUTED_VALUE"""),12.5)</f>
        <v>12.5</v>
      </c>
      <c r="AP109" s="32">
        <f>IFERROR(__xludf.DUMMYFUNCTION("""COMPUTED_VALUE"""),0.05349289580514208)</f>
        <v>0.05349289581</v>
      </c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>
      <c r="A110" s="13" t="str">
        <f>IFERROR(__xludf.DUMMYFUNCTION("""COMPUTED_VALUE"""),"Coromandel International Ltd.")</f>
        <v>Coromandel International Ltd.</v>
      </c>
      <c r="B110" s="30">
        <f>IFERROR(__xludf.DUMMYFUNCTION("""COMPUTED_VALUE"""),506395.0)</f>
        <v>506395</v>
      </c>
      <c r="C110" s="13" t="str">
        <f>IFERROR(__xludf.DUMMYFUNCTION("""COMPUTED_VALUE"""),"COROMANDEL")</f>
        <v>COROMANDEL</v>
      </c>
      <c r="D110" s="13" t="str">
        <f>IFERROR(__xludf.DUMMYFUNCTION("""COMPUTED_VALUE"""),"INE169A01031")</f>
        <v>INE169A01031</v>
      </c>
      <c r="E110" s="13" t="str">
        <f>IFERROR(__xludf.DUMMYFUNCTION("""COMPUTED_VALUE"""),"Chemicals")</f>
        <v>Chemicals</v>
      </c>
      <c r="F110" s="13" t="str">
        <f>IFERROR(__xludf.DUMMYFUNCTION("""COMPUTED_VALUE"""),"Other Fertilisers")</f>
        <v>Other Fertilisers</v>
      </c>
      <c r="G110" s="31">
        <f>IFERROR(__xludf.DUMMYFUNCTION("""COMPUTED_VALUE"""),44809.0)</f>
        <v>44809</v>
      </c>
      <c r="H110" s="32">
        <f>IFERROR(__xludf.DUMMYFUNCTION("""COMPUTED_VALUE"""),1032.05)</f>
        <v>1032.05</v>
      </c>
      <c r="I110" s="32">
        <f>IFERROR(__xludf.DUMMYFUNCTION("""COMPUTED_VALUE"""),-1.277023)</f>
        <v>-1.277023</v>
      </c>
      <c r="J110" s="32">
        <f>IFERROR(__xludf.DUMMYFUNCTION("""COMPUTED_VALUE"""),709.35)</f>
        <v>709.35</v>
      </c>
      <c r="K110" s="32">
        <f>IFERROR(__xludf.DUMMYFUNCTION("""COMPUTED_VALUE"""),1094.4)</f>
        <v>1094.4</v>
      </c>
      <c r="L110" s="32">
        <f>IFERROR(__xludf.DUMMYFUNCTION("""COMPUTED_VALUE"""),375.4)</f>
        <v>375.4</v>
      </c>
      <c r="M110" s="32">
        <f>IFERROR(__xludf.DUMMYFUNCTION("""COMPUTED_VALUE"""),1094.4)</f>
        <v>1094.4</v>
      </c>
      <c r="N110" s="32">
        <f>IFERROR(__xludf.DUMMYFUNCTION("""COMPUTED_VALUE"""),336.5)</f>
        <v>336.5</v>
      </c>
      <c r="O110" s="32">
        <f>IFERROR(__xludf.DUMMYFUNCTION("""COMPUTED_VALUE"""),1094.4)</f>
        <v>1094.4</v>
      </c>
      <c r="P110" s="32">
        <f>IFERROR(__xludf.DUMMYFUNCTION("""COMPUTED_VALUE"""),3.7)</f>
        <v>3.7</v>
      </c>
      <c r="Q110" s="32">
        <f>IFERROR(__xludf.DUMMYFUNCTION("""COMPUTED_VALUE"""),1094.4)</f>
        <v>1094.4</v>
      </c>
      <c r="R110" s="32">
        <f>IFERROR(__xludf.DUMMYFUNCTION("""COMPUTED_VALUE"""),30325.260680745)</f>
        <v>30325.26068</v>
      </c>
      <c r="S110" s="32">
        <f>IFERROR(__xludf.DUMMYFUNCTION("""COMPUTED_VALUE"""),28970.16736184)</f>
        <v>28970.16736</v>
      </c>
      <c r="T110" s="32">
        <f>IFERROR(__xludf.DUMMYFUNCTION("""COMPUTED_VALUE"""),-0.683251)</f>
        <v>-0.683251</v>
      </c>
      <c r="U110" s="32">
        <f>IFERROR(__xludf.DUMMYFUNCTION("""COMPUTED_VALUE"""),-0.611518)</f>
        <v>-0.611518</v>
      </c>
      <c r="V110" s="32">
        <f>IFERROR(__xludf.DUMMYFUNCTION("""COMPUTED_VALUE"""),9.113496)</f>
        <v>9.113496</v>
      </c>
      <c r="W110" s="32">
        <f>IFERROR(__xludf.DUMMYFUNCTION("""COMPUTED_VALUE"""),29.127307)</f>
        <v>29.127307</v>
      </c>
      <c r="X110" s="32">
        <f>IFERROR(__xludf.DUMMYFUNCTION("""COMPUTED_VALUE"""),39.520829)</f>
        <v>39.520829</v>
      </c>
      <c r="Y110" s="32">
        <f>IFERROR(__xludf.DUMMYFUNCTION("""COMPUTED_VALUE"""),19.184101)</f>
        <v>19.184101</v>
      </c>
      <c r="Z110" s="32">
        <f>IFERROR(__xludf.DUMMYFUNCTION("""COMPUTED_VALUE"""),13.410608)</f>
        <v>13.410608</v>
      </c>
      <c r="AA110" s="32">
        <f>IFERROR(__xludf.DUMMYFUNCTION("""COMPUTED_VALUE"""),18.0447)</f>
        <v>18.0447</v>
      </c>
      <c r="AB110" s="32">
        <f>IFERROR(__xludf.DUMMYFUNCTION("""COMPUTED_VALUE"""),17.70875)</f>
        <v>17.70875</v>
      </c>
      <c r="AC110" s="32">
        <f>IFERROR(__xludf.DUMMYFUNCTION("""COMPUTED_VALUE"""),4.4554)</f>
        <v>4.4554</v>
      </c>
      <c r="AD110" s="32">
        <f>IFERROR(__xludf.DUMMYFUNCTION("""COMPUTED_VALUE"""),4.2189)</f>
        <v>4.2189</v>
      </c>
      <c r="AE110" s="32">
        <f>IFERROR(__xludf.DUMMYFUNCTION("""COMPUTED_VALUE"""),8.849357)</f>
        <v>8.849357</v>
      </c>
      <c r="AF110" s="32">
        <f>IFERROR(__xludf.DUMMYFUNCTION("""COMPUTED_VALUE"""),0.708906)</f>
        <v>0.708906</v>
      </c>
      <c r="AG110" s="32">
        <f>IFERROR(__xludf.DUMMYFUNCTION("""COMPUTED_VALUE"""),1.1637)</f>
        <v>1.1637</v>
      </c>
      <c r="AH110" s="32">
        <f>IFERROR(__xludf.DUMMYFUNCTION("""COMPUTED_VALUE"""),11.458494)</f>
        <v>11.458494</v>
      </c>
      <c r="AI110" s="32">
        <f>IFERROR(__xludf.DUMMYFUNCTION("""COMPUTED_VALUE"""),1.4319876942549572)</f>
        <v>1.431987694</v>
      </c>
      <c r="AJ110" s="32">
        <f>IFERROR(__xludf.DUMMYFUNCTION("""COMPUTED_VALUE"""),14.59313331283896)</f>
        <v>14.59313331</v>
      </c>
      <c r="AK110" s="32">
        <f>IFERROR(__xludf.DUMMYFUNCTION("""COMPUTED_VALUE"""),57.5071)</f>
        <v>57.5071</v>
      </c>
      <c r="AL110" s="32">
        <f>IFERROR(__xludf.DUMMYFUNCTION("""COMPUTED_VALUE"""),232.9099)</f>
        <v>232.9099</v>
      </c>
      <c r="AM110" s="32">
        <f>IFERROR(__xludf.DUMMYFUNCTION("""COMPUTED_VALUE"""),70.802385)</f>
        <v>70.802385</v>
      </c>
      <c r="AN110" s="32">
        <f>IFERROR(__xludf.DUMMYFUNCTION("""COMPUTED_VALUE"""),61.025213)</f>
        <v>61.025213</v>
      </c>
      <c r="AO110" s="32">
        <f>IFERROR(__xludf.DUMMYFUNCTION("""COMPUTED_VALUE"""),12.0)</f>
        <v>12</v>
      </c>
      <c r="AP110" s="32">
        <f>IFERROR(__xludf.DUMMYFUNCTION("""COMPUTED_VALUE"""),0.05697185672514632)</f>
        <v>0.05697185673</v>
      </c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>
      <c r="A111" s="13" t="str">
        <f>IFERROR(__xludf.DUMMYFUNCTION("""COMPUTED_VALUE"""),"Dr. Lal Pathlabs Ltd.")</f>
        <v>Dr. Lal Pathlabs Ltd.</v>
      </c>
      <c r="B111" s="30">
        <f>IFERROR(__xludf.DUMMYFUNCTION("""COMPUTED_VALUE"""),539524.0)</f>
        <v>539524</v>
      </c>
      <c r="C111" s="13" t="str">
        <f>IFERROR(__xludf.DUMMYFUNCTION("""COMPUTED_VALUE"""),"LALPATHLAB")</f>
        <v>LALPATHLAB</v>
      </c>
      <c r="D111" s="13" t="str">
        <f>IFERROR(__xludf.DUMMYFUNCTION("""COMPUTED_VALUE"""),"INE600L01024")</f>
        <v>INE600L01024</v>
      </c>
      <c r="E111" s="13" t="str">
        <f>IFERROR(__xludf.DUMMYFUNCTION("""COMPUTED_VALUE"""),"Healthcare")</f>
        <v>Healthcare</v>
      </c>
      <c r="F111" s="13" t="str">
        <f>IFERROR(__xludf.DUMMYFUNCTION("""COMPUTED_VALUE"""),"Diagnostics Services")</f>
        <v>Diagnostics Services</v>
      </c>
      <c r="G111" s="31">
        <f>IFERROR(__xludf.DUMMYFUNCTION("""COMPUTED_VALUE"""),44809.0)</f>
        <v>44809</v>
      </c>
      <c r="H111" s="32">
        <f>IFERROR(__xludf.DUMMYFUNCTION("""COMPUTED_VALUE"""),2369.2)</f>
        <v>2369.2</v>
      </c>
      <c r="I111" s="32">
        <f>IFERROR(__xludf.DUMMYFUNCTION("""COMPUTED_VALUE"""),-2.871784)</f>
        <v>-2.871784</v>
      </c>
      <c r="J111" s="32">
        <f>IFERROR(__xludf.DUMMYFUNCTION("""COMPUTED_VALUE"""),1805.55)</f>
        <v>1805.55</v>
      </c>
      <c r="K111" s="32">
        <f>IFERROR(__xludf.DUMMYFUNCTION("""COMPUTED_VALUE"""),4245.5)</f>
        <v>4245.5</v>
      </c>
      <c r="L111" s="32">
        <f>IFERROR(__xludf.DUMMYFUNCTION("""COMPUTED_VALUE"""),1179.55)</f>
        <v>1179.55</v>
      </c>
      <c r="M111" s="32">
        <f>IFERROR(__xludf.DUMMYFUNCTION("""COMPUTED_VALUE"""),4245.5)</f>
        <v>4245.5</v>
      </c>
      <c r="N111" s="32">
        <f>IFERROR(__xludf.DUMMYFUNCTION("""COMPUTED_VALUE"""),717.65)</f>
        <v>717.65</v>
      </c>
      <c r="O111" s="32">
        <f>IFERROR(__xludf.DUMMYFUNCTION("""COMPUTED_VALUE"""),4245.5)</f>
        <v>4245.5</v>
      </c>
      <c r="P111" s="32">
        <f>IFERROR(__xludf.DUMMYFUNCTION("""COMPUTED_VALUE"""),696.5)</f>
        <v>696.5</v>
      </c>
      <c r="Q111" s="32">
        <f>IFERROR(__xludf.DUMMYFUNCTION("""COMPUTED_VALUE"""),4245.5)</f>
        <v>4245.5</v>
      </c>
      <c r="R111" s="32">
        <f>IFERROR(__xludf.DUMMYFUNCTION("""COMPUTED_VALUE"""),19748.976976995)</f>
        <v>19748.97698</v>
      </c>
      <c r="S111" s="32">
        <f>IFERROR(__xludf.DUMMYFUNCTION("""COMPUTED_VALUE"""),19995.873634765)</f>
        <v>19995.87363</v>
      </c>
      <c r="T111" s="32">
        <f>IFERROR(__xludf.DUMMYFUNCTION("""COMPUTED_VALUE"""),-10.145257)</f>
        <v>-10.145257</v>
      </c>
      <c r="U111" s="32">
        <f>IFERROR(__xludf.DUMMYFUNCTION("""COMPUTED_VALUE"""),-1.23395)</f>
        <v>-1.23395</v>
      </c>
      <c r="V111" s="32">
        <f>IFERROR(__xludf.DUMMYFUNCTION("""COMPUTED_VALUE"""),10.472815)</f>
        <v>10.472815</v>
      </c>
      <c r="W111" s="32">
        <f>IFERROR(__xludf.DUMMYFUNCTION("""COMPUTED_VALUE"""),-42.129239)</f>
        <v>-42.129239</v>
      </c>
      <c r="X111" s="32">
        <f>IFERROR(__xludf.DUMMYFUNCTION("""COMPUTED_VALUE"""),23.553032)</f>
        <v>23.553032</v>
      </c>
      <c r="Y111" s="32">
        <f>IFERROR(__xludf.DUMMYFUNCTION("""COMPUTED_VALUE"""),23.516325)</f>
        <v>23.516325</v>
      </c>
      <c r="Z111" s="13"/>
      <c r="AA111" s="32">
        <f>IFERROR(__xludf.DUMMYFUNCTION("""COMPUTED_VALUE"""),72.7939)</f>
        <v>72.7939</v>
      </c>
      <c r="AB111" s="32">
        <f>IFERROR(__xludf.DUMMYFUNCTION("""COMPUTED_VALUE"""),55.81695)</f>
        <v>55.81695</v>
      </c>
      <c r="AC111" s="32">
        <f>IFERROR(__xludf.DUMMYFUNCTION("""COMPUTED_VALUE"""),13.0962)</f>
        <v>13.0962</v>
      </c>
      <c r="AD111" s="32">
        <f>IFERROR(__xludf.DUMMYFUNCTION("""COMPUTED_VALUE"""),12.29835)</f>
        <v>12.29835</v>
      </c>
      <c r="AE111" s="32">
        <f>IFERROR(__xludf.DUMMYFUNCTION("""COMPUTED_VALUE"""),2.358902)</f>
        <v>2.358902</v>
      </c>
      <c r="AF111" s="32">
        <f>IFERROR(__xludf.DUMMYFUNCTION("""COMPUTED_VALUE"""),6.371929)</f>
        <v>6.371929</v>
      </c>
      <c r="AG111" s="32">
        <f>IFERROR(__xludf.DUMMYFUNCTION("""COMPUTED_VALUE"""),0.5065)</f>
        <v>0.5065</v>
      </c>
      <c r="AH111" s="32">
        <f>IFERROR(__xludf.DUMMYFUNCTION("""COMPUTED_VALUE"""),37.305734)</f>
        <v>37.305734</v>
      </c>
      <c r="AI111" s="32">
        <f>IFERROR(__xludf.DUMMYFUNCTION("""COMPUTED_VALUE"""),9.956630691704058)</f>
        <v>9.956630692</v>
      </c>
      <c r="AJ111" s="32">
        <f>IFERROR(__xludf.DUMMYFUNCTION("""COMPUTED_VALUE"""),44.21142208535373)</f>
        <v>44.21142209</v>
      </c>
      <c r="AK111" s="32">
        <f>IFERROR(__xludf.DUMMYFUNCTION("""COMPUTED_VALUE"""),32.5488)</f>
        <v>32.5488</v>
      </c>
      <c r="AL111" s="32">
        <f>IFERROR(__xludf.DUMMYFUNCTION("""COMPUTED_VALUE"""),180.9195)</f>
        <v>180.9195</v>
      </c>
      <c r="AM111" s="32">
        <f>IFERROR(__xludf.DUMMYFUNCTION("""COMPUTED_VALUE"""),53.595777)</f>
        <v>53.595777</v>
      </c>
      <c r="AN111" s="32">
        <f>IFERROR(__xludf.DUMMYFUNCTION("""COMPUTED_VALUE"""),-4.133541)</f>
        <v>-4.133541</v>
      </c>
      <c r="AO111" s="32">
        <f>IFERROR(__xludf.DUMMYFUNCTION("""COMPUTED_VALUE"""),12.0)</f>
        <v>12</v>
      </c>
      <c r="AP111" s="32">
        <f>IFERROR(__xludf.DUMMYFUNCTION("""COMPUTED_VALUE"""),0.44195030031798377)</f>
        <v>0.4419503003</v>
      </c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>
      <c r="A112" s="13" t="str">
        <f>IFERROR(__xludf.DUMMYFUNCTION("""COMPUTED_VALUE"""),"Grindwell Norton Ltd.")</f>
        <v>Grindwell Norton Ltd.</v>
      </c>
      <c r="B112" s="30">
        <f>IFERROR(__xludf.DUMMYFUNCTION("""COMPUTED_VALUE"""),506076.0)</f>
        <v>506076</v>
      </c>
      <c r="C112" s="13" t="str">
        <f>IFERROR(__xludf.DUMMYFUNCTION("""COMPUTED_VALUE"""),"GRINDWELL")</f>
        <v>GRINDWELL</v>
      </c>
      <c r="D112" s="13" t="str">
        <f>IFERROR(__xludf.DUMMYFUNCTION("""COMPUTED_VALUE"""),"INE536A01023")</f>
        <v>INE536A01023</v>
      </c>
      <c r="E112" s="13" t="str">
        <f>IFERROR(__xludf.DUMMYFUNCTION("""COMPUTED_VALUE"""),"Metals &amp; Mining")</f>
        <v>Metals &amp; Mining</v>
      </c>
      <c r="F112" s="13" t="str">
        <f>IFERROR(__xludf.DUMMYFUNCTION("""COMPUTED_VALUE"""),"Abrasives")</f>
        <v>Abrasives</v>
      </c>
      <c r="G112" s="31">
        <f>IFERROR(__xludf.DUMMYFUNCTION("""COMPUTED_VALUE"""),44809.0)</f>
        <v>44809</v>
      </c>
      <c r="H112" s="32">
        <f>IFERROR(__xludf.DUMMYFUNCTION("""COMPUTED_VALUE"""),2168.0)</f>
        <v>2168</v>
      </c>
      <c r="I112" s="32">
        <f>IFERROR(__xludf.DUMMYFUNCTION("""COMPUTED_VALUE"""),-1.42318)</f>
        <v>-1.42318</v>
      </c>
      <c r="J112" s="32">
        <f>IFERROR(__xludf.DUMMYFUNCTION("""COMPUTED_VALUE"""),1359.3)</f>
        <v>1359.3</v>
      </c>
      <c r="K112" s="32">
        <f>IFERROR(__xludf.DUMMYFUNCTION("""COMPUTED_VALUE"""),2284.0)</f>
        <v>2284</v>
      </c>
      <c r="L112" s="32">
        <f>IFERROR(__xludf.DUMMYFUNCTION("""COMPUTED_VALUE"""),369.2)</f>
        <v>369.2</v>
      </c>
      <c r="M112" s="32">
        <f>IFERROR(__xludf.DUMMYFUNCTION("""COMPUTED_VALUE"""),2284.0)</f>
        <v>2284</v>
      </c>
      <c r="N112" s="32">
        <f>IFERROR(__xludf.DUMMYFUNCTION("""COMPUTED_VALUE"""),369.2)</f>
        <v>369.2</v>
      </c>
      <c r="O112" s="32">
        <f>IFERROR(__xludf.DUMMYFUNCTION("""COMPUTED_VALUE"""),2284.0)</f>
        <v>2284</v>
      </c>
      <c r="P112" s="32">
        <f>IFERROR(__xludf.DUMMYFUNCTION("""COMPUTED_VALUE"""),5.625)</f>
        <v>5.625</v>
      </c>
      <c r="Q112" s="32">
        <f>IFERROR(__xludf.DUMMYFUNCTION("""COMPUTED_VALUE"""),2284.0)</f>
        <v>2284</v>
      </c>
      <c r="R112" s="32">
        <f>IFERROR(__xludf.DUMMYFUNCTION("""COMPUTED_VALUE"""),24004.096)</f>
        <v>24004.096</v>
      </c>
      <c r="S112" s="32">
        <f>IFERROR(__xludf.DUMMYFUNCTION("""COMPUTED_VALUE"""),23776.664)</f>
        <v>23776.664</v>
      </c>
      <c r="T112" s="32">
        <f>IFERROR(__xludf.DUMMYFUNCTION("""COMPUTED_VALUE"""),-2.362134)</f>
        <v>-2.362134</v>
      </c>
      <c r="U112" s="32">
        <f>IFERROR(__xludf.DUMMYFUNCTION("""COMPUTED_VALUE"""),9.18614)</f>
        <v>9.18614</v>
      </c>
      <c r="V112" s="32">
        <f>IFERROR(__xludf.DUMMYFUNCTION("""COMPUTED_VALUE"""),25.772299)</f>
        <v>25.772299</v>
      </c>
      <c r="W112" s="32">
        <f>IFERROR(__xludf.DUMMYFUNCTION("""COMPUTED_VALUE"""),58.155821)</f>
        <v>58.155821</v>
      </c>
      <c r="X112" s="32">
        <f>IFERROR(__xludf.DUMMYFUNCTION("""COMPUTED_VALUE"""),57.561894)</f>
        <v>57.561894</v>
      </c>
      <c r="Y112" s="32">
        <f>IFERROR(__xludf.DUMMYFUNCTION("""COMPUTED_VALUE"""),40.157221)</f>
        <v>40.157221</v>
      </c>
      <c r="Z112" s="32">
        <f>IFERROR(__xludf.DUMMYFUNCTION("""COMPUTED_VALUE"""),33.163903)</f>
        <v>33.163903</v>
      </c>
      <c r="AA112" s="32">
        <f>IFERROR(__xludf.DUMMYFUNCTION("""COMPUTED_VALUE"""),74.1039)</f>
        <v>74.1039</v>
      </c>
      <c r="AB112" s="32">
        <f>IFERROR(__xludf.DUMMYFUNCTION("""COMPUTED_VALUE"""),39.44975)</f>
        <v>39.44975</v>
      </c>
      <c r="AC112" s="32">
        <f>IFERROR(__xludf.DUMMYFUNCTION("""COMPUTED_VALUE"""),14.5633)</f>
        <v>14.5633</v>
      </c>
      <c r="AD112" s="32">
        <f>IFERROR(__xludf.DUMMYFUNCTION("""COMPUTED_VALUE"""),6.1026)</f>
        <v>6.1026</v>
      </c>
      <c r="AE112" s="32">
        <f>IFERROR(__xludf.DUMMYFUNCTION("""COMPUTED_VALUE"""),2.092401)</f>
        <v>2.092401</v>
      </c>
      <c r="AF112" s="32">
        <f>IFERROR(__xludf.DUMMYFUNCTION("""COMPUTED_VALUE"""),3.411654)</f>
        <v>3.411654</v>
      </c>
      <c r="AG112" s="32">
        <f>IFERROR(__xludf.DUMMYFUNCTION("""COMPUTED_VALUE"""),0.5536)</f>
        <v>0.5536</v>
      </c>
      <c r="AH112" s="32">
        <f>IFERROR(__xludf.DUMMYFUNCTION("""COMPUTED_VALUE"""),48.223637)</f>
        <v>48.223637</v>
      </c>
      <c r="AI112" s="32">
        <f>IFERROR(__xludf.DUMMYFUNCTION("""COMPUTED_VALUE"""),10.870091066762669)</f>
        <v>10.87009107</v>
      </c>
      <c r="AJ112" s="32">
        <f>IFERROR(__xludf.DUMMYFUNCTION("""COMPUTED_VALUE"""),128.65227579198762)</f>
        <v>128.6522758</v>
      </c>
      <c r="AK112" s="32">
        <f>IFERROR(__xludf.DUMMYFUNCTION("""COMPUTED_VALUE"""),29.2495)</f>
        <v>29.2495</v>
      </c>
      <c r="AL112" s="32">
        <f>IFERROR(__xludf.DUMMYFUNCTION("""COMPUTED_VALUE"""),148.833)</f>
        <v>148.833</v>
      </c>
      <c r="AM112" s="32">
        <f>IFERROR(__xludf.DUMMYFUNCTION("""COMPUTED_VALUE"""),16.851626)</f>
        <v>16.851626</v>
      </c>
      <c r="AN112" s="32">
        <f>IFERROR(__xludf.DUMMYFUNCTION("""COMPUTED_VALUE"""),7.304823)</f>
        <v>7.304823</v>
      </c>
      <c r="AO112" s="32">
        <f>IFERROR(__xludf.DUMMYFUNCTION("""COMPUTED_VALUE"""),12.0)</f>
        <v>12</v>
      </c>
      <c r="AP112" s="32">
        <f>IFERROR(__xludf.DUMMYFUNCTION("""COMPUTED_VALUE"""),0.050788091068301226)</f>
        <v>0.05078809107</v>
      </c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>
      <c r="A113" s="13" t="str">
        <f>IFERROR(__xludf.DUMMYFUNCTION("""COMPUTED_VALUE"""),"Lux Industries Ltd.")</f>
        <v>Lux Industries Ltd.</v>
      </c>
      <c r="B113" s="30">
        <f>IFERROR(__xludf.DUMMYFUNCTION("""COMPUTED_VALUE"""),539542.0)</f>
        <v>539542</v>
      </c>
      <c r="C113" s="13" t="str">
        <f>IFERROR(__xludf.DUMMYFUNCTION("""COMPUTED_VALUE"""),"LUXIND")</f>
        <v>LUXIND</v>
      </c>
      <c r="D113" s="13" t="str">
        <f>IFERROR(__xludf.DUMMYFUNCTION("""COMPUTED_VALUE"""),"INE150G01020")</f>
        <v>INE150G01020</v>
      </c>
      <c r="E113" s="13" t="str">
        <f>IFERROR(__xludf.DUMMYFUNCTION("""COMPUTED_VALUE"""),"Textiles")</f>
        <v>Textiles</v>
      </c>
      <c r="F113" s="13" t="str">
        <f>IFERROR(__xludf.DUMMYFUNCTION("""COMPUTED_VALUE"""),"Cloth")</f>
        <v>Cloth</v>
      </c>
      <c r="G113" s="31">
        <f>IFERROR(__xludf.DUMMYFUNCTION("""COMPUTED_VALUE"""),44809.0)</f>
        <v>44809</v>
      </c>
      <c r="H113" s="32">
        <f>IFERROR(__xludf.DUMMYFUNCTION("""COMPUTED_VALUE"""),1824.75)</f>
        <v>1824.75</v>
      </c>
      <c r="I113" s="32">
        <f>IFERROR(__xludf.DUMMYFUNCTION("""COMPUTED_VALUE"""),0.479062)</f>
        <v>0.479062</v>
      </c>
      <c r="J113" s="32">
        <f>IFERROR(__xludf.DUMMYFUNCTION("""COMPUTED_VALUE"""),1684.85)</f>
        <v>1684.85</v>
      </c>
      <c r="K113" s="32">
        <f>IFERROR(__xludf.DUMMYFUNCTION("""COMPUTED_VALUE"""),4644.0)</f>
        <v>4644</v>
      </c>
      <c r="L113" s="32">
        <f>IFERROR(__xludf.DUMMYFUNCTION("""COMPUTED_VALUE"""),812.8)</f>
        <v>812.8</v>
      </c>
      <c r="M113" s="32">
        <f>IFERROR(__xludf.DUMMYFUNCTION("""COMPUTED_VALUE"""),4644.0)</f>
        <v>4644</v>
      </c>
      <c r="N113" s="32">
        <f>IFERROR(__xludf.DUMMYFUNCTION("""COMPUTED_VALUE"""),812.8)</f>
        <v>812.8</v>
      </c>
      <c r="O113" s="32">
        <f>IFERROR(__xludf.DUMMYFUNCTION("""COMPUTED_VALUE"""),4644.0)</f>
        <v>4644</v>
      </c>
      <c r="P113" s="32">
        <f>IFERROR(__xludf.DUMMYFUNCTION("""COMPUTED_VALUE"""),534.0)</f>
        <v>534</v>
      </c>
      <c r="Q113" s="32">
        <f>IFERROR(__xludf.DUMMYFUNCTION("""COMPUTED_VALUE"""),4644.0)</f>
        <v>4644</v>
      </c>
      <c r="R113" s="32">
        <f>IFERROR(__xludf.DUMMYFUNCTION("""COMPUTED_VALUE"""),5494.246477105)</f>
        <v>5494.246477</v>
      </c>
      <c r="S113" s="32">
        <f>IFERROR(__xludf.DUMMYFUNCTION("""COMPUTED_VALUE"""),5658.84296874)</f>
        <v>5658.842969</v>
      </c>
      <c r="T113" s="32">
        <f>IFERROR(__xludf.DUMMYFUNCTION("""COMPUTED_VALUE"""),3.402845)</f>
        <v>3.402845</v>
      </c>
      <c r="U113" s="32">
        <f>IFERROR(__xludf.DUMMYFUNCTION("""COMPUTED_VALUE"""),-4.68044)</f>
        <v>-4.68044</v>
      </c>
      <c r="V113" s="32">
        <f>IFERROR(__xludf.DUMMYFUNCTION("""COMPUTED_VALUE"""),-8.015123)</f>
        <v>-8.015123</v>
      </c>
      <c r="W113" s="32">
        <f>IFERROR(__xludf.DUMMYFUNCTION("""COMPUTED_VALUE"""),-55.171906)</f>
        <v>-55.171906</v>
      </c>
      <c r="X113" s="32">
        <f>IFERROR(__xludf.DUMMYFUNCTION("""COMPUTED_VALUE"""),18.764129)</f>
        <v>18.764129</v>
      </c>
      <c r="Y113" s="32">
        <f>IFERROR(__xludf.DUMMYFUNCTION("""COMPUTED_VALUE"""),9.273401)</f>
        <v>9.273401</v>
      </c>
      <c r="Z113" s="13"/>
      <c r="AA113" s="32">
        <f>IFERROR(__xludf.DUMMYFUNCTION("""COMPUTED_VALUE"""),16.8411)</f>
        <v>16.8411</v>
      </c>
      <c r="AB113" s="32">
        <f>IFERROR(__xludf.DUMMYFUNCTION("""COMPUTED_VALUE"""),29.8583)</f>
        <v>29.8583</v>
      </c>
      <c r="AC113" s="32">
        <f>IFERROR(__xludf.DUMMYFUNCTION("""COMPUTED_VALUE"""),4.0415)</f>
        <v>4.0415</v>
      </c>
      <c r="AD113" s="32">
        <f>IFERROR(__xludf.DUMMYFUNCTION("""COMPUTED_VALUE"""),7.70985)</f>
        <v>7.70985</v>
      </c>
      <c r="AE113" s="32">
        <f>IFERROR(__xludf.DUMMYFUNCTION("""COMPUTED_VALUE"""),8.3365)</f>
        <v>8.3365</v>
      </c>
      <c r="AF113" s="32">
        <f>IFERROR(__xludf.DUMMYFUNCTION("""COMPUTED_VALUE"""),0.403362)</f>
        <v>0.403362</v>
      </c>
      <c r="AG113" s="32">
        <f>IFERROR(__xludf.DUMMYFUNCTION("""COMPUTED_VALUE"""),0.6579)</f>
        <v>0.6579</v>
      </c>
      <c r="AH113" s="32">
        <f>IFERROR(__xludf.DUMMYFUNCTION("""COMPUTED_VALUE"""),11.860667)</f>
        <v>11.860667</v>
      </c>
      <c r="AI113" s="32">
        <f>IFERROR(__xludf.DUMMYFUNCTION("""COMPUTED_VALUE"""),2.258887330860345)</f>
        <v>2.258887331</v>
      </c>
      <c r="AJ113" s="32">
        <f>IFERROR(__xludf.DUMMYFUNCTION("""COMPUTED_VALUE"""),-24.04799963717337)</f>
        <v>-24.04799964</v>
      </c>
      <c r="AK113" s="32">
        <f>IFERROR(__xludf.DUMMYFUNCTION("""COMPUTED_VALUE"""),108.4875)</f>
        <v>108.4875</v>
      </c>
      <c r="AL113" s="32">
        <f>IFERROR(__xludf.DUMMYFUNCTION("""COMPUTED_VALUE"""),452.068)</f>
        <v>452.068</v>
      </c>
      <c r="AM113" s="32">
        <f>IFERROR(__xludf.DUMMYFUNCTION("""COMPUTED_VALUE"""),-76.02995)</f>
        <v>-76.02995</v>
      </c>
      <c r="AN113" s="32">
        <f>IFERROR(__xludf.DUMMYFUNCTION("""COMPUTED_VALUE"""),-97.44426)</f>
        <v>-97.44426</v>
      </c>
      <c r="AO113" s="32">
        <f>IFERROR(__xludf.DUMMYFUNCTION("""COMPUTED_VALUE"""),12.0)</f>
        <v>12</v>
      </c>
      <c r="AP113" s="32">
        <f>IFERROR(__xludf.DUMMYFUNCTION("""COMPUTED_VALUE"""),0.6070736434108527)</f>
        <v>0.6070736434</v>
      </c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>
      <c r="A114" s="13" t="str">
        <f>IFERROR(__xludf.DUMMYFUNCTION("""COMPUTED_VALUE"""),"Power Finance Corporation Ltd.")</f>
        <v>Power Finance Corporation Ltd.</v>
      </c>
      <c r="B114" s="30">
        <f>IFERROR(__xludf.DUMMYFUNCTION("""COMPUTED_VALUE"""),532810.0)</f>
        <v>532810</v>
      </c>
      <c r="C114" s="13" t="str">
        <f>IFERROR(__xludf.DUMMYFUNCTION("""COMPUTED_VALUE"""),"PFC")</f>
        <v>PFC</v>
      </c>
      <c r="D114" s="13" t="str">
        <f>IFERROR(__xludf.DUMMYFUNCTION("""COMPUTED_VALUE"""),"INE134E01011")</f>
        <v>INE134E01011</v>
      </c>
      <c r="E114" s="13" t="str">
        <f>IFERROR(__xludf.DUMMYFUNCTION("""COMPUTED_VALUE"""),"Financial")</f>
        <v>Financial</v>
      </c>
      <c r="F114" s="13" t="str">
        <f>IFERROR(__xludf.DUMMYFUNCTION("""COMPUTED_VALUE"""),"SIDCs/SFCs")</f>
        <v>SIDCs/SFCs</v>
      </c>
      <c r="G114" s="31">
        <f>IFERROR(__xludf.DUMMYFUNCTION("""COMPUTED_VALUE"""),44809.0)</f>
        <v>44809</v>
      </c>
      <c r="H114" s="32">
        <f>IFERROR(__xludf.DUMMYFUNCTION("""COMPUTED_VALUE"""),114.45)</f>
        <v>114.45</v>
      </c>
      <c r="I114" s="32">
        <f>IFERROR(__xludf.DUMMYFUNCTION("""COMPUTED_VALUE"""),-1.251079)</f>
        <v>-1.251079</v>
      </c>
      <c r="J114" s="32">
        <f>IFERROR(__xludf.DUMMYFUNCTION("""COMPUTED_VALUE"""),97.1)</f>
        <v>97.1</v>
      </c>
      <c r="K114" s="32">
        <f>IFERROR(__xludf.DUMMYFUNCTION("""COMPUTED_VALUE"""),153.75)</f>
        <v>153.75</v>
      </c>
      <c r="L114" s="32">
        <f>IFERROR(__xludf.DUMMYFUNCTION("""COMPUTED_VALUE"""),74.15)</f>
        <v>74.15</v>
      </c>
      <c r="M114" s="32">
        <f>IFERROR(__xludf.DUMMYFUNCTION("""COMPUTED_VALUE"""),153.75)</f>
        <v>153.75</v>
      </c>
      <c r="N114" s="32">
        <f>IFERROR(__xludf.DUMMYFUNCTION("""COMPUTED_VALUE"""),67.5)</f>
        <v>67.5</v>
      </c>
      <c r="O114" s="32">
        <f>IFERROR(__xludf.DUMMYFUNCTION("""COMPUTED_VALUE"""),153.75)</f>
        <v>153.75</v>
      </c>
      <c r="P114" s="32">
        <f>IFERROR(__xludf.DUMMYFUNCTION("""COMPUTED_VALUE"""),42.7)</f>
        <v>42.7</v>
      </c>
      <c r="Q114" s="32">
        <f>IFERROR(__xludf.DUMMYFUNCTION("""COMPUTED_VALUE"""),192.5)</f>
        <v>192.5</v>
      </c>
      <c r="R114" s="32">
        <f>IFERROR(__xludf.DUMMYFUNCTION("""COMPUTED_VALUE"""),30215.73171456)</f>
        <v>30215.73171</v>
      </c>
      <c r="S114" s="32">
        <f>IFERROR(__xludf.DUMMYFUNCTION("""COMPUTED_VALUE"""),682695.50311168)</f>
        <v>682695.5031</v>
      </c>
      <c r="T114" s="32">
        <f>IFERROR(__xludf.DUMMYFUNCTION("""COMPUTED_VALUE"""),-5.020747)</f>
        <v>-5.020747</v>
      </c>
      <c r="U114" s="32">
        <f>IFERROR(__xludf.DUMMYFUNCTION("""COMPUTED_VALUE"""),-3.580455)</f>
        <v>-3.580455</v>
      </c>
      <c r="V114" s="32">
        <f>IFERROR(__xludf.DUMMYFUNCTION("""COMPUTED_VALUE"""),2.553763)</f>
        <v>2.553763</v>
      </c>
      <c r="W114" s="32">
        <f>IFERROR(__xludf.DUMMYFUNCTION("""COMPUTED_VALUE"""),-10.968495)</f>
        <v>-10.968495</v>
      </c>
      <c r="X114" s="32">
        <f>IFERROR(__xludf.DUMMYFUNCTION("""COMPUTED_VALUE"""),3.028851)</f>
        <v>3.028851</v>
      </c>
      <c r="Y114" s="32">
        <f>IFERROR(__xludf.DUMMYFUNCTION("""COMPUTED_VALUE"""),-1.318017)</f>
        <v>-1.318017</v>
      </c>
      <c r="Z114" s="32">
        <f>IFERROR(__xludf.DUMMYFUNCTION("""COMPUTED_VALUE"""),3.555752)</f>
        <v>3.555752</v>
      </c>
      <c r="AA114" s="32">
        <f>IFERROR(__xludf.DUMMYFUNCTION("""COMPUTED_VALUE"""),2.1658)</f>
        <v>2.1658</v>
      </c>
      <c r="AB114" s="32">
        <f>IFERROR(__xludf.DUMMYFUNCTION("""COMPUTED_VALUE"""),3.4225)</f>
        <v>3.4225</v>
      </c>
      <c r="AC114" s="32">
        <f>IFERROR(__xludf.DUMMYFUNCTION("""COMPUTED_VALUE"""),0.3962)</f>
        <v>0.3962</v>
      </c>
      <c r="AD114" s="32">
        <f>IFERROR(__xludf.DUMMYFUNCTION("""COMPUTED_VALUE"""),0.54345)</f>
        <v>0.54345</v>
      </c>
      <c r="AE114" s="32">
        <f>IFERROR(__xludf.DUMMYFUNCTION("""COMPUTED_VALUE"""),9.923957)</f>
        <v>9.923957</v>
      </c>
      <c r="AF114" s="32">
        <f>IFERROR(__xludf.DUMMYFUNCTION("""COMPUTED_VALUE"""),0.04081)</f>
        <v>0.04081</v>
      </c>
      <c r="AG114" s="32">
        <f>IFERROR(__xludf.DUMMYFUNCTION("""COMPUTED_VALUE"""),10.4849)</f>
        <v>10.4849</v>
      </c>
      <c r="AH114" s="32">
        <f>IFERROR(__xludf.DUMMYFUNCTION("""COMPUTED_VALUE"""),10.094944)</f>
        <v>10.094944</v>
      </c>
      <c r="AI114" s="32">
        <f>IFERROR(__xludf.DUMMYFUNCTION("""COMPUTED_VALUE"""),0.39973302891687207)</f>
        <v>0.3997330289</v>
      </c>
      <c r="AJ114" s="32">
        <f>IFERROR(__xludf.DUMMYFUNCTION("""COMPUTED_VALUE"""),18.50921102045367)</f>
        <v>18.50921102</v>
      </c>
      <c r="AK114" s="32">
        <f>IFERROR(__xludf.DUMMYFUNCTION("""COMPUTED_VALUE"""),52.8448)</f>
        <v>52.8448</v>
      </c>
      <c r="AL114" s="32">
        <f>IFERROR(__xludf.DUMMYFUNCTION("""COMPUTED_VALUE"""),288.8387)</f>
        <v>288.8387</v>
      </c>
      <c r="AM114" s="32">
        <f>IFERROR(__xludf.DUMMYFUNCTION("""COMPUTED_VALUE"""),6.183411)</f>
        <v>6.183411</v>
      </c>
      <c r="AN114" s="32">
        <f>IFERROR(__xludf.DUMMYFUNCTION("""COMPUTED_VALUE"""),-8.913253)</f>
        <v>-8.913253</v>
      </c>
      <c r="AO114" s="32">
        <f>IFERROR(__xludf.DUMMYFUNCTION("""COMPUTED_VALUE"""),12.0)</f>
        <v>12</v>
      </c>
      <c r="AP114" s="32">
        <f>IFERROR(__xludf.DUMMYFUNCTION("""COMPUTED_VALUE"""),0.255609756097561)</f>
        <v>0.2556097561</v>
      </c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>
      <c r="A115" s="13" t="str">
        <f>IFERROR(__xludf.DUMMYFUNCTION("""COMPUTED_VALUE"""),"ZF Commercial Vehicle Control Systems India Ltd.")</f>
        <v>ZF Commercial Vehicle Control Systems India Ltd.</v>
      </c>
      <c r="B115" s="30">
        <f>IFERROR(__xludf.DUMMYFUNCTION("""COMPUTED_VALUE"""),533023.0)</f>
        <v>533023</v>
      </c>
      <c r="C115" s="13" t="str">
        <f>IFERROR(__xludf.DUMMYFUNCTION("""COMPUTED_VALUE"""),"ZFCVINDIA")</f>
        <v>ZFCVINDIA</v>
      </c>
      <c r="D115" s="13" t="str">
        <f>IFERROR(__xludf.DUMMYFUNCTION("""COMPUTED_VALUE"""),"INE342J01019")</f>
        <v>INE342J01019</v>
      </c>
      <c r="E115" s="13" t="str">
        <f>IFERROR(__xludf.DUMMYFUNCTION("""COMPUTED_VALUE"""),"Automobile")</f>
        <v>Automobile</v>
      </c>
      <c r="F115" s="13" t="str">
        <f>IFERROR(__xludf.DUMMYFUNCTION("""COMPUTED_VALUE"""),"Auto Ancillaries")</f>
        <v>Auto Ancillaries</v>
      </c>
      <c r="G115" s="31">
        <f>IFERROR(__xludf.DUMMYFUNCTION("""COMPUTED_VALUE"""),44809.0)</f>
        <v>44809</v>
      </c>
      <c r="H115" s="32">
        <f>IFERROR(__xludf.DUMMYFUNCTION("""COMPUTED_VALUE"""),9991.05)</f>
        <v>9991.05</v>
      </c>
      <c r="I115" s="32">
        <f>IFERROR(__xludf.DUMMYFUNCTION("""COMPUTED_VALUE"""),3.536343)</f>
        <v>3.536343</v>
      </c>
      <c r="J115" s="32">
        <f>IFERROR(__xludf.DUMMYFUNCTION("""COMPUTED_VALUE"""),6815.25)</f>
        <v>6815.25</v>
      </c>
      <c r="K115" s="32">
        <f>IFERROR(__xludf.DUMMYFUNCTION("""COMPUTED_VALUE"""),10080.0)</f>
        <v>10080</v>
      </c>
      <c r="L115" s="32">
        <f>IFERROR(__xludf.DUMMYFUNCTION("""COMPUTED_VALUE"""),4750.05)</f>
        <v>4750.05</v>
      </c>
      <c r="M115" s="32">
        <f>IFERROR(__xludf.DUMMYFUNCTION("""COMPUTED_VALUE"""),10080.0)</f>
        <v>10080</v>
      </c>
      <c r="N115" s="32">
        <f>IFERROR(__xludf.DUMMYFUNCTION("""COMPUTED_VALUE"""),4750.05)</f>
        <v>4750.05</v>
      </c>
      <c r="O115" s="32">
        <f>IFERROR(__xludf.DUMMYFUNCTION("""COMPUTED_VALUE"""),10080.0)</f>
        <v>10080</v>
      </c>
      <c r="P115" s="32">
        <f>IFERROR(__xludf.DUMMYFUNCTION("""COMPUTED_VALUE"""),100.0)</f>
        <v>100</v>
      </c>
      <c r="Q115" s="32">
        <f>IFERROR(__xludf.DUMMYFUNCTION("""COMPUTED_VALUE"""),10080.0)</f>
        <v>10080</v>
      </c>
      <c r="R115" s="32">
        <f>IFERROR(__xludf.DUMMYFUNCTION("""COMPUTED_VALUE"""),18915.61281984)</f>
        <v>18915.61282</v>
      </c>
      <c r="S115" s="32">
        <f>IFERROR(__xludf.DUMMYFUNCTION("""COMPUTED_VALUE"""),17313.37429232)</f>
        <v>17313.37429</v>
      </c>
      <c r="T115" s="32">
        <f>IFERROR(__xludf.DUMMYFUNCTION("""COMPUTED_VALUE"""),2.259922)</f>
        <v>2.259922</v>
      </c>
      <c r="U115" s="32">
        <f>IFERROR(__xludf.DUMMYFUNCTION("""COMPUTED_VALUE"""),14.406358)</f>
        <v>14.406358</v>
      </c>
      <c r="V115" s="32">
        <f>IFERROR(__xludf.DUMMYFUNCTION("""COMPUTED_VALUE"""),31.082597)</f>
        <v>31.082597</v>
      </c>
      <c r="W115" s="32">
        <f>IFERROR(__xludf.DUMMYFUNCTION("""COMPUTED_VALUE"""),42.662031)</f>
        <v>42.662031</v>
      </c>
      <c r="X115" s="32">
        <f>IFERROR(__xludf.DUMMYFUNCTION("""COMPUTED_VALUE"""),17.884194)</f>
        <v>17.884194</v>
      </c>
      <c r="Y115" s="32">
        <f>IFERROR(__xludf.DUMMYFUNCTION("""COMPUTED_VALUE"""),12.920116)</f>
        <v>12.920116</v>
      </c>
      <c r="Z115" s="32">
        <f>IFERROR(__xludf.DUMMYFUNCTION("""COMPUTED_VALUE"""),20.209182)</f>
        <v>20.209182</v>
      </c>
      <c r="AA115" s="32">
        <f>IFERROR(__xludf.DUMMYFUNCTION("""COMPUTED_VALUE"""),103.3132)</f>
        <v>103.3132</v>
      </c>
      <c r="AB115" s="32">
        <f>IFERROR(__xludf.DUMMYFUNCTION("""COMPUTED_VALUE"""),71.4288)</f>
        <v>71.4288</v>
      </c>
      <c r="AC115" s="32">
        <f>IFERROR(__xludf.DUMMYFUNCTION("""COMPUTED_VALUE"""),8.6909)</f>
        <v>8.6909</v>
      </c>
      <c r="AD115" s="32">
        <f>IFERROR(__xludf.DUMMYFUNCTION("""COMPUTED_VALUE"""),6.87665)</f>
        <v>6.87665</v>
      </c>
      <c r="AE115" s="32">
        <f>IFERROR(__xludf.DUMMYFUNCTION("""COMPUTED_VALUE"""),1.626096)</f>
        <v>1.626096</v>
      </c>
      <c r="AF115" s="32">
        <f>IFERROR(__xludf.DUMMYFUNCTION("""COMPUTED_VALUE"""),-78.880152)</f>
        <v>-78.880152</v>
      </c>
      <c r="AG115" s="32">
        <f>IFERROR(__xludf.DUMMYFUNCTION("""COMPUTED_VALUE"""),0.1203)</f>
        <v>0.1203</v>
      </c>
      <c r="AH115" s="32">
        <f>IFERROR(__xludf.DUMMYFUNCTION("""COMPUTED_VALUE"""),50.048924)</f>
        <v>50.048924</v>
      </c>
      <c r="AI115" s="32">
        <f>IFERROR(__xludf.DUMMYFUNCTION("""COMPUTED_VALUE"""),6.6373855056829125)</f>
        <v>6.637385506</v>
      </c>
      <c r="AJ115" s="32">
        <f>IFERROR(__xludf.DUMMYFUNCTION("""COMPUTED_VALUE"""),136.8159537483753)</f>
        <v>136.8159537</v>
      </c>
      <c r="AK115" s="32">
        <f>IFERROR(__xludf.DUMMYFUNCTION("""COMPUTED_VALUE"""),96.5278)</f>
        <v>96.5278</v>
      </c>
      <c r="AL115" s="32">
        <f>IFERROR(__xludf.DUMMYFUNCTION("""COMPUTED_VALUE"""),1147.4722)</f>
        <v>1147.4722</v>
      </c>
      <c r="AM115" s="32">
        <f>IFERROR(__xludf.DUMMYFUNCTION("""COMPUTED_VALUE"""),72.890561)</f>
        <v>72.890561</v>
      </c>
      <c r="AN115" s="32">
        <f>IFERROR(__xludf.DUMMYFUNCTION("""COMPUTED_VALUE"""),6.81035)</f>
        <v>6.81035</v>
      </c>
      <c r="AO115" s="32">
        <f>IFERROR(__xludf.DUMMYFUNCTION("""COMPUTED_VALUE"""),12.0)</f>
        <v>12</v>
      </c>
      <c r="AP115" s="32">
        <f>IFERROR(__xludf.DUMMYFUNCTION("""COMPUTED_VALUE"""),0.008824404761904834)</f>
        <v>0.008824404762</v>
      </c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>
      <c r="A116" s="13" t="str">
        <f>IFERROR(__xludf.DUMMYFUNCTION("""COMPUTED_VALUE"""),"Apollo Hospitals Enterprise Ltd.")</f>
        <v>Apollo Hospitals Enterprise Ltd.</v>
      </c>
      <c r="B116" s="30">
        <f>IFERROR(__xludf.DUMMYFUNCTION("""COMPUTED_VALUE"""),508869.0)</f>
        <v>508869</v>
      </c>
      <c r="C116" s="13" t="str">
        <f>IFERROR(__xludf.DUMMYFUNCTION("""COMPUTED_VALUE"""),"APOLLOHOSP")</f>
        <v>APOLLOHOSP</v>
      </c>
      <c r="D116" s="13" t="str">
        <f>IFERROR(__xludf.DUMMYFUNCTION("""COMPUTED_VALUE"""),"INE437A01024")</f>
        <v>INE437A01024</v>
      </c>
      <c r="E116" s="13" t="str">
        <f>IFERROR(__xludf.DUMMYFUNCTION("""COMPUTED_VALUE"""),"Healthcare")</f>
        <v>Healthcare</v>
      </c>
      <c r="F116" s="13" t="str">
        <f>IFERROR(__xludf.DUMMYFUNCTION("""COMPUTED_VALUE"""),"Health Services")</f>
        <v>Health Services</v>
      </c>
      <c r="G116" s="31">
        <f>IFERROR(__xludf.DUMMYFUNCTION("""COMPUTED_VALUE"""),44809.0)</f>
        <v>44809</v>
      </c>
      <c r="H116" s="32">
        <f>IFERROR(__xludf.DUMMYFUNCTION("""COMPUTED_VALUE"""),4282.55)</f>
        <v>4282.55</v>
      </c>
      <c r="I116" s="32">
        <f>IFERROR(__xludf.DUMMYFUNCTION("""COMPUTED_VALUE"""),-0.691039)</f>
        <v>-0.691039</v>
      </c>
      <c r="J116" s="32">
        <f>IFERROR(__xludf.DUMMYFUNCTION("""COMPUTED_VALUE"""),3361.55)</f>
        <v>3361.55</v>
      </c>
      <c r="K116" s="32">
        <f>IFERROR(__xludf.DUMMYFUNCTION("""COMPUTED_VALUE"""),5935.4)</f>
        <v>5935.4</v>
      </c>
      <c r="L116" s="32">
        <f>IFERROR(__xludf.DUMMYFUNCTION("""COMPUTED_VALUE"""),1047.05)</f>
        <v>1047.05</v>
      </c>
      <c r="M116" s="32">
        <f>IFERROR(__xludf.DUMMYFUNCTION("""COMPUTED_VALUE"""),5935.4)</f>
        <v>5935.4</v>
      </c>
      <c r="N116" s="32">
        <f>IFERROR(__xludf.DUMMYFUNCTION("""COMPUTED_VALUE"""),910.1)</f>
        <v>910.1</v>
      </c>
      <c r="O116" s="32">
        <f>IFERROR(__xludf.DUMMYFUNCTION("""COMPUTED_VALUE"""),5935.4)</f>
        <v>5935.4</v>
      </c>
      <c r="P116" s="32">
        <f>IFERROR(__xludf.DUMMYFUNCTION("""COMPUTED_VALUE"""),27.0)</f>
        <v>27</v>
      </c>
      <c r="Q116" s="32">
        <f>IFERROR(__xludf.DUMMYFUNCTION("""COMPUTED_VALUE"""),5935.4)</f>
        <v>5935.4</v>
      </c>
      <c r="R116" s="32">
        <f>IFERROR(__xludf.DUMMYFUNCTION("""COMPUTED_VALUE"""),61576.498283535)</f>
        <v>61576.49828</v>
      </c>
      <c r="S116" s="32">
        <f>IFERROR(__xludf.DUMMYFUNCTION("""COMPUTED_VALUE"""),63090.535942265)</f>
        <v>63090.53594</v>
      </c>
      <c r="T116" s="32">
        <f>IFERROR(__xludf.DUMMYFUNCTION("""COMPUTED_VALUE"""),1.596584)</f>
        <v>1.596584</v>
      </c>
      <c r="U116" s="32">
        <f>IFERROR(__xludf.DUMMYFUNCTION("""COMPUTED_VALUE"""),-2.576323)</f>
        <v>-2.576323</v>
      </c>
      <c r="V116" s="32">
        <f>IFERROR(__xludf.DUMMYFUNCTION("""COMPUTED_VALUE"""),19.330974)</f>
        <v>19.330974</v>
      </c>
      <c r="W116" s="32">
        <f>IFERROR(__xludf.DUMMYFUNCTION("""COMPUTED_VALUE"""),-14.597521)</f>
        <v>-14.597521</v>
      </c>
      <c r="X116" s="32">
        <f>IFERROR(__xludf.DUMMYFUNCTION("""COMPUTED_VALUE"""),41.961273)</f>
        <v>41.961273</v>
      </c>
      <c r="Y116" s="32">
        <f>IFERROR(__xludf.DUMMYFUNCTION("""COMPUTED_VALUE"""),30.960119)</f>
        <v>30.960119</v>
      </c>
      <c r="Z116" s="32">
        <f>IFERROR(__xludf.DUMMYFUNCTION("""COMPUTED_VALUE"""),21.124708)</f>
        <v>21.124708</v>
      </c>
      <c r="AA116" s="32">
        <f>IFERROR(__xludf.DUMMYFUNCTION("""COMPUTED_VALUE"""),69.6243)</f>
        <v>69.6243</v>
      </c>
      <c r="AB116" s="32">
        <f>IFERROR(__xludf.DUMMYFUNCTION("""COMPUTED_VALUE"""),67.5479)</f>
        <v>67.5479</v>
      </c>
      <c r="AC116" s="32">
        <f>IFERROR(__xludf.DUMMYFUNCTION("""COMPUTED_VALUE"""),10.3509)</f>
        <v>10.3509</v>
      </c>
      <c r="AD116" s="32">
        <f>IFERROR(__xludf.DUMMYFUNCTION("""COMPUTED_VALUE"""),6.0829)</f>
        <v>6.0829</v>
      </c>
      <c r="AE116" s="32">
        <f>IFERROR(__xludf.DUMMYFUNCTION("""COMPUTED_VALUE"""),2.691967)</f>
        <v>2.691967</v>
      </c>
      <c r="AF116" s="32">
        <f>IFERROR(__xludf.DUMMYFUNCTION("""COMPUTED_VALUE"""),1.063262)</f>
        <v>1.063262</v>
      </c>
      <c r="AG116" s="32">
        <f>IFERROR(__xludf.DUMMYFUNCTION("""COMPUTED_VALUE"""),0.2747)</f>
        <v>0.2747</v>
      </c>
      <c r="AH116" s="32">
        <f>IFERROR(__xludf.DUMMYFUNCTION("""COMPUTED_VALUE"""),28.348162)</f>
        <v>28.348162</v>
      </c>
      <c r="AI116" s="32">
        <f>IFERROR(__xludf.DUMMYFUNCTION("""COMPUTED_VALUE"""),4.189438876062642)</f>
        <v>4.189438876</v>
      </c>
      <c r="AJ116" s="32">
        <f>IFERROR(__xludf.DUMMYFUNCTION("""COMPUTED_VALUE"""),37.82340189406327)</f>
        <v>37.82340189</v>
      </c>
      <c r="AK116" s="32">
        <f>IFERROR(__xludf.DUMMYFUNCTION("""COMPUTED_VALUE"""),61.4419)</f>
        <v>61.4419</v>
      </c>
      <c r="AL116" s="32">
        <f>IFERROR(__xludf.DUMMYFUNCTION("""COMPUTED_VALUE"""),413.2842)</f>
        <v>413.2842</v>
      </c>
      <c r="AM116" s="32">
        <f>IFERROR(__xludf.DUMMYFUNCTION("""COMPUTED_VALUE"""),113.212796)</f>
        <v>113.212796</v>
      </c>
      <c r="AN116" s="32">
        <f>IFERROR(__xludf.DUMMYFUNCTION("""COMPUTED_VALUE"""),42.176634)</f>
        <v>42.176634</v>
      </c>
      <c r="AO116" s="32">
        <f>IFERROR(__xludf.DUMMYFUNCTION("""COMPUTED_VALUE"""),11.75)</f>
        <v>11.75</v>
      </c>
      <c r="AP116" s="32">
        <f>IFERROR(__xludf.DUMMYFUNCTION("""COMPUTED_VALUE"""),0.27847322842605376)</f>
        <v>0.2784732284</v>
      </c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>
      <c r="A117" s="13" t="str">
        <f>IFERROR(__xludf.DUMMYFUNCTION("""COMPUTED_VALUE"""),"Mahindra &amp; Mahindra Ltd.")</f>
        <v>Mahindra &amp; Mahindra Ltd.</v>
      </c>
      <c r="B117" s="30">
        <f>IFERROR(__xludf.DUMMYFUNCTION("""COMPUTED_VALUE"""),500520.0)</f>
        <v>500520</v>
      </c>
      <c r="C117" s="13" t="str">
        <f>IFERROR(__xludf.DUMMYFUNCTION("""COMPUTED_VALUE"""),"M&amp;M")</f>
        <v>M&amp;M</v>
      </c>
      <c r="D117" s="13" t="str">
        <f>IFERROR(__xludf.DUMMYFUNCTION("""COMPUTED_VALUE"""),"INE101A01026")</f>
        <v>INE101A01026</v>
      </c>
      <c r="E117" s="13" t="str">
        <f>IFERROR(__xludf.DUMMYFUNCTION("""COMPUTED_VALUE"""),"Automobile")</f>
        <v>Automobile</v>
      </c>
      <c r="F117" s="13" t="str">
        <f>IFERROR(__xludf.DUMMYFUNCTION("""COMPUTED_VALUE"""),"Cars &amp; Multi Utility Vehicles")</f>
        <v>Cars &amp; Multi Utility Vehicles</v>
      </c>
      <c r="G117" s="31">
        <f>IFERROR(__xludf.DUMMYFUNCTION("""COMPUTED_VALUE"""),44809.0)</f>
        <v>44809</v>
      </c>
      <c r="H117" s="32">
        <f>IFERROR(__xludf.DUMMYFUNCTION("""COMPUTED_VALUE"""),1320.55)</f>
        <v>1320.55</v>
      </c>
      <c r="I117" s="32">
        <f>IFERROR(__xludf.DUMMYFUNCTION("""COMPUTED_VALUE"""),0.349557)</f>
        <v>0.349557</v>
      </c>
      <c r="J117" s="32">
        <f>IFERROR(__xludf.DUMMYFUNCTION("""COMPUTED_VALUE"""),671.15)</f>
        <v>671.15</v>
      </c>
      <c r="K117" s="32">
        <f>IFERROR(__xludf.DUMMYFUNCTION("""COMPUTED_VALUE"""),1330.65)</f>
        <v>1330.65</v>
      </c>
      <c r="L117" s="32">
        <f>IFERROR(__xludf.DUMMYFUNCTION("""COMPUTED_VALUE"""),245.4)</f>
        <v>245.4</v>
      </c>
      <c r="M117" s="32">
        <f>IFERROR(__xludf.DUMMYFUNCTION("""COMPUTED_VALUE"""),1330.65)</f>
        <v>1330.65</v>
      </c>
      <c r="N117" s="32">
        <f>IFERROR(__xludf.DUMMYFUNCTION("""COMPUTED_VALUE"""),245.4)</f>
        <v>245.4</v>
      </c>
      <c r="O117" s="32">
        <f>IFERROR(__xludf.DUMMYFUNCTION("""COMPUTED_VALUE"""),1330.65)</f>
        <v>1330.65</v>
      </c>
      <c r="P117" s="32">
        <f>IFERROR(__xludf.DUMMYFUNCTION("""COMPUTED_VALUE"""),6.3625)</f>
        <v>6.3625</v>
      </c>
      <c r="Q117" s="32">
        <f>IFERROR(__xludf.DUMMYFUNCTION("""COMPUTED_VALUE"""),1330.65)</f>
        <v>1330.65</v>
      </c>
      <c r="R117" s="32">
        <f>IFERROR(__xludf.DUMMYFUNCTION("""COMPUTED_VALUE"""),164169.79139792)</f>
        <v>164169.7914</v>
      </c>
      <c r="S117" s="32">
        <f>IFERROR(__xludf.DUMMYFUNCTION("""COMPUTED_VALUE"""),216260.31705136)</f>
        <v>216260.3171</v>
      </c>
      <c r="T117" s="32">
        <f>IFERROR(__xludf.DUMMYFUNCTION("""COMPUTED_VALUE"""),3.600989)</f>
        <v>3.600989</v>
      </c>
      <c r="U117" s="32">
        <f>IFERROR(__xludf.DUMMYFUNCTION("""COMPUTED_VALUE"""),4.656047)</f>
        <v>4.656047</v>
      </c>
      <c r="V117" s="32">
        <f>IFERROR(__xludf.DUMMYFUNCTION("""COMPUTED_VALUE"""),28.376999)</f>
        <v>28.376999</v>
      </c>
      <c r="W117" s="32">
        <f>IFERROR(__xludf.DUMMYFUNCTION("""COMPUTED_VALUE"""),76.096813)</f>
        <v>76.096813</v>
      </c>
      <c r="X117" s="32">
        <f>IFERROR(__xludf.DUMMYFUNCTION("""COMPUTED_VALUE"""),37.706349)</f>
        <v>37.706349</v>
      </c>
      <c r="Y117" s="32">
        <f>IFERROR(__xludf.DUMMYFUNCTION("""COMPUTED_VALUE"""),14.735479)</f>
        <v>14.735479</v>
      </c>
      <c r="Z117" s="32">
        <f>IFERROR(__xludf.DUMMYFUNCTION("""COMPUTED_VALUE"""),13.240803)</f>
        <v>13.240803</v>
      </c>
      <c r="AA117" s="32">
        <f>IFERROR(__xludf.DUMMYFUNCTION("""COMPUTED_VALUE"""),19.6426)</f>
        <v>19.6426</v>
      </c>
      <c r="AB117" s="32">
        <f>IFERROR(__xludf.DUMMYFUNCTION("""COMPUTED_VALUE"""),20.37435)</f>
        <v>20.37435</v>
      </c>
      <c r="AC117" s="32">
        <f>IFERROR(__xludf.DUMMYFUNCTION("""COMPUTED_VALUE"""),3.3549)</f>
        <v>3.3549</v>
      </c>
      <c r="AD117" s="32">
        <f>IFERROR(__xludf.DUMMYFUNCTION("""COMPUTED_VALUE"""),2.4121)</f>
        <v>2.4121</v>
      </c>
      <c r="AE117" s="32">
        <f>IFERROR(__xludf.DUMMYFUNCTION("""COMPUTED_VALUE"""),7.531876)</f>
        <v>7.531876</v>
      </c>
      <c r="AF117" s="32">
        <f>IFERROR(__xludf.DUMMYFUNCTION("""COMPUTED_VALUE"""),1.728652)</f>
        <v>1.728652</v>
      </c>
      <c r="AG117" s="32">
        <f>IFERROR(__xludf.DUMMYFUNCTION("""COMPUTED_VALUE"""),0.8756)</f>
        <v>0.8756</v>
      </c>
      <c r="AH117" s="32">
        <f>IFERROR(__xludf.DUMMYFUNCTION("""COMPUTED_VALUE"""),11.354405)</f>
        <v>11.354405</v>
      </c>
      <c r="AI117" s="32">
        <f>IFERROR(__xludf.DUMMYFUNCTION("""COMPUTED_VALUE"""),1.6514241416035884)</f>
        <v>1.651424142</v>
      </c>
      <c r="AJ117" s="32">
        <f>IFERROR(__xludf.DUMMYFUNCTION("""COMPUTED_VALUE"""),17.752787646232786)</f>
        <v>17.75278765</v>
      </c>
      <c r="AK117" s="32">
        <f>IFERROR(__xludf.DUMMYFUNCTION("""COMPUTED_VALUE"""),67.1576)</f>
        <v>67.1576</v>
      </c>
      <c r="AL117" s="32">
        <f>IFERROR(__xludf.DUMMYFUNCTION("""COMPUTED_VALUE"""),393.2034)</f>
        <v>393.2034</v>
      </c>
      <c r="AM117" s="32">
        <f>IFERROR(__xludf.DUMMYFUNCTION("""COMPUTED_VALUE"""),83.152448)</f>
        <v>83.152448</v>
      </c>
      <c r="AN117" s="32">
        <f>IFERROR(__xludf.DUMMYFUNCTION("""COMPUTED_VALUE"""),28.397835)</f>
        <v>28.397835</v>
      </c>
      <c r="AO117" s="32">
        <f>IFERROR(__xludf.DUMMYFUNCTION("""COMPUTED_VALUE"""),11.55)</f>
        <v>11.55</v>
      </c>
      <c r="AP117" s="32">
        <f>IFERROR(__xludf.DUMMYFUNCTION("""COMPUTED_VALUE"""),0.007590275429301571)</f>
        <v>0.007590275429</v>
      </c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>
      <c r="A118" s="13" t="str">
        <f>IFERROR(__xludf.DUMMYFUNCTION("""COMPUTED_VALUE"""),"ITC Ltd.")</f>
        <v>ITC Ltd.</v>
      </c>
      <c r="B118" s="30">
        <f>IFERROR(__xludf.DUMMYFUNCTION("""COMPUTED_VALUE"""),500875.0)</f>
        <v>500875</v>
      </c>
      <c r="C118" s="13" t="str">
        <f>IFERROR(__xludf.DUMMYFUNCTION("""COMPUTED_VALUE"""),"ITC")</f>
        <v>ITC</v>
      </c>
      <c r="D118" s="13" t="str">
        <f>IFERROR(__xludf.DUMMYFUNCTION("""COMPUTED_VALUE"""),"INE154A01025")</f>
        <v>INE154A01025</v>
      </c>
      <c r="E118" s="13" t="str">
        <f>IFERROR(__xludf.DUMMYFUNCTION("""COMPUTED_VALUE"""),"Consumer Staples")</f>
        <v>Consumer Staples</v>
      </c>
      <c r="F118" s="13" t="str">
        <f>IFERROR(__xludf.DUMMYFUNCTION("""COMPUTED_VALUE"""),"Tobacco Products")</f>
        <v>Tobacco Products</v>
      </c>
      <c r="G118" s="31">
        <f>IFERROR(__xludf.DUMMYFUNCTION("""COMPUTED_VALUE"""),44809.0)</f>
        <v>44809</v>
      </c>
      <c r="H118" s="32">
        <f>IFERROR(__xludf.DUMMYFUNCTION("""COMPUTED_VALUE"""),328.85)</f>
        <v>328.85</v>
      </c>
      <c r="I118" s="32">
        <f>IFERROR(__xludf.DUMMYFUNCTION("""COMPUTED_VALUE"""),1.763887)</f>
        <v>1.763887</v>
      </c>
      <c r="J118" s="32">
        <f>IFERROR(__xludf.DUMMYFUNCTION("""COMPUTED_VALUE"""),207.0)</f>
        <v>207</v>
      </c>
      <c r="K118" s="32">
        <f>IFERROR(__xludf.DUMMYFUNCTION("""COMPUTED_VALUE"""),329.65)</f>
        <v>329.65</v>
      </c>
      <c r="L118" s="32">
        <f>IFERROR(__xludf.DUMMYFUNCTION("""COMPUTED_VALUE"""),134.6)</f>
        <v>134.6</v>
      </c>
      <c r="M118" s="32">
        <f>IFERROR(__xludf.DUMMYFUNCTION("""COMPUTED_VALUE"""),329.65)</f>
        <v>329.65</v>
      </c>
      <c r="N118" s="32">
        <f>IFERROR(__xludf.DUMMYFUNCTION("""COMPUTED_VALUE"""),134.6)</f>
        <v>134.6</v>
      </c>
      <c r="O118" s="32">
        <f>IFERROR(__xludf.DUMMYFUNCTION("""COMPUTED_VALUE"""),329.65)</f>
        <v>329.65</v>
      </c>
      <c r="P118" s="32">
        <f>IFERROR(__xludf.DUMMYFUNCTION("""COMPUTED_VALUE"""),10.884444)</f>
        <v>10.884444</v>
      </c>
      <c r="Q118" s="32">
        <f>IFERROR(__xludf.DUMMYFUNCTION("""COMPUTED_VALUE"""),367.7)</f>
        <v>367.7</v>
      </c>
      <c r="R118" s="32">
        <f>IFERROR(__xludf.DUMMYFUNCTION("""COMPUTED_VALUE"""),407540.18570978503)</f>
        <v>407540.1857</v>
      </c>
      <c r="S118" s="32">
        <f>IFERROR(__xludf.DUMMYFUNCTION("""COMPUTED_VALUE"""),383377.2350943)</f>
        <v>383377.2351</v>
      </c>
      <c r="T118" s="32">
        <f>IFERROR(__xludf.DUMMYFUNCTION("""COMPUTED_VALUE"""),5.097475)</f>
        <v>5.097475</v>
      </c>
      <c r="U118" s="32">
        <f>IFERROR(__xludf.DUMMYFUNCTION("""COMPUTED_VALUE"""),6.252019)</f>
        <v>6.252019</v>
      </c>
      <c r="V118" s="32">
        <f>IFERROR(__xludf.DUMMYFUNCTION("""COMPUTED_VALUE"""),20.590392)</f>
        <v>20.590392</v>
      </c>
      <c r="W118" s="32">
        <f>IFERROR(__xludf.DUMMYFUNCTION("""COMPUTED_VALUE"""),56.149098)</f>
        <v>56.149098</v>
      </c>
      <c r="X118" s="32">
        <f>IFERROR(__xludf.DUMMYFUNCTION("""COMPUTED_VALUE"""),10.572806)</f>
        <v>10.572806</v>
      </c>
      <c r="Y118" s="32">
        <f>IFERROR(__xludf.DUMMYFUNCTION("""COMPUTED_VALUE"""),3.041363)</f>
        <v>3.041363</v>
      </c>
      <c r="Z118" s="32">
        <f>IFERROR(__xludf.DUMMYFUNCTION("""COMPUTED_VALUE"""),6.350415)</f>
        <v>6.350415</v>
      </c>
      <c r="AA118" s="32">
        <f>IFERROR(__xludf.DUMMYFUNCTION("""COMPUTED_VALUE"""),24.9094)</f>
        <v>24.9094</v>
      </c>
      <c r="AB118" s="32">
        <f>IFERROR(__xludf.DUMMYFUNCTION("""COMPUTED_VALUE"""),21.5394)</f>
        <v>21.5394</v>
      </c>
      <c r="AC118" s="32">
        <f>IFERROR(__xludf.DUMMYFUNCTION("""COMPUTED_VALUE"""),6.2098)</f>
        <v>6.2098</v>
      </c>
      <c r="AD118" s="32">
        <f>IFERROR(__xludf.DUMMYFUNCTION("""COMPUTED_VALUE"""),5.0631)</f>
        <v>5.0631</v>
      </c>
      <c r="AE118" s="32">
        <f>IFERROR(__xludf.DUMMYFUNCTION("""COMPUTED_VALUE"""),6.13257)</f>
        <v>6.13257</v>
      </c>
      <c r="AF118" s="32">
        <f>IFERROR(__xludf.DUMMYFUNCTION("""COMPUTED_VALUE"""),3.060148)</f>
        <v>3.060148</v>
      </c>
      <c r="AG118" s="32">
        <f>IFERROR(__xludf.DUMMYFUNCTION("""COMPUTED_VALUE"""),3.4981)</f>
        <v>3.4981</v>
      </c>
      <c r="AH118" s="32">
        <f>IFERROR(__xludf.DUMMYFUNCTION("""COMPUTED_VALUE"""),15.972827)</f>
        <v>15.972827</v>
      </c>
      <c r="AI118" s="32">
        <f>IFERROR(__xludf.DUMMYFUNCTION("""COMPUTED_VALUE"""),5.810661072677501)</f>
        <v>5.810661073</v>
      </c>
      <c r="AJ118" s="32">
        <f>IFERROR(__xludf.DUMMYFUNCTION("""COMPUTED_VALUE"""),25.8337249134757)</f>
        <v>25.83372491</v>
      </c>
      <c r="AK118" s="32">
        <f>IFERROR(__xludf.DUMMYFUNCTION("""COMPUTED_VALUE"""),13.1978)</f>
        <v>13.1978</v>
      </c>
      <c r="AL118" s="32">
        <f>IFERROR(__xludf.DUMMYFUNCTION("""COMPUTED_VALUE"""),52.9404)</f>
        <v>52.9404</v>
      </c>
      <c r="AM118" s="32">
        <f>IFERROR(__xludf.DUMMYFUNCTION("""COMPUTED_VALUE"""),12.801368)</f>
        <v>12.801368</v>
      </c>
      <c r="AN118" s="32">
        <f>IFERROR(__xludf.DUMMYFUNCTION("""COMPUTED_VALUE"""),12.153295)</f>
        <v>12.153295</v>
      </c>
      <c r="AO118" s="32">
        <f>IFERROR(__xludf.DUMMYFUNCTION("""COMPUTED_VALUE"""),11.5)</f>
        <v>11.5</v>
      </c>
      <c r="AP118" s="32">
        <f>IFERROR(__xludf.DUMMYFUNCTION("""COMPUTED_VALUE"""),0.0024268163203396164)</f>
        <v>0.00242681632</v>
      </c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>
      <c r="A119" s="13" t="str">
        <f>IFERROR(__xludf.DUMMYFUNCTION("""COMPUTED_VALUE"""),"Petronet LNG Ltd.")</f>
        <v>Petronet LNG Ltd.</v>
      </c>
      <c r="B119" s="30">
        <f>IFERROR(__xludf.DUMMYFUNCTION("""COMPUTED_VALUE"""),532522.0)</f>
        <v>532522</v>
      </c>
      <c r="C119" s="13" t="str">
        <f>IFERROR(__xludf.DUMMYFUNCTION("""COMPUTED_VALUE"""),"PETRONET")</f>
        <v>PETRONET</v>
      </c>
      <c r="D119" s="13" t="str">
        <f>IFERROR(__xludf.DUMMYFUNCTION("""COMPUTED_VALUE"""),"INE347G01014")</f>
        <v>INE347G01014</v>
      </c>
      <c r="E119" s="13" t="str">
        <f>IFERROR(__xludf.DUMMYFUNCTION("""COMPUTED_VALUE"""),"Energy")</f>
        <v>Energy</v>
      </c>
      <c r="F119" s="13" t="str">
        <f>IFERROR(__xludf.DUMMYFUNCTION("""COMPUTED_VALUE"""),"Natural Gas Utilities")</f>
        <v>Natural Gas Utilities</v>
      </c>
      <c r="G119" s="31">
        <f>IFERROR(__xludf.DUMMYFUNCTION("""COMPUTED_VALUE"""),44809.0)</f>
        <v>44809</v>
      </c>
      <c r="H119" s="32">
        <f>IFERROR(__xludf.DUMMYFUNCTION("""COMPUTED_VALUE"""),215.95)</f>
        <v>215.95</v>
      </c>
      <c r="I119" s="32">
        <f>IFERROR(__xludf.DUMMYFUNCTION("""COMPUTED_VALUE"""),-0.254042)</f>
        <v>-0.254042</v>
      </c>
      <c r="J119" s="32">
        <f>IFERROR(__xludf.DUMMYFUNCTION("""COMPUTED_VALUE"""),190.25)</f>
        <v>190.25</v>
      </c>
      <c r="K119" s="32">
        <f>IFERROR(__xludf.DUMMYFUNCTION("""COMPUTED_VALUE"""),243.55)</f>
        <v>243.55</v>
      </c>
      <c r="L119" s="32">
        <f>IFERROR(__xludf.DUMMYFUNCTION("""COMPUTED_VALUE"""),170.4)</f>
        <v>170.4</v>
      </c>
      <c r="M119" s="32">
        <f>IFERROR(__xludf.DUMMYFUNCTION("""COMPUTED_VALUE"""),302.0)</f>
        <v>302</v>
      </c>
      <c r="N119" s="32">
        <f>IFERROR(__xludf.DUMMYFUNCTION("""COMPUTED_VALUE"""),170.4)</f>
        <v>170.4</v>
      </c>
      <c r="O119" s="32">
        <f>IFERROR(__xludf.DUMMYFUNCTION("""COMPUTED_VALUE"""),302.0)</f>
        <v>302</v>
      </c>
      <c r="P119" s="32">
        <f>IFERROR(__xludf.DUMMYFUNCTION("""COMPUTED_VALUE"""),6.0)</f>
        <v>6</v>
      </c>
      <c r="Q119" s="32">
        <f>IFERROR(__xludf.DUMMYFUNCTION("""COMPUTED_VALUE"""),302.0)</f>
        <v>302</v>
      </c>
      <c r="R119" s="32">
        <f>IFERROR(__xludf.DUMMYFUNCTION("""COMPUTED_VALUE"""),32415.00190168)</f>
        <v>32415.0019</v>
      </c>
      <c r="S119" s="32">
        <f>IFERROR(__xludf.DUMMYFUNCTION("""COMPUTED_VALUE"""),27280.89190432)</f>
        <v>27280.8919</v>
      </c>
      <c r="T119" s="32">
        <f>IFERROR(__xludf.DUMMYFUNCTION("""COMPUTED_VALUE"""),-1.460187)</f>
        <v>-1.460187</v>
      </c>
      <c r="U119" s="32">
        <f>IFERROR(__xludf.DUMMYFUNCTION("""COMPUTED_VALUE"""),1.171234)</f>
        <v>1.171234</v>
      </c>
      <c r="V119" s="32">
        <f>IFERROR(__xludf.DUMMYFUNCTION("""COMPUTED_VALUE"""),-4.657837)</f>
        <v>-4.657837</v>
      </c>
      <c r="W119" s="32">
        <f>IFERROR(__xludf.DUMMYFUNCTION("""COMPUTED_VALUE"""),-6.02698)</f>
        <v>-6.02698</v>
      </c>
      <c r="X119" s="32">
        <f>IFERROR(__xludf.DUMMYFUNCTION("""COMPUTED_VALUE"""),-6.671462)</f>
        <v>-6.671462</v>
      </c>
      <c r="Y119" s="32">
        <f>IFERROR(__xludf.DUMMYFUNCTION("""COMPUTED_VALUE"""),-0.635982)</f>
        <v>-0.635982</v>
      </c>
      <c r="Z119" s="32">
        <f>IFERROR(__xludf.DUMMYFUNCTION("""COMPUTED_VALUE"""),10.547543)</f>
        <v>10.547543</v>
      </c>
      <c r="AA119" s="32">
        <f>IFERROR(__xludf.DUMMYFUNCTION("""COMPUTED_VALUE"""),9.2803)</f>
        <v>9.2803</v>
      </c>
      <c r="AB119" s="32">
        <f>IFERROR(__xludf.DUMMYFUNCTION("""COMPUTED_VALUE"""),14.4864)</f>
        <v>14.4864</v>
      </c>
      <c r="AC119" s="32">
        <f>IFERROR(__xludf.DUMMYFUNCTION("""COMPUTED_VALUE"""),2.2587)</f>
        <v>2.2587</v>
      </c>
      <c r="AD119" s="32">
        <f>IFERROR(__xludf.DUMMYFUNCTION("""COMPUTED_VALUE"""),3.2206)</f>
        <v>3.2206</v>
      </c>
      <c r="AE119" s="32">
        <f>IFERROR(__xludf.DUMMYFUNCTION("""COMPUTED_VALUE"""),19.091536)</f>
        <v>19.091536</v>
      </c>
      <c r="AF119" s="32">
        <f>IFERROR(__xludf.DUMMYFUNCTION("""COMPUTED_VALUE"""),0.645289)</f>
        <v>0.645289</v>
      </c>
      <c r="AG119" s="32">
        <f>IFERROR(__xludf.DUMMYFUNCTION("""COMPUTED_VALUE"""),5.3228)</f>
        <v>5.3228</v>
      </c>
      <c r="AH119" s="32">
        <f>IFERROR(__xludf.DUMMYFUNCTION("""COMPUTED_VALUE"""),4.859006)</f>
        <v>4.859006</v>
      </c>
      <c r="AI119" s="32">
        <f>IFERROR(__xludf.DUMMYFUNCTION("""COMPUTED_VALUE"""),0.663772712721685)</f>
        <v>0.6637727127</v>
      </c>
      <c r="AJ119" s="32">
        <f>IFERROR(__xludf.DUMMYFUNCTION("""COMPUTED_VALUE"""),9.344784593338291)</f>
        <v>9.344784593</v>
      </c>
      <c r="AK119" s="32">
        <f>IFERROR(__xludf.DUMMYFUNCTION("""COMPUTED_VALUE"""),23.2859)</f>
        <v>23.2859</v>
      </c>
      <c r="AL119" s="32">
        <f>IFERROR(__xludf.DUMMYFUNCTION("""COMPUTED_VALUE"""),95.674)</f>
        <v>95.674</v>
      </c>
      <c r="AM119" s="32">
        <f>IFERROR(__xludf.DUMMYFUNCTION("""COMPUTED_VALUE"""),23.1252)</f>
        <v>23.1252</v>
      </c>
      <c r="AN119" s="32">
        <f>IFERROR(__xludf.DUMMYFUNCTION("""COMPUTED_VALUE"""),22.6798)</f>
        <v>22.6798</v>
      </c>
      <c r="AO119" s="32">
        <f>IFERROR(__xludf.DUMMYFUNCTION("""COMPUTED_VALUE"""),11.5)</f>
        <v>11.5</v>
      </c>
      <c r="AP119" s="32">
        <f>IFERROR(__xludf.DUMMYFUNCTION("""COMPUTED_VALUE"""),0.11332375282282908)</f>
        <v>0.1133237528</v>
      </c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>
      <c r="A120" s="13" t="str">
        <f>IFERROR(__xludf.DUMMYFUNCTION("""COMPUTED_VALUE"""),"Aditya Birla Sun Life AMC Ltd.")</f>
        <v>Aditya Birla Sun Life AMC Ltd.</v>
      </c>
      <c r="B120" s="30">
        <f>IFERROR(__xludf.DUMMYFUNCTION("""COMPUTED_VALUE"""),543374.0)</f>
        <v>543374</v>
      </c>
      <c r="C120" s="13" t="str">
        <f>IFERROR(__xludf.DUMMYFUNCTION("""COMPUTED_VALUE"""),"ABSLAMC")</f>
        <v>ABSLAMC</v>
      </c>
      <c r="D120" s="13" t="str">
        <f>IFERROR(__xludf.DUMMYFUNCTION("""COMPUTED_VALUE"""),"INE404A01024")</f>
        <v>INE404A01024</v>
      </c>
      <c r="E120" s="13" t="str">
        <f>IFERROR(__xludf.DUMMYFUNCTION("""COMPUTED_VALUE"""),"Financial")</f>
        <v>Financial</v>
      </c>
      <c r="F120" s="13" t="str">
        <f>IFERROR(__xludf.DUMMYFUNCTION("""COMPUTED_VALUE"""),"Asset Management Companies")</f>
        <v>Asset Management Companies</v>
      </c>
      <c r="G120" s="31">
        <f>IFERROR(__xludf.DUMMYFUNCTION("""COMPUTED_VALUE"""),44809.0)</f>
        <v>44809</v>
      </c>
      <c r="H120" s="32">
        <f>IFERROR(__xludf.DUMMYFUNCTION("""COMPUTED_VALUE"""),474.0)</f>
        <v>474</v>
      </c>
      <c r="I120" s="32">
        <f>IFERROR(__xludf.DUMMYFUNCTION("""COMPUTED_VALUE"""),-0.010547)</f>
        <v>-0.010547</v>
      </c>
      <c r="J120" s="32">
        <f>IFERROR(__xludf.DUMMYFUNCTION("""COMPUTED_VALUE"""),375.0)</f>
        <v>375</v>
      </c>
      <c r="K120" s="32">
        <f>IFERROR(__xludf.DUMMYFUNCTION("""COMPUTED_VALUE"""),722.9)</f>
        <v>722.9</v>
      </c>
      <c r="L120" s="13"/>
      <c r="M120" s="13"/>
      <c r="N120" s="13"/>
      <c r="O120" s="13"/>
      <c r="P120" s="32">
        <f>IFERROR(__xludf.DUMMYFUNCTION("""COMPUTED_VALUE"""),375.0)</f>
        <v>375</v>
      </c>
      <c r="Q120" s="32">
        <f>IFERROR(__xludf.DUMMYFUNCTION("""COMPUTED_VALUE"""),722.9)</f>
        <v>722.9</v>
      </c>
      <c r="R120" s="32">
        <f>IFERROR(__xludf.DUMMYFUNCTION("""COMPUTED_VALUE"""),13638.24)</f>
        <v>13638.24</v>
      </c>
      <c r="S120" s="32">
        <f>IFERROR(__xludf.DUMMYFUNCTION("""COMPUTED_VALUE"""),13551.8307)</f>
        <v>13551.8307</v>
      </c>
      <c r="T120" s="32">
        <f>IFERROR(__xludf.DUMMYFUNCTION("""COMPUTED_VALUE"""),5.029914)</f>
        <v>5.029914</v>
      </c>
      <c r="U120" s="32">
        <f>IFERROR(__xludf.DUMMYFUNCTION("""COMPUTED_VALUE"""),11.072056)</f>
        <v>11.072056</v>
      </c>
      <c r="V120" s="32">
        <f>IFERROR(__xludf.DUMMYFUNCTION("""COMPUTED_VALUE"""),13.275182)</f>
        <v>13.275182</v>
      </c>
      <c r="W120" s="13"/>
      <c r="X120" s="13"/>
      <c r="Y120" s="13"/>
      <c r="Z120" s="13"/>
      <c r="AA120" s="32">
        <f>IFERROR(__xludf.DUMMYFUNCTION("""COMPUTED_VALUE"""),21.9735)</f>
        <v>21.9735</v>
      </c>
      <c r="AB120" s="32">
        <f>IFERROR(__xludf.DUMMYFUNCTION("""COMPUTED_VALUE"""),27.7312)</f>
        <v>27.7312</v>
      </c>
      <c r="AC120" s="32">
        <f>IFERROR(__xludf.DUMMYFUNCTION("""COMPUTED_VALUE"""),6.0587)</f>
        <v>6.0587</v>
      </c>
      <c r="AD120" s="32">
        <f>IFERROR(__xludf.DUMMYFUNCTION("""COMPUTED_VALUE"""),3.8034)</f>
        <v>3.8034</v>
      </c>
      <c r="AE120" s="32">
        <f>IFERROR(__xludf.DUMMYFUNCTION("""COMPUTED_VALUE"""),6.805176)</f>
        <v>6.805176</v>
      </c>
      <c r="AF120" s="13"/>
      <c r="AG120" s="32">
        <f>IFERROR(__xludf.DUMMYFUNCTION("""COMPUTED_VALUE"""),2.4192)</f>
        <v>2.4192</v>
      </c>
      <c r="AH120" s="32">
        <f>IFERROR(__xludf.DUMMYFUNCTION("""COMPUTED_VALUE"""),15.581205)</f>
        <v>15.581205</v>
      </c>
      <c r="AI120" s="32">
        <f>IFERROR(__xludf.DUMMYFUNCTION("""COMPUTED_VALUE"""),10.537228490347225)</f>
        <v>10.53722849</v>
      </c>
      <c r="AJ120" s="32">
        <f>IFERROR(__xludf.DUMMYFUNCTION("""COMPUTED_VALUE"""),24.216476360497047)</f>
        <v>24.21647636</v>
      </c>
      <c r="AK120" s="32">
        <f>IFERROR(__xludf.DUMMYFUNCTION("""COMPUTED_VALUE"""),21.5509)</f>
        <v>21.5509</v>
      </c>
      <c r="AL120" s="32">
        <f>IFERROR(__xludf.DUMMYFUNCTION("""COMPUTED_VALUE"""),78.1602)</f>
        <v>78.1602</v>
      </c>
      <c r="AM120" s="32">
        <f>IFERROR(__xludf.DUMMYFUNCTION("""COMPUTED_VALUE"""),19.554868)</f>
        <v>19.554868</v>
      </c>
      <c r="AN120" s="32">
        <f>IFERROR(__xludf.DUMMYFUNCTION("""COMPUTED_VALUE"""),21.46609)</f>
        <v>21.46609</v>
      </c>
      <c r="AO120" s="32">
        <f>IFERROR(__xludf.DUMMYFUNCTION("""COMPUTED_VALUE"""),11.45)</f>
        <v>11.45</v>
      </c>
      <c r="AP120" s="32">
        <f>IFERROR(__xludf.DUMMYFUNCTION("""COMPUTED_VALUE"""),0.3443076497440863)</f>
        <v>0.3443076497</v>
      </c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>
      <c r="A121" s="13" t="str">
        <f>IFERROR(__xludf.DUMMYFUNCTION("""COMPUTED_VALUE"""),"EID-Parry (India) Ltd.")</f>
        <v>EID-Parry (India) Ltd.</v>
      </c>
      <c r="B121" s="30">
        <f>IFERROR(__xludf.DUMMYFUNCTION("""COMPUTED_VALUE"""),500125.0)</f>
        <v>500125</v>
      </c>
      <c r="C121" s="13" t="str">
        <f>IFERROR(__xludf.DUMMYFUNCTION("""COMPUTED_VALUE"""),"EIDPARRY")</f>
        <v>EIDPARRY</v>
      </c>
      <c r="D121" s="13" t="str">
        <f>IFERROR(__xludf.DUMMYFUNCTION("""COMPUTED_VALUE"""),"INE126A01031")</f>
        <v>INE126A01031</v>
      </c>
      <c r="E121" s="13" t="str">
        <f>IFERROR(__xludf.DUMMYFUNCTION("""COMPUTED_VALUE"""),"Consumer Staples")</f>
        <v>Consumer Staples</v>
      </c>
      <c r="F121" s="13" t="str">
        <f>IFERROR(__xludf.DUMMYFUNCTION("""COMPUTED_VALUE"""),"Sugar")</f>
        <v>Sugar</v>
      </c>
      <c r="G121" s="31">
        <f>IFERROR(__xludf.DUMMYFUNCTION("""COMPUTED_VALUE"""),44809.0)</f>
        <v>44809</v>
      </c>
      <c r="H121" s="32">
        <f>IFERROR(__xludf.DUMMYFUNCTION("""COMPUTED_VALUE"""),534.65)</f>
        <v>534.65</v>
      </c>
      <c r="I121" s="32">
        <f>IFERROR(__xludf.DUMMYFUNCTION("""COMPUTED_VALUE"""),0.772783)</f>
        <v>0.772783</v>
      </c>
      <c r="J121" s="32">
        <f>IFERROR(__xludf.DUMMYFUNCTION("""COMPUTED_VALUE"""),391.75)</f>
        <v>391.75</v>
      </c>
      <c r="K121" s="32">
        <f>IFERROR(__xludf.DUMMYFUNCTION("""COMPUTED_VALUE"""),591.3)</f>
        <v>591.3</v>
      </c>
      <c r="L121" s="32">
        <f>IFERROR(__xludf.DUMMYFUNCTION("""COMPUTED_VALUE"""),100.0)</f>
        <v>100</v>
      </c>
      <c r="M121" s="32">
        <f>IFERROR(__xludf.DUMMYFUNCTION("""COMPUTED_VALUE"""),591.3)</f>
        <v>591.3</v>
      </c>
      <c r="N121" s="32">
        <f>IFERROR(__xludf.DUMMYFUNCTION("""COMPUTED_VALUE"""),100.0)</f>
        <v>100</v>
      </c>
      <c r="O121" s="32">
        <f>IFERROR(__xludf.DUMMYFUNCTION("""COMPUTED_VALUE"""),591.3)</f>
        <v>591.3</v>
      </c>
      <c r="P121" s="32">
        <f>IFERROR(__xludf.DUMMYFUNCTION("""COMPUTED_VALUE"""),5.21)</f>
        <v>5.21</v>
      </c>
      <c r="Q121" s="32">
        <f>IFERROR(__xludf.DUMMYFUNCTION("""COMPUTED_VALUE"""),591.3)</f>
        <v>591.3</v>
      </c>
      <c r="R121" s="32">
        <f>IFERROR(__xludf.DUMMYFUNCTION("""COMPUTED_VALUE"""),9488.658370325)</f>
        <v>9488.65837</v>
      </c>
      <c r="S121" s="32">
        <f>IFERROR(__xludf.DUMMYFUNCTION("""COMPUTED_VALUE"""),8383.274462175)</f>
        <v>8383.274462</v>
      </c>
      <c r="T121" s="32">
        <f>IFERROR(__xludf.DUMMYFUNCTION("""COMPUTED_VALUE"""),0.91544)</f>
        <v>0.91544</v>
      </c>
      <c r="U121" s="32">
        <f>IFERROR(__xludf.DUMMYFUNCTION("""COMPUTED_VALUE"""),-3.143116)</f>
        <v>-3.143116</v>
      </c>
      <c r="V121" s="32">
        <f>IFERROR(__xludf.DUMMYFUNCTION("""COMPUTED_VALUE"""),2.276423)</f>
        <v>2.276423</v>
      </c>
      <c r="W121" s="32">
        <f>IFERROR(__xludf.DUMMYFUNCTION("""COMPUTED_VALUE"""),30.705293)</f>
        <v>30.705293</v>
      </c>
      <c r="X121" s="32">
        <f>IFERROR(__xludf.DUMMYFUNCTION("""COMPUTED_VALUE"""),53.129298)</f>
        <v>53.129298</v>
      </c>
      <c r="Y121" s="32">
        <f>IFERROR(__xludf.DUMMYFUNCTION("""COMPUTED_VALUE"""),10.573863)</f>
        <v>10.573863</v>
      </c>
      <c r="Z121" s="32">
        <f>IFERROR(__xludf.DUMMYFUNCTION("""COMPUTED_VALUE"""),8.697795)</f>
        <v>8.697795</v>
      </c>
      <c r="AA121" s="32">
        <f>IFERROR(__xludf.DUMMYFUNCTION("""COMPUTED_VALUE"""),9.0278)</f>
        <v>9.0278</v>
      </c>
      <c r="AB121" s="32">
        <f>IFERROR(__xludf.DUMMYFUNCTION("""COMPUTED_VALUE"""),10.88705)</f>
        <v>10.88705</v>
      </c>
      <c r="AC121" s="32">
        <f>IFERROR(__xludf.DUMMYFUNCTION("""COMPUTED_VALUE"""),1.6322)</f>
        <v>1.6322</v>
      </c>
      <c r="AD121" s="32">
        <f>IFERROR(__xludf.DUMMYFUNCTION("""COMPUTED_VALUE"""),1.38705)</f>
        <v>1.38705</v>
      </c>
      <c r="AE121" s="32">
        <f>IFERROR(__xludf.DUMMYFUNCTION("""COMPUTED_VALUE"""),32.686815)</f>
        <v>32.686815</v>
      </c>
      <c r="AF121" s="32">
        <f>IFERROR(__xludf.DUMMYFUNCTION("""COMPUTED_VALUE"""),0.444404)</f>
        <v>0.444404</v>
      </c>
      <c r="AG121" s="32">
        <f>IFERROR(__xludf.DUMMYFUNCTION("""COMPUTED_VALUE"""),2.0524)</f>
        <v>2.0524</v>
      </c>
      <c r="AH121" s="32">
        <f>IFERROR(__xludf.DUMMYFUNCTION("""COMPUTED_VALUE"""),2.90146)</f>
        <v>2.90146</v>
      </c>
      <c r="AI121" s="32">
        <f>IFERROR(__xludf.DUMMYFUNCTION("""COMPUTED_VALUE"""),0.3604994200543143)</f>
        <v>0.3604994201</v>
      </c>
      <c r="AJ121" s="32">
        <f>IFERROR(__xludf.DUMMYFUNCTION("""COMPUTED_VALUE"""),4.164614804391239)</f>
        <v>4.164614804</v>
      </c>
      <c r="AK121" s="32">
        <f>IFERROR(__xludf.DUMMYFUNCTION("""COMPUTED_VALUE"""),59.1894)</f>
        <v>59.1894</v>
      </c>
      <c r="AL121" s="32">
        <f>IFERROR(__xludf.DUMMYFUNCTION("""COMPUTED_VALUE"""),327.3866)</f>
        <v>327.3866</v>
      </c>
      <c r="AM121" s="32">
        <f>IFERROR(__xludf.DUMMYFUNCTION("""COMPUTED_VALUE"""),128.43292)</f>
        <v>128.43292</v>
      </c>
      <c r="AN121" s="32">
        <f>IFERROR(__xludf.DUMMYFUNCTION("""COMPUTED_VALUE"""),94.267756)</f>
        <v>94.267756</v>
      </c>
      <c r="AO121" s="32">
        <f>IFERROR(__xludf.DUMMYFUNCTION("""COMPUTED_VALUE"""),11.0)</f>
        <v>11</v>
      </c>
      <c r="AP121" s="32">
        <f>IFERROR(__xludf.DUMMYFUNCTION("""COMPUTED_VALUE"""),0.09580585151361404)</f>
        <v>0.09580585151</v>
      </c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>
      <c r="A122" s="13" t="str">
        <f>IFERROR(__xludf.DUMMYFUNCTION("""COMPUTED_VALUE"""),"Indus Towers Ltd.")</f>
        <v>Indus Towers Ltd.</v>
      </c>
      <c r="B122" s="30">
        <f>IFERROR(__xludf.DUMMYFUNCTION("""COMPUTED_VALUE"""),534816.0)</f>
        <v>534816</v>
      </c>
      <c r="C122" s="13" t="str">
        <f>IFERROR(__xludf.DUMMYFUNCTION("""COMPUTED_VALUE"""),"INDUSTOWER")</f>
        <v>INDUSTOWER</v>
      </c>
      <c r="D122" s="13" t="str">
        <f>IFERROR(__xludf.DUMMYFUNCTION("""COMPUTED_VALUE"""),"INE121J01017")</f>
        <v>INE121J01017</v>
      </c>
      <c r="E122" s="13" t="str">
        <f>IFERROR(__xludf.DUMMYFUNCTION("""COMPUTED_VALUE"""),"Communication")</f>
        <v>Communication</v>
      </c>
      <c r="F122" s="13" t="str">
        <f>IFERROR(__xludf.DUMMYFUNCTION("""COMPUTED_VALUE"""),"Communication Equipment")</f>
        <v>Communication Equipment</v>
      </c>
      <c r="G122" s="31">
        <f>IFERROR(__xludf.DUMMYFUNCTION("""COMPUTED_VALUE"""),44809.0)</f>
        <v>44809</v>
      </c>
      <c r="H122" s="32">
        <f>IFERROR(__xludf.DUMMYFUNCTION("""COMPUTED_VALUE"""),199.6)</f>
        <v>199.6</v>
      </c>
      <c r="I122" s="32">
        <f>IFERROR(__xludf.DUMMYFUNCTION("""COMPUTED_VALUE"""),0.150527)</f>
        <v>0.150527</v>
      </c>
      <c r="J122" s="32">
        <f>IFERROR(__xludf.DUMMYFUNCTION("""COMPUTED_VALUE"""),181.2)</f>
        <v>181.2</v>
      </c>
      <c r="K122" s="32">
        <f>IFERROR(__xludf.DUMMYFUNCTION("""COMPUTED_VALUE"""),332.8)</f>
        <v>332.8</v>
      </c>
      <c r="L122" s="32">
        <f>IFERROR(__xludf.DUMMYFUNCTION("""COMPUTED_VALUE"""),120.05)</f>
        <v>120.05</v>
      </c>
      <c r="M122" s="32">
        <f>IFERROR(__xludf.DUMMYFUNCTION("""COMPUTED_VALUE"""),332.8)</f>
        <v>332.8</v>
      </c>
      <c r="N122" s="32">
        <f>IFERROR(__xludf.DUMMYFUNCTION("""COMPUTED_VALUE"""),120.05)</f>
        <v>120.05</v>
      </c>
      <c r="O122" s="32">
        <f>IFERROR(__xludf.DUMMYFUNCTION("""COMPUTED_VALUE"""),482.8)</f>
        <v>482.8</v>
      </c>
      <c r="P122" s="32">
        <f>IFERROR(__xludf.DUMMYFUNCTION("""COMPUTED_VALUE"""),120.05)</f>
        <v>120.05</v>
      </c>
      <c r="Q122" s="32">
        <f>IFERROR(__xludf.DUMMYFUNCTION("""COMPUTED_VALUE"""),505.0)</f>
        <v>505</v>
      </c>
      <c r="R122" s="32">
        <f>IFERROR(__xludf.DUMMYFUNCTION("""COMPUTED_VALUE"""),53777.46683725001)</f>
        <v>53777.46684</v>
      </c>
      <c r="S122" s="32">
        <f>IFERROR(__xludf.DUMMYFUNCTION("""COMPUTED_VALUE"""),56564.59341350001)</f>
        <v>56564.59341</v>
      </c>
      <c r="T122" s="32">
        <f>IFERROR(__xludf.DUMMYFUNCTION("""COMPUTED_VALUE"""),-0.59761)</f>
        <v>-0.59761</v>
      </c>
      <c r="U122" s="32">
        <f>IFERROR(__xludf.DUMMYFUNCTION("""COMPUTED_VALUE"""),-1.81997)</f>
        <v>-1.81997</v>
      </c>
      <c r="V122" s="32">
        <f>IFERROR(__xludf.DUMMYFUNCTION("""COMPUTED_VALUE"""),-0.967502)</f>
        <v>-0.967502</v>
      </c>
      <c r="W122" s="32">
        <f>IFERROR(__xludf.DUMMYFUNCTION("""COMPUTED_VALUE"""),-11.544427)</f>
        <v>-11.544427</v>
      </c>
      <c r="X122" s="32">
        <f>IFERROR(__xludf.DUMMYFUNCTION("""COMPUTED_VALUE"""),-6.987689)</f>
        <v>-6.987689</v>
      </c>
      <c r="Y122" s="32">
        <f>IFERROR(__xludf.DUMMYFUNCTION("""COMPUTED_VALUE"""),-11.978004)</f>
        <v>-11.978004</v>
      </c>
      <c r="Z122" s="13"/>
      <c r="AA122" s="32">
        <f>IFERROR(__xludf.DUMMYFUNCTION("""COMPUTED_VALUE"""),9.8945)</f>
        <v>9.8945</v>
      </c>
      <c r="AB122" s="32">
        <f>IFERROR(__xludf.DUMMYFUNCTION("""COMPUTED_VALUE"""),17.23135)</f>
        <v>17.23135</v>
      </c>
      <c r="AC122" s="32">
        <f>IFERROR(__xludf.DUMMYFUNCTION("""COMPUTED_VALUE"""),2.3776)</f>
        <v>2.3776</v>
      </c>
      <c r="AD122" s="32">
        <f>IFERROR(__xludf.DUMMYFUNCTION("""COMPUTED_VALUE"""),3.3564)</f>
        <v>3.3564</v>
      </c>
      <c r="AE122" s="32">
        <f>IFERROR(__xludf.DUMMYFUNCTION("""COMPUTED_VALUE"""),16.350483)</f>
        <v>16.350483</v>
      </c>
      <c r="AF122" s="32">
        <f>IFERROR(__xludf.DUMMYFUNCTION("""COMPUTED_VALUE"""),0.320557)</f>
        <v>0.320557</v>
      </c>
      <c r="AG122" s="32">
        <f>IFERROR(__xludf.DUMMYFUNCTION("""COMPUTED_VALUE"""),5.5124)</f>
        <v>5.5124</v>
      </c>
      <c r="AH122" s="32">
        <f>IFERROR(__xludf.DUMMYFUNCTION("""COMPUTED_VALUE"""),3.99428)</f>
        <v>3.99428</v>
      </c>
      <c r="AI122" s="32">
        <f>IFERROR(__xludf.DUMMYFUNCTION("""COMPUTED_VALUE"""),1.9332242953985803)</f>
        <v>1.933224295</v>
      </c>
      <c r="AJ122" s="32">
        <f>IFERROR(__xludf.DUMMYFUNCTION("""COMPUTED_VALUE"""),5.895876292291586)</f>
        <v>5.895876292</v>
      </c>
      <c r="AK122" s="32">
        <f>IFERROR(__xludf.DUMMYFUNCTION("""COMPUTED_VALUE"""),20.1678)</f>
        <v>20.1678</v>
      </c>
      <c r="AL122" s="32">
        <f>IFERROR(__xludf.DUMMYFUNCTION("""COMPUTED_VALUE"""),83.9279)</f>
        <v>83.9279</v>
      </c>
      <c r="AM122" s="32">
        <f>IFERROR(__xludf.DUMMYFUNCTION("""COMPUTED_VALUE"""),33.846154)</f>
        <v>33.846154</v>
      </c>
      <c r="AN122" s="32">
        <f>IFERROR(__xludf.DUMMYFUNCTION("""COMPUTED_VALUE"""),18.641137)</f>
        <v>18.641137</v>
      </c>
      <c r="AO122" s="32">
        <f>IFERROR(__xludf.DUMMYFUNCTION("""COMPUTED_VALUE"""),11.0)</f>
        <v>11</v>
      </c>
      <c r="AP122" s="32">
        <f>IFERROR(__xludf.DUMMYFUNCTION("""COMPUTED_VALUE"""),0.40024038461538464)</f>
        <v>0.4002403846</v>
      </c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>
      <c r="A123" s="13" t="str">
        <f>IFERROR(__xludf.DUMMYFUNCTION("""COMPUTED_VALUE"""),"Kajaria Ceramics Ltd.")</f>
        <v>Kajaria Ceramics Ltd.</v>
      </c>
      <c r="B123" s="30">
        <f>IFERROR(__xludf.DUMMYFUNCTION("""COMPUTED_VALUE"""),500233.0)</f>
        <v>500233</v>
      </c>
      <c r="C123" s="13" t="str">
        <f>IFERROR(__xludf.DUMMYFUNCTION("""COMPUTED_VALUE"""),"KAJARIACER")</f>
        <v>KAJARIACER</v>
      </c>
      <c r="D123" s="13" t="str">
        <f>IFERROR(__xludf.DUMMYFUNCTION("""COMPUTED_VALUE"""),"INE217B01036")</f>
        <v>INE217B01036</v>
      </c>
      <c r="E123" s="13" t="str">
        <f>IFERROR(__xludf.DUMMYFUNCTION("""COMPUTED_VALUE"""),"Materials")</f>
        <v>Materials</v>
      </c>
      <c r="F123" s="13" t="str">
        <f>IFERROR(__xludf.DUMMYFUNCTION("""COMPUTED_VALUE"""),"Ceramic tiles")</f>
        <v>Ceramic tiles</v>
      </c>
      <c r="G123" s="31">
        <f>IFERROR(__xludf.DUMMYFUNCTION("""COMPUTED_VALUE"""),44809.0)</f>
        <v>44809</v>
      </c>
      <c r="H123" s="32">
        <f>IFERROR(__xludf.DUMMYFUNCTION("""COMPUTED_VALUE"""),1134.5)</f>
        <v>1134.5</v>
      </c>
      <c r="I123" s="32">
        <f>IFERROR(__xludf.DUMMYFUNCTION("""COMPUTED_VALUE"""),-1.813146)</f>
        <v>-1.813146</v>
      </c>
      <c r="J123" s="32">
        <f>IFERROR(__xludf.DUMMYFUNCTION("""COMPUTED_VALUE"""),885.3)</f>
        <v>885.3</v>
      </c>
      <c r="K123" s="32">
        <f>IFERROR(__xludf.DUMMYFUNCTION("""COMPUTED_VALUE"""),1379.0)</f>
        <v>1379</v>
      </c>
      <c r="L123" s="32">
        <f>IFERROR(__xludf.DUMMYFUNCTION("""COMPUTED_VALUE"""),295.4)</f>
        <v>295.4</v>
      </c>
      <c r="M123" s="32">
        <f>IFERROR(__xludf.DUMMYFUNCTION("""COMPUTED_VALUE"""),1379.0)</f>
        <v>1379</v>
      </c>
      <c r="N123" s="32">
        <f>IFERROR(__xludf.DUMMYFUNCTION("""COMPUTED_VALUE"""),295.4)</f>
        <v>295.4</v>
      </c>
      <c r="O123" s="32">
        <f>IFERROR(__xludf.DUMMYFUNCTION("""COMPUTED_VALUE"""),1379.0)</f>
        <v>1379</v>
      </c>
      <c r="P123" s="32">
        <f>IFERROR(__xludf.DUMMYFUNCTION("""COMPUTED_VALUE"""),1.41)</f>
        <v>1.41</v>
      </c>
      <c r="Q123" s="32">
        <f>IFERROR(__xludf.DUMMYFUNCTION("""COMPUTED_VALUE"""),1379.0)</f>
        <v>1379</v>
      </c>
      <c r="R123" s="32">
        <f>IFERROR(__xludf.DUMMYFUNCTION("""COMPUTED_VALUE"""),18064.9327975)</f>
        <v>18064.9328</v>
      </c>
      <c r="S123" s="32">
        <f>IFERROR(__xludf.DUMMYFUNCTION("""COMPUTED_VALUE"""),18101.268827)</f>
        <v>18101.26883</v>
      </c>
      <c r="T123" s="32">
        <f>IFERROR(__xludf.DUMMYFUNCTION("""COMPUTED_VALUE"""),-3.183137)</f>
        <v>-3.183137</v>
      </c>
      <c r="U123" s="32">
        <f>IFERROR(__xludf.DUMMYFUNCTION("""COMPUTED_VALUE"""),-0.320696)</f>
        <v>-0.320696</v>
      </c>
      <c r="V123" s="32">
        <f>IFERROR(__xludf.DUMMYFUNCTION("""COMPUTED_VALUE"""),12.099205)</f>
        <v>12.099205</v>
      </c>
      <c r="W123" s="32">
        <f>IFERROR(__xludf.DUMMYFUNCTION("""COMPUTED_VALUE"""),-5.320259)</f>
        <v>-5.320259</v>
      </c>
      <c r="X123" s="32">
        <f>IFERROR(__xludf.DUMMYFUNCTION("""COMPUTED_VALUE"""),35.432999)</f>
        <v>35.432999</v>
      </c>
      <c r="Y123" s="32">
        <f>IFERROR(__xludf.DUMMYFUNCTION("""COMPUTED_VALUE"""),10.162658)</f>
        <v>10.162658</v>
      </c>
      <c r="Z123" s="32">
        <f>IFERROR(__xludf.DUMMYFUNCTION("""COMPUTED_VALUE"""),29.253185)</f>
        <v>29.253185</v>
      </c>
      <c r="AA123" s="32">
        <f>IFERROR(__xludf.DUMMYFUNCTION("""COMPUTED_VALUE"""),42.2925)</f>
        <v>42.2925</v>
      </c>
      <c r="AB123" s="32">
        <f>IFERROR(__xludf.DUMMYFUNCTION("""COMPUTED_VALUE"""),39.9691)</f>
        <v>39.9691</v>
      </c>
      <c r="AC123" s="32">
        <f>IFERROR(__xludf.DUMMYFUNCTION("""COMPUTED_VALUE"""),8.1437)</f>
        <v>8.1437</v>
      </c>
      <c r="AD123" s="32">
        <f>IFERROR(__xludf.DUMMYFUNCTION("""COMPUTED_VALUE"""),6.17515)</f>
        <v>6.17515</v>
      </c>
      <c r="AE123" s="32">
        <f>IFERROR(__xludf.DUMMYFUNCTION("""COMPUTED_VALUE"""),3.50047)</f>
        <v>3.50047</v>
      </c>
      <c r="AF123" s="32">
        <f>IFERROR(__xludf.DUMMYFUNCTION("""COMPUTED_VALUE"""),3.312812)</f>
        <v>3.312812</v>
      </c>
      <c r="AG123" s="32">
        <f>IFERROR(__xludf.DUMMYFUNCTION("""COMPUTED_VALUE"""),0.97)</f>
        <v>0.97</v>
      </c>
      <c r="AH123" s="32">
        <f>IFERROR(__xludf.DUMMYFUNCTION("""COMPUTED_VALUE"""),25.368972)</f>
        <v>25.368972</v>
      </c>
      <c r="AI123" s="32">
        <f>IFERROR(__xludf.DUMMYFUNCTION("""COMPUTED_VALUE"""),4.35116102787981)</f>
        <v>4.351161028</v>
      </c>
      <c r="AJ123" s="32">
        <f>IFERROR(__xludf.DUMMYFUNCTION("""COMPUTED_VALUE"""),42.453780779986836)</f>
        <v>42.45378078</v>
      </c>
      <c r="AK123" s="32">
        <f>IFERROR(__xludf.DUMMYFUNCTION("""COMPUTED_VALUE"""),26.7671)</f>
        <v>26.7671</v>
      </c>
      <c r="AL123" s="32">
        <f>IFERROR(__xludf.DUMMYFUNCTION("""COMPUTED_VALUE"""),139.0088)</f>
        <v>139.0088</v>
      </c>
      <c r="AM123" s="32">
        <f>IFERROR(__xludf.DUMMYFUNCTION("""COMPUTED_VALUE"""),26.728643)</f>
        <v>26.728643</v>
      </c>
      <c r="AN123" s="32">
        <f>IFERROR(__xludf.DUMMYFUNCTION("""COMPUTED_VALUE"""),10.508794)</f>
        <v>10.508794</v>
      </c>
      <c r="AO123" s="32">
        <f>IFERROR(__xludf.DUMMYFUNCTION("""COMPUTED_VALUE"""),11.0)</f>
        <v>11</v>
      </c>
      <c r="AP123" s="32">
        <f>IFERROR(__xludf.DUMMYFUNCTION("""COMPUTED_VALUE"""),0.17730239303843365)</f>
        <v>0.177302393</v>
      </c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>
      <c r="A124" s="13" t="str">
        <f>IFERROR(__xludf.DUMMYFUNCTION("""COMPUTED_VALUE"""),"Navin Fluorine International Ltd.")</f>
        <v>Navin Fluorine International Ltd.</v>
      </c>
      <c r="B124" s="30">
        <f>IFERROR(__xludf.DUMMYFUNCTION("""COMPUTED_VALUE"""),532504.0)</f>
        <v>532504</v>
      </c>
      <c r="C124" s="13" t="str">
        <f>IFERROR(__xludf.DUMMYFUNCTION("""COMPUTED_VALUE"""),"NAVINFLUOR")</f>
        <v>NAVINFLUOR</v>
      </c>
      <c r="D124" s="13" t="str">
        <f>IFERROR(__xludf.DUMMYFUNCTION("""COMPUTED_VALUE"""),"INE048G01026")</f>
        <v>INE048G01026</v>
      </c>
      <c r="E124" s="13" t="str">
        <f>IFERROR(__xludf.DUMMYFUNCTION("""COMPUTED_VALUE"""),"Chemicals")</f>
        <v>Chemicals</v>
      </c>
      <c r="F124" s="13" t="str">
        <f>IFERROR(__xludf.DUMMYFUNCTION("""COMPUTED_VALUE"""),"Organic Chemicals")</f>
        <v>Organic Chemicals</v>
      </c>
      <c r="G124" s="31">
        <f>IFERROR(__xludf.DUMMYFUNCTION("""COMPUTED_VALUE"""),44809.0)</f>
        <v>44809</v>
      </c>
      <c r="H124" s="32">
        <f>IFERROR(__xludf.DUMMYFUNCTION("""COMPUTED_VALUE"""),4252.15)</f>
        <v>4252.15</v>
      </c>
      <c r="I124" s="32">
        <f>IFERROR(__xludf.DUMMYFUNCTION("""COMPUTED_VALUE"""),-0.462324)</f>
        <v>-0.462324</v>
      </c>
      <c r="J124" s="32">
        <f>IFERROR(__xludf.DUMMYFUNCTION("""COMPUTED_VALUE"""),3202.5)</f>
        <v>3202.5</v>
      </c>
      <c r="K124" s="32">
        <f>IFERROR(__xludf.DUMMYFUNCTION("""COMPUTED_VALUE"""),4553.75)</f>
        <v>4553.75</v>
      </c>
      <c r="L124" s="32">
        <f>IFERROR(__xludf.DUMMYFUNCTION("""COMPUTED_VALUE"""),685.0)</f>
        <v>685</v>
      </c>
      <c r="M124" s="32">
        <f>IFERROR(__xludf.DUMMYFUNCTION("""COMPUTED_VALUE"""),4553.75)</f>
        <v>4553.75</v>
      </c>
      <c r="N124" s="32">
        <f>IFERROR(__xludf.DUMMYFUNCTION("""COMPUTED_VALUE"""),570.0)</f>
        <v>570</v>
      </c>
      <c r="O124" s="32">
        <f>IFERROR(__xludf.DUMMYFUNCTION("""COMPUTED_VALUE"""),4553.75)</f>
        <v>4553.75</v>
      </c>
      <c r="P124" s="32">
        <f>IFERROR(__xludf.DUMMYFUNCTION("""COMPUTED_VALUE"""),6.0)</f>
        <v>6</v>
      </c>
      <c r="Q124" s="32">
        <f>IFERROR(__xludf.DUMMYFUNCTION("""COMPUTED_VALUE"""),4553.75)</f>
        <v>4553.75</v>
      </c>
      <c r="R124" s="32">
        <f>IFERROR(__xludf.DUMMYFUNCTION("""COMPUTED_VALUE"""),21028.3193407)</f>
        <v>21028.31934</v>
      </c>
      <c r="S124" s="32">
        <f>IFERROR(__xludf.DUMMYFUNCTION("""COMPUTED_VALUE"""),21063.347701125)</f>
        <v>21063.3477</v>
      </c>
      <c r="T124" s="32">
        <f>IFERROR(__xludf.DUMMYFUNCTION("""COMPUTED_VALUE"""),0.796482)</f>
        <v>0.796482</v>
      </c>
      <c r="U124" s="32">
        <f>IFERROR(__xludf.DUMMYFUNCTION("""COMPUTED_VALUE"""),-1.592242)</f>
        <v>-1.592242</v>
      </c>
      <c r="V124" s="32">
        <f>IFERROR(__xludf.DUMMYFUNCTION("""COMPUTED_VALUE"""),13.069549)</f>
        <v>13.069549</v>
      </c>
      <c r="W124" s="32">
        <f>IFERROR(__xludf.DUMMYFUNCTION("""COMPUTED_VALUE"""),3.922623)</f>
        <v>3.922623</v>
      </c>
      <c r="X124" s="32">
        <f>IFERROR(__xludf.DUMMYFUNCTION("""COMPUTED_VALUE"""),80.605331)</f>
        <v>80.605331</v>
      </c>
      <c r="Y124" s="32">
        <f>IFERROR(__xludf.DUMMYFUNCTION("""COMPUTED_VALUE"""),45.01047)</f>
        <v>45.01047</v>
      </c>
      <c r="Z124" s="32">
        <f>IFERROR(__xludf.DUMMYFUNCTION("""COMPUTED_VALUE"""),53.831543)</f>
        <v>53.831543</v>
      </c>
      <c r="AA124" s="32">
        <f>IFERROR(__xludf.DUMMYFUNCTION("""COMPUTED_VALUE"""),74.671)</f>
        <v>74.671</v>
      </c>
      <c r="AB124" s="32">
        <f>IFERROR(__xludf.DUMMYFUNCTION("""COMPUTED_VALUE"""),27.5727)</f>
        <v>27.5727</v>
      </c>
      <c r="AC124" s="32">
        <f>IFERROR(__xludf.DUMMYFUNCTION("""COMPUTED_VALUE"""),10.9673)</f>
        <v>10.9673</v>
      </c>
      <c r="AD124" s="32">
        <f>IFERROR(__xludf.DUMMYFUNCTION("""COMPUTED_VALUE"""),5.9169)</f>
        <v>5.9169</v>
      </c>
      <c r="AE124" s="32">
        <f>IFERROR(__xludf.DUMMYFUNCTION("""COMPUTED_VALUE"""),1.960596)</f>
        <v>1.960596</v>
      </c>
      <c r="AF124" s="32">
        <f>IFERROR(__xludf.DUMMYFUNCTION("""COMPUTED_VALUE"""),5.354245)</f>
        <v>5.354245</v>
      </c>
      <c r="AG124" s="32">
        <f>IFERROR(__xludf.DUMMYFUNCTION("""COMPUTED_VALUE"""),0.2585)</f>
        <v>0.2585</v>
      </c>
      <c r="AH124" s="32">
        <f>IFERROR(__xludf.DUMMYFUNCTION("""COMPUTED_VALUE"""),50.461648)</f>
        <v>50.461648</v>
      </c>
      <c r="AI124" s="32">
        <f>IFERROR(__xludf.DUMMYFUNCTION("""COMPUTED_VALUE"""),13.794796879948779)</f>
        <v>13.79479688</v>
      </c>
      <c r="AJ124" s="32">
        <f>IFERROR(__xludf.DUMMYFUNCTION("""COMPUTED_VALUE"""),281.2776797846442)</f>
        <v>281.2776798</v>
      </c>
      <c r="AK124" s="32">
        <f>IFERROR(__xludf.DUMMYFUNCTION("""COMPUTED_VALUE"""),56.828)</f>
        <v>56.828</v>
      </c>
      <c r="AL124" s="32">
        <f>IFERROR(__xludf.DUMMYFUNCTION("""COMPUTED_VALUE"""),386.915)</f>
        <v>386.915</v>
      </c>
      <c r="AM124" s="32">
        <f>IFERROR(__xludf.DUMMYFUNCTION("""COMPUTED_VALUE"""),15.08779)</f>
        <v>15.08779</v>
      </c>
      <c r="AN124" s="32">
        <f>IFERROR(__xludf.DUMMYFUNCTION("""COMPUTED_VALUE"""),-96.522704)</f>
        <v>-96.522704</v>
      </c>
      <c r="AO124" s="32">
        <f>IFERROR(__xludf.DUMMYFUNCTION("""COMPUTED_VALUE"""),11.0)</f>
        <v>11</v>
      </c>
      <c r="AP124" s="32">
        <f>IFERROR(__xludf.DUMMYFUNCTION("""COMPUTED_VALUE"""),0.06623112819105141)</f>
        <v>0.06623112819</v>
      </c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>
      <c r="A125" s="13" t="str">
        <f>IFERROR(__xludf.DUMMYFUNCTION("""COMPUTED_VALUE"""),"Nippon Life India Asset Management Ltd.")</f>
        <v>Nippon Life India Asset Management Ltd.</v>
      </c>
      <c r="B125" s="30">
        <f>IFERROR(__xludf.DUMMYFUNCTION("""COMPUTED_VALUE"""),540767.0)</f>
        <v>540767</v>
      </c>
      <c r="C125" s="13" t="str">
        <f>IFERROR(__xludf.DUMMYFUNCTION("""COMPUTED_VALUE"""),"NAM-INDIA")</f>
        <v>NAM-INDIA</v>
      </c>
      <c r="D125" s="13" t="str">
        <f>IFERROR(__xludf.DUMMYFUNCTION("""COMPUTED_VALUE"""),"INE298J01013")</f>
        <v>INE298J01013</v>
      </c>
      <c r="E125" s="13" t="str">
        <f>IFERROR(__xludf.DUMMYFUNCTION("""COMPUTED_VALUE"""),"Financial")</f>
        <v>Financial</v>
      </c>
      <c r="F125" s="13" t="str">
        <f>IFERROR(__xludf.DUMMYFUNCTION("""COMPUTED_VALUE"""),"Asset Management Companies")</f>
        <v>Asset Management Companies</v>
      </c>
      <c r="G125" s="31">
        <f>IFERROR(__xludf.DUMMYFUNCTION("""COMPUTED_VALUE"""),44809.0)</f>
        <v>44809</v>
      </c>
      <c r="H125" s="32">
        <f>IFERROR(__xludf.DUMMYFUNCTION("""COMPUTED_VALUE"""),294.9)</f>
        <v>294.9</v>
      </c>
      <c r="I125" s="32">
        <f>IFERROR(__xludf.DUMMYFUNCTION("""COMPUTED_VALUE"""),1.218466)</f>
        <v>1.218466</v>
      </c>
      <c r="J125" s="32">
        <f>IFERROR(__xludf.DUMMYFUNCTION("""COMPUTED_VALUE"""),259.0)</f>
        <v>259</v>
      </c>
      <c r="K125" s="32">
        <f>IFERROR(__xludf.DUMMYFUNCTION("""COMPUTED_VALUE"""),476.5)</f>
        <v>476.5</v>
      </c>
      <c r="L125" s="32">
        <f>IFERROR(__xludf.DUMMYFUNCTION("""COMPUTED_VALUE"""),201.0)</f>
        <v>201</v>
      </c>
      <c r="M125" s="32">
        <f>IFERROR(__xludf.DUMMYFUNCTION("""COMPUTED_VALUE"""),476.5)</f>
        <v>476.5</v>
      </c>
      <c r="N125" s="13"/>
      <c r="O125" s="13"/>
      <c r="P125" s="32">
        <f>IFERROR(__xludf.DUMMYFUNCTION("""COMPUTED_VALUE"""),120.2)</f>
        <v>120.2</v>
      </c>
      <c r="Q125" s="32">
        <f>IFERROR(__xludf.DUMMYFUNCTION("""COMPUTED_VALUE"""),476.5)</f>
        <v>476.5</v>
      </c>
      <c r="R125" s="32">
        <f>IFERROR(__xludf.DUMMYFUNCTION("""COMPUTED_VALUE"""),18366.31117175)</f>
        <v>18366.31117</v>
      </c>
      <c r="S125" s="32">
        <f>IFERROR(__xludf.DUMMYFUNCTION("""COMPUTED_VALUE"""),17819.2084825)</f>
        <v>17819.20848</v>
      </c>
      <c r="T125" s="32">
        <f>IFERROR(__xludf.DUMMYFUNCTION("""COMPUTED_VALUE"""),-4.284323)</f>
        <v>-4.284323</v>
      </c>
      <c r="U125" s="32">
        <f>IFERROR(__xludf.DUMMYFUNCTION("""COMPUTED_VALUE"""),-1.552328)</f>
        <v>-1.552328</v>
      </c>
      <c r="V125" s="32">
        <f>IFERROR(__xludf.DUMMYFUNCTION("""COMPUTED_VALUE"""),4.076231)</f>
        <v>4.076231</v>
      </c>
      <c r="W125" s="32">
        <f>IFERROR(__xludf.DUMMYFUNCTION("""COMPUTED_VALUE"""),-29.660107)</f>
        <v>-29.660107</v>
      </c>
      <c r="X125" s="32">
        <f>IFERROR(__xludf.DUMMYFUNCTION("""COMPUTED_VALUE"""),2.164584)</f>
        <v>2.164584</v>
      </c>
      <c r="Y125" s="13"/>
      <c r="Z125" s="13"/>
      <c r="AA125" s="32">
        <f>IFERROR(__xludf.DUMMYFUNCTION("""COMPUTED_VALUE"""),27.141)</f>
        <v>27.141</v>
      </c>
      <c r="AB125" s="32">
        <f>IFERROR(__xludf.DUMMYFUNCTION("""COMPUTED_VALUE"""),35.2916)</f>
        <v>35.2916</v>
      </c>
      <c r="AC125" s="32">
        <f>IFERROR(__xludf.DUMMYFUNCTION("""COMPUTED_VALUE"""),5.2747)</f>
        <v>5.2747</v>
      </c>
      <c r="AD125" s="32">
        <f>IFERROR(__xludf.DUMMYFUNCTION("""COMPUTED_VALUE"""),6.6892)</f>
        <v>6.6892</v>
      </c>
      <c r="AE125" s="32">
        <f>IFERROR(__xludf.DUMMYFUNCTION("""COMPUTED_VALUE"""),6.008083)</f>
        <v>6.008083</v>
      </c>
      <c r="AF125" s="32">
        <f>IFERROR(__xludf.DUMMYFUNCTION("""COMPUTED_VALUE"""),2.563295)</f>
        <v>2.563295</v>
      </c>
      <c r="AG125" s="32">
        <f>IFERROR(__xludf.DUMMYFUNCTION("""COMPUTED_VALUE"""),3.7307)</f>
        <v>3.7307</v>
      </c>
      <c r="AH125" s="32">
        <f>IFERROR(__xludf.DUMMYFUNCTION("""COMPUTED_VALUE"""),19.001481)</f>
        <v>19.001481</v>
      </c>
      <c r="AI125" s="32">
        <f>IFERROR(__xludf.DUMMYFUNCTION("""COMPUTED_VALUE"""),13.908919681439185)</f>
        <v>13.90891968</v>
      </c>
      <c r="AJ125" s="32">
        <f>IFERROR(__xludf.DUMMYFUNCTION("""COMPUTED_VALUE"""),31.690641310930896)</f>
        <v>31.69064131</v>
      </c>
      <c r="AK125" s="32">
        <f>IFERROR(__xludf.DUMMYFUNCTION("""COMPUTED_VALUE"""),10.8636)</f>
        <v>10.8636</v>
      </c>
      <c r="AL125" s="32">
        <f>IFERROR(__xludf.DUMMYFUNCTION("""COMPUTED_VALUE"""),55.8992)</f>
        <v>55.8992</v>
      </c>
      <c r="AM125" s="32">
        <f>IFERROR(__xludf.DUMMYFUNCTION("""COMPUTED_VALUE"""),9.317225)</f>
        <v>9.317225</v>
      </c>
      <c r="AN125" s="32">
        <f>IFERROR(__xludf.DUMMYFUNCTION("""COMPUTED_VALUE"""),11.617954)</f>
        <v>11.617954</v>
      </c>
      <c r="AO125" s="32">
        <f>IFERROR(__xludf.DUMMYFUNCTION("""COMPUTED_VALUE"""),11.0)</f>
        <v>11</v>
      </c>
      <c r="AP125" s="32">
        <f>IFERROR(__xludf.DUMMYFUNCTION("""COMPUTED_VALUE"""),0.3811122770199371)</f>
        <v>0.381112277</v>
      </c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>
      <c r="A126" s="13" t="str">
        <f>IFERROR(__xludf.DUMMYFUNCTION("""COMPUTED_VALUE"""),"Oil &amp; Natural Gas Corporation Ltd.")</f>
        <v>Oil &amp; Natural Gas Corporation Ltd.</v>
      </c>
      <c r="B126" s="30">
        <f>IFERROR(__xludf.DUMMYFUNCTION("""COMPUTED_VALUE"""),500312.0)</f>
        <v>500312</v>
      </c>
      <c r="C126" s="13" t="str">
        <f>IFERROR(__xludf.DUMMYFUNCTION("""COMPUTED_VALUE"""),"ONGC")</f>
        <v>ONGC</v>
      </c>
      <c r="D126" s="13" t="str">
        <f>IFERROR(__xludf.DUMMYFUNCTION("""COMPUTED_VALUE"""),"INE213A01029")</f>
        <v>INE213A01029</v>
      </c>
      <c r="E126" s="13" t="str">
        <f>IFERROR(__xludf.DUMMYFUNCTION("""COMPUTED_VALUE"""),"Energy")</f>
        <v>Energy</v>
      </c>
      <c r="F126" s="13" t="str">
        <f>IFERROR(__xludf.DUMMYFUNCTION("""COMPUTED_VALUE"""),"Oil &amp; Gas Exploration")</f>
        <v>Oil &amp; Gas Exploration</v>
      </c>
      <c r="G126" s="31">
        <f>IFERROR(__xludf.DUMMYFUNCTION("""COMPUTED_VALUE"""),44809.0)</f>
        <v>44809</v>
      </c>
      <c r="H126" s="32">
        <f>IFERROR(__xludf.DUMMYFUNCTION("""COMPUTED_VALUE"""),133.4)</f>
        <v>133.4</v>
      </c>
      <c r="I126" s="32">
        <f>IFERROR(__xludf.DUMMYFUNCTION("""COMPUTED_VALUE"""),0.489642)</f>
        <v>0.489642</v>
      </c>
      <c r="J126" s="32">
        <f>IFERROR(__xludf.DUMMYFUNCTION("""COMPUTED_VALUE"""),117.5)</f>
        <v>117.5</v>
      </c>
      <c r="K126" s="32">
        <f>IFERROR(__xludf.DUMMYFUNCTION("""COMPUTED_VALUE"""),194.95)</f>
        <v>194.95</v>
      </c>
      <c r="L126" s="32">
        <f>IFERROR(__xludf.DUMMYFUNCTION("""COMPUTED_VALUE"""),50.0)</f>
        <v>50</v>
      </c>
      <c r="M126" s="32">
        <f>IFERROR(__xludf.DUMMYFUNCTION("""COMPUTED_VALUE"""),194.95)</f>
        <v>194.95</v>
      </c>
      <c r="N126" s="32">
        <f>IFERROR(__xludf.DUMMYFUNCTION("""COMPUTED_VALUE"""),50.0)</f>
        <v>50</v>
      </c>
      <c r="O126" s="32">
        <f>IFERROR(__xludf.DUMMYFUNCTION("""COMPUTED_VALUE"""),212.9)</f>
        <v>212.9</v>
      </c>
      <c r="P126" s="32">
        <f>IFERROR(__xludf.DUMMYFUNCTION("""COMPUTED_VALUE"""),10.566667)</f>
        <v>10.566667</v>
      </c>
      <c r="Q126" s="32">
        <f>IFERROR(__xludf.DUMMYFUNCTION("""COMPUTED_VALUE"""),314.666667)</f>
        <v>314.666667</v>
      </c>
      <c r="R126" s="32">
        <f>IFERROR(__xludf.DUMMYFUNCTION("""COMPUTED_VALUE"""),167820.92460804002)</f>
        <v>167820.9246</v>
      </c>
      <c r="S126" s="32">
        <f>IFERROR(__xludf.DUMMYFUNCTION("""COMPUTED_VALUE"""),262440.74666759)</f>
        <v>262440.7467</v>
      </c>
      <c r="T126" s="32">
        <f>IFERROR(__xludf.DUMMYFUNCTION("""COMPUTED_VALUE"""),-2.378339)</f>
        <v>-2.378339</v>
      </c>
      <c r="U126" s="32">
        <f>IFERROR(__xludf.DUMMYFUNCTION("""COMPUTED_VALUE"""),-2.091743)</f>
        <v>-2.091743</v>
      </c>
      <c r="V126" s="32">
        <f>IFERROR(__xludf.DUMMYFUNCTION("""COMPUTED_VALUE"""),-12.005277)</f>
        <v>-12.005277</v>
      </c>
      <c r="W126" s="32">
        <f>IFERROR(__xludf.DUMMYFUNCTION("""COMPUTED_VALUE"""),8.367181)</f>
        <v>8.367181</v>
      </c>
      <c r="X126" s="32">
        <f>IFERROR(__xludf.DUMMYFUNCTION("""COMPUTED_VALUE"""),3.88104)</f>
        <v>3.88104</v>
      </c>
      <c r="Y126" s="32">
        <f>IFERROR(__xludf.DUMMYFUNCTION("""COMPUTED_VALUE"""),-3.786622)</f>
        <v>-3.786622</v>
      </c>
      <c r="Z126" s="32">
        <f>IFERROR(__xludf.DUMMYFUNCTION("""COMPUTED_VALUE"""),-3.010719)</f>
        <v>-3.010719</v>
      </c>
      <c r="AA126" s="32">
        <f>IFERROR(__xludf.DUMMYFUNCTION("""COMPUTED_VALUE"""),3.2603)</f>
        <v>3.2603</v>
      </c>
      <c r="AB126" s="32">
        <f>IFERROR(__xludf.DUMMYFUNCTION("""COMPUTED_VALUE"""),7.6519)</f>
        <v>7.6519</v>
      </c>
      <c r="AC126" s="32">
        <f>IFERROR(__xludf.DUMMYFUNCTION("""COMPUTED_VALUE"""),0.6284)</f>
        <v>0.6284</v>
      </c>
      <c r="AD126" s="32">
        <f>IFERROR(__xludf.DUMMYFUNCTION("""COMPUTED_VALUE"""),0.77455)</f>
        <v>0.77455</v>
      </c>
      <c r="AE126" s="32">
        <f>IFERROR(__xludf.DUMMYFUNCTION("""COMPUTED_VALUE"""),26.738454)</f>
        <v>26.738454</v>
      </c>
      <c r="AF126" s="32">
        <f>IFERROR(__xludf.DUMMYFUNCTION("""COMPUTED_VALUE"""),0.25761)</f>
        <v>0.25761</v>
      </c>
      <c r="AG126" s="32">
        <f>IFERROR(__xludf.DUMMYFUNCTION("""COMPUTED_VALUE"""),3.0162)</f>
        <v>3.0162</v>
      </c>
      <c r="AH126" s="32">
        <f>IFERROR(__xludf.DUMMYFUNCTION("""COMPUTED_VALUE"""),2.917026)</f>
        <v>2.917026</v>
      </c>
      <c r="AI126" s="32">
        <f>IFERROR(__xludf.DUMMYFUNCTION("""COMPUTED_VALUE"""),0.276690557474884)</f>
        <v>0.2766905575</v>
      </c>
      <c r="AJ126" s="32">
        <f>IFERROR(__xludf.DUMMYFUNCTION("""COMPUTED_VALUE"""),2.151549267297024)</f>
        <v>2.151549267</v>
      </c>
      <c r="AK126" s="32">
        <f>IFERROR(__xludf.DUMMYFUNCTION("""COMPUTED_VALUE"""),40.9161)</f>
        <v>40.9161</v>
      </c>
      <c r="AL126" s="32">
        <f>IFERROR(__xludf.DUMMYFUNCTION("""COMPUTED_VALUE"""),212.2756)</f>
        <v>212.2756</v>
      </c>
      <c r="AM126" s="32">
        <f>IFERROR(__xludf.DUMMYFUNCTION("""COMPUTED_VALUE"""),62.00184)</f>
        <v>62.00184</v>
      </c>
      <c r="AN126" s="32">
        <f>IFERROR(__xludf.DUMMYFUNCTION("""COMPUTED_VALUE"""),35.71215)</f>
        <v>35.71215</v>
      </c>
      <c r="AO126" s="32">
        <f>IFERROR(__xludf.DUMMYFUNCTION("""COMPUTED_VALUE"""),10.5)</f>
        <v>10.5</v>
      </c>
      <c r="AP126" s="32">
        <f>IFERROR(__xludf.DUMMYFUNCTION("""COMPUTED_VALUE"""),0.3157219799948704)</f>
        <v>0.31572198</v>
      </c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>
      <c r="A127" s="13" t="str">
        <f>IFERROR(__xludf.DUMMYFUNCTION("""COMPUTED_VALUE"""),"United Breweries Ltd.")</f>
        <v>United Breweries Ltd.</v>
      </c>
      <c r="B127" s="30">
        <f>IFERROR(__xludf.DUMMYFUNCTION("""COMPUTED_VALUE"""),532478.0)</f>
        <v>532478</v>
      </c>
      <c r="C127" s="13" t="str">
        <f>IFERROR(__xludf.DUMMYFUNCTION("""COMPUTED_VALUE"""),"UBL")</f>
        <v>UBL</v>
      </c>
      <c r="D127" s="13" t="str">
        <f>IFERROR(__xludf.DUMMYFUNCTION("""COMPUTED_VALUE"""),"INE686F01025")</f>
        <v>INE686F01025</v>
      </c>
      <c r="E127" s="13" t="str">
        <f>IFERROR(__xludf.DUMMYFUNCTION("""COMPUTED_VALUE"""),"Consumer Staples")</f>
        <v>Consumer Staples</v>
      </c>
      <c r="F127" s="13" t="str">
        <f>IFERROR(__xludf.DUMMYFUNCTION("""COMPUTED_VALUE"""),"Beer")</f>
        <v>Beer</v>
      </c>
      <c r="G127" s="31">
        <f>IFERROR(__xludf.DUMMYFUNCTION("""COMPUTED_VALUE"""),44809.0)</f>
        <v>44809</v>
      </c>
      <c r="H127" s="32">
        <f>IFERROR(__xludf.DUMMYFUNCTION("""COMPUTED_VALUE"""),1696.6)</f>
        <v>1696.6</v>
      </c>
      <c r="I127" s="32">
        <f>IFERROR(__xludf.DUMMYFUNCTION("""COMPUTED_VALUE"""),-0.501422)</f>
        <v>-0.501422</v>
      </c>
      <c r="J127" s="32">
        <f>IFERROR(__xludf.DUMMYFUNCTION("""COMPUTED_VALUE"""),1287.6)</f>
        <v>1287.6</v>
      </c>
      <c r="K127" s="32">
        <f>IFERROR(__xludf.DUMMYFUNCTION("""COMPUTED_VALUE"""),1793.65)</f>
        <v>1793.65</v>
      </c>
      <c r="L127" s="32">
        <f>IFERROR(__xludf.DUMMYFUNCTION("""COMPUTED_VALUE"""),749.5)</f>
        <v>749.5</v>
      </c>
      <c r="M127" s="32">
        <f>IFERROR(__xludf.DUMMYFUNCTION("""COMPUTED_VALUE"""),1793.65)</f>
        <v>1793.65</v>
      </c>
      <c r="N127" s="32">
        <f>IFERROR(__xludf.DUMMYFUNCTION("""COMPUTED_VALUE"""),749.5)</f>
        <v>749.5</v>
      </c>
      <c r="O127" s="32">
        <f>IFERROR(__xludf.DUMMYFUNCTION("""COMPUTED_VALUE"""),1793.65)</f>
        <v>1793.65</v>
      </c>
      <c r="P127" s="32">
        <f>IFERROR(__xludf.DUMMYFUNCTION("""COMPUTED_VALUE"""),6.968105)</f>
        <v>6.968105</v>
      </c>
      <c r="Q127" s="32">
        <f>IFERROR(__xludf.DUMMYFUNCTION("""COMPUTED_VALUE"""),1793.65)</f>
        <v>1793.65</v>
      </c>
      <c r="R127" s="32">
        <f>IFERROR(__xludf.DUMMYFUNCTION("""COMPUTED_VALUE"""),45079.755878755)</f>
        <v>45079.75588</v>
      </c>
      <c r="S127" s="32">
        <f>IFERROR(__xludf.DUMMYFUNCTION("""COMPUTED_VALUE"""),44167.431827265)</f>
        <v>44167.43183</v>
      </c>
      <c r="T127" s="32">
        <f>IFERROR(__xludf.DUMMYFUNCTION("""COMPUTED_VALUE"""),5.020118)</f>
        <v>5.020118</v>
      </c>
      <c r="U127" s="32">
        <f>IFERROR(__xludf.DUMMYFUNCTION("""COMPUTED_VALUE"""),5.24161)</f>
        <v>5.24161</v>
      </c>
      <c r="V127" s="32">
        <f>IFERROR(__xludf.DUMMYFUNCTION("""COMPUTED_VALUE"""),11.68455)</f>
        <v>11.68455</v>
      </c>
      <c r="W127" s="32">
        <f>IFERROR(__xludf.DUMMYFUNCTION("""COMPUTED_VALUE"""),7.946809)</f>
        <v>7.946809</v>
      </c>
      <c r="X127" s="32">
        <f>IFERROR(__xludf.DUMMYFUNCTION("""COMPUTED_VALUE"""),8.458696)</f>
        <v>8.458696</v>
      </c>
      <c r="Y127" s="32">
        <f>IFERROR(__xludf.DUMMYFUNCTION("""COMPUTED_VALUE"""),16.204227)</f>
        <v>16.204227</v>
      </c>
      <c r="Z127" s="32">
        <f>IFERROR(__xludf.DUMMYFUNCTION("""COMPUTED_VALUE"""),10.188647)</f>
        <v>10.188647</v>
      </c>
      <c r="AA127" s="32">
        <f>IFERROR(__xludf.DUMMYFUNCTION("""COMPUTED_VALUE"""),90.7658)</f>
        <v>90.7658</v>
      </c>
      <c r="AB127" s="32">
        <f>IFERROR(__xludf.DUMMYFUNCTION("""COMPUTED_VALUE"""),87.2928)</f>
        <v>87.2928</v>
      </c>
      <c r="AC127" s="32">
        <f>IFERROR(__xludf.DUMMYFUNCTION("""COMPUTED_VALUE"""),11.0014)</f>
        <v>11.0014</v>
      </c>
      <c r="AD127" s="32">
        <f>IFERROR(__xludf.DUMMYFUNCTION("""COMPUTED_VALUE"""),10.5341)</f>
        <v>10.5341</v>
      </c>
      <c r="AE127" s="32">
        <f>IFERROR(__xludf.DUMMYFUNCTION("""COMPUTED_VALUE"""),1.620418)</f>
        <v>1.620418</v>
      </c>
      <c r="AF127" s="32">
        <f>IFERROR(__xludf.DUMMYFUNCTION("""COMPUTED_VALUE"""),9.310442)</f>
        <v>9.310442</v>
      </c>
      <c r="AG127" s="32">
        <f>IFERROR(__xludf.DUMMYFUNCTION("""COMPUTED_VALUE"""),0.618)</f>
        <v>0.618</v>
      </c>
      <c r="AH127" s="32">
        <f>IFERROR(__xludf.DUMMYFUNCTION("""COMPUTED_VALUE"""),49.007947)</f>
        <v>49.007947</v>
      </c>
      <c r="AI127" s="32">
        <f>IFERROR(__xludf.DUMMYFUNCTION("""COMPUTED_VALUE"""),2.8773020538070524)</f>
        <v>2.877302054</v>
      </c>
      <c r="AJ127" s="32">
        <f>IFERROR(__xludf.DUMMYFUNCTION("""COMPUTED_VALUE"""),50.10977510366043)</f>
        <v>50.1097751</v>
      </c>
      <c r="AK127" s="32">
        <f>IFERROR(__xludf.DUMMYFUNCTION("""COMPUTED_VALUE"""),18.7841)</f>
        <v>18.7841</v>
      </c>
      <c r="AL127" s="32">
        <f>IFERROR(__xludf.DUMMYFUNCTION("""COMPUTED_VALUE"""),154.9751)</f>
        <v>154.9751</v>
      </c>
      <c r="AM127" s="32">
        <f>IFERROR(__xludf.DUMMYFUNCTION("""COMPUTED_VALUE"""),34.024962)</f>
        <v>34.024962</v>
      </c>
      <c r="AN127" s="32">
        <f>IFERROR(__xludf.DUMMYFUNCTION("""COMPUTED_VALUE"""),26.819592)</f>
        <v>26.819592</v>
      </c>
      <c r="AO127" s="32">
        <f>IFERROR(__xludf.DUMMYFUNCTION("""COMPUTED_VALUE"""),10.5)</f>
        <v>10.5</v>
      </c>
      <c r="AP127" s="32">
        <f>IFERROR(__xludf.DUMMYFUNCTION("""COMPUTED_VALUE"""),0.05410754606528597)</f>
        <v>0.05410754607</v>
      </c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>
      <c r="A128" s="13" t="str">
        <f>IFERROR(__xludf.DUMMYFUNCTION("""COMPUTED_VALUE"""),"Alkyl Amines Chemicals Ltd.")</f>
        <v>Alkyl Amines Chemicals Ltd.</v>
      </c>
      <c r="B128" s="30">
        <f>IFERROR(__xludf.DUMMYFUNCTION("""COMPUTED_VALUE"""),506767.0)</f>
        <v>506767</v>
      </c>
      <c r="C128" s="13" t="str">
        <f>IFERROR(__xludf.DUMMYFUNCTION("""COMPUTED_VALUE"""),"ALKYLAMINE")</f>
        <v>ALKYLAMINE</v>
      </c>
      <c r="D128" s="13" t="str">
        <f>IFERROR(__xludf.DUMMYFUNCTION("""COMPUTED_VALUE"""),"INE150B01039")</f>
        <v>INE150B01039</v>
      </c>
      <c r="E128" s="13" t="str">
        <f>IFERROR(__xludf.DUMMYFUNCTION("""COMPUTED_VALUE"""),"Chemicals")</f>
        <v>Chemicals</v>
      </c>
      <c r="F128" s="13" t="str">
        <f>IFERROR(__xludf.DUMMYFUNCTION("""COMPUTED_VALUE"""),"Organic Chemicals")</f>
        <v>Organic Chemicals</v>
      </c>
      <c r="G128" s="31">
        <f>IFERROR(__xludf.DUMMYFUNCTION("""COMPUTED_VALUE"""),44809.0)</f>
        <v>44809</v>
      </c>
      <c r="H128" s="32">
        <f>IFERROR(__xludf.DUMMYFUNCTION("""COMPUTED_VALUE"""),2971.25)</f>
        <v>2971.25</v>
      </c>
      <c r="I128" s="32">
        <f>IFERROR(__xludf.DUMMYFUNCTION("""COMPUTED_VALUE"""),-0.913745)</f>
        <v>-0.913745</v>
      </c>
      <c r="J128" s="32">
        <f>IFERROR(__xludf.DUMMYFUNCTION("""COMPUTED_VALUE"""),2506.2)</f>
        <v>2506.2</v>
      </c>
      <c r="K128" s="32">
        <f>IFERROR(__xludf.DUMMYFUNCTION("""COMPUTED_VALUE"""),4210.0)</f>
        <v>4210</v>
      </c>
      <c r="L128" s="32">
        <f>IFERROR(__xludf.DUMMYFUNCTION("""COMPUTED_VALUE"""),305.92)</f>
        <v>305.92</v>
      </c>
      <c r="M128" s="32">
        <f>IFERROR(__xludf.DUMMYFUNCTION("""COMPUTED_VALUE"""),4749.0)</f>
        <v>4749</v>
      </c>
      <c r="N128" s="32">
        <f>IFERROR(__xludf.DUMMYFUNCTION("""COMPUTED_VALUE"""),163.6)</f>
        <v>163.6</v>
      </c>
      <c r="O128" s="32">
        <f>IFERROR(__xludf.DUMMYFUNCTION("""COMPUTED_VALUE"""),4749.0)</f>
        <v>4749</v>
      </c>
      <c r="P128" s="32">
        <f>IFERROR(__xludf.DUMMYFUNCTION("""COMPUTED_VALUE"""),0.84)</f>
        <v>0.84</v>
      </c>
      <c r="Q128" s="32">
        <f>IFERROR(__xludf.DUMMYFUNCTION("""COMPUTED_VALUE"""),4749.0)</f>
        <v>4749</v>
      </c>
      <c r="R128" s="32">
        <f>IFERROR(__xludf.DUMMYFUNCTION("""COMPUTED_VALUE"""),15150.29711962)</f>
        <v>15150.29712</v>
      </c>
      <c r="S128" s="32">
        <f>IFERROR(__xludf.DUMMYFUNCTION("""COMPUTED_VALUE"""),15267.05665863)</f>
        <v>15267.05666</v>
      </c>
      <c r="T128" s="32">
        <f>IFERROR(__xludf.DUMMYFUNCTION("""COMPUTED_VALUE"""),-1.063865)</f>
        <v>-1.063865</v>
      </c>
      <c r="U128" s="32">
        <f>IFERROR(__xludf.DUMMYFUNCTION("""COMPUTED_VALUE"""),-4.74473)</f>
        <v>-4.74473</v>
      </c>
      <c r="V128" s="32">
        <f>IFERROR(__xludf.DUMMYFUNCTION("""COMPUTED_VALUE"""),10.459497)</f>
        <v>10.459497</v>
      </c>
      <c r="W128" s="32">
        <f>IFERROR(__xludf.DUMMYFUNCTION("""COMPUTED_VALUE"""),-28.085632)</f>
        <v>-28.085632</v>
      </c>
      <c r="X128" s="32">
        <f>IFERROR(__xludf.DUMMYFUNCTION("""COMPUTED_VALUE"""),112.505445)</f>
        <v>112.505445</v>
      </c>
      <c r="Y128" s="32">
        <f>IFERROR(__xludf.DUMMYFUNCTION("""COMPUTED_VALUE"""),76.407861)</f>
        <v>76.407861</v>
      </c>
      <c r="Z128" s="32">
        <f>IFERROR(__xludf.DUMMYFUNCTION("""COMPUTED_VALUE"""),63.294952)</f>
        <v>63.294952</v>
      </c>
      <c r="AA128" s="32">
        <f>IFERROR(__xludf.DUMMYFUNCTION("""COMPUTED_VALUE"""),66.3701)</f>
        <v>66.3701</v>
      </c>
      <c r="AB128" s="32">
        <f>IFERROR(__xludf.DUMMYFUNCTION("""COMPUTED_VALUE"""),24.13135)</f>
        <v>24.13135</v>
      </c>
      <c r="AC128" s="32">
        <f>IFERROR(__xludf.DUMMYFUNCTION("""COMPUTED_VALUE"""),14.1805)</f>
        <v>14.1805</v>
      </c>
      <c r="AD128" s="32">
        <f>IFERROR(__xludf.DUMMYFUNCTION("""COMPUTED_VALUE"""),6.82675)</f>
        <v>6.82675</v>
      </c>
      <c r="AE128" s="32">
        <f>IFERROR(__xludf.DUMMYFUNCTION("""COMPUTED_VALUE"""),2.152218)</f>
        <v>2.152218</v>
      </c>
      <c r="AF128" s="32">
        <f>IFERROR(__xludf.DUMMYFUNCTION("""COMPUTED_VALUE"""),1.900765)</f>
        <v>1.900765</v>
      </c>
      <c r="AG128" s="32">
        <f>IFERROR(__xludf.DUMMYFUNCTION("""COMPUTED_VALUE"""),0.3372)</f>
        <v>0.3372</v>
      </c>
      <c r="AH128" s="32">
        <f>IFERROR(__xludf.DUMMYFUNCTION("""COMPUTED_VALUE"""),43.894818)</f>
        <v>43.894818</v>
      </c>
      <c r="AI128" s="32">
        <f>IFERROR(__xludf.DUMMYFUNCTION("""COMPUTED_VALUE"""),9.326301575049094)</f>
        <v>9.326301575</v>
      </c>
      <c r="AJ128" s="32">
        <f>IFERROR(__xludf.DUMMYFUNCTION("""COMPUTED_VALUE"""),74.02315594159761)</f>
        <v>74.02315594</v>
      </c>
      <c r="AK128" s="32">
        <f>IFERROR(__xludf.DUMMYFUNCTION("""COMPUTED_VALUE"""),44.6783)</f>
        <v>44.6783</v>
      </c>
      <c r="AL128" s="32">
        <f>IFERROR(__xludf.DUMMYFUNCTION("""COMPUTED_VALUE"""),209.1117)</f>
        <v>209.1117</v>
      </c>
      <c r="AM128" s="32">
        <f>IFERROR(__xludf.DUMMYFUNCTION("""COMPUTED_VALUE"""),40.074345)</f>
        <v>40.074345</v>
      </c>
      <c r="AN128" s="32">
        <f>IFERROR(__xludf.DUMMYFUNCTION("""COMPUTED_VALUE"""),-8.645572)</f>
        <v>-8.645572</v>
      </c>
      <c r="AO128" s="32">
        <f>IFERROR(__xludf.DUMMYFUNCTION("""COMPUTED_VALUE"""),10.0)</f>
        <v>10</v>
      </c>
      <c r="AP128" s="32">
        <f>IFERROR(__xludf.DUMMYFUNCTION("""COMPUTED_VALUE"""),0.2942399049881235)</f>
        <v>0.294239905</v>
      </c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>
      <c r="A129" s="13" t="str">
        <f>IFERROR(__xludf.DUMMYFUNCTION("""COMPUTED_VALUE"""),"Astrazeneca Pharma India Ltd.")</f>
        <v>Astrazeneca Pharma India Ltd.</v>
      </c>
      <c r="B129" s="30">
        <f>IFERROR(__xludf.DUMMYFUNCTION("""COMPUTED_VALUE"""),506820.0)</f>
        <v>506820</v>
      </c>
      <c r="C129" s="13" t="str">
        <f>IFERROR(__xludf.DUMMYFUNCTION("""COMPUTED_VALUE"""),"ASTRAZEN")</f>
        <v>ASTRAZEN</v>
      </c>
      <c r="D129" s="13" t="str">
        <f>IFERROR(__xludf.DUMMYFUNCTION("""COMPUTED_VALUE"""),"INE203A01020")</f>
        <v>INE203A01020</v>
      </c>
      <c r="E129" s="13" t="str">
        <f>IFERROR(__xludf.DUMMYFUNCTION("""COMPUTED_VALUE"""),"Healthcare")</f>
        <v>Healthcare</v>
      </c>
      <c r="F129" s="13" t="str">
        <f>IFERROR(__xludf.DUMMYFUNCTION("""COMPUTED_VALUE"""),"Drugs &amp; Pharma")</f>
        <v>Drugs &amp; Pharma</v>
      </c>
      <c r="G129" s="31">
        <f>IFERROR(__xludf.DUMMYFUNCTION("""COMPUTED_VALUE"""),44809.0)</f>
        <v>44809</v>
      </c>
      <c r="H129" s="32">
        <f>IFERROR(__xludf.DUMMYFUNCTION("""COMPUTED_VALUE"""),3051.2)</f>
        <v>3051.2</v>
      </c>
      <c r="I129" s="32">
        <f>IFERROR(__xludf.DUMMYFUNCTION("""COMPUTED_VALUE"""),0.84778)</f>
        <v>0.84778</v>
      </c>
      <c r="J129" s="32">
        <f>IFERROR(__xludf.DUMMYFUNCTION("""COMPUTED_VALUE"""),2445.7)</f>
        <v>2445.7</v>
      </c>
      <c r="K129" s="32">
        <f>IFERROR(__xludf.DUMMYFUNCTION("""COMPUTED_VALUE"""),3350.0)</f>
        <v>3350</v>
      </c>
      <c r="L129" s="32">
        <f>IFERROR(__xludf.DUMMYFUNCTION("""COMPUTED_VALUE"""),1885.0)</f>
        <v>1885</v>
      </c>
      <c r="M129" s="32">
        <f>IFERROR(__xludf.DUMMYFUNCTION("""COMPUTED_VALUE"""),4970.0)</f>
        <v>4970</v>
      </c>
      <c r="N129" s="32">
        <f>IFERROR(__xludf.DUMMYFUNCTION("""COMPUTED_VALUE"""),900.0)</f>
        <v>900</v>
      </c>
      <c r="O129" s="32">
        <f>IFERROR(__xludf.DUMMYFUNCTION("""COMPUTED_VALUE"""),4970.0)</f>
        <v>4970</v>
      </c>
      <c r="P129" s="32">
        <f>IFERROR(__xludf.DUMMYFUNCTION("""COMPUTED_VALUE"""),31.45)</f>
        <v>31.45</v>
      </c>
      <c r="Q129" s="32">
        <f>IFERROR(__xludf.DUMMYFUNCTION("""COMPUTED_VALUE"""),4970.0)</f>
        <v>4970</v>
      </c>
      <c r="R129" s="32">
        <f>IFERROR(__xludf.DUMMYFUNCTION("""COMPUTED_VALUE"""),7625.75)</f>
        <v>7625.75</v>
      </c>
      <c r="S129" s="32">
        <f>IFERROR(__xludf.DUMMYFUNCTION("""COMPUTED_VALUE"""),7133.04)</f>
        <v>7133.04</v>
      </c>
      <c r="T129" s="32">
        <f>IFERROR(__xludf.DUMMYFUNCTION("""COMPUTED_VALUE"""),-2.173774)</f>
        <v>-2.173774</v>
      </c>
      <c r="U129" s="32">
        <f>IFERROR(__xludf.DUMMYFUNCTION("""COMPUTED_VALUE"""),0.279357)</f>
        <v>0.279357</v>
      </c>
      <c r="V129" s="32">
        <f>IFERROR(__xludf.DUMMYFUNCTION("""COMPUTED_VALUE"""),3.393707)</f>
        <v>3.393707</v>
      </c>
      <c r="W129" s="32">
        <f>IFERROR(__xludf.DUMMYFUNCTION("""COMPUTED_VALUE"""),-4.550076)</f>
        <v>-4.550076</v>
      </c>
      <c r="X129" s="32">
        <f>IFERROR(__xludf.DUMMYFUNCTION("""COMPUTED_VALUE"""),17.820608)</f>
        <v>17.820608</v>
      </c>
      <c r="Y129" s="32">
        <f>IFERROR(__xludf.DUMMYFUNCTION("""COMPUTED_VALUE"""),27.313988)</f>
        <v>27.313988</v>
      </c>
      <c r="Z129" s="32">
        <f>IFERROR(__xludf.DUMMYFUNCTION("""COMPUTED_VALUE"""),5.458838)</f>
        <v>5.458838</v>
      </c>
      <c r="AA129" s="32">
        <f>IFERROR(__xludf.DUMMYFUNCTION("""COMPUTED_VALUE"""),106.6464)</f>
        <v>106.6464</v>
      </c>
      <c r="AB129" s="32">
        <f>IFERROR(__xludf.DUMMYFUNCTION("""COMPUTED_VALUE"""),109.87765)</f>
        <v>109.87765</v>
      </c>
      <c r="AC129" s="32">
        <f>IFERROR(__xludf.DUMMYFUNCTION("""COMPUTED_VALUE"""),14.3992)</f>
        <v>14.3992</v>
      </c>
      <c r="AD129" s="32">
        <f>IFERROR(__xludf.DUMMYFUNCTION("""COMPUTED_VALUE"""),16.72555)</f>
        <v>16.72555</v>
      </c>
      <c r="AE129" s="32">
        <f>IFERROR(__xludf.DUMMYFUNCTION("""COMPUTED_VALUE"""),1.583759)</f>
        <v>1.583759</v>
      </c>
      <c r="AF129" s="32">
        <f>IFERROR(__xludf.DUMMYFUNCTION("""COMPUTED_VALUE"""),2.659811)</f>
        <v>2.659811</v>
      </c>
      <c r="AG129" s="32">
        <f>IFERROR(__xludf.DUMMYFUNCTION("""COMPUTED_VALUE"""),0.3278)</f>
        <v>0.3278</v>
      </c>
      <c r="AH129" s="32">
        <f>IFERROR(__xludf.DUMMYFUNCTION("""COMPUTED_VALUE"""),62.308176)</f>
        <v>62.308176</v>
      </c>
      <c r="AI129" s="32">
        <f>IFERROR(__xludf.DUMMYFUNCTION("""COMPUTED_VALUE"""),8.841141757388149)</f>
        <v>8.841141757</v>
      </c>
      <c r="AJ129" s="32">
        <f>IFERROR(__xludf.DUMMYFUNCTION("""COMPUTED_VALUE"""),75.65228174603175)</f>
        <v>75.65228175</v>
      </c>
      <c r="AK129" s="32">
        <f>IFERROR(__xludf.DUMMYFUNCTION("""COMPUTED_VALUE"""),28.602)</f>
        <v>28.602</v>
      </c>
      <c r="AL129" s="32">
        <f>IFERROR(__xludf.DUMMYFUNCTION("""COMPUTED_VALUE"""),211.838)</f>
        <v>211.838</v>
      </c>
      <c r="AM129" s="32">
        <f>IFERROR(__xludf.DUMMYFUNCTION("""COMPUTED_VALUE"""),40.32)</f>
        <v>40.32</v>
      </c>
      <c r="AN129" s="32">
        <f>IFERROR(__xludf.DUMMYFUNCTION("""COMPUTED_VALUE"""),40.728)</f>
        <v>40.728</v>
      </c>
      <c r="AO129" s="32">
        <f>IFERROR(__xludf.DUMMYFUNCTION("""COMPUTED_VALUE"""),10.0)</f>
        <v>10</v>
      </c>
      <c r="AP129" s="32">
        <f>IFERROR(__xludf.DUMMYFUNCTION("""COMPUTED_VALUE"""),0.08919402985074633)</f>
        <v>0.08919402985</v>
      </c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>
      <c r="A130" s="13" t="str">
        <f>IFERROR(__xludf.DUMMYFUNCTION("""COMPUTED_VALUE"""),"BEML Ltd.")</f>
        <v>BEML Ltd.</v>
      </c>
      <c r="B130" s="30">
        <f>IFERROR(__xludf.DUMMYFUNCTION("""COMPUTED_VALUE"""),500048.0)</f>
        <v>500048</v>
      </c>
      <c r="C130" s="13" t="str">
        <f>IFERROR(__xludf.DUMMYFUNCTION("""COMPUTED_VALUE"""),"BEML")</f>
        <v>BEML</v>
      </c>
      <c r="D130" s="13" t="str">
        <f>IFERROR(__xludf.DUMMYFUNCTION("""COMPUTED_VALUE"""),"INE258A01016")</f>
        <v>INE258A01016</v>
      </c>
      <c r="E130" s="13" t="str">
        <f>IFERROR(__xludf.DUMMYFUNCTION("""COMPUTED_VALUE"""),"Capital Goods")</f>
        <v>Capital Goods</v>
      </c>
      <c r="F130" s="13" t="str">
        <f>IFERROR(__xludf.DUMMYFUNCTION("""COMPUTED_VALUE"""),"Other Machinery")</f>
        <v>Other Machinery</v>
      </c>
      <c r="G130" s="31">
        <f>IFERROR(__xludf.DUMMYFUNCTION("""COMPUTED_VALUE"""),44809.0)</f>
        <v>44809</v>
      </c>
      <c r="H130" s="32">
        <f>IFERROR(__xludf.DUMMYFUNCTION("""COMPUTED_VALUE"""),1813.35)</f>
        <v>1813.35</v>
      </c>
      <c r="I130" s="32">
        <f>IFERROR(__xludf.DUMMYFUNCTION("""COMPUTED_VALUE"""),-4.222786)</f>
        <v>-4.222786</v>
      </c>
      <c r="J130" s="32">
        <f>IFERROR(__xludf.DUMMYFUNCTION("""COMPUTED_VALUE"""),1107.0)</f>
        <v>1107</v>
      </c>
      <c r="K130" s="32">
        <f>IFERROR(__xludf.DUMMYFUNCTION("""COMPUTED_VALUE"""),2085.0)</f>
        <v>2085</v>
      </c>
      <c r="L130" s="32">
        <f>IFERROR(__xludf.DUMMYFUNCTION("""COMPUTED_VALUE"""),369.5)</f>
        <v>369.5</v>
      </c>
      <c r="M130" s="32">
        <f>IFERROR(__xludf.DUMMYFUNCTION("""COMPUTED_VALUE"""),2085.0)</f>
        <v>2085</v>
      </c>
      <c r="N130" s="32">
        <f>IFERROR(__xludf.DUMMYFUNCTION("""COMPUTED_VALUE"""),369.5)</f>
        <v>369.5</v>
      </c>
      <c r="O130" s="32">
        <f>IFERROR(__xludf.DUMMYFUNCTION("""COMPUTED_VALUE"""),2085.0)</f>
        <v>2085</v>
      </c>
      <c r="P130" s="32">
        <f>IFERROR(__xludf.DUMMYFUNCTION("""COMPUTED_VALUE"""),10.05)</f>
        <v>10.05</v>
      </c>
      <c r="Q130" s="32">
        <f>IFERROR(__xludf.DUMMYFUNCTION("""COMPUTED_VALUE"""),2085.0)</f>
        <v>2085</v>
      </c>
      <c r="R130" s="32">
        <f>IFERROR(__xludf.DUMMYFUNCTION("""COMPUTED_VALUE"""),7551.6054075)</f>
        <v>7551.605408</v>
      </c>
      <c r="S130" s="32">
        <f>IFERROR(__xludf.DUMMYFUNCTION("""COMPUTED_VALUE"""),8669.43448)</f>
        <v>8669.43448</v>
      </c>
      <c r="T130" s="32">
        <f>IFERROR(__xludf.DUMMYFUNCTION("""COMPUTED_VALUE"""),-1.300857)</f>
        <v>-1.300857</v>
      </c>
      <c r="U130" s="32">
        <f>IFERROR(__xludf.DUMMYFUNCTION("""COMPUTED_VALUE"""),26.37466)</f>
        <v>26.37466</v>
      </c>
      <c r="V130" s="32">
        <f>IFERROR(__xludf.DUMMYFUNCTION("""COMPUTED_VALUE"""),31.870409)</f>
        <v>31.870409</v>
      </c>
      <c r="W130" s="32">
        <f>IFERROR(__xludf.DUMMYFUNCTION("""COMPUTED_VALUE"""),34.886748)</f>
        <v>34.886748</v>
      </c>
      <c r="X130" s="32">
        <f>IFERROR(__xludf.DUMMYFUNCTION("""COMPUTED_VALUE"""),31.585402)</f>
        <v>31.585402</v>
      </c>
      <c r="Y130" s="32">
        <f>IFERROR(__xludf.DUMMYFUNCTION("""COMPUTED_VALUE"""),-0.459583)</f>
        <v>-0.459583</v>
      </c>
      <c r="Z130" s="32">
        <f>IFERROR(__xludf.DUMMYFUNCTION("""COMPUTED_VALUE"""),20.384309)</f>
        <v>20.384309</v>
      </c>
      <c r="AA130" s="32">
        <f>IFERROR(__xludf.DUMMYFUNCTION("""COMPUTED_VALUE"""),53.8605)</f>
        <v>53.8605</v>
      </c>
      <c r="AB130" s="32">
        <f>IFERROR(__xludf.DUMMYFUNCTION("""COMPUTED_VALUE"""),48.72785)</f>
        <v>48.72785</v>
      </c>
      <c r="AC130" s="32">
        <f>IFERROR(__xludf.DUMMYFUNCTION("""COMPUTED_VALUE"""),3.3211)</f>
        <v>3.3211</v>
      </c>
      <c r="AD130" s="32">
        <f>IFERROR(__xludf.DUMMYFUNCTION("""COMPUTED_VALUE"""),1.9344)</f>
        <v>1.9344</v>
      </c>
      <c r="AE130" s="32">
        <f>IFERROR(__xludf.DUMMYFUNCTION("""COMPUTED_VALUE"""),3.86392)</f>
        <v>3.86392</v>
      </c>
      <c r="AF130" s="32">
        <f>IFERROR(__xludf.DUMMYFUNCTION("""COMPUTED_VALUE"""),6.19949)</f>
        <v>6.19949</v>
      </c>
      <c r="AG130" s="32">
        <f>IFERROR(__xludf.DUMMYFUNCTION("""COMPUTED_VALUE"""),0.5514)</f>
        <v>0.5514</v>
      </c>
      <c r="AH130" s="32">
        <f>IFERROR(__xludf.DUMMYFUNCTION("""COMPUTED_VALUE"""),26.155296)</f>
        <v>26.155296</v>
      </c>
      <c r="AI130" s="32">
        <f>IFERROR(__xludf.DUMMYFUNCTION("""COMPUTED_VALUE"""),1.683270379959298)</f>
        <v>1.68327038</v>
      </c>
      <c r="AJ130" s="32">
        <f>IFERROR(__xludf.DUMMYFUNCTION("""COMPUTED_VALUE"""),146.87695898044325)</f>
        <v>146.876959</v>
      </c>
      <c r="AK130" s="32">
        <f>IFERROR(__xludf.DUMMYFUNCTION("""COMPUTED_VALUE"""),33.6731)</f>
        <v>33.6731</v>
      </c>
      <c r="AL130" s="32">
        <f>IFERROR(__xludf.DUMMYFUNCTION("""COMPUTED_VALUE"""),546.0996)</f>
        <v>546.0996</v>
      </c>
      <c r="AM130" s="32">
        <f>IFERROR(__xludf.DUMMYFUNCTION("""COMPUTED_VALUE"""),12.346048)</f>
        <v>12.346048</v>
      </c>
      <c r="AN130" s="32">
        <f>IFERROR(__xludf.DUMMYFUNCTION("""COMPUTED_VALUE"""),-29.683127)</f>
        <v>-29.683127</v>
      </c>
      <c r="AO130" s="32">
        <f>IFERROR(__xludf.DUMMYFUNCTION("""COMPUTED_VALUE"""),10.0)</f>
        <v>10</v>
      </c>
      <c r="AP130" s="32">
        <f>IFERROR(__xludf.DUMMYFUNCTION("""COMPUTED_VALUE"""),0.1302877697841727)</f>
        <v>0.1302877698</v>
      </c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>
      <c r="A131" s="13" t="str">
        <f>IFERROR(__xludf.DUMMYFUNCTION("""COMPUTED_VALUE"""),"Birla Corporation Ltd.")</f>
        <v>Birla Corporation Ltd.</v>
      </c>
      <c r="B131" s="30">
        <f>IFERROR(__xludf.DUMMYFUNCTION("""COMPUTED_VALUE"""),500335.0)</f>
        <v>500335</v>
      </c>
      <c r="C131" s="13" t="str">
        <f>IFERROR(__xludf.DUMMYFUNCTION("""COMPUTED_VALUE"""),"BIRLACORPN")</f>
        <v>BIRLACORPN</v>
      </c>
      <c r="D131" s="13" t="str">
        <f>IFERROR(__xludf.DUMMYFUNCTION("""COMPUTED_VALUE"""),"INE340A01012")</f>
        <v>INE340A01012</v>
      </c>
      <c r="E131" s="13" t="str">
        <f>IFERROR(__xludf.DUMMYFUNCTION("""COMPUTED_VALUE"""),"Materials")</f>
        <v>Materials</v>
      </c>
      <c r="F131" s="13" t="str">
        <f>IFERROR(__xludf.DUMMYFUNCTION("""COMPUTED_VALUE"""),"Cement")</f>
        <v>Cement</v>
      </c>
      <c r="G131" s="31">
        <f>IFERROR(__xludf.DUMMYFUNCTION("""COMPUTED_VALUE"""),44809.0)</f>
        <v>44809</v>
      </c>
      <c r="H131" s="32">
        <f>IFERROR(__xludf.DUMMYFUNCTION("""COMPUTED_VALUE"""),1005.05)</f>
        <v>1005.05</v>
      </c>
      <c r="I131" s="32">
        <f>IFERROR(__xludf.DUMMYFUNCTION("""COMPUTED_VALUE"""),3.741742)</f>
        <v>3.741742</v>
      </c>
      <c r="J131" s="32">
        <f>IFERROR(__xludf.DUMMYFUNCTION("""COMPUTED_VALUE"""),823.0)</f>
        <v>823</v>
      </c>
      <c r="K131" s="32">
        <f>IFERROR(__xludf.DUMMYFUNCTION("""COMPUTED_VALUE"""),1650.0)</f>
        <v>1650</v>
      </c>
      <c r="L131" s="32">
        <f>IFERROR(__xludf.DUMMYFUNCTION("""COMPUTED_VALUE"""),372.2)</f>
        <v>372.2</v>
      </c>
      <c r="M131" s="32">
        <f>IFERROR(__xludf.DUMMYFUNCTION("""COMPUTED_VALUE"""),1650.0)</f>
        <v>1650</v>
      </c>
      <c r="N131" s="32">
        <f>IFERROR(__xludf.DUMMYFUNCTION("""COMPUTED_VALUE"""),372.2)</f>
        <v>372.2</v>
      </c>
      <c r="O131" s="32">
        <f>IFERROR(__xludf.DUMMYFUNCTION("""COMPUTED_VALUE"""),1650.0)</f>
        <v>1650</v>
      </c>
      <c r="P131" s="32">
        <f>IFERROR(__xludf.DUMMYFUNCTION("""COMPUTED_VALUE"""),10.05)</f>
        <v>10.05</v>
      </c>
      <c r="Q131" s="32">
        <f>IFERROR(__xludf.DUMMYFUNCTION("""COMPUTED_VALUE"""),1650.0)</f>
        <v>1650</v>
      </c>
      <c r="R131" s="32">
        <f>IFERROR(__xludf.DUMMYFUNCTION("""COMPUTED_VALUE"""),7739.422400235)</f>
        <v>7739.4224</v>
      </c>
      <c r="S131" s="32">
        <f>IFERROR(__xludf.DUMMYFUNCTION("""COMPUTED_VALUE"""),10863.282830215)</f>
        <v>10863.28283</v>
      </c>
      <c r="T131" s="32">
        <f>IFERROR(__xludf.DUMMYFUNCTION("""COMPUTED_VALUE"""),2.191154)</f>
        <v>2.191154</v>
      </c>
      <c r="U131" s="32">
        <f>IFERROR(__xludf.DUMMYFUNCTION("""COMPUTED_VALUE"""),2.876299)</f>
        <v>2.876299</v>
      </c>
      <c r="V131" s="32">
        <f>IFERROR(__xludf.DUMMYFUNCTION("""COMPUTED_VALUE"""),8.954415)</f>
        <v>8.954415</v>
      </c>
      <c r="W131" s="32">
        <f>IFERROR(__xludf.DUMMYFUNCTION("""COMPUTED_VALUE"""),-25.535304)</f>
        <v>-25.535304</v>
      </c>
      <c r="X131" s="32">
        <f>IFERROR(__xludf.DUMMYFUNCTION("""COMPUTED_VALUE"""),23.531984)</f>
        <v>23.531984</v>
      </c>
      <c r="Y131" s="32">
        <f>IFERROR(__xludf.DUMMYFUNCTION("""COMPUTED_VALUE"""),0.728037)</f>
        <v>0.728037</v>
      </c>
      <c r="Z131" s="32">
        <f>IFERROR(__xludf.DUMMYFUNCTION("""COMPUTED_VALUE"""),17.259877)</f>
        <v>17.259877</v>
      </c>
      <c r="AA131" s="32">
        <f>IFERROR(__xludf.DUMMYFUNCTION("""COMPUTED_VALUE"""),24.4703)</f>
        <v>24.4703</v>
      </c>
      <c r="AB131" s="32">
        <f>IFERROR(__xludf.DUMMYFUNCTION("""COMPUTED_VALUE"""),15.5566)</f>
        <v>15.5566</v>
      </c>
      <c r="AC131" s="32">
        <f>IFERROR(__xludf.DUMMYFUNCTION("""COMPUTED_VALUE"""),1.2774)</f>
        <v>1.2774</v>
      </c>
      <c r="AD131" s="32">
        <f>IFERROR(__xludf.DUMMYFUNCTION("""COMPUTED_VALUE"""),1.34515)</f>
        <v>1.34515</v>
      </c>
      <c r="AE131" s="32">
        <f>IFERROR(__xludf.DUMMYFUNCTION("""COMPUTED_VALUE"""),7.359363)</f>
        <v>7.359363</v>
      </c>
      <c r="AF131" s="32">
        <f>IFERROR(__xludf.DUMMYFUNCTION("""COMPUTED_VALUE"""),1.792598)</f>
        <v>1.792598</v>
      </c>
      <c r="AG131" s="32">
        <f>IFERROR(__xludf.DUMMYFUNCTION("""COMPUTED_VALUE"""),0.9968)</f>
        <v>0.9968</v>
      </c>
      <c r="AH131" s="32">
        <f>IFERROR(__xludf.DUMMYFUNCTION("""COMPUTED_VALUE"""),9.61778)</f>
        <v>9.61778</v>
      </c>
      <c r="AI131" s="32">
        <f>IFERROR(__xludf.DUMMYFUNCTION("""COMPUTED_VALUE"""),0.9777096390207267)</f>
        <v>0.977709639</v>
      </c>
      <c r="AJ131" s="32">
        <f>IFERROR(__xludf.DUMMYFUNCTION("""COMPUTED_VALUE"""),5.825991885334568)</f>
        <v>5.825991885</v>
      </c>
      <c r="AK131" s="32">
        <f>IFERROR(__xludf.DUMMYFUNCTION("""COMPUTED_VALUE"""),41.4257)</f>
        <v>41.4257</v>
      </c>
      <c r="AL131" s="32">
        <f>IFERROR(__xludf.DUMMYFUNCTION("""COMPUTED_VALUE"""),793.5508)</f>
        <v>793.5508</v>
      </c>
      <c r="AM131" s="32">
        <f>IFERROR(__xludf.DUMMYFUNCTION("""COMPUTED_VALUE"""),172.500974)</f>
        <v>172.500974</v>
      </c>
      <c r="AN131" s="32">
        <f>IFERROR(__xludf.DUMMYFUNCTION("""COMPUTED_VALUE"""),23.015193)</f>
        <v>23.015193</v>
      </c>
      <c r="AO131" s="32">
        <f>IFERROR(__xludf.DUMMYFUNCTION("""COMPUTED_VALUE"""),10.0)</f>
        <v>10</v>
      </c>
      <c r="AP131" s="32">
        <f>IFERROR(__xludf.DUMMYFUNCTION("""COMPUTED_VALUE"""),0.3908787878787879)</f>
        <v>0.3908787879</v>
      </c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>
      <c r="A132" s="13" t="str">
        <f>IFERROR(__xludf.DUMMYFUNCTION("""COMPUTED_VALUE"""),"Blue Star Ltd.")</f>
        <v>Blue Star Ltd.</v>
      </c>
      <c r="B132" s="30">
        <f>IFERROR(__xludf.DUMMYFUNCTION("""COMPUTED_VALUE"""),500067.0)</f>
        <v>500067</v>
      </c>
      <c r="C132" s="13" t="str">
        <f>IFERROR(__xludf.DUMMYFUNCTION("""COMPUTED_VALUE"""),"BLUESTARCO")</f>
        <v>BLUESTARCO</v>
      </c>
      <c r="D132" s="13" t="str">
        <f>IFERROR(__xludf.DUMMYFUNCTION("""COMPUTED_VALUE"""),"INE472A01039")</f>
        <v>INE472A01039</v>
      </c>
      <c r="E132" s="13" t="str">
        <f>IFERROR(__xludf.DUMMYFUNCTION("""COMPUTED_VALUE"""),"Consumer Discretionary")</f>
        <v>Consumer Discretionary</v>
      </c>
      <c r="F132" s="13" t="str">
        <f>IFERROR(__xludf.DUMMYFUNCTION("""COMPUTED_VALUE"""),"ACs &amp; Refrigerators")</f>
        <v>ACs &amp; Refrigerators</v>
      </c>
      <c r="G132" s="31">
        <f>IFERROR(__xludf.DUMMYFUNCTION("""COMPUTED_VALUE"""),44809.0)</f>
        <v>44809</v>
      </c>
      <c r="H132" s="32">
        <f>IFERROR(__xludf.DUMMYFUNCTION("""COMPUTED_VALUE"""),1111.4)</f>
        <v>1111.4</v>
      </c>
      <c r="I132" s="32">
        <f>IFERROR(__xludf.DUMMYFUNCTION("""COMPUTED_VALUE"""),1.795201)</f>
        <v>1.795201</v>
      </c>
      <c r="J132" s="32">
        <f>IFERROR(__xludf.DUMMYFUNCTION("""COMPUTED_VALUE"""),787.95)</f>
        <v>787.95</v>
      </c>
      <c r="K132" s="32">
        <f>IFERROR(__xludf.DUMMYFUNCTION("""COMPUTED_VALUE"""),1225.0)</f>
        <v>1225</v>
      </c>
      <c r="L132" s="32">
        <f>IFERROR(__xludf.DUMMYFUNCTION("""COMPUTED_VALUE"""),408.9)</f>
        <v>408.9</v>
      </c>
      <c r="M132" s="32">
        <f>IFERROR(__xludf.DUMMYFUNCTION("""COMPUTED_VALUE"""),1225.0)</f>
        <v>1225</v>
      </c>
      <c r="N132" s="32">
        <f>IFERROR(__xludf.DUMMYFUNCTION("""COMPUTED_VALUE"""),408.9)</f>
        <v>408.9</v>
      </c>
      <c r="O132" s="32">
        <f>IFERROR(__xludf.DUMMYFUNCTION("""COMPUTED_VALUE"""),1225.0)</f>
        <v>1225</v>
      </c>
      <c r="P132" s="32">
        <f>IFERROR(__xludf.DUMMYFUNCTION("""COMPUTED_VALUE"""),3.74)</f>
        <v>3.74</v>
      </c>
      <c r="Q132" s="32">
        <f>IFERROR(__xludf.DUMMYFUNCTION("""COMPUTED_VALUE"""),1225.0)</f>
        <v>1225</v>
      </c>
      <c r="R132" s="32">
        <f>IFERROR(__xludf.DUMMYFUNCTION("""COMPUTED_VALUE"""),10704.32551232)</f>
        <v>10704.32551</v>
      </c>
      <c r="S132" s="32">
        <f>IFERROR(__xludf.DUMMYFUNCTION("""COMPUTED_VALUE"""),10581.57970848)</f>
        <v>10581.57971</v>
      </c>
      <c r="T132" s="32">
        <f>IFERROR(__xludf.DUMMYFUNCTION("""COMPUTED_VALUE"""),2.320015)</f>
        <v>2.320015</v>
      </c>
      <c r="U132" s="32">
        <f>IFERROR(__xludf.DUMMYFUNCTION("""COMPUTED_VALUE"""),10.001485)</f>
        <v>10.001485</v>
      </c>
      <c r="V132" s="32">
        <f>IFERROR(__xludf.DUMMYFUNCTION("""COMPUTED_VALUE"""),10.846257)</f>
        <v>10.846257</v>
      </c>
      <c r="W132" s="32">
        <f>IFERROR(__xludf.DUMMYFUNCTION("""COMPUTED_VALUE"""),41.480491)</f>
        <v>41.480491</v>
      </c>
      <c r="X132" s="32">
        <f>IFERROR(__xludf.DUMMYFUNCTION("""COMPUTED_VALUE"""),16.268799)</f>
        <v>16.268799</v>
      </c>
      <c r="Y132" s="32">
        <f>IFERROR(__xludf.DUMMYFUNCTION("""COMPUTED_VALUE"""),7.890397)</f>
        <v>7.890397</v>
      </c>
      <c r="Z132" s="32">
        <f>IFERROR(__xludf.DUMMYFUNCTION("""COMPUTED_VALUE"""),20.523597)</f>
        <v>20.523597</v>
      </c>
      <c r="AA132" s="32">
        <f>IFERROR(__xludf.DUMMYFUNCTION("""COMPUTED_VALUE"""),46.6656)</f>
        <v>46.6656</v>
      </c>
      <c r="AB132" s="32">
        <f>IFERROR(__xludf.DUMMYFUNCTION("""COMPUTED_VALUE"""),52.5791)</f>
        <v>52.5791</v>
      </c>
      <c r="AC132" s="32">
        <f>IFERROR(__xludf.DUMMYFUNCTION("""COMPUTED_VALUE"""),9.794)</f>
        <v>9.794</v>
      </c>
      <c r="AD132" s="32">
        <f>IFERROR(__xludf.DUMMYFUNCTION("""COMPUTED_VALUE"""),8.79665)</f>
        <v>8.79665</v>
      </c>
      <c r="AE132" s="32">
        <f>IFERROR(__xludf.DUMMYFUNCTION("""COMPUTED_VALUE"""),3.864791)</f>
        <v>3.864791</v>
      </c>
      <c r="AF132" s="32">
        <f>IFERROR(__xludf.DUMMYFUNCTION("""COMPUTED_VALUE"""),5.086289)</f>
        <v>5.086289</v>
      </c>
      <c r="AG132" s="32">
        <f>IFERROR(__xludf.DUMMYFUNCTION("""COMPUTED_VALUE"""),0.9002)</f>
        <v>0.9002</v>
      </c>
      <c r="AH132" s="32">
        <f>IFERROR(__xludf.DUMMYFUNCTION("""COMPUTED_VALUE"""),22.715539)</f>
        <v>22.715539</v>
      </c>
      <c r="AI132" s="32">
        <f>IFERROR(__xludf.DUMMYFUNCTION("""COMPUTED_VALUE"""),1.5371253173268848)</f>
        <v>1.537125317</v>
      </c>
      <c r="AJ132" s="32">
        <f>IFERROR(__xludf.DUMMYFUNCTION("""COMPUTED_VALUE"""),116.60485307538126)</f>
        <v>116.6048531</v>
      </c>
      <c r="AK132" s="32">
        <f>IFERROR(__xludf.DUMMYFUNCTION("""COMPUTED_VALUE"""),23.8045)</f>
        <v>23.8045</v>
      </c>
      <c r="AL132" s="32">
        <f>IFERROR(__xludf.DUMMYFUNCTION("""COMPUTED_VALUE"""),113.4211)</f>
        <v>113.4211</v>
      </c>
      <c r="AM132" s="32">
        <f>IFERROR(__xludf.DUMMYFUNCTION("""COMPUTED_VALUE"""),9.53271)</f>
        <v>9.53271</v>
      </c>
      <c r="AN132" s="32">
        <f>IFERROR(__xludf.DUMMYFUNCTION("""COMPUTED_VALUE"""),-20.478712)</f>
        <v>-20.478712</v>
      </c>
      <c r="AO132" s="32">
        <f>IFERROR(__xludf.DUMMYFUNCTION("""COMPUTED_VALUE"""),10.0)</f>
        <v>10</v>
      </c>
      <c r="AP132" s="32">
        <f>IFERROR(__xludf.DUMMYFUNCTION("""COMPUTED_VALUE"""),0.09273469387755094)</f>
        <v>0.09273469388</v>
      </c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>
      <c r="A133" s="13" t="str">
        <f>IFERROR(__xludf.DUMMYFUNCTION("""COMPUTED_VALUE"""),"Graphite India Ltd.")</f>
        <v>Graphite India Ltd.</v>
      </c>
      <c r="B133" s="30">
        <f>IFERROR(__xludf.DUMMYFUNCTION("""COMPUTED_VALUE"""),509488.0)</f>
        <v>509488</v>
      </c>
      <c r="C133" s="13" t="str">
        <f>IFERROR(__xludf.DUMMYFUNCTION("""COMPUTED_VALUE"""),"GRAPHITE")</f>
        <v>GRAPHITE</v>
      </c>
      <c r="D133" s="13" t="str">
        <f>IFERROR(__xludf.DUMMYFUNCTION("""COMPUTED_VALUE"""),"INE371A01025")</f>
        <v>INE371A01025</v>
      </c>
      <c r="E133" s="13" t="str">
        <f>IFERROR(__xludf.DUMMYFUNCTION("""COMPUTED_VALUE"""),"Capital Goods")</f>
        <v>Capital Goods</v>
      </c>
      <c r="F133" s="13" t="str">
        <f>IFERROR(__xludf.DUMMYFUNCTION("""COMPUTED_VALUE"""),"Refractories")</f>
        <v>Refractories</v>
      </c>
      <c r="G133" s="31">
        <f>IFERROR(__xludf.DUMMYFUNCTION("""COMPUTED_VALUE"""),44809.0)</f>
        <v>44809</v>
      </c>
      <c r="H133" s="32">
        <f>IFERROR(__xludf.DUMMYFUNCTION("""COMPUTED_VALUE"""),408.45)</f>
        <v>408.45</v>
      </c>
      <c r="I133" s="32">
        <f>IFERROR(__xludf.DUMMYFUNCTION("""COMPUTED_VALUE"""),0.529166)</f>
        <v>0.529166</v>
      </c>
      <c r="J133" s="32">
        <f>IFERROR(__xludf.DUMMYFUNCTION("""COMPUTED_VALUE"""),350.0)</f>
        <v>350</v>
      </c>
      <c r="K133" s="32">
        <f>IFERROR(__xludf.DUMMYFUNCTION("""COMPUTED_VALUE"""),661.0)</f>
        <v>661</v>
      </c>
      <c r="L133" s="32">
        <f>IFERROR(__xludf.DUMMYFUNCTION("""COMPUTED_VALUE"""),103.0)</f>
        <v>103</v>
      </c>
      <c r="M133" s="32">
        <f>IFERROR(__xludf.DUMMYFUNCTION("""COMPUTED_VALUE"""),815.9)</f>
        <v>815.9</v>
      </c>
      <c r="N133" s="32">
        <f>IFERROR(__xludf.DUMMYFUNCTION("""COMPUTED_VALUE"""),103.0)</f>
        <v>103</v>
      </c>
      <c r="O133" s="32">
        <f>IFERROR(__xludf.DUMMYFUNCTION("""COMPUTED_VALUE"""),1127.0)</f>
        <v>1127</v>
      </c>
      <c r="P133" s="32">
        <f>IFERROR(__xludf.DUMMYFUNCTION("""COMPUTED_VALUE"""),2.96)</f>
        <v>2.96</v>
      </c>
      <c r="Q133" s="32">
        <f>IFERROR(__xludf.DUMMYFUNCTION("""COMPUTED_VALUE"""),1127.0)</f>
        <v>1127</v>
      </c>
      <c r="R133" s="32">
        <f>IFERROR(__xludf.DUMMYFUNCTION("""COMPUTED_VALUE"""),7980.11613693)</f>
        <v>7980.116137</v>
      </c>
      <c r="S133" s="32">
        <f>IFERROR(__xludf.DUMMYFUNCTION("""COMPUTED_VALUE"""),6576.74101813)</f>
        <v>6576.741018</v>
      </c>
      <c r="T133" s="32">
        <f>IFERROR(__xludf.DUMMYFUNCTION("""COMPUTED_VALUE"""),0.615839)</f>
        <v>0.615839</v>
      </c>
      <c r="U133" s="32">
        <f>IFERROR(__xludf.DUMMYFUNCTION("""COMPUTED_VALUE"""),-7.736616)</f>
        <v>-7.736616</v>
      </c>
      <c r="V133" s="32">
        <f>IFERROR(__xludf.DUMMYFUNCTION("""COMPUTED_VALUE"""),-9.804571)</f>
        <v>-9.804571</v>
      </c>
      <c r="W133" s="32">
        <f>IFERROR(__xludf.DUMMYFUNCTION("""COMPUTED_VALUE"""),-36.254389)</f>
        <v>-36.254389</v>
      </c>
      <c r="X133" s="32">
        <f>IFERROR(__xludf.DUMMYFUNCTION("""COMPUTED_VALUE"""),15.231087)</f>
        <v>15.231087</v>
      </c>
      <c r="Y133" s="32">
        <f>IFERROR(__xludf.DUMMYFUNCTION("""COMPUTED_VALUE"""),9.445954)</f>
        <v>9.445954</v>
      </c>
      <c r="Z133" s="32">
        <f>IFERROR(__xludf.DUMMYFUNCTION("""COMPUTED_VALUE"""),17.983423)</f>
        <v>17.983423</v>
      </c>
      <c r="AA133" s="32">
        <f>IFERROR(__xludf.DUMMYFUNCTION("""COMPUTED_VALUE"""),21.0325)</f>
        <v>21.0325</v>
      </c>
      <c r="AB133" s="32">
        <f>IFERROR(__xludf.DUMMYFUNCTION("""COMPUTED_VALUE"""),16.7472)</f>
        <v>16.7472</v>
      </c>
      <c r="AC133" s="32">
        <f>IFERROR(__xludf.DUMMYFUNCTION("""COMPUTED_VALUE"""),1.6036)</f>
        <v>1.6036</v>
      </c>
      <c r="AD133" s="32">
        <f>IFERROR(__xludf.DUMMYFUNCTION("""COMPUTED_VALUE"""),1.86625)</f>
        <v>1.86625</v>
      </c>
      <c r="AE133" s="32">
        <f>IFERROR(__xludf.DUMMYFUNCTION("""COMPUTED_VALUE"""),12.10735)</f>
        <v>12.10735</v>
      </c>
      <c r="AF133" s="32">
        <f>IFERROR(__xludf.DUMMYFUNCTION("""COMPUTED_VALUE"""),0.427654)</f>
        <v>0.427654</v>
      </c>
      <c r="AG133" s="32">
        <f>IFERROR(__xludf.DUMMYFUNCTION("""COMPUTED_VALUE"""),2.4486)</f>
        <v>2.4486</v>
      </c>
      <c r="AH133" s="32">
        <f>IFERROR(__xludf.DUMMYFUNCTION("""COMPUTED_VALUE"""),10.799246)</f>
        <v>10.799246</v>
      </c>
      <c r="AI133" s="32">
        <f>IFERROR(__xludf.DUMMYFUNCTION("""COMPUTED_VALUE"""),2.4314796273400368)</f>
        <v>2.431479627</v>
      </c>
      <c r="AJ133" s="32">
        <f>IFERROR(__xludf.DUMMYFUNCTION("""COMPUTED_VALUE"""),-16.317253786713287)</f>
        <v>-16.31725379</v>
      </c>
      <c r="AK133" s="32">
        <f>IFERROR(__xludf.DUMMYFUNCTION("""COMPUTED_VALUE"""),19.3985)</f>
        <v>19.3985</v>
      </c>
      <c r="AL133" s="32">
        <f>IFERROR(__xludf.DUMMYFUNCTION("""COMPUTED_VALUE"""),254.4225)</f>
        <v>254.4225</v>
      </c>
      <c r="AM133" s="32">
        <f>IFERROR(__xludf.DUMMYFUNCTION("""COMPUTED_VALUE"""),-25.028659)</f>
        <v>-25.028659</v>
      </c>
      <c r="AN133" s="32">
        <f>IFERROR(__xludf.DUMMYFUNCTION("""COMPUTED_VALUE"""),-11.357216)</f>
        <v>-11.357216</v>
      </c>
      <c r="AO133" s="32">
        <f>IFERROR(__xludf.DUMMYFUNCTION("""COMPUTED_VALUE"""),10.0)</f>
        <v>10</v>
      </c>
      <c r="AP133" s="32">
        <f>IFERROR(__xludf.DUMMYFUNCTION("""COMPUTED_VALUE"""),0.3820726172465961)</f>
        <v>0.3820726172</v>
      </c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>
      <c r="A134" s="13" t="str">
        <f>IFERROR(__xludf.DUMMYFUNCTION("""COMPUTED_VALUE"""),"Grasim Industries Ltd.")</f>
        <v>Grasim Industries Ltd.</v>
      </c>
      <c r="B134" s="30">
        <f>IFERROR(__xludf.DUMMYFUNCTION("""COMPUTED_VALUE"""),500300.0)</f>
        <v>500300</v>
      </c>
      <c r="C134" s="13" t="str">
        <f>IFERROR(__xludf.DUMMYFUNCTION("""COMPUTED_VALUE"""),"GRASIM")</f>
        <v>GRASIM</v>
      </c>
      <c r="D134" s="13" t="str">
        <f>IFERROR(__xludf.DUMMYFUNCTION("""COMPUTED_VALUE"""),"INE047A01021")</f>
        <v>INE047A01021</v>
      </c>
      <c r="E134" s="13" t="str">
        <f>IFERROR(__xludf.DUMMYFUNCTION("""COMPUTED_VALUE"""),"Materials")</f>
        <v>Materials</v>
      </c>
      <c r="F134" s="13" t="str">
        <f>IFERROR(__xludf.DUMMYFUNCTION("""COMPUTED_VALUE"""),"Cement")</f>
        <v>Cement</v>
      </c>
      <c r="G134" s="31">
        <f>IFERROR(__xludf.DUMMYFUNCTION("""COMPUTED_VALUE"""),44809.0)</f>
        <v>44809</v>
      </c>
      <c r="H134" s="32">
        <f>IFERROR(__xludf.DUMMYFUNCTION("""COMPUTED_VALUE"""),1710.75)</f>
        <v>1710.75</v>
      </c>
      <c r="I134" s="32">
        <f>IFERROR(__xludf.DUMMYFUNCTION("""COMPUTED_VALUE"""),1.353753)</f>
        <v>1.353753</v>
      </c>
      <c r="J134" s="32">
        <f>IFERROR(__xludf.DUMMYFUNCTION("""COMPUTED_VALUE"""),1276.6)</f>
        <v>1276.6</v>
      </c>
      <c r="K134" s="32">
        <f>IFERROR(__xludf.DUMMYFUNCTION("""COMPUTED_VALUE"""),1939.0)</f>
        <v>1939</v>
      </c>
      <c r="L134" s="32">
        <f>IFERROR(__xludf.DUMMYFUNCTION("""COMPUTED_VALUE"""),380.0)</f>
        <v>380</v>
      </c>
      <c r="M134" s="32">
        <f>IFERROR(__xludf.DUMMYFUNCTION("""COMPUTED_VALUE"""),1939.0)</f>
        <v>1939</v>
      </c>
      <c r="N134" s="32">
        <f>IFERROR(__xludf.DUMMYFUNCTION("""COMPUTED_VALUE"""),380.0)</f>
        <v>380</v>
      </c>
      <c r="O134" s="32">
        <f>IFERROR(__xludf.DUMMYFUNCTION("""COMPUTED_VALUE"""),1939.0)</f>
        <v>1939</v>
      </c>
      <c r="P134" s="32">
        <f>IFERROR(__xludf.DUMMYFUNCTION("""COMPUTED_VALUE"""),32.2)</f>
        <v>32.2</v>
      </c>
      <c r="Q134" s="32">
        <f>IFERROR(__xludf.DUMMYFUNCTION("""COMPUTED_VALUE"""),1939.0)</f>
        <v>1939</v>
      </c>
      <c r="R134" s="32">
        <f>IFERROR(__xludf.DUMMYFUNCTION("""COMPUTED_VALUE"""),112621.31150295)</f>
        <v>112621.3115</v>
      </c>
      <c r="S134" s="32">
        <f>IFERROR(__xludf.DUMMYFUNCTION("""COMPUTED_VALUE"""),166266.53078907)</f>
        <v>166266.5308</v>
      </c>
      <c r="T134" s="32">
        <f>IFERROR(__xludf.DUMMYFUNCTION("""COMPUTED_VALUE"""),2.119087)</f>
        <v>2.119087</v>
      </c>
      <c r="U134" s="32">
        <f>IFERROR(__xludf.DUMMYFUNCTION("""COMPUTED_VALUE"""),8.319878)</f>
        <v>8.319878</v>
      </c>
      <c r="V134" s="32">
        <f>IFERROR(__xludf.DUMMYFUNCTION("""COMPUTED_VALUE"""),27.720333)</f>
        <v>27.720333</v>
      </c>
      <c r="W134" s="32">
        <f>IFERROR(__xludf.DUMMYFUNCTION("""COMPUTED_VALUE"""),13.260949)</f>
        <v>13.260949</v>
      </c>
      <c r="X134" s="32">
        <f>IFERROR(__xludf.DUMMYFUNCTION("""COMPUTED_VALUE"""),35.082347)</f>
        <v>35.082347</v>
      </c>
      <c r="Y134" s="32">
        <f>IFERROR(__xludf.DUMMYFUNCTION("""COMPUTED_VALUE"""),7.886409)</f>
        <v>7.886409</v>
      </c>
      <c r="Z134" s="32">
        <f>IFERROR(__xludf.DUMMYFUNCTION("""COMPUTED_VALUE"""),11.176923)</f>
        <v>11.176923</v>
      </c>
      <c r="AA134" s="32">
        <f>IFERROR(__xludf.DUMMYFUNCTION("""COMPUTED_VALUE"""),14.3714)</f>
        <v>14.3714</v>
      </c>
      <c r="AB134" s="32">
        <f>IFERROR(__xludf.DUMMYFUNCTION("""COMPUTED_VALUE"""),21.8163)</f>
        <v>21.8163</v>
      </c>
      <c r="AC134" s="32">
        <f>IFERROR(__xludf.DUMMYFUNCTION("""COMPUTED_VALUE"""),1.4382)</f>
        <v>1.4382</v>
      </c>
      <c r="AD134" s="32">
        <f>IFERROR(__xludf.DUMMYFUNCTION("""COMPUTED_VALUE"""),1.12595)</f>
        <v>1.12595</v>
      </c>
      <c r="AE134" s="32">
        <f>IFERROR(__xludf.DUMMYFUNCTION("""COMPUTED_VALUE"""),10.883834)</f>
        <v>10.883834</v>
      </c>
      <c r="AF134" s="32">
        <f>IFERROR(__xludf.DUMMYFUNCTION("""COMPUTED_VALUE"""),0.674674)</f>
        <v>0.674674</v>
      </c>
      <c r="AG134" s="32">
        <f>IFERROR(__xludf.DUMMYFUNCTION("""COMPUTED_VALUE"""),0.5847)</f>
        <v>0.5847</v>
      </c>
      <c r="AH134" s="32">
        <f>IFERROR(__xludf.DUMMYFUNCTION("""COMPUTED_VALUE"""),7.625814)</f>
        <v>7.625814</v>
      </c>
      <c r="AI134" s="32">
        <f>IFERROR(__xludf.DUMMYFUNCTION("""COMPUTED_VALUE"""),1.0847810943885339)</f>
        <v>1.084781094</v>
      </c>
      <c r="AJ134" s="32">
        <f>IFERROR(__xludf.DUMMYFUNCTION("""COMPUTED_VALUE"""),16.002687190035026)</f>
        <v>16.00268719</v>
      </c>
      <c r="AK134" s="32">
        <f>IFERROR(__xludf.DUMMYFUNCTION("""COMPUTED_VALUE"""),118.7253)</f>
        <v>118.7253</v>
      </c>
      <c r="AL134" s="32">
        <f>IFERROR(__xludf.DUMMYFUNCTION("""COMPUTED_VALUE"""),1186.3888)</f>
        <v>1186.3888</v>
      </c>
      <c r="AM134" s="32">
        <f>IFERROR(__xludf.DUMMYFUNCTION("""COMPUTED_VALUE"""),106.906426)</f>
        <v>106.906426</v>
      </c>
      <c r="AN134" s="32">
        <f>IFERROR(__xludf.DUMMYFUNCTION("""COMPUTED_VALUE"""),-83.868449)</f>
        <v>-83.868449</v>
      </c>
      <c r="AO134" s="32">
        <f>IFERROR(__xludf.DUMMYFUNCTION("""COMPUTED_VALUE"""),10.0)</f>
        <v>10</v>
      </c>
      <c r="AP134" s="32">
        <f>IFERROR(__xludf.DUMMYFUNCTION("""COMPUTED_VALUE"""),0.11771531717380093)</f>
        <v>0.1177153172</v>
      </c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>
      <c r="A135" s="13" t="str">
        <f>IFERROR(__xludf.DUMMYFUNCTION("""COMPUTED_VALUE"""),"Gujarat Narmada Valley Fertilizers &amp; Chemicals Ltd.")</f>
        <v>Gujarat Narmada Valley Fertilizers &amp; Chemicals Ltd.</v>
      </c>
      <c r="B135" s="30">
        <f>IFERROR(__xludf.DUMMYFUNCTION("""COMPUTED_VALUE"""),500670.0)</f>
        <v>500670</v>
      </c>
      <c r="C135" s="13" t="str">
        <f>IFERROR(__xludf.DUMMYFUNCTION("""COMPUTED_VALUE"""),"GNFC")</f>
        <v>GNFC</v>
      </c>
      <c r="D135" s="13" t="str">
        <f>IFERROR(__xludf.DUMMYFUNCTION("""COMPUTED_VALUE"""),"INE113A01013")</f>
        <v>INE113A01013</v>
      </c>
      <c r="E135" s="13" t="str">
        <f>IFERROR(__xludf.DUMMYFUNCTION("""COMPUTED_VALUE"""),"Chemicals")</f>
        <v>Chemicals</v>
      </c>
      <c r="F135" s="13" t="str">
        <f>IFERROR(__xludf.DUMMYFUNCTION("""COMPUTED_VALUE"""),"Nitrogenous Fertilizer.")</f>
        <v>Nitrogenous Fertilizer.</v>
      </c>
      <c r="G135" s="31">
        <f>IFERROR(__xludf.DUMMYFUNCTION("""COMPUTED_VALUE"""),44809.0)</f>
        <v>44809</v>
      </c>
      <c r="H135" s="32">
        <f>IFERROR(__xludf.DUMMYFUNCTION("""COMPUTED_VALUE"""),742.85)</f>
        <v>742.85</v>
      </c>
      <c r="I135" s="32">
        <f>IFERROR(__xludf.DUMMYFUNCTION("""COMPUTED_VALUE"""),0.351233)</f>
        <v>0.351233</v>
      </c>
      <c r="J135" s="32">
        <f>IFERROR(__xludf.DUMMYFUNCTION("""COMPUTED_VALUE"""),327.45)</f>
        <v>327.45</v>
      </c>
      <c r="K135" s="32">
        <f>IFERROR(__xludf.DUMMYFUNCTION("""COMPUTED_VALUE"""),912.0)</f>
        <v>912</v>
      </c>
      <c r="L135" s="32">
        <f>IFERROR(__xludf.DUMMYFUNCTION("""COMPUTED_VALUE"""),95.55)</f>
        <v>95.55</v>
      </c>
      <c r="M135" s="32">
        <f>IFERROR(__xludf.DUMMYFUNCTION("""COMPUTED_VALUE"""),912.0)</f>
        <v>912</v>
      </c>
      <c r="N135" s="32">
        <f>IFERROR(__xludf.DUMMYFUNCTION("""COMPUTED_VALUE"""),95.55)</f>
        <v>95.55</v>
      </c>
      <c r="O135" s="32">
        <f>IFERROR(__xludf.DUMMYFUNCTION("""COMPUTED_VALUE"""),912.0)</f>
        <v>912</v>
      </c>
      <c r="P135" s="32">
        <f>IFERROR(__xludf.DUMMYFUNCTION("""COMPUTED_VALUE"""),18.1)</f>
        <v>18.1</v>
      </c>
      <c r="Q135" s="32">
        <f>IFERROR(__xludf.DUMMYFUNCTION("""COMPUTED_VALUE"""),912.0)</f>
        <v>912</v>
      </c>
      <c r="R135" s="32">
        <f>IFERROR(__xludf.DUMMYFUNCTION("""COMPUTED_VALUE"""),11545.284295155)</f>
        <v>11545.2843</v>
      </c>
      <c r="S135" s="32">
        <f>IFERROR(__xludf.DUMMYFUNCTION("""COMPUTED_VALUE"""),10250.424472425)</f>
        <v>10250.42447</v>
      </c>
      <c r="T135" s="32">
        <f>IFERROR(__xludf.DUMMYFUNCTION("""COMPUTED_VALUE"""),-0.475616)</f>
        <v>-0.475616</v>
      </c>
      <c r="U135" s="32">
        <f>IFERROR(__xludf.DUMMYFUNCTION("""COMPUTED_VALUE"""),-3.463288)</f>
        <v>-3.463288</v>
      </c>
      <c r="V135" s="32">
        <f>IFERROR(__xludf.DUMMYFUNCTION("""COMPUTED_VALUE"""),12.323278)</f>
        <v>12.323278</v>
      </c>
      <c r="W135" s="32">
        <f>IFERROR(__xludf.DUMMYFUNCTION("""COMPUTED_VALUE"""),121.152129)</f>
        <v>121.152129</v>
      </c>
      <c r="X135" s="32">
        <f>IFERROR(__xludf.DUMMYFUNCTION("""COMPUTED_VALUE"""),61.899809)</f>
        <v>61.899809</v>
      </c>
      <c r="Y135" s="32">
        <f>IFERROR(__xludf.DUMMYFUNCTION("""COMPUTED_VALUE"""),19.145094)</f>
        <v>19.145094</v>
      </c>
      <c r="Z135" s="32">
        <f>IFERROR(__xludf.DUMMYFUNCTION("""COMPUTED_VALUE"""),25.344113)</f>
        <v>25.344113</v>
      </c>
      <c r="AA135" s="32">
        <f>IFERROR(__xludf.DUMMYFUNCTION("""COMPUTED_VALUE"""),5.6605)</f>
        <v>5.6605</v>
      </c>
      <c r="AB135" s="32">
        <f>IFERROR(__xludf.DUMMYFUNCTION("""COMPUTED_VALUE"""),6.56675)</f>
        <v>6.56675</v>
      </c>
      <c r="AC135" s="32">
        <f>IFERROR(__xludf.DUMMYFUNCTION("""COMPUTED_VALUE"""),1.3492)</f>
        <v>1.3492</v>
      </c>
      <c r="AD135" s="32">
        <f>IFERROR(__xludf.DUMMYFUNCTION("""COMPUTED_VALUE"""),0.96155)</f>
        <v>0.96155</v>
      </c>
      <c r="AE135" s="32">
        <f>IFERROR(__xludf.DUMMYFUNCTION("""COMPUTED_VALUE"""),28.552607)</f>
        <v>28.552607</v>
      </c>
      <c r="AF135" s="32">
        <f>IFERROR(__xludf.DUMMYFUNCTION("""COMPUTED_VALUE"""),0.211802)</f>
        <v>0.211802</v>
      </c>
      <c r="AG135" s="32">
        <f>IFERROR(__xludf.DUMMYFUNCTION("""COMPUTED_VALUE"""),1.3465)</f>
        <v>1.3465</v>
      </c>
      <c r="AH135" s="32">
        <f>IFERROR(__xludf.DUMMYFUNCTION("""COMPUTED_VALUE"""),3.422021)</f>
        <v>3.422021</v>
      </c>
      <c r="AI135" s="32">
        <f>IFERROR(__xludf.DUMMYFUNCTION("""COMPUTED_VALUE"""),1.1610115178310687)</f>
        <v>1.161011518</v>
      </c>
      <c r="AJ135" s="32">
        <f>IFERROR(__xludf.DUMMYFUNCTION("""COMPUTED_VALUE"""),5.870503439920983)</f>
        <v>5.87050344</v>
      </c>
      <c r="AK135" s="32">
        <f>IFERROR(__xludf.DUMMYFUNCTION("""COMPUTED_VALUE"""),131.2608)</f>
        <v>131.2608</v>
      </c>
      <c r="AL135" s="32">
        <f>IFERROR(__xludf.DUMMYFUNCTION("""COMPUTED_VALUE"""),550.7043)</f>
        <v>550.7043</v>
      </c>
      <c r="AM135" s="32">
        <f>IFERROR(__xludf.DUMMYFUNCTION("""COMPUTED_VALUE"""),126.538412)</f>
        <v>126.538412</v>
      </c>
      <c r="AN135" s="32">
        <f>IFERROR(__xludf.DUMMYFUNCTION("""COMPUTED_VALUE"""),126.569296)</f>
        <v>126.569296</v>
      </c>
      <c r="AO135" s="32">
        <f>IFERROR(__xludf.DUMMYFUNCTION("""COMPUTED_VALUE"""),10.0)</f>
        <v>10</v>
      </c>
      <c r="AP135" s="32">
        <f>IFERROR(__xludf.DUMMYFUNCTION("""COMPUTED_VALUE"""),0.18547149122807016)</f>
        <v>0.1854714912</v>
      </c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</row>
    <row r="136">
      <c r="A136" s="13" t="str">
        <f>IFERROR(__xludf.DUMMYFUNCTION("""COMPUTED_VALUE"""),"Motilal Oswal Financial Services Ltd")</f>
        <v>Motilal Oswal Financial Services Ltd</v>
      </c>
      <c r="B136" s="30">
        <f>IFERROR(__xludf.DUMMYFUNCTION("""COMPUTED_VALUE"""),532892.0)</f>
        <v>532892</v>
      </c>
      <c r="C136" s="13" t="str">
        <f>IFERROR(__xludf.DUMMYFUNCTION("""COMPUTED_VALUE"""),"MOTILALOFS")</f>
        <v>MOTILALOFS</v>
      </c>
      <c r="D136" s="13" t="str">
        <f>IFERROR(__xludf.DUMMYFUNCTION("""COMPUTED_VALUE"""),"INE338I01027")</f>
        <v>INE338I01027</v>
      </c>
      <c r="E136" s="13" t="str">
        <f>IFERROR(__xludf.DUMMYFUNCTION("""COMPUTED_VALUE"""),"Financial")</f>
        <v>Financial</v>
      </c>
      <c r="F136" s="13" t="str">
        <f>IFERROR(__xludf.DUMMYFUNCTION("""COMPUTED_VALUE"""),"Misc. Fin.services")</f>
        <v>Misc. Fin.services</v>
      </c>
      <c r="G136" s="31">
        <f>IFERROR(__xludf.DUMMYFUNCTION("""COMPUTED_VALUE"""),44809.0)</f>
        <v>44809</v>
      </c>
      <c r="H136" s="32">
        <f>IFERROR(__xludf.DUMMYFUNCTION("""COMPUTED_VALUE"""),777.55)</f>
        <v>777.55</v>
      </c>
      <c r="I136" s="32">
        <f>IFERROR(__xludf.DUMMYFUNCTION("""COMPUTED_VALUE"""),0.954298)</f>
        <v>0.954298</v>
      </c>
      <c r="J136" s="32">
        <f>IFERROR(__xludf.DUMMYFUNCTION("""COMPUTED_VALUE"""),714.0)</f>
        <v>714</v>
      </c>
      <c r="K136" s="32">
        <f>IFERROR(__xludf.DUMMYFUNCTION("""COMPUTED_VALUE"""),1014.8)</f>
        <v>1014.8</v>
      </c>
      <c r="L136" s="32">
        <f>IFERROR(__xludf.DUMMYFUNCTION("""COMPUTED_VALUE"""),426.0)</f>
        <v>426</v>
      </c>
      <c r="M136" s="32">
        <f>IFERROR(__xludf.DUMMYFUNCTION("""COMPUTED_VALUE"""),1188.0)</f>
        <v>1188</v>
      </c>
      <c r="N136" s="32">
        <f>IFERROR(__xludf.DUMMYFUNCTION("""COMPUTED_VALUE"""),426.0)</f>
        <v>426</v>
      </c>
      <c r="O136" s="32">
        <f>IFERROR(__xludf.DUMMYFUNCTION("""COMPUTED_VALUE"""),1588.4)</f>
        <v>1588.4</v>
      </c>
      <c r="P136" s="32">
        <f>IFERROR(__xludf.DUMMYFUNCTION("""COMPUTED_VALUE"""),43.6)</f>
        <v>43.6</v>
      </c>
      <c r="Q136" s="32">
        <f>IFERROR(__xludf.DUMMYFUNCTION("""COMPUTED_VALUE"""),1588.4)</f>
        <v>1588.4</v>
      </c>
      <c r="R136" s="32">
        <f>IFERROR(__xludf.DUMMYFUNCTION("""COMPUTED_VALUE"""),11485.5925272)</f>
        <v>11485.59253</v>
      </c>
      <c r="S136" s="32">
        <f>IFERROR(__xludf.DUMMYFUNCTION("""COMPUTED_VALUE"""),12115.77431488)</f>
        <v>12115.77431</v>
      </c>
      <c r="T136" s="32">
        <f>IFERROR(__xludf.DUMMYFUNCTION("""COMPUTED_VALUE"""),0.862628)</f>
        <v>0.862628</v>
      </c>
      <c r="U136" s="32">
        <f>IFERROR(__xludf.DUMMYFUNCTION("""COMPUTED_VALUE"""),2.215065)</f>
        <v>2.215065</v>
      </c>
      <c r="V136" s="32">
        <f>IFERROR(__xludf.DUMMYFUNCTION("""COMPUTED_VALUE"""),-1.332403)</f>
        <v>-1.332403</v>
      </c>
      <c r="W136" s="32">
        <f>IFERROR(__xludf.DUMMYFUNCTION("""COMPUTED_VALUE"""),-4.018022)</f>
        <v>-4.018022</v>
      </c>
      <c r="X136" s="32">
        <f>IFERROR(__xludf.DUMMYFUNCTION("""COMPUTED_VALUE"""),10.61147)</f>
        <v>10.61147</v>
      </c>
      <c r="Y136" s="32">
        <f>IFERROR(__xludf.DUMMYFUNCTION("""COMPUTED_VALUE"""),-8.601767)</f>
        <v>-8.601767</v>
      </c>
      <c r="Z136" s="32">
        <f>IFERROR(__xludf.DUMMYFUNCTION("""COMPUTED_VALUE"""),23.447904)</f>
        <v>23.447904</v>
      </c>
      <c r="AA136" s="32">
        <f>IFERROR(__xludf.DUMMYFUNCTION("""COMPUTED_VALUE"""),10.3883)</f>
        <v>10.3883</v>
      </c>
      <c r="AB136" s="32">
        <f>IFERROR(__xludf.DUMMYFUNCTION("""COMPUTED_VALUE"""),22.84545)</f>
        <v>22.84545</v>
      </c>
      <c r="AC136" s="32">
        <f>IFERROR(__xludf.DUMMYFUNCTION("""COMPUTED_VALUE"""),2.098)</f>
        <v>2.098</v>
      </c>
      <c r="AD136" s="32">
        <f>IFERROR(__xludf.DUMMYFUNCTION("""COMPUTED_VALUE"""),2.86555)</f>
        <v>2.86555</v>
      </c>
      <c r="AE136" s="32">
        <f>IFERROR(__xludf.DUMMYFUNCTION("""COMPUTED_VALUE"""),16.14787)</f>
        <v>16.14787</v>
      </c>
      <c r="AF136" s="32">
        <f>IFERROR(__xludf.DUMMYFUNCTION("""COMPUTED_VALUE"""),0.463628)</f>
        <v>0.463628</v>
      </c>
      <c r="AG136" s="32">
        <f>IFERROR(__xludf.DUMMYFUNCTION("""COMPUTED_VALUE"""),1.2877)</f>
        <v>1.2877</v>
      </c>
      <c r="AH136" s="32">
        <f>IFERROR(__xludf.DUMMYFUNCTION("""COMPUTED_VALUE"""),6.220906)</f>
        <v>6.220906</v>
      </c>
      <c r="AI136" s="32">
        <f>IFERROR(__xludf.DUMMYFUNCTION("""COMPUTED_VALUE"""),2.8041271221398647)</f>
        <v>2.804127122</v>
      </c>
      <c r="AJ136" s="32">
        <f>IFERROR(__xludf.DUMMYFUNCTION("""COMPUTED_VALUE"""),11.364447516672273)</f>
        <v>11.36444752</v>
      </c>
      <c r="AK136" s="32">
        <f>IFERROR(__xludf.DUMMYFUNCTION("""COMPUTED_VALUE"""),74.8921)</f>
        <v>74.8921</v>
      </c>
      <c r="AL136" s="32">
        <f>IFERROR(__xludf.DUMMYFUNCTION("""COMPUTED_VALUE"""),370.8256)</f>
        <v>370.8256</v>
      </c>
      <c r="AM136" s="32">
        <f>IFERROR(__xludf.DUMMYFUNCTION("""COMPUTED_VALUE"""),67.784038)</f>
        <v>67.784038</v>
      </c>
      <c r="AN136" s="32">
        <f>IFERROR(__xludf.DUMMYFUNCTION("""COMPUTED_VALUE"""),89.545272)</f>
        <v>89.545272</v>
      </c>
      <c r="AO136" s="32">
        <f>IFERROR(__xludf.DUMMYFUNCTION("""COMPUTED_VALUE"""),10.0)</f>
        <v>10</v>
      </c>
      <c r="AP136" s="32">
        <f>IFERROR(__xludf.DUMMYFUNCTION("""COMPUTED_VALUE"""),0.23378990934174224)</f>
        <v>0.2337899093</v>
      </c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</row>
    <row r="137">
      <c r="A137" s="13" t="str">
        <f>IFERROR(__xludf.DUMMYFUNCTION("""COMPUTED_VALUE"""),"Pidilite Industries Ltd.")</f>
        <v>Pidilite Industries Ltd.</v>
      </c>
      <c r="B137" s="30">
        <f>IFERROR(__xludf.DUMMYFUNCTION("""COMPUTED_VALUE"""),500331.0)</f>
        <v>500331</v>
      </c>
      <c r="C137" s="13" t="str">
        <f>IFERROR(__xludf.DUMMYFUNCTION("""COMPUTED_VALUE"""),"PIDILITIND")</f>
        <v>PIDILITIND</v>
      </c>
      <c r="D137" s="13" t="str">
        <f>IFERROR(__xludf.DUMMYFUNCTION("""COMPUTED_VALUE"""),"INE318A01026")</f>
        <v>INE318A01026</v>
      </c>
      <c r="E137" s="13" t="str">
        <f>IFERROR(__xludf.DUMMYFUNCTION("""COMPUTED_VALUE"""),"Chemicals")</f>
        <v>Chemicals</v>
      </c>
      <c r="F137" s="13" t="str">
        <f>IFERROR(__xludf.DUMMYFUNCTION("""COMPUTED_VALUE"""),"Misc.Chem.")</f>
        <v>Misc.Chem.</v>
      </c>
      <c r="G137" s="31">
        <f>IFERROR(__xludf.DUMMYFUNCTION("""COMPUTED_VALUE"""),44809.0)</f>
        <v>44809</v>
      </c>
      <c r="H137" s="32">
        <f>IFERROR(__xludf.DUMMYFUNCTION("""COMPUTED_VALUE"""),2832.75)</f>
        <v>2832.75</v>
      </c>
      <c r="I137" s="32">
        <f>IFERROR(__xludf.DUMMYFUNCTION("""COMPUTED_VALUE"""),-1.184289)</f>
        <v>-1.184289</v>
      </c>
      <c r="J137" s="32">
        <f>IFERROR(__xludf.DUMMYFUNCTION("""COMPUTED_VALUE"""),1988.55)</f>
        <v>1988.55</v>
      </c>
      <c r="K137" s="32">
        <f>IFERROR(__xludf.DUMMYFUNCTION("""COMPUTED_VALUE"""),2895.0)</f>
        <v>2895</v>
      </c>
      <c r="L137" s="32">
        <f>IFERROR(__xludf.DUMMYFUNCTION("""COMPUTED_VALUE"""),1185.55)</f>
        <v>1185.55</v>
      </c>
      <c r="M137" s="32">
        <f>IFERROR(__xludf.DUMMYFUNCTION("""COMPUTED_VALUE"""),2895.0)</f>
        <v>2895</v>
      </c>
      <c r="N137" s="32">
        <f>IFERROR(__xludf.DUMMYFUNCTION("""COMPUTED_VALUE"""),748.75)</f>
        <v>748.75</v>
      </c>
      <c r="O137" s="32">
        <f>IFERROR(__xludf.DUMMYFUNCTION("""COMPUTED_VALUE"""),2895.0)</f>
        <v>2895</v>
      </c>
      <c r="P137" s="32">
        <f>IFERROR(__xludf.DUMMYFUNCTION("""COMPUTED_VALUE"""),7.075)</f>
        <v>7.075</v>
      </c>
      <c r="Q137" s="32">
        <f>IFERROR(__xludf.DUMMYFUNCTION("""COMPUTED_VALUE"""),2895.0)</f>
        <v>2895</v>
      </c>
      <c r="R137" s="32">
        <f>IFERROR(__xludf.DUMMYFUNCTION("""COMPUTED_VALUE"""),143988.38506125)</f>
        <v>143988.3851</v>
      </c>
      <c r="S137" s="32">
        <f>IFERROR(__xludf.DUMMYFUNCTION("""COMPUTED_VALUE"""),145457.461028)</f>
        <v>145457.461</v>
      </c>
      <c r="T137" s="32">
        <f>IFERROR(__xludf.DUMMYFUNCTION("""COMPUTED_VALUE"""),6.218831)</f>
        <v>6.218831</v>
      </c>
      <c r="U137" s="32">
        <f>IFERROR(__xludf.DUMMYFUNCTION("""COMPUTED_VALUE"""),10.90991)</f>
        <v>10.90991</v>
      </c>
      <c r="V137" s="32">
        <f>IFERROR(__xludf.DUMMYFUNCTION("""COMPUTED_VALUE"""),29.019402)</f>
        <v>29.019402</v>
      </c>
      <c r="W137" s="32">
        <f>IFERROR(__xludf.DUMMYFUNCTION("""COMPUTED_VALUE"""),21.71307)</f>
        <v>21.71307</v>
      </c>
      <c r="X137" s="32">
        <f>IFERROR(__xludf.DUMMYFUNCTION("""COMPUTED_VALUE"""),27.689134)</f>
        <v>27.689134</v>
      </c>
      <c r="Y137" s="32">
        <f>IFERROR(__xludf.DUMMYFUNCTION("""COMPUTED_VALUE"""),27.631785)</f>
        <v>27.631785</v>
      </c>
      <c r="Z137" s="32">
        <f>IFERROR(__xludf.DUMMYFUNCTION("""COMPUTED_VALUE"""),30.427228)</f>
        <v>30.427228</v>
      </c>
      <c r="AA137" s="32">
        <f>IFERROR(__xludf.DUMMYFUNCTION("""COMPUTED_VALUE"""),107.5914)</f>
        <v>107.5914</v>
      </c>
      <c r="AB137" s="32">
        <f>IFERROR(__xludf.DUMMYFUNCTION("""COMPUTED_VALUE"""),69.67465)</f>
        <v>69.67465</v>
      </c>
      <c r="AC137" s="32">
        <f>IFERROR(__xludf.DUMMYFUNCTION("""COMPUTED_VALUE"""),21.4567)</f>
        <v>21.4567</v>
      </c>
      <c r="AD137" s="32">
        <f>IFERROR(__xludf.DUMMYFUNCTION("""COMPUTED_VALUE"""),16.25015)</f>
        <v>16.25015</v>
      </c>
      <c r="AE137" s="32">
        <f>IFERROR(__xludf.DUMMYFUNCTION("""COMPUTED_VALUE"""),1.298531)</f>
        <v>1.298531</v>
      </c>
      <c r="AF137" s="32">
        <f>IFERROR(__xludf.DUMMYFUNCTION("""COMPUTED_VALUE"""),10.329407)</f>
        <v>10.329407</v>
      </c>
      <c r="AG137" s="32">
        <f>IFERROR(__xludf.DUMMYFUNCTION("""COMPUTED_VALUE"""),0.3531)</f>
        <v>0.3531</v>
      </c>
      <c r="AH137" s="32">
        <f>IFERROR(__xludf.DUMMYFUNCTION("""COMPUTED_VALUE"""),70.267947)</f>
        <v>70.267947</v>
      </c>
      <c r="AI137" s="32">
        <f>IFERROR(__xludf.DUMMYFUNCTION("""COMPUTED_VALUE"""),12.989151835700136)</f>
        <v>12.98915184</v>
      </c>
      <c r="AJ137" s="32">
        <f>IFERROR(__xludf.DUMMYFUNCTION("""COMPUTED_VALUE"""),150.7147859585815)</f>
        <v>150.714786</v>
      </c>
      <c r="AK137" s="32">
        <f>IFERROR(__xludf.DUMMYFUNCTION("""COMPUTED_VALUE"""),26.3841)</f>
        <v>26.3841</v>
      </c>
      <c r="AL137" s="32">
        <f>IFERROR(__xludf.DUMMYFUNCTION("""COMPUTED_VALUE"""),132.2993)</f>
        <v>132.2993</v>
      </c>
      <c r="AM137" s="32">
        <f>IFERROR(__xludf.DUMMYFUNCTION("""COMPUTED_VALUE"""),18.795396)</f>
        <v>18.795396</v>
      </c>
      <c r="AN137" s="32">
        <f>IFERROR(__xludf.DUMMYFUNCTION("""COMPUTED_VALUE"""),10.808184)</f>
        <v>10.808184</v>
      </c>
      <c r="AO137" s="32">
        <f>IFERROR(__xludf.DUMMYFUNCTION("""COMPUTED_VALUE"""),10.0)</f>
        <v>10</v>
      </c>
      <c r="AP137" s="32">
        <f>IFERROR(__xludf.DUMMYFUNCTION("""COMPUTED_VALUE"""),0.021502590673575128)</f>
        <v>0.02150259067</v>
      </c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>
      <c r="A138" s="13" t="str">
        <f>IFERROR(__xludf.DUMMYFUNCTION("""COMPUTED_VALUE"""),"Sun Pharmaceutical Industries Ltd.")</f>
        <v>Sun Pharmaceutical Industries Ltd.</v>
      </c>
      <c r="B138" s="30">
        <f>IFERROR(__xludf.DUMMYFUNCTION("""COMPUTED_VALUE"""),524715.0)</f>
        <v>524715</v>
      </c>
      <c r="C138" s="13" t="str">
        <f>IFERROR(__xludf.DUMMYFUNCTION("""COMPUTED_VALUE"""),"SUNPHARMA")</f>
        <v>SUNPHARMA</v>
      </c>
      <c r="D138" s="13" t="str">
        <f>IFERROR(__xludf.DUMMYFUNCTION("""COMPUTED_VALUE"""),"INE044A01036")</f>
        <v>INE044A01036</v>
      </c>
      <c r="E138" s="13" t="str">
        <f>IFERROR(__xludf.DUMMYFUNCTION("""COMPUTED_VALUE"""),"Healthcare")</f>
        <v>Healthcare</v>
      </c>
      <c r="F138" s="13" t="str">
        <f>IFERROR(__xludf.DUMMYFUNCTION("""COMPUTED_VALUE"""),"Drugs &amp; Pharma")</f>
        <v>Drugs &amp; Pharma</v>
      </c>
      <c r="G138" s="31">
        <f>IFERROR(__xludf.DUMMYFUNCTION("""COMPUTED_VALUE"""),44809.0)</f>
        <v>44809</v>
      </c>
      <c r="H138" s="32">
        <f>IFERROR(__xludf.DUMMYFUNCTION("""COMPUTED_VALUE"""),884.6)</f>
        <v>884.6</v>
      </c>
      <c r="I138" s="32">
        <f>IFERROR(__xludf.DUMMYFUNCTION("""COMPUTED_VALUE"""),1.73078)</f>
        <v>1.73078</v>
      </c>
      <c r="J138" s="32">
        <f>IFERROR(__xludf.DUMMYFUNCTION("""COMPUTED_VALUE"""),733.7)</f>
        <v>733.7</v>
      </c>
      <c r="K138" s="32">
        <f>IFERROR(__xludf.DUMMYFUNCTION("""COMPUTED_VALUE"""),967.05)</f>
        <v>967.05</v>
      </c>
      <c r="L138" s="32">
        <f>IFERROR(__xludf.DUMMYFUNCTION("""COMPUTED_VALUE"""),312.0)</f>
        <v>312</v>
      </c>
      <c r="M138" s="32">
        <f>IFERROR(__xludf.DUMMYFUNCTION("""COMPUTED_VALUE"""),967.05)</f>
        <v>967.05</v>
      </c>
      <c r="N138" s="32">
        <f>IFERROR(__xludf.DUMMYFUNCTION("""COMPUTED_VALUE"""),312.0)</f>
        <v>312</v>
      </c>
      <c r="O138" s="32">
        <f>IFERROR(__xludf.DUMMYFUNCTION("""COMPUTED_VALUE"""),967.05)</f>
        <v>967.05</v>
      </c>
      <c r="P138" s="32">
        <f>IFERROR(__xludf.DUMMYFUNCTION("""COMPUTED_VALUE"""),7.1275)</f>
        <v>7.1275</v>
      </c>
      <c r="Q138" s="32">
        <f>IFERROR(__xludf.DUMMYFUNCTION("""COMPUTED_VALUE"""),1200.8)</f>
        <v>1200.8</v>
      </c>
      <c r="R138" s="32">
        <f>IFERROR(__xludf.DUMMYFUNCTION("""COMPUTED_VALUE"""),212245.1714462)</f>
        <v>212245.1714</v>
      </c>
      <c r="S138" s="32">
        <f>IFERROR(__xludf.DUMMYFUNCTION("""COMPUTED_VALUE"""),196837.5889421)</f>
        <v>196837.5889</v>
      </c>
      <c r="T138" s="32">
        <f>IFERROR(__xludf.DUMMYFUNCTION("""COMPUTED_VALUE"""),0.505596)</f>
        <v>0.505596</v>
      </c>
      <c r="U138" s="32">
        <f>IFERROR(__xludf.DUMMYFUNCTION("""COMPUTED_VALUE"""),-3.6908)</f>
        <v>-3.6908</v>
      </c>
      <c r="V138" s="32">
        <f>IFERROR(__xludf.DUMMYFUNCTION("""COMPUTED_VALUE"""),2.254075)</f>
        <v>2.254075</v>
      </c>
      <c r="W138" s="32">
        <f>IFERROR(__xludf.DUMMYFUNCTION("""COMPUTED_VALUE"""),12.059792)</f>
        <v>12.059792</v>
      </c>
      <c r="X138" s="32">
        <f>IFERROR(__xludf.DUMMYFUNCTION("""COMPUTED_VALUE"""),27.534085)</f>
        <v>27.534085</v>
      </c>
      <c r="Y138" s="32">
        <f>IFERROR(__xludf.DUMMYFUNCTION("""COMPUTED_VALUE"""),12.055678)</f>
        <v>12.055678</v>
      </c>
      <c r="Z138" s="32">
        <f>IFERROR(__xludf.DUMMYFUNCTION("""COMPUTED_VALUE"""),10.334563)</f>
        <v>10.334563</v>
      </c>
      <c r="AA138" s="32">
        <f>IFERROR(__xludf.DUMMYFUNCTION("""COMPUTED_VALUE"""),54.5943)</f>
        <v>54.5943</v>
      </c>
      <c r="AB138" s="32">
        <f>IFERROR(__xludf.DUMMYFUNCTION("""COMPUTED_VALUE"""),39.536)</f>
        <v>39.536</v>
      </c>
      <c r="AC138" s="32">
        <f>IFERROR(__xludf.DUMMYFUNCTION("""COMPUTED_VALUE"""),4.2377)</f>
        <v>4.2377</v>
      </c>
      <c r="AD138" s="32">
        <f>IFERROR(__xludf.DUMMYFUNCTION("""COMPUTED_VALUE"""),3.21955)</f>
        <v>3.21955</v>
      </c>
      <c r="AE138" s="32">
        <f>IFERROR(__xludf.DUMMYFUNCTION("""COMPUTED_VALUE"""),5.027945)</f>
        <v>5.027945</v>
      </c>
      <c r="AF138" s="32">
        <f>IFERROR(__xludf.DUMMYFUNCTION("""COMPUTED_VALUE"""),-11.318155)</f>
        <v>-11.318155</v>
      </c>
      <c r="AG138" s="32">
        <f>IFERROR(__xludf.DUMMYFUNCTION("""COMPUTED_VALUE"""),1.1299)</f>
        <v>1.1299</v>
      </c>
      <c r="AH138" s="32">
        <f>IFERROR(__xludf.DUMMYFUNCTION("""COMPUTED_VALUE"""),17.524464)</f>
        <v>17.524464</v>
      </c>
      <c r="AI138" s="32">
        <f>IFERROR(__xludf.DUMMYFUNCTION("""COMPUTED_VALUE"""),5.3868020334073075)</f>
        <v>5.386802033</v>
      </c>
      <c r="AJ138" s="32">
        <f>IFERROR(__xludf.DUMMYFUNCTION("""COMPUTED_VALUE"""),23.623376538609655)</f>
        <v>23.62337654</v>
      </c>
      <c r="AK138" s="32">
        <f>IFERROR(__xludf.DUMMYFUNCTION("""COMPUTED_VALUE"""),16.2105)</f>
        <v>16.2105</v>
      </c>
      <c r="AL138" s="32">
        <f>IFERROR(__xludf.DUMMYFUNCTION("""COMPUTED_VALUE"""),208.8373)</f>
        <v>208.8373</v>
      </c>
      <c r="AM138" s="32">
        <f>IFERROR(__xludf.DUMMYFUNCTION("""COMPUTED_VALUE"""),37.446505)</f>
        <v>37.446505</v>
      </c>
      <c r="AN138" s="32">
        <f>IFERROR(__xludf.DUMMYFUNCTION("""COMPUTED_VALUE"""),23.396699)</f>
        <v>23.396699</v>
      </c>
      <c r="AO138" s="32">
        <f>IFERROR(__xludf.DUMMYFUNCTION("""COMPUTED_VALUE"""),10.0)</f>
        <v>10</v>
      </c>
      <c r="AP138" s="32">
        <f>IFERROR(__xludf.DUMMYFUNCTION("""COMPUTED_VALUE"""),0.08525929372834903)</f>
        <v>0.08525929373</v>
      </c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>
      <c r="A139" s="13" t="str">
        <f>IFERROR(__xludf.DUMMYFUNCTION("""COMPUTED_VALUE"""),"UPL Ltd.")</f>
        <v>UPL Ltd.</v>
      </c>
      <c r="B139" s="30">
        <f>IFERROR(__xludf.DUMMYFUNCTION("""COMPUTED_VALUE"""),512070.0)</f>
        <v>512070</v>
      </c>
      <c r="C139" s="13" t="str">
        <f>IFERROR(__xludf.DUMMYFUNCTION("""COMPUTED_VALUE"""),"UPL")</f>
        <v>UPL</v>
      </c>
      <c r="D139" s="13" t="str">
        <f>IFERROR(__xludf.DUMMYFUNCTION("""COMPUTED_VALUE"""),"INE628A01036")</f>
        <v>INE628A01036</v>
      </c>
      <c r="E139" s="13" t="str">
        <f>IFERROR(__xludf.DUMMYFUNCTION("""COMPUTED_VALUE"""),"Chemicals")</f>
        <v>Chemicals</v>
      </c>
      <c r="F139" s="13" t="str">
        <f>IFERROR(__xludf.DUMMYFUNCTION("""COMPUTED_VALUE"""),"Inorganic Chem.")</f>
        <v>Inorganic Chem.</v>
      </c>
      <c r="G139" s="31">
        <f>IFERROR(__xludf.DUMMYFUNCTION("""COMPUTED_VALUE"""),44809.0)</f>
        <v>44809</v>
      </c>
      <c r="H139" s="32">
        <f>IFERROR(__xludf.DUMMYFUNCTION("""COMPUTED_VALUE"""),746.85)</f>
        <v>746.85</v>
      </c>
      <c r="I139" s="32">
        <f>IFERROR(__xludf.DUMMYFUNCTION("""COMPUTED_VALUE"""),0.140788)</f>
        <v>0.140788</v>
      </c>
      <c r="J139" s="32">
        <f>IFERROR(__xludf.DUMMYFUNCTION("""COMPUTED_VALUE"""),607.5)</f>
        <v>607.5</v>
      </c>
      <c r="K139" s="32">
        <f>IFERROR(__xludf.DUMMYFUNCTION("""COMPUTED_VALUE"""),848.0)</f>
        <v>848</v>
      </c>
      <c r="L139" s="32">
        <f>IFERROR(__xludf.DUMMYFUNCTION("""COMPUTED_VALUE"""),240.15)</f>
        <v>240.15</v>
      </c>
      <c r="M139" s="32">
        <f>IFERROR(__xludf.DUMMYFUNCTION("""COMPUTED_VALUE"""),864.75)</f>
        <v>864.75</v>
      </c>
      <c r="N139" s="32">
        <f>IFERROR(__xludf.DUMMYFUNCTION("""COMPUTED_VALUE"""),240.15)</f>
        <v>240.15</v>
      </c>
      <c r="O139" s="32">
        <f>IFERROR(__xludf.DUMMYFUNCTION("""COMPUTED_VALUE"""),864.75)</f>
        <v>864.75</v>
      </c>
      <c r="P139" s="32">
        <f>IFERROR(__xludf.DUMMYFUNCTION("""COMPUTED_VALUE"""),1.08)</f>
        <v>1.08</v>
      </c>
      <c r="Q139" s="32">
        <f>IFERROR(__xludf.DUMMYFUNCTION("""COMPUTED_VALUE"""),864.75)</f>
        <v>864.75</v>
      </c>
      <c r="R139" s="32">
        <f>IFERROR(__xludf.DUMMYFUNCTION("""COMPUTED_VALUE"""),56059.131668085)</f>
        <v>56059.13167</v>
      </c>
      <c r="S139" s="32">
        <f>IFERROR(__xludf.DUMMYFUNCTION("""COMPUTED_VALUE"""),74897.57698039501)</f>
        <v>74897.57698</v>
      </c>
      <c r="T139" s="32">
        <f>IFERROR(__xludf.DUMMYFUNCTION("""COMPUTED_VALUE"""),-1.730263)</f>
        <v>-1.730263</v>
      </c>
      <c r="U139" s="32">
        <f>IFERROR(__xludf.DUMMYFUNCTION("""COMPUTED_VALUE"""),2.063546)</f>
        <v>2.063546</v>
      </c>
      <c r="V139" s="32">
        <f>IFERROR(__xludf.DUMMYFUNCTION("""COMPUTED_VALUE"""),-2.962385)</f>
        <v>-2.962385</v>
      </c>
      <c r="W139" s="32">
        <f>IFERROR(__xludf.DUMMYFUNCTION("""COMPUTED_VALUE"""),-0.790383)</f>
        <v>-0.790383</v>
      </c>
      <c r="X139" s="32">
        <f>IFERROR(__xludf.DUMMYFUNCTION("""COMPUTED_VALUE"""),10.004539)</f>
        <v>10.004539</v>
      </c>
      <c r="Y139" s="32">
        <f>IFERROR(__xludf.DUMMYFUNCTION("""COMPUTED_VALUE"""),6.51739)</f>
        <v>6.51739</v>
      </c>
      <c r="Z139" s="32">
        <f>IFERROR(__xludf.DUMMYFUNCTION("""COMPUTED_VALUE"""),25.035242)</f>
        <v>25.035242</v>
      </c>
      <c r="AA139" s="32">
        <f>IFERROR(__xludf.DUMMYFUNCTION("""COMPUTED_VALUE"""),14.6551)</f>
        <v>14.6551</v>
      </c>
      <c r="AB139" s="32">
        <f>IFERROR(__xludf.DUMMYFUNCTION("""COMPUTED_VALUE"""),18.8949)</f>
        <v>18.8949</v>
      </c>
      <c r="AC139" s="32">
        <f>IFERROR(__xludf.DUMMYFUNCTION("""COMPUTED_VALUE"""),2.6036)</f>
        <v>2.6036</v>
      </c>
      <c r="AD139" s="32">
        <f>IFERROR(__xludf.DUMMYFUNCTION("""COMPUTED_VALUE"""),2.94825)</f>
        <v>2.94825</v>
      </c>
      <c r="AE139" s="32">
        <f>IFERROR(__xludf.DUMMYFUNCTION("""COMPUTED_VALUE"""),10.827701)</f>
        <v>10.827701</v>
      </c>
      <c r="AF139" s="32">
        <f>IFERROR(__xludf.DUMMYFUNCTION("""COMPUTED_VALUE"""),0.762106)</f>
        <v>0.762106</v>
      </c>
      <c r="AG139" s="32">
        <f>IFERROR(__xludf.DUMMYFUNCTION("""COMPUTED_VALUE"""),1.3387)</f>
        <v>1.3387</v>
      </c>
      <c r="AH139" s="32">
        <f>IFERROR(__xludf.DUMMYFUNCTION("""COMPUTED_VALUE"""),7.337864)</f>
        <v>7.337864</v>
      </c>
      <c r="AI139" s="32">
        <f>IFERROR(__xludf.DUMMYFUNCTION("""COMPUTED_VALUE"""),1.1547631456368188)</f>
        <v>1.154763146</v>
      </c>
      <c r="AJ139" s="32">
        <f>IFERROR(__xludf.DUMMYFUNCTION("""COMPUTED_VALUE"""),8.62979243658944)</f>
        <v>8.629792437</v>
      </c>
      <c r="AK139" s="32">
        <f>IFERROR(__xludf.DUMMYFUNCTION("""COMPUTED_VALUE"""),50.972)</f>
        <v>50.972</v>
      </c>
      <c r="AL139" s="32">
        <f>IFERROR(__xludf.DUMMYFUNCTION("""COMPUTED_VALUE"""),286.9153)</f>
        <v>286.9153</v>
      </c>
      <c r="AM139" s="32">
        <f>IFERROR(__xludf.DUMMYFUNCTION("""COMPUTED_VALUE"""),84.915033)</f>
        <v>84.915033</v>
      </c>
      <c r="AN139" s="32">
        <f>IFERROR(__xludf.DUMMYFUNCTION("""COMPUTED_VALUE"""),28.849673)</f>
        <v>28.849673</v>
      </c>
      <c r="AO139" s="32">
        <f>IFERROR(__xludf.DUMMYFUNCTION("""COMPUTED_VALUE"""),10.0)</f>
        <v>10</v>
      </c>
      <c r="AP139" s="32">
        <f>IFERROR(__xludf.DUMMYFUNCTION("""COMPUTED_VALUE"""),0.11928066037735846)</f>
        <v>0.1192806604</v>
      </c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>
      <c r="A140" s="13" t="str">
        <f>IFERROR(__xludf.DUMMYFUNCTION("""COMPUTED_VALUE"""),"The Great Eastern Shipping Company Ltd.")</f>
        <v>The Great Eastern Shipping Company Ltd.</v>
      </c>
      <c r="B140" s="30">
        <f>IFERROR(__xludf.DUMMYFUNCTION("""COMPUTED_VALUE"""),500620.0)</f>
        <v>500620</v>
      </c>
      <c r="C140" s="13" t="str">
        <f>IFERROR(__xludf.DUMMYFUNCTION("""COMPUTED_VALUE"""),"GESHIP")</f>
        <v>GESHIP</v>
      </c>
      <c r="D140" s="13" t="str">
        <f>IFERROR(__xludf.DUMMYFUNCTION("""COMPUTED_VALUE"""),"INE017A01032")</f>
        <v>INE017A01032</v>
      </c>
      <c r="E140" s="13" t="str">
        <f>IFERROR(__xludf.DUMMYFUNCTION("""COMPUTED_VALUE"""),"Services")</f>
        <v>Services</v>
      </c>
      <c r="F140" s="13" t="str">
        <f>IFERROR(__xludf.DUMMYFUNCTION("""COMPUTED_VALUE"""),"Shipping")</f>
        <v>Shipping</v>
      </c>
      <c r="G140" s="31">
        <f>IFERROR(__xludf.DUMMYFUNCTION("""COMPUTED_VALUE"""),44809.0)</f>
        <v>44809</v>
      </c>
      <c r="H140" s="32">
        <f>IFERROR(__xludf.DUMMYFUNCTION("""COMPUTED_VALUE"""),536.7)</f>
        <v>536.7</v>
      </c>
      <c r="I140" s="32">
        <f>IFERROR(__xludf.DUMMYFUNCTION("""COMPUTED_VALUE"""),-5.310515)</f>
        <v>-5.310515</v>
      </c>
      <c r="J140" s="32">
        <f>IFERROR(__xludf.DUMMYFUNCTION("""COMPUTED_VALUE"""),265.0)</f>
        <v>265</v>
      </c>
      <c r="K140" s="32">
        <f>IFERROR(__xludf.DUMMYFUNCTION("""COMPUTED_VALUE"""),585.0)</f>
        <v>585</v>
      </c>
      <c r="L140" s="32">
        <f>IFERROR(__xludf.DUMMYFUNCTION("""COMPUTED_VALUE"""),162.0)</f>
        <v>162</v>
      </c>
      <c r="M140" s="32">
        <f>IFERROR(__xludf.DUMMYFUNCTION("""COMPUTED_VALUE"""),585.0)</f>
        <v>585</v>
      </c>
      <c r="N140" s="32">
        <f>IFERROR(__xludf.DUMMYFUNCTION("""COMPUTED_VALUE"""),162.0)</f>
        <v>162</v>
      </c>
      <c r="O140" s="32">
        <f>IFERROR(__xludf.DUMMYFUNCTION("""COMPUTED_VALUE"""),585.0)</f>
        <v>585</v>
      </c>
      <c r="P140" s="32">
        <f>IFERROR(__xludf.DUMMYFUNCTION("""COMPUTED_VALUE"""),13.6)</f>
        <v>13.6</v>
      </c>
      <c r="Q140" s="32">
        <f>IFERROR(__xludf.DUMMYFUNCTION("""COMPUTED_VALUE"""),625.8)</f>
        <v>625.8</v>
      </c>
      <c r="R140" s="32">
        <f>IFERROR(__xludf.DUMMYFUNCTION("""COMPUTED_VALUE"""),7662.31353087)</f>
        <v>7662.313531</v>
      </c>
      <c r="S140" s="32">
        <f>IFERROR(__xludf.DUMMYFUNCTION("""COMPUTED_VALUE"""),8714.592820015)</f>
        <v>8714.59282</v>
      </c>
      <c r="T140" s="32">
        <f>IFERROR(__xludf.DUMMYFUNCTION("""COMPUTED_VALUE"""),-2.5776)</f>
        <v>-2.5776</v>
      </c>
      <c r="U140" s="32">
        <f>IFERROR(__xludf.DUMMYFUNCTION("""COMPUTED_VALUE"""),4.456987)</f>
        <v>4.456987</v>
      </c>
      <c r="V140" s="32">
        <f>IFERROR(__xludf.DUMMYFUNCTION("""COMPUTED_VALUE"""),31.318816)</f>
        <v>31.318816</v>
      </c>
      <c r="W140" s="32">
        <f>IFERROR(__xludf.DUMMYFUNCTION("""COMPUTED_VALUE"""),49.207673)</f>
        <v>49.207673</v>
      </c>
      <c r="X140" s="32">
        <f>IFERROR(__xludf.DUMMYFUNCTION("""COMPUTED_VALUE"""),30.291805)</f>
        <v>30.291805</v>
      </c>
      <c r="Y140" s="32">
        <f>IFERROR(__xludf.DUMMYFUNCTION("""COMPUTED_VALUE"""),6.000183)</f>
        <v>6.000183</v>
      </c>
      <c r="Z140" s="32">
        <f>IFERROR(__xludf.DUMMYFUNCTION("""COMPUTED_VALUE"""),8.128825)</f>
        <v>8.128825</v>
      </c>
      <c r="AA140" s="32">
        <f>IFERROR(__xludf.DUMMYFUNCTION("""COMPUTED_VALUE"""),7.1413)</f>
        <v>7.1413</v>
      </c>
      <c r="AB140" s="32">
        <f>IFERROR(__xludf.DUMMYFUNCTION("""COMPUTED_VALUE"""),9.839)</f>
        <v>9.839</v>
      </c>
      <c r="AC140" s="32">
        <f>IFERROR(__xludf.DUMMYFUNCTION("""COMPUTED_VALUE"""),0.9017)</f>
        <v>0.9017</v>
      </c>
      <c r="AD140" s="32">
        <f>IFERROR(__xludf.DUMMYFUNCTION("""COMPUTED_VALUE"""),0.64885)</f>
        <v>0.64885</v>
      </c>
      <c r="AE140" s="32">
        <f>IFERROR(__xludf.DUMMYFUNCTION("""COMPUTED_VALUE"""),20.266589)</f>
        <v>20.266589</v>
      </c>
      <c r="AF140" s="32">
        <f>IFERROR(__xludf.DUMMYFUNCTION("""COMPUTED_VALUE"""),0.597171)</f>
        <v>0.597171</v>
      </c>
      <c r="AG140" s="32">
        <f>IFERROR(__xludf.DUMMYFUNCTION("""COMPUTED_VALUE"""),1.8463)</f>
        <v>1.8463</v>
      </c>
      <c r="AH140" s="32">
        <f>IFERROR(__xludf.DUMMYFUNCTION("""COMPUTED_VALUE"""),4.095935)</f>
        <v>4.095935</v>
      </c>
      <c r="AI140" s="32">
        <f>IFERROR(__xludf.DUMMYFUNCTION("""COMPUTED_VALUE"""),1.8662351259864192)</f>
        <v>1.866235126</v>
      </c>
      <c r="AJ140" s="32">
        <f>IFERROR(__xludf.DUMMYFUNCTION("""COMPUTED_VALUE"""),5.7935470079769535)</f>
        <v>5.793547008</v>
      </c>
      <c r="AK140" s="32">
        <f>IFERROR(__xludf.DUMMYFUNCTION("""COMPUTED_VALUE"""),75.2526)</f>
        <v>75.2526</v>
      </c>
      <c r="AL140" s="32">
        <f>IFERROR(__xludf.DUMMYFUNCTION("""COMPUTED_VALUE"""),595.959)</f>
        <v>595.959</v>
      </c>
      <c r="AM140" s="32">
        <f>IFERROR(__xludf.DUMMYFUNCTION("""COMPUTED_VALUE"""),92.635708)</f>
        <v>92.635708</v>
      </c>
      <c r="AN140" s="32">
        <f>IFERROR(__xludf.DUMMYFUNCTION("""COMPUTED_VALUE"""),44.538769)</f>
        <v>44.538769</v>
      </c>
      <c r="AO140" s="32">
        <f>IFERROR(__xludf.DUMMYFUNCTION("""COMPUTED_VALUE"""),9.9)</f>
        <v>9.9</v>
      </c>
      <c r="AP140" s="32">
        <f>IFERROR(__xludf.DUMMYFUNCTION("""COMPUTED_VALUE"""),0.08256410256410249)</f>
        <v>0.08256410256</v>
      </c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>
      <c r="A141" s="13" t="str">
        <f>IFERROR(__xludf.DUMMYFUNCTION("""COMPUTED_VALUE"""),"Ajanta Pharma Ltd.")</f>
        <v>Ajanta Pharma Ltd.</v>
      </c>
      <c r="B141" s="30">
        <f>IFERROR(__xludf.DUMMYFUNCTION("""COMPUTED_VALUE"""),532331.0)</f>
        <v>532331</v>
      </c>
      <c r="C141" s="13" t="str">
        <f>IFERROR(__xludf.DUMMYFUNCTION("""COMPUTED_VALUE"""),"AJANTPHARM")</f>
        <v>AJANTPHARM</v>
      </c>
      <c r="D141" s="13" t="str">
        <f>IFERROR(__xludf.DUMMYFUNCTION("""COMPUTED_VALUE"""),"INE031B01049")</f>
        <v>INE031B01049</v>
      </c>
      <c r="E141" s="13" t="str">
        <f>IFERROR(__xludf.DUMMYFUNCTION("""COMPUTED_VALUE"""),"Healthcare")</f>
        <v>Healthcare</v>
      </c>
      <c r="F141" s="13" t="str">
        <f>IFERROR(__xludf.DUMMYFUNCTION("""COMPUTED_VALUE"""),"Drugs &amp; Pharma")</f>
        <v>Drugs &amp; Pharma</v>
      </c>
      <c r="G141" s="31">
        <f>IFERROR(__xludf.DUMMYFUNCTION("""COMPUTED_VALUE"""),44809.0)</f>
        <v>44809</v>
      </c>
      <c r="H141" s="32">
        <f>IFERROR(__xludf.DUMMYFUNCTION("""COMPUTED_VALUE"""),1346.3)</f>
        <v>1346.3</v>
      </c>
      <c r="I141" s="32">
        <f>IFERROR(__xludf.DUMMYFUNCTION("""COMPUTED_VALUE"""),-0.576028)</f>
        <v>-0.576028</v>
      </c>
      <c r="J141" s="32">
        <f>IFERROR(__xludf.DUMMYFUNCTION("""COMPUTED_VALUE"""),1061.766667)</f>
        <v>1061.766667</v>
      </c>
      <c r="K141" s="32">
        <f>IFERROR(__xludf.DUMMYFUNCTION("""COMPUTED_VALUE"""),1577.533333)</f>
        <v>1577.533333</v>
      </c>
      <c r="L141" s="32">
        <f>IFERROR(__xludf.DUMMYFUNCTION("""COMPUTED_VALUE"""),602.266667)</f>
        <v>602.266667</v>
      </c>
      <c r="M141" s="32">
        <f>IFERROR(__xludf.DUMMYFUNCTION("""COMPUTED_VALUE"""),1623.333333)</f>
        <v>1623.333333</v>
      </c>
      <c r="N141" s="32">
        <f>IFERROR(__xludf.DUMMYFUNCTION("""COMPUTED_VALUE"""),550.0)</f>
        <v>550</v>
      </c>
      <c r="O141" s="32">
        <f>IFERROR(__xludf.DUMMYFUNCTION("""COMPUTED_VALUE"""),1623.333333)</f>
        <v>1623.333333</v>
      </c>
      <c r="P141" s="32">
        <f>IFERROR(__xludf.DUMMYFUNCTION("""COMPUTED_VALUE"""),1.822222)</f>
        <v>1.822222</v>
      </c>
      <c r="Q141" s="32">
        <f>IFERROR(__xludf.DUMMYFUNCTION("""COMPUTED_VALUE"""),1623.333333)</f>
        <v>1623.333333</v>
      </c>
      <c r="R141" s="32">
        <f>IFERROR(__xludf.DUMMYFUNCTION("""COMPUTED_VALUE"""),17325.724084875)</f>
        <v>17325.72408</v>
      </c>
      <c r="S141" s="32">
        <f>IFERROR(__xludf.DUMMYFUNCTION("""COMPUTED_VALUE"""),16981.81219515)</f>
        <v>16981.8122</v>
      </c>
      <c r="T141" s="32">
        <f>IFERROR(__xludf.DUMMYFUNCTION("""COMPUTED_VALUE"""),0.978811)</f>
        <v>0.978811</v>
      </c>
      <c r="U141" s="32">
        <f>IFERROR(__xludf.DUMMYFUNCTION("""COMPUTED_VALUE"""),5.290736)</f>
        <v>5.290736</v>
      </c>
      <c r="V141" s="32">
        <f>IFERROR(__xludf.DUMMYFUNCTION("""COMPUTED_VALUE"""),15.324653)</f>
        <v>15.324653</v>
      </c>
      <c r="W141" s="32">
        <f>IFERROR(__xludf.DUMMYFUNCTION("""COMPUTED_VALUE"""),-8.772841)</f>
        <v>-8.772841</v>
      </c>
      <c r="X141" s="32">
        <f>IFERROR(__xludf.DUMMYFUNCTION("""COMPUTED_VALUE"""),24.697557)</f>
        <v>24.697557</v>
      </c>
      <c r="Y141" s="32">
        <f>IFERROR(__xludf.DUMMYFUNCTION("""COMPUTED_VALUE"""),11.072297)</f>
        <v>11.072297</v>
      </c>
      <c r="Z141" s="32">
        <f>IFERROR(__xludf.DUMMYFUNCTION("""COMPUTED_VALUE"""),33.906579)</f>
        <v>33.906579</v>
      </c>
      <c r="AA141" s="32">
        <f>IFERROR(__xludf.DUMMYFUNCTION("""COMPUTED_VALUE"""),24.281)</f>
        <v>24.281</v>
      </c>
      <c r="AB141" s="32">
        <f>IFERROR(__xludf.DUMMYFUNCTION("""COMPUTED_VALUE"""),24.27925)</f>
        <v>24.27925</v>
      </c>
      <c r="AC141" s="32">
        <f>IFERROR(__xludf.DUMMYFUNCTION("""COMPUTED_VALUE"""),5.0262)</f>
        <v>5.0262</v>
      </c>
      <c r="AD141" s="32">
        <f>IFERROR(__xludf.DUMMYFUNCTION("""COMPUTED_VALUE"""),4.77595)</f>
        <v>4.77595</v>
      </c>
      <c r="AE141" s="32">
        <f>IFERROR(__xludf.DUMMYFUNCTION("""COMPUTED_VALUE"""),6.097864)</f>
        <v>6.097864</v>
      </c>
      <c r="AF141" s="32">
        <f>IFERROR(__xludf.DUMMYFUNCTION("""COMPUTED_VALUE"""),2.97596)</f>
        <v>2.97596</v>
      </c>
      <c r="AG141" s="32">
        <f>IFERROR(__xludf.DUMMYFUNCTION("""COMPUTED_VALUE"""),0.469)</f>
        <v>0.469</v>
      </c>
      <c r="AH141" s="32">
        <f>IFERROR(__xludf.DUMMYFUNCTION("""COMPUTED_VALUE"""),16.224765)</f>
        <v>16.224765</v>
      </c>
      <c r="AI141" s="32">
        <f>IFERROR(__xludf.DUMMYFUNCTION("""COMPUTED_VALUE"""),4.888844893910151)</f>
        <v>4.888844894</v>
      </c>
      <c r="AJ141" s="32">
        <f>IFERROR(__xludf.DUMMYFUNCTION("""COMPUTED_VALUE"""),30.826496485792827)</f>
        <v>30.82649649</v>
      </c>
      <c r="AK141" s="32">
        <f>IFERROR(__xludf.DUMMYFUNCTION("""COMPUTED_VALUE"""),55.6916)</f>
        <v>55.6916</v>
      </c>
      <c r="AL141" s="32">
        <f>IFERROR(__xludf.DUMMYFUNCTION("""COMPUTED_VALUE"""),269.0428)</f>
        <v>269.0428</v>
      </c>
      <c r="AM141" s="32">
        <f>IFERROR(__xludf.DUMMYFUNCTION("""COMPUTED_VALUE"""),65.812646)</f>
        <v>65.812646</v>
      </c>
      <c r="AN141" s="32">
        <f>IFERROR(__xludf.DUMMYFUNCTION("""COMPUTED_VALUE"""),57.230679)</f>
        <v>57.230679</v>
      </c>
      <c r="AO141" s="32">
        <f>IFERROR(__xludf.DUMMYFUNCTION("""COMPUTED_VALUE"""),9.5)</f>
        <v>9.5</v>
      </c>
      <c r="AP141" s="32">
        <f>IFERROR(__xludf.DUMMYFUNCTION("""COMPUTED_VALUE"""),0.1465772441728525)</f>
        <v>0.1465772442</v>
      </c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>
      <c r="A142" s="13" t="str">
        <f>IFERROR(__xludf.DUMMYFUNCTION("""COMPUTED_VALUE"""),"Godrej Agrovet Ltd.")</f>
        <v>Godrej Agrovet Ltd.</v>
      </c>
      <c r="B142" s="30">
        <f>IFERROR(__xludf.DUMMYFUNCTION("""COMPUTED_VALUE"""),540743.0)</f>
        <v>540743</v>
      </c>
      <c r="C142" s="13" t="str">
        <f>IFERROR(__xludf.DUMMYFUNCTION("""COMPUTED_VALUE"""),"GODREJAGRO")</f>
        <v>GODREJAGRO</v>
      </c>
      <c r="D142" s="13" t="str">
        <f>IFERROR(__xludf.DUMMYFUNCTION("""COMPUTED_VALUE"""),"INE850D01014")</f>
        <v>INE850D01014</v>
      </c>
      <c r="E142" s="13" t="str">
        <f>IFERROR(__xludf.DUMMYFUNCTION("""COMPUTED_VALUE"""),"Consumer Staples")</f>
        <v>Consumer Staples</v>
      </c>
      <c r="F142" s="13" t="str">
        <f>IFERROR(__xludf.DUMMYFUNCTION("""COMPUTED_VALUE"""),"Oil Cakes &amp; Animal Feed")</f>
        <v>Oil Cakes &amp; Animal Feed</v>
      </c>
      <c r="G142" s="31">
        <f>IFERROR(__xludf.DUMMYFUNCTION("""COMPUTED_VALUE"""),44809.0)</f>
        <v>44809</v>
      </c>
      <c r="H142" s="32">
        <f>IFERROR(__xludf.DUMMYFUNCTION("""COMPUTED_VALUE"""),522.1)</f>
        <v>522.1</v>
      </c>
      <c r="I142" s="32">
        <f>IFERROR(__xludf.DUMMYFUNCTION("""COMPUTED_VALUE"""),0.124652)</f>
        <v>0.124652</v>
      </c>
      <c r="J142" s="32">
        <f>IFERROR(__xludf.DUMMYFUNCTION("""COMPUTED_VALUE"""),441.0)</f>
        <v>441</v>
      </c>
      <c r="K142" s="32">
        <f>IFERROR(__xludf.DUMMYFUNCTION("""COMPUTED_VALUE"""),688.95)</f>
        <v>688.95</v>
      </c>
      <c r="L142" s="32">
        <f>IFERROR(__xludf.DUMMYFUNCTION("""COMPUTED_VALUE"""),265.05)</f>
        <v>265.05</v>
      </c>
      <c r="M142" s="32">
        <f>IFERROR(__xludf.DUMMYFUNCTION("""COMPUTED_VALUE"""),746.8)</f>
        <v>746.8</v>
      </c>
      <c r="N142" s="13"/>
      <c r="O142" s="13"/>
      <c r="P142" s="32">
        <f>IFERROR(__xludf.DUMMYFUNCTION("""COMPUTED_VALUE"""),265.05)</f>
        <v>265.05</v>
      </c>
      <c r="Q142" s="32">
        <f>IFERROR(__xludf.DUMMYFUNCTION("""COMPUTED_VALUE"""),746.8)</f>
        <v>746.8</v>
      </c>
      <c r="R142" s="32">
        <f>IFERROR(__xludf.DUMMYFUNCTION("""COMPUTED_VALUE"""),10018.28641626)</f>
        <v>10018.28642</v>
      </c>
      <c r="S142" s="32">
        <f>IFERROR(__xludf.DUMMYFUNCTION("""COMPUTED_VALUE"""),11554.42042816)</f>
        <v>11554.42043</v>
      </c>
      <c r="T142" s="32">
        <f>IFERROR(__xludf.DUMMYFUNCTION("""COMPUTED_VALUE"""),0.45214)</f>
        <v>0.45214</v>
      </c>
      <c r="U142" s="32">
        <f>IFERROR(__xludf.DUMMYFUNCTION("""COMPUTED_VALUE"""),6.485825)</f>
        <v>6.485825</v>
      </c>
      <c r="V142" s="32">
        <f>IFERROR(__xludf.DUMMYFUNCTION("""COMPUTED_VALUE"""),-0.523959)</f>
        <v>-0.523959</v>
      </c>
      <c r="W142" s="32">
        <f>IFERROR(__xludf.DUMMYFUNCTION("""COMPUTED_VALUE"""),-17.876524)</f>
        <v>-17.876524</v>
      </c>
      <c r="X142" s="32">
        <f>IFERROR(__xludf.DUMMYFUNCTION("""COMPUTED_VALUE"""),5.062904)</f>
        <v>5.062904</v>
      </c>
      <c r="Y142" s="13"/>
      <c r="Z142" s="13"/>
      <c r="AA142" s="32">
        <f>IFERROR(__xludf.DUMMYFUNCTION("""COMPUTED_VALUE"""),26.4112)</f>
        <v>26.4112</v>
      </c>
      <c r="AB142" s="32">
        <f>IFERROR(__xludf.DUMMYFUNCTION("""COMPUTED_VALUE"""),29.32495)</f>
        <v>29.32495</v>
      </c>
      <c r="AC142" s="32">
        <f>IFERROR(__xludf.DUMMYFUNCTION("""COMPUTED_VALUE"""),4.2844)</f>
        <v>4.2844</v>
      </c>
      <c r="AD142" s="32">
        <f>IFERROR(__xludf.DUMMYFUNCTION("""COMPUTED_VALUE"""),4.97475)</f>
        <v>4.97475</v>
      </c>
      <c r="AE142" s="32">
        <f>IFERROR(__xludf.DUMMYFUNCTION("""COMPUTED_VALUE"""),5.487801)</f>
        <v>5.487801</v>
      </c>
      <c r="AF142" s="32">
        <f>IFERROR(__xludf.DUMMYFUNCTION("""COMPUTED_VALUE"""),17.572532)</f>
        <v>17.572532</v>
      </c>
      <c r="AG142" s="32">
        <f>IFERROR(__xludf.DUMMYFUNCTION("""COMPUTED_VALUE"""),1.8203)</f>
        <v>1.8203</v>
      </c>
      <c r="AH142" s="32">
        <f>IFERROR(__xludf.DUMMYFUNCTION("""COMPUTED_VALUE"""),15.734215)</f>
        <v>15.734215</v>
      </c>
      <c r="AI142" s="32">
        <f>IFERROR(__xludf.DUMMYFUNCTION("""COMPUTED_VALUE"""),1.1378714094709357)</f>
        <v>1.137871409</v>
      </c>
      <c r="AJ142" s="32">
        <f>IFERROR(__xludf.DUMMYFUNCTION("""COMPUTED_VALUE"""),-83.45094890678884)</f>
        <v>-83.45094891</v>
      </c>
      <c r="AK142" s="32">
        <f>IFERROR(__xludf.DUMMYFUNCTION("""COMPUTED_VALUE"""),19.7398)</f>
        <v>19.7398</v>
      </c>
      <c r="AL142" s="32">
        <f>IFERROR(__xludf.DUMMYFUNCTION("""COMPUTED_VALUE"""),121.6869)</f>
        <v>121.6869</v>
      </c>
      <c r="AM142" s="32">
        <f>IFERROR(__xludf.DUMMYFUNCTION("""COMPUTED_VALUE"""),-6.249024)</f>
        <v>-6.249024</v>
      </c>
      <c r="AN142" s="32">
        <f>IFERROR(__xludf.DUMMYFUNCTION("""COMPUTED_VALUE"""),-22.760398)</f>
        <v>-22.760398</v>
      </c>
      <c r="AO142" s="32">
        <f>IFERROR(__xludf.DUMMYFUNCTION("""COMPUTED_VALUE"""),9.5)</f>
        <v>9.5</v>
      </c>
      <c r="AP142" s="32">
        <f>IFERROR(__xludf.DUMMYFUNCTION("""COMPUTED_VALUE"""),0.2421801291820887)</f>
        <v>0.2421801292</v>
      </c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>
      <c r="A143" s="13" t="str">
        <f>IFERROR(__xludf.DUMMYFUNCTION("""COMPUTED_VALUE"""),"Marico Ltd.")</f>
        <v>Marico Ltd.</v>
      </c>
      <c r="B143" s="30">
        <f>IFERROR(__xludf.DUMMYFUNCTION("""COMPUTED_VALUE"""),531642.0)</f>
        <v>531642</v>
      </c>
      <c r="C143" s="13" t="str">
        <f>IFERROR(__xludf.DUMMYFUNCTION("""COMPUTED_VALUE"""),"MARICO")</f>
        <v>MARICO</v>
      </c>
      <c r="D143" s="13" t="str">
        <f>IFERROR(__xludf.DUMMYFUNCTION("""COMPUTED_VALUE"""),"INE196A01026")</f>
        <v>INE196A01026</v>
      </c>
      <c r="E143" s="13" t="str">
        <f>IFERROR(__xludf.DUMMYFUNCTION("""COMPUTED_VALUE"""),"Consumer Staples")</f>
        <v>Consumer Staples</v>
      </c>
      <c r="F143" s="13" t="str">
        <f>IFERROR(__xludf.DUMMYFUNCTION("""COMPUTED_VALUE"""),"Vegetable oils")</f>
        <v>Vegetable oils</v>
      </c>
      <c r="G143" s="31">
        <f>IFERROR(__xludf.DUMMYFUNCTION("""COMPUTED_VALUE"""),44809.0)</f>
        <v>44809</v>
      </c>
      <c r="H143" s="32">
        <f>IFERROR(__xludf.DUMMYFUNCTION("""COMPUTED_VALUE"""),520.85)</f>
        <v>520.85</v>
      </c>
      <c r="I143" s="32">
        <f>IFERROR(__xludf.DUMMYFUNCTION("""COMPUTED_VALUE"""),-0.51571)</f>
        <v>-0.51571</v>
      </c>
      <c r="J143" s="32">
        <f>IFERROR(__xludf.DUMMYFUNCTION("""COMPUTED_VALUE"""),455.65)</f>
        <v>455.65</v>
      </c>
      <c r="K143" s="32">
        <f>IFERROR(__xludf.DUMMYFUNCTION("""COMPUTED_VALUE"""),607.7)</f>
        <v>607.7</v>
      </c>
      <c r="L143" s="32">
        <f>IFERROR(__xludf.DUMMYFUNCTION("""COMPUTED_VALUE"""),233.8)</f>
        <v>233.8</v>
      </c>
      <c r="M143" s="32">
        <f>IFERROR(__xludf.DUMMYFUNCTION("""COMPUTED_VALUE"""),607.7)</f>
        <v>607.7</v>
      </c>
      <c r="N143" s="32">
        <f>IFERROR(__xludf.DUMMYFUNCTION("""COMPUTED_VALUE"""),233.8)</f>
        <v>233.8</v>
      </c>
      <c r="O143" s="32">
        <f>IFERROR(__xludf.DUMMYFUNCTION("""COMPUTED_VALUE"""),607.7)</f>
        <v>607.7</v>
      </c>
      <c r="P143" s="32">
        <f>IFERROR(__xludf.DUMMYFUNCTION("""COMPUTED_VALUE"""),4.425)</f>
        <v>4.425</v>
      </c>
      <c r="Q143" s="32">
        <f>IFERROR(__xludf.DUMMYFUNCTION("""COMPUTED_VALUE"""),607.7)</f>
        <v>607.7</v>
      </c>
      <c r="R143" s="32">
        <f>IFERROR(__xludf.DUMMYFUNCTION("""COMPUTED_VALUE"""),67388.08325216001)</f>
        <v>67388.08325</v>
      </c>
      <c r="S143" s="32">
        <f>IFERROR(__xludf.DUMMYFUNCTION("""COMPUTED_VALUE"""),66674.70087316)</f>
        <v>66674.70087</v>
      </c>
      <c r="T143" s="32">
        <f>IFERROR(__xludf.DUMMYFUNCTION("""COMPUTED_VALUE"""),1.018231)</f>
        <v>1.018231</v>
      </c>
      <c r="U143" s="32">
        <f>IFERROR(__xludf.DUMMYFUNCTION("""COMPUTED_VALUE"""),-2.012981)</f>
        <v>-2.012981</v>
      </c>
      <c r="V143" s="32">
        <f>IFERROR(__xludf.DUMMYFUNCTION("""COMPUTED_VALUE"""),1.441231)</f>
        <v>1.441231</v>
      </c>
      <c r="W143" s="32">
        <f>IFERROR(__xludf.DUMMYFUNCTION("""COMPUTED_VALUE"""),-7.123752)</f>
        <v>-7.123752</v>
      </c>
      <c r="X143" s="32">
        <f>IFERROR(__xludf.DUMMYFUNCTION("""COMPUTED_VALUE"""),10.680372)</f>
        <v>10.680372</v>
      </c>
      <c r="Y143" s="32">
        <f>IFERROR(__xludf.DUMMYFUNCTION("""COMPUTED_VALUE"""),10.605567)</f>
        <v>10.605567</v>
      </c>
      <c r="Z143" s="32">
        <f>IFERROR(__xludf.DUMMYFUNCTION("""COMPUTED_VALUE"""),17.56614)</f>
        <v>17.56614</v>
      </c>
      <c r="AA143" s="32">
        <f>IFERROR(__xludf.DUMMYFUNCTION("""COMPUTED_VALUE"""),54.3014)</f>
        <v>54.3014</v>
      </c>
      <c r="AB143" s="32">
        <f>IFERROR(__xludf.DUMMYFUNCTION("""COMPUTED_VALUE"""),50.20345)</f>
        <v>50.20345</v>
      </c>
      <c r="AC143" s="32">
        <f>IFERROR(__xludf.DUMMYFUNCTION("""COMPUTED_VALUE"""),18.2214)</f>
        <v>18.2214</v>
      </c>
      <c r="AD143" s="32">
        <f>IFERROR(__xludf.DUMMYFUNCTION("""COMPUTED_VALUE"""),15.02155)</f>
        <v>15.02155</v>
      </c>
      <c r="AE143" s="32">
        <f>IFERROR(__xludf.DUMMYFUNCTION("""COMPUTED_VALUE"""),2.649103)</f>
        <v>2.649103</v>
      </c>
      <c r="AF143" s="32">
        <f>IFERROR(__xludf.DUMMYFUNCTION("""COMPUTED_VALUE"""),5.327885)</f>
        <v>5.327885</v>
      </c>
      <c r="AG143" s="32">
        <f>IFERROR(__xludf.DUMMYFUNCTION("""COMPUTED_VALUE"""),1.7748)</f>
        <v>1.7748</v>
      </c>
      <c r="AH143" s="32">
        <f>IFERROR(__xludf.DUMMYFUNCTION("""COMPUTED_VALUE"""),36.715144)</f>
        <v>36.715144</v>
      </c>
      <c r="AI143" s="32">
        <f>IFERROR(__xludf.DUMMYFUNCTION("""COMPUTED_VALUE"""),7.060040152138293)</f>
        <v>7.060040152</v>
      </c>
      <c r="AJ143" s="32">
        <f>IFERROR(__xludf.DUMMYFUNCTION("""COMPUTED_VALUE"""),66.32685359464568)</f>
        <v>66.32685359</v>
      </c>
      <c r="AK143" s="32">
        <f>IFERROR(__xludf.DUMMYFUNCTION("""COMPUTED_VALUE"""),9.5983)</f>
        <v>9.5983</v>
      </c>
      <c r="AL143" s="32">
        <f>IFERROR(__xludf.DUMMYFUNCTION("""COMPUTED_VALUE"""),28.6037)</f>
        <v>28.6037</v>
      </c>
      <c r="AM143" s="32">
        <f>IFERROR(__xludf.DUMMYFUNCTION("""COMPUTED_VALUE"""),7.875969)</f>
        <v>7.875969</v>
      </c>
      <c r="AN143" s="32">
        <f>IFERROR(__xludf.DUMMYFUNCTION("""COMPUTED_VALUE"""),7.131783)</f>
        <v>7.131783</v>
      </c>
      <c r="AO143" s="32">
        <f>IFERROR(__xludf.DUMMYFUNCTION("""COMPUTED_VALUE"""),9.25)</f>
        <v>9.25</v>
      </c>
      <c r="AP143" s="32">
        <f>IFERROR(__xludf.DUMMYFUNCTION("""COMPUTED_VALUE"""),0.14291591245680438)</f>
        <v>0.1429159125</v>
      </c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>
      <c r="A144" s="13" t="str">
        <f>IFERROR(__xludf.DUMMYFUNCTION("""COMPUTED_VALUE"""),"AIA Engineering Ltd.")</f>
        <v>AIA Engineering Ltd.</v>
      </c>
      <c r="B144" s="30">
        <f>IFERROR(__xludf.DUMMYFUNCTION("""COMPUTED_VALUE"""),532683.0)</f>
        <v>532683</v>
      </c>
      <c r="C144" s="13" t="str">
        <f>IFERROR(__xludf.DUMMYFUNCTION("""COMPUTED_VALUE"""),"AIAENG")</f>
        <v>AIAENG</v>
      </c>
      <c r="D144" s="13" t="str">
        <f>IFERROR(__xludf.DUMMYFUNCTION("""COMPUTED_VALUE"""),"INE212H01026")</f>
        <v>INE212H01026</v>
      </c>
      <c r="E144" s="13" t="str">
        <f>IFERROR(__xludf.DUMMYFUNCTION("""COMPUTED_VALUE"""),"Metals &amp; Mining")</f>
        <v>Metals &amp; Mining</v>
      </c>
      <c r="F144" s="13" t="str">
        <f>IFERROR(__xludf.DUMMYFUNCTION("""COMPUTED_VALUE"""),"Castings &amp; Forgings")</f>
        <v>Castings &amp; Forgings</v>
      </c>
      <c r="G144" s="31">
        <f>IFERROR(__xludf.DUMMYFUNCTION("""COMPUTED_VALUE"""),44809.0)</f>
        <v>44809</v>
      </c>
      <c r="H144" s="32">
        <f>IFERROR(__xludf.DUMMYFUNCTION("""COMPUTED_VALUE"""),2585.75)</f>
        <v>2585.75</v>
      </c>
      <c r="I144" s="32">
        <f>IFERROR(__xludf.DUMMYFUNCTION("""COMPUTED_VALUE"""),-0.419772)</f>
        <v>-0.419772</v>
      </c>
      <c r="J144" s="32">
        <f>IFERROR(__xludf.DUMMYFUNCTION("""COMPUTED_VALUE"""),1517.0)</f>
        <v>1517</v>
      </c>
      <c r="K144" s="32">
        <f>IFERROR(__xludf.DUMMYFUNCTION("""COMPUTED_VALUE"""),2687.35)</f>
        <v>2687.35</v>
      </c>
      <c r="L144" s="32">
        <f>IFERROR(__xludf.DUMMYFUNCTION("""COMPUTED_VALUE"""),1102.2)</f>
        <v>1102.2</v>
      </c>
      <c r="M144" s="32">
        <f>IFERROR(__xludf.DUMMYFUNCTION("""COMPUTED_VALUE"""),2687.35)</f>
        <v>2687.35</v>
      </c>
      <c r="N144" s="32">
        <f>IFERROR(__xludf.DUMMYFUNCTION("""COMPUTED_VALUE"""),1102.2)</f>
        <v>1102.2</v>
      </c>
      <c r="O144" s="32">
        <f>IFERROR(__xludf.DUMMYFUNCTION("""COMPUTED_VALUE"""),2687.35)</f>
        <v>2687.35</v>
      </c>
      <c r="P144" s="32">
        <f>IFERROR(__xludf.DUMMYFUNCTION("""COMPUTED_VALUE"""),75.3)</f>
        <v>75.3</v>
      </c>
      <c r="Q144" s="32">
        <f>IFERROR(__xludf.DUMMYFUNCTION("""COMPUTED_VALUE"""),2687.35)</f>
        <v>2687.35</v>
      </c>
      <c r="R144" s="32">
        <f>IFERROR(__xludf.DUMMYFUNCTION("""COMPUTED_VALUE"""),24400.679719)</f>
        <v>24400.67972</v>
      </c>
      <c r="S144" s="32">
        <f>IFERROR(__xludf.DUMMYFUNCTION("""COMPUTED_VALUE"""),22918.43031685)</f>
        <v>22918.43032</v>
      </c>
      <c r="T144" s="32">
        <f>IFERROR(__xludf.DUMMYFUNCTION("""COMPUTED_VALUE"""),1.575236)</f>
        <v>1.575236</v>
      </c>
      <c r="U144" s="32">
        <f>IFERROR(__xludf.DUMMYFUNCTION("""COMPUTED_VALUE"""),5.841059)</f>
        <v>5.841059</v>
      </c>
      <c r="V144" s="32">
        <f>IFERROR(__xludf.DUMMYFUNCTION("""COMPUTED_VALUE"""),15.073096)</f>
        <v>15.073096</v>
      </c>
      <c r="W144" s="32">
        <f>IFERROR(__xludf.DUMMYFUNCTION("""COMPUTED_VALUE"""),23.304165)</f>
        <v>23.304165</v>
      </c>
      <c r="X144" s="32">
        <f>IFERROR(__xludf.DUMMYFUNCTION("""COMPUTED_VALUE"""),19.343858)</f>
        <v>19.343858</v>
      </c>
      <c r="Y144" s="32">
        <f>IFERROR(__xludf.DUMMYFUNCTION("""COMPUTED_VALUE"""),14.491989)</f>
        <v>14.491989</v>
      </c>
      <c r="Z144" s="32">
        <f>IFERROR(__xludf.DUMMYFUNCTION("""COMPUTED_VALUE"""),22.491055)</f>
        <v>22.491055</v>
      </c>
      <c r="AA144" s="32">
        <f>IFERROR(__xludf.DUMMYFUNCTION("""COMPUTED_VALUE"""),36.9245)</f>
        <v>36.9245</v>
      </c>
      <c r="AB144" s="32">
        <f>IFERROR(__xludf.DUMMYFUNCTION("""COMPUTED_VALUE"""),31.57925)</f>
        <v>31.57925</v>
      </c>
      <c r="AC144" s="32">
        <f>IFERROR(__xludf.DUMMYFUNCTION("""COMPUTED_VALUE"""),4.933)</f>
        <v>4.933</v>
      </c>
      <c r="AD144" s="32">
        <f>IFERROR(__xludf.DUMMYFUNCTION("""COMPUTED_VALUE"""),4.48545)</f>
        <v>4.48545</v>
      </c>
      <c r="AE144" s="32">
        <f>IFERROR(__xludf.DUMMYFUNCTION("""COMPUTED_VALUE"""),4.300343)</f>
        <v>4.300343</v>
      </c>
      <c r="AF144" s="32">
        <f>IFERROR(__xludf.DUMMYFUNCTION("""COMPUTED_VALUE"""),4.260187)</f>
        <v>4.260187</v>
      </c>
      <c r="AG144" s="32">
        <f>IFERROR(__xludf.DUMMYFUNCTION("""COMPUTED_VALUE"""),0.3479)</f>
        <v>0.3479</v>
      </c>
      <c r="AH144" s="32">
        <f>IFERROR(__xludf.DUMMYFUNCTION("""COMPUTED_VALUE"""),24.547343)</f>
        <v>24.547343</v>
      </c>
      <c r="AI144" s="32">
        <f>IFERROR(__xludf.DUMMYFUNCTION("""COMPUTED_VALUE"""),6.3397935204958)</f>
        <v>6.33979352</v>
      </c>
      <c r="AJ144" s="32">
        <f>IFERROR(__xludf.DUMMYFUNCTION("""COMPUTED_VALUE"""),-622.1584144326532)</f>
        <v>-622.1584144</v>
      </c>
      <c r="AK144" s="32">
        <f>IFERROR(__xludf.DUMMYFUNCTION("""COMPUTED_VALUE"""),70.062)</f>
        <v>70.062</v>
      </c>
      <c r="AL144" s="32">
        <f>IFERROR(__xludf.DUMMYFUNCTION("""COMPUTED_VALUE"""),524.4282)</f>
        <v>524.4282</v>
      </c>
      <c r="AM144" s="32">
        <f>IFERROR(__xludf.DUMMYFUNCTION("""COMPUTED_VALUE"""),-4.158099)</f>
        <v>-4.158099</v>
      </c>
      <c r="AN144" s="32">
        <f>IFERROR(__xludf.DUMMYFUNCTION("""COMPUTED_VALUE"""),-1.558272)</f>
        <v>-1.558272</v>
      </c>
      <c r="AO144" s="32">
        <f>IFERROR(__xludf.DUMMYFUNCTION("""COMPUTED_VALUE"""),9.0)</f>
        <v>9</v>
      </c>
      <c r="AP144" s="32">
        <f>IFERROR(__xludf.DUMMYFUNCTION("""COMPUTED_VALUE"""),0.037806761307607836)</f>
        <v>0.03780676131</v>
      </c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>
      <c r="A145" s="13" t="str">
        <f>IFERROR(__xludf.DUMMYFUNCTION("""COMPUTED_VALUE"""),"Aurobindo Pharma Ltd.")</f>
        <v>Aurobindo Pharma Ltd.</v>
      </c>
      <c r="B145" s="30">
        <f>IFERROR(__xludf.DUMMYFUNCTION("""COMPUTED_VALUE"""),524804.0)</f>
        <v>524804</v>
      </c>
      <c r="C145" s="13" t="str">
        <f>IFERROR(__xludf.DUMMYFUNCTION("""COMPUTED_VALUE"""),"AUROPHARMA")</f>
        <v>AUROPHARMA</v>
      </c>
      <c r="D145" s="13" t="str">
        <f>IFERROR(__xludf.DUMMYFUNCTION("""COMPUTED_VALUE"""),"INE406A01037")</f>
        <v>INE406A01037</v>
      </c>
      <c r="E145" s="13" t="str">
        <f>IFERROR(__xludf.DUMMYFUNCTION("""COMPUTED_VALUE"""),"Healthcare")</f>
        <v>Healthcare</v>
      </c>
      <c r="F145" s="13" t="str">
        <f>IFERROR(__xludf.DUMMYFUNCTION("""COMPUTED_VALUE"""),"Drugs &amp; Pharma")</f>
        <v>Drugs &amp; Pharma</v>
      </c>
      <c r="G145" s="31">
        <f>IFERROR(__xludf.DUMMYFUNCTION("""COMPUTED_VALUE"""),44809.0)</f>
        <v>44809</v>
      </c>
      <c r="H145" s="32">
        <f>IFERROR(__xludf.DUMMYFUNCTION("""COMPUTED_VALUE"""),539.55)</f>
        <v>539.55</v>
      </c>
      <c r="I145" s="32">
        <f>IFERROR(__xludf.DUMMYFUNCTION("""COMPUTED_VALUE"""),0.869321)</f>
        <v>0.869321</v>
      </c>
      <c r="J145" s="32">
        <f>IFERROR(__xludf.DUMMYFUNCTION("""COMPUTED_VALUE"""),503.45)</f>
        <v>503.45</v>
      </c>
      <c r="K145" s="32">
        <f>IFERROR(__xludf.DUMMYFUNCTION("""COMPUTED_VALUE"""),767.45)</f>
        <v>767.45</v>
      </c>
      <c r="L145" s="32">
        <f>IFERROR(__xludf.DUMMYFUNCTION("""COMPUTED_VALUE"""),281.15)</f>
        <v>281.15</v>
      </c>
      <c r="M145" s="32">
        <f>IFERROR(__xludf.DUMMYFUNCTION("""COMPUTED_VALUE"""),1063.9)</f>
        <v>1063.9</v>
      </c>
      <c r="N145" s="32">
        <f>IFERROR(__xludf.DUMMYFUNCTION("""COMPUTED_VALUE"""),281.15)</f>
        <v>281.15</v>
      </c>
      <c r="O145" s="32">
        <f>IFERROR(__xludf.DUMMYFUNCTION("""COMPUTED_VALUE"""),1063.9)</f>
        <v>1063.9</v>
      </c>
      <c r="P145" s="32">
        <f>IFERROR(__xludf.DUMMYFUNCTION("""COMPUTED_VALUE"""),6.8)</f>
        <v>6.8</v>
      </c>
      <c r="Q145" s="32">
        <f>IFERROR(__xludf.DUMMYFUNCTION("""COMPUTED_VALUE"""),1063.9)</f>
        <v>1063.9</v>
      </c>
      <c r="R145" s="32">
        <f>IFERROR(__xludf.DUMMYFUNCTION("""COMPUTED_VALUE"""),31614.317648595)</f>
        <v>31614.31765</v>
      </c>
      <c r="S145" s="32">
        <f>IFERROR(__xludf.DUMMYFUNCTION("""COMPUTED_VALUE"""),29128.18803714)</f>
        <v>29128.18804</v>
      </c>
      <c r="T145" s="32">
        <f>IFERROR(__xludf.DUMMYFUNCTION("""COMPUTED_VALUE"""),-1.873238)</f>
        <v>-1.873238</v>
      </c>
      <c r="U145" s="32">
        <f>IFERROR(__xludf.DUMMYFUNCTION("""COMPUTED_VALUE"""),-5.524427)</f>
        <v>-5.524427</v>
      </c>
      <c r="V145" s="32">
        <f>IFERROR(__xludf.DUMMYFUNCTION("""COMPUTED_VALUE"""),2.110144)</f>
        <v>2.110144</v>
      </c>
      <c r="W145" s="32">
        <f>IFERROR(__xludf.DUMMYFUNCTION("""COMPUTED_VALUE"""),-28.809869)</f>
        <v>-28.809869</v>
      </c>
      <c r="X145" s="32">
        <f>IFERROR(__xludf.DUMMYFUNCTION("""COMPUTED_VALUE"""),-3.432265)</f>
        <v>-3.432265</v>
      </c>
      <c r="Y145" s="32">
        <f>IFERROR(__xludf.DUMMYFUNCTION("""COMPUTED_VALUE"""),-6.340772)</f>
        <v>-6.340772</v>
      </c>
      <c r="Z145" s="32">
        <f>IFERROR(__xludf.DUMMYFUNCTION("""COMPUTED_VALUE"""),24.703716)</f>
        <v>24.703716</v>
      </c>
      <c r="AA145" s="32">
        <f>IFERROR(__xludf.DUMMYFUNCTION("""COMPUTED_VALUE"""),13.198)</f>
        <v>13.198</v>
      </c>
      <c r="AB145" s="32">
        <f>IFERROR(__xludf.DUMMYFUNCTION("""COMPUTED_VALUE"""),14.16035)</f>
        <v>14.16035</v>
      </c>
      <c r="AC145" s="32">
        <f>IFERROR(__xludf.DUMMYFUNCTION("""COMPUTED_VALUE"""),1.2613)</f>
        <v>1.2613</v>
      </c>
      <c r="AD145" s="32">
        <f>IFERROR(__xludf.DUMMYFUNCTION("""COMPUTED_VALUE"""),2.6591)</f>
        <v>2.6591</v>
      </c>
      <c r="AE145" s="32">
        <f>IFERROR(__xludf.DUMMYFUNCTION("""COMPUTED_VALUE"""),11.862271)</f>
        <v>11.862271</v>
      </c>
      <c r="AF145" s="32">
        <f>IFERROR(__xludf.DUMMYFUNCTION("""COMPUTED_VALUE"""),7.81151)</f>
        <v>7.81151</v>
      </c>
      <c r="AG145" s="32">
        <f>IFERROR(__xludf.DUMMYFUNCTION("""COMPUTED_VALUE"""),1.6673)</f>
        <v>1.6673</v>
      </c>
      <c r="AH145" s="32">
        <f>IFERROR(__xludf.DUMMYFUNCTION("""COMPUTED_VALUE"""),6.673216)</f>
        <v>6.673216</v>
      </c>
      <c r="AI145" s="32">
        <f>IFERROR(__xludf.DUMMYFUNCTION("""COMPUTED_VALUE"""),1.3254623243863919)</f>
        <v>1.325462324</v>
      </c>
      <c r="AJ145" s="32">
        <f>IFERROR(__xludf.DUMMYFUNCTION("""COMPUTED_VALUE"""),6.302091835030739)</f>
        <v>6.302091835</v>
      </c>
      <c r="AK145" s="32">
        <f>IFERROR(__xludf.DUMMYFUNCTION("""COMPUTED_VALUE"""),40.9381)</f>
        <v>40.9381</v>
      </c>
      <c r="AL145" s="32">
        <f>IFERROR(__xludf.DUMMYFUNCTION("""COMPUTED_VALUE"""),428.3782)</f>
        <v>428.3782</v>
      </c>
      <c r="AM145" s="32">
        <f>IFERROR(__xludf.DUMMYFUNCTION("""COMPUTED_VALUE"""),85.620072)</f>
        <v>85.620072</v>
      </c>
      <c r="AN145" s="32">
        <f>IFERROR(__xludf.DUMMYFUNCTION("""COMPUTED_VALUE"""),45.366786)</f>
        <v>45.366786</v>
      </c>
      <c r="AO145" s="32">
        <f>IFERROR(__xludf.DUMMYFUNCTION("""COMPUTED_VALUE"""),9.0)</f>
        <v>9</v>
      </c>
      <c r="AP145" s="32">
        <f>IFERROR(__xludf.DUMMYFUNCTION("""COMPUTED_VALUE"""),0.296957456511825)</f>
        <v>0.2969574565</v>
      </c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>
      <c r="A146" s="13" t="str">
        <f>IFERROR(__xludf.DUMMYFUNCTION("""COMPUTED_VALUE"""),"Dalmia Bharat Ltd.")</f>
        <v>Dalmia Bharat Ltd.</v>
      </c>
      <c r="B146" s="30">
        <f>IFERROR(__xludf.DUMMYFUNCTION("""COMPUTED_VALUE"""),542216.0)</f>
        <v>542216</v>
      </c>
      <c r="C146" s="13" t="str">
        <f>IFERROR(__xludf.DUMMYFUNCTION("""COMPUTED_VALUE"""),"DALBHARAT")</f>
        <v>DALBHARAT</v>
      </c>
      <c r="D146" s="13" t="str">
        <f>IFERROR(__xludf.DUMMYFUNCTION("""COMPUTED_VALUE"""),"INE00R701025")</f>
        <v>INE00R701025</v>
      </c>
      <c r="E146" s="13" t="str">
        <f>IFERROR(__xludf.DUMMYFUNCTION("""COMPUTED_VALUE"""),"Materials")</f>
        <v>Materials</v>
      </c>
      <c r="F146" s="13" t="str">
        <f>IFERROR(__xludf.DUMMYFUNCTION("""COMPUTED_VALUE"""),"Cement")</f>
        <v>Cement</v>
      </c>
      <c r="G146" s="31">
        <f>IFERROR(__xludf.DUMMYFUNCTION("""COMPUTED_VALUE"""),44809.0)</f>
        <v>44809</v>
      </c>
      <c r="H146" s="32">
        <f>IFERROR(__xludf.DUMMYFUNCTION("""COMPUTED_VALUE"""),1550.6)</f>
        <v>1550.6</v>
      </c>
      <c r="I146" s="32">
        <f>IFERROR(__xludf.DUMMYFUNCTION("""COMPUTED_VALUE"""),1.039325)</f>
        <v>1.039325</v>
      </c>
      <c r="J146" s="32">
        <f>IFERROR(__xludf.DUMMYFUNCTION("""COMPUTED_VALUE"""),1212.5)</f>
        <v>1212.5</v>
      </c>
      <c r="K146" s="32">
        <f>IFERROR(__xludf.DUMMYFUNCTION("""COMPUTED_VALUE"""),2548.4)</f>
        <v>2548.4</v>
      </c>
      <c r="L146" s="32">
        <f>IFERROR(__xludf.DUMMYFUNCTION("""COMPUTED_VALUE"""),402.7)</f>
        <v>402.7</v>
      </c>
      <c r="M146" s="32">
        <f>IFERROR(__xludf.DUMMYFUNCTION("""COMPUTED_VALUE"""),2548.4)</f>
        <v>2548.4</v>
      </c>
      <c r="N146" s="13"/>
      <c r="O146" s="13"/>
      <c r="P146" s="32">
        <f>IFERROR(__xludf.DUMMYFUNCTION("""COMPUTED_VALUE"""),402.7)</f>
        <v>402.7</v>
      </c>
      <c r="Q146" s="32">
        <f>IFERROR(__xludf.DUMMYFUNCTION("""COMPUTED_VALUE"""),2548.4)</f>
        <v>2548.4</v>
      </c>
      <c r="R146" s="32">
        <f>IFERROR(__xludf.DUMMYFUNCTION("""COMPUTED_VALUE"""),29043.584164525)</f>
        <v>29043.58416</v>
      </c>
      <c r="S146" s="32">
        <f>IFERROR(__xludf.DUMMYFUNCTION("""COMPUTED_VALUE"""),27347.68942588)</f>
        <v>27347.68943</v>
      </c>
      <c r="T146" s="32">
        <f>IFERROR(__xludf.DUMMYFUNCTION("""COMPUTED_VALUE"""),1.243838)</f>
        <v>1.243838</v>
      </c>
      <c r="U146" s="32">
        <f>IFERROR(__xludf.DUMMYFUNCTION("""COMPUTED_VALUE"""),-0.7203)</f>
        <v>-0.7203</v>
      </c>
      <c r="V146" s="32">
        <f>IFERROR(__xludf.DUMMYFUNCTION("""COMPUTED_VALUE"""),23.770754)</f>
        <v>23.770754</v>
      </c>
      <c r="W146" s="32">
        <f>IFERROR(__xludf.DUMMYFUNCTION("""COMPUTED_VALUE"""),-30.447654)</f>
        <v>-30.447654</v>
      </c>
      <c r="X146" s="32">
        <f>IFERROR(__xludf.DUMMYFUNCTION("""COMPUTED_VALUE"""),20.059701)</f>
        <v>20.059701</v>
      </c>
      <c r="Y146" s="13"/>
      <c r="Z146" s="13"/>
      <c r="AA146" s="32">
        <f>IFERROR(__xludf.DUMMYFUNCTION("""COMPUTED_VALUE"""),26.6455)</f>
        <v>26.6455</v>
      </c>
      <c r="AB146" s="32">
        <f>IFERROR(__xludf.DUMMYFUNCTION("""COMPUTED_VALUE"""),32.18525)</f>
        <v>32.18525</v>
      </c>
      <c r="AC146" s="32">
        <f>IFERROR(__xludf.DUMMYFUNCTION("""COMPUTED_VALUE"""),1.8319)</f>
        <v>1.8319</v>
      </c>
      <c r="AD146" s="32">
        <f>IFERROR(__xludf.DUMMYFUNCTION("""COMPUTED_VALUE"""),1.80105)</f>
        <v>1.80105</v>
      </c>
      <c r="AE146" s="32">
        <f>IFERROR(__xludf.DUMMYFUNCTION("""COMPUTED_VALUE"""),4.916028)</f>
        <v>4.916028</v>
      </c>
      <c r="AF146" s="32">
        <f>IFERROR(__xludf.DUMMYFUNCTION("""COMPUTED_VALUE"""),0.765501)</f>
        <v>0.765501</v>
      </c>
      <c r="AG146" s="32">
        <f>IFERROR(__xludf.DUMMYFUNCTION("""COMPUTED_VALUE"""),0.5803)</f>
        <v>0.5803</v>
      </c>
      <c r="AH146" s="32">
        <f>IFERROR(__xludf.DUMMYFUNCTION("""COMPUTED_VALUE"""),11.148671)</f>
        <v>11.148671</v>
      </c>
      <c r="AI146" s="32">
        <f>IFERROR(__xludf.DUMMYFUNCTION("""COMPUTED_VALUE"""),2.422317278108841)</f>
        <v>2.422317278</v>
      </c>
      <c r="AJ146" s="32">
        <f>IFERROR(__xludf.DUMMYFUNCTION("""COMPUTED_VALUE"""),14.99410643496386)</f>
        <v>14.99410643</v>
      </c>
      <c r="AK146" s="32">
        <f>IFERROR(__xludf.DUMMYFUNCTION("""COMPUTED_VALUE"""),58.143)</f>
        <v>58.143</v>
      </c>
      <c r="AL146" s="32">
        <f>IFERROR(__xludf.DUMMYFUNCTION("""COMPUTED_VALUE"""),845.7143)</f>
        <v>845.7143</v>
      </c>
      <c r="AM146" s="32">
        <f>IFERROR(__xludf.DUMMYFUNCTION("""COMPUTED_VALUE"""),104.702703)</f>
        <v>104.702703</v>
      </c>
      <c r="AN146" s="32">
        <f>IFERROR(__xludf.DUMMYFUNCTION("""COMPUTED_VALUE"""),6.108108)</f>
        <v>6.108108</v>
      </c>
      <c r="AO146" s="32">
        <f>IFERROR(__xludf.DUMMYFUNCTION("""COMPUTED_VALUE"""),9.0)</f>
        <v>9</v>
      </c>
      <c r="AP146" s="32">
        <f>IFERROR(__xludf.DUMMYFUNCTION("""COMPUTED_VALUE"""),0.3915397896719511)</f>
        <v>0.3915397897</v>
      </c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>
      <c r="A147" s="13" t="str">
        <f>IFERROR(__xludf.DUMMYFUNCTION("""COMPUTED_VALUE"""),"Deepak Fertilisers &amp; Petrochemicals Corporation Ltd.")</f>
        <v>Deepak Fertilisers &amp; Petrochemicals Corporation Ltd.</v>
      </c>
      <c r="B147" s="30">
        <f>IFERROR(__xludf.DUMMYFUNCTION("""COMPUTED_VALUE"""),500645.0)</f>
        <v>500645</v>
      </c>
      <c r="C147" s="13" t="str">
        <f>IFERROR(__xludf.DUMMYFUNCTION("""COMPUTED_VALUE"""),"DEEPAKFERT")</f>
        <v>DEEPAKFERT</v>
      </c>
      <c r="D147" s="13" t="str">
        <f>IFERROR(__xludf.DUMMYFUNCTION("""COMPUTED_VALUE"""),"INE501A01019")</f>
        <v>INE501A01019</v>
      </c>
      <c r="E147" s="13" t="str">
        <f>IFERROR(__xludf.DUMMYFUNCTION("""COMPUTED_VALUE"""),"Chemicals")</f>
        <v>Chemicals</v>
      </c>
      <c r="F147" s="13" t="str">
        <f>IFERROR(__xludf.DUMMYFUNCTION("""COMPUTED_VALUE"""),"Misc.Chem.")</f>
        <v>Misc.Chem.</v>
      </c>
      <c r="G147" s="31">
        <f>IFERROR(__xludf.DUMMYFUNCTION("""COMPUTED_VALUE"""),44809.0)</f>
        <v>44809</v>
      </c>
      <c r="H147" s="32">
        <f>IFERROR(__xludf.DUMMYFUNCTION("""COMPUTED_VALUE"""),887.25)</f>
        <v>887.25</v>
      </c>
      <c r="I147" s="32">
        <f>IFERROR(__xludf.DUMMYFUNCTION("""COMPUTED_VALUE"""),3.04878)</f>
        <v>3.04878</v>
      </c>
      <c r="J147" s="32">
        <f>IFERROR(__xludf.DUMMYFUNCTION("""COMPUTED_VALUE"""),343.55)</f>
        <v>343.55</v>
      </c>
      <c r="K147" s="32">
        <f>IFERROR(__xludf.DUMMYFUNCTION("""COMPUTED_VALUE"""),1000.0)</f>
        <v>1000</v>
      </c>
      <c r="L147" s="32">
        <f>IFERROR(__xludf.DUMMYFUNCTION("""COMPUTED_VALUE"""),55.266146)</f>
        <v>55.266146</v>
      </c>
      <c r="M147" s="32">
        <f>IFERROR(__xludf.DUMMYFUNCTION("""COMPUTED_VALUE"""),1000.0)</f>
        <v>1000</v>
      </c>
      <c r="N147" s="32">
        <f>IFERROR(__xludf.DUMMYFUNCTION("""COMPUTED_VALUE"""),55.266146)</f>
        <v>55.266146</v>
      </c>
      <c r="O147" s="32">
        <f>IFERROR(__xludf.DUMMYFUNCTION("""COMPUTED_VALUE"""),1000.0)</f>
        <v>1000</v>
      </c>
      <c r="P147" s="32">
        <f>IFERROR(__xludf.DUMMYFUNCTION("""COMPUTED_VALUE"""),11.732285)</f>
        <v>11.732285</v>
      </c>
      <c r="Q147" s="32">
        <f>IFERROR(__xludf.DUMMYFUNCTION("""COMPUTED_VALUE"""),1000.0)</f>
        <v>1000</v>
      </c>
      <c r="R147" s="32">
        <f>IFERROR(__xludf.DUMMYFUNCTION("""COMPUTED_VALUE"""),11238.163584375)</f>
        <v>11238.16358</v>
      </c>
      <c r="S147" s="32">
        <f>IFERROR(__xludf.DUMMYFUNCTION("""COMPUTED_VALUE"""),12330.313366875)</f>
        <v>12330.31337</v>
      </c>
      <c r="T147" s="32">
        <f>IFERROR(__xludf.DUMMYFUNCTION("""COMPUTED_VALUE"""),-7.001729)</f>
        <v>-7.001729</v>
      </c>
      <c r="U147" s="32">
        <f>IFERROR(__xludf.DUMMYFUNCTION("""COMPUTED_VALUE"""),5.675322)</f>
        <v>5.675322</v>
      </c>
      <c r="V147" s="32">
        <f>IFERROR(__xludf.DUMMYFUNCTION("""COMPUTED_VALUE"""),33.400992)</f>
        <v>33.400992</v>
      </c>
      <c r="W147" s="32">
        <f>IFERROR(__xludf.DUMMYFUNCTION("""COMPUTED_VALUE"""),110.573158)</f>
        <v>110.573158</v>
      </c>
      <c r="X147" s="32">
        <f>IFERROR(__xludf.DUMMYFUNCTION("""COMPUTED_VALUE"""),125.595352)</f>
        <v>125.595352</v>
      </c>
      <c r="Y147" s="32">
        <f>IFERROR(__xludf.DUMMYFUNCTION("""COMPUTED_VALUE"""),19.382559)</f>
        <v>19.382559</v>
      </c>
      <c r="Z147" s="32">
        <f>IFERROR(__xludf.DUMMYFUNCTION("""COMPUTED_VALUE"""),22.134328)</f>
        <v>22.134328</v>
      </c>
      <c r="AA147" s="32">
        <f>IFERROR(__xludf.DUMMYFUNCTION("""COMPUTED_VALUE"""),11.4167)</f>
        <v>11.4167</v>
      </c>
      <c r="AB147" s="32">
        <f>IFERROR(__xludf.DUMMYFUNCTION("""COMPUTED_VALUE"""),11.7348)</f>
        <v>11.7348</v>
      </c>
      <c r="AC147" s="32">
        <f>IFERROR(__xludf.DUMMYFUNCTION("""COMPUTED_VALUE"""),2.536)</f>
        <v>2.536</v>
      </c>
      <c r="AD147" s="32">
        <f>IFERROR(__xludf.DUMMYFUNCTION("""COMPUTED_VALUE"""),0.8603)</f>
        <v>0.8603</v>
      </c>
      <c r="AE147" s="32">
        <f>IFERROR(__xludf.DUMMYFUNCTION("""COMPUTED_VALUE"""),13.240786)</f>
        <v>13.240786</v>
      </c>
      <c r="AF147" s="32">
        <f>IFERROR(__xludf.DUMMYFUNCTION("""COMPUTED_VALUE"""),0.244019)</f>
        <v>0.244019</v>
      </c>
      <c r="AG147" s="32">
        <f>IFERROR(__xludf.DUMMYFUNCTION("""COMPUTED_VALUE"""),1.0146)</f>
        <v>1.0146</v>
      </c>
      <c r="AH147" s="32">
        <f>IFERROR(__xludf.DUMMYFUNCTION("""COMPUTED_VALUE"""),6.645815)</f>
        <v>6.645815</v>
      </c>
      <c r="AI147" s="32">
        <f>IFERROR(__xludf.DUMMYFUNCTION("""COMPUTED_VALUE"""),1.278188268360467)</f>
        <v>1.278188268</v>
      </c>
      <c r="AJ147" s="32">
        <f>IFERROR(__xludf.DUMMYFUNCTION("""COMPUTED_VALUE"""),9.27991576057786)</f>
        <v>9.279915761</v>
      </c>
      <c r="AK147" s="32">
        <f>IFERROR(__xludf.DUMMYFUNCTION("""COMPUTED_VALUE"""),77.6976)</f>
        <v>77.6976</v>
      </c>
      <c r="AL147" s="32">
        <f>IFERROR(__xludf.DUMMYFUNCTION("""COMPUTED_VALUE"""),349.7776)</f>
        <v>349.7776</v>
      </c>
      <c r="AM147" s="32">
        <f>IFERROR(__xludf.DUMMYFUNCTION("""COMPUTED_VALUE"""),100.424579)</f>
        <v>100.424579</v>
      </c>
      <c r="AN147" s="32">
        <f>IFERROR(__xludf.DUMMYFUNCTION("""COMPUTED_VALUE"""),5.344556)</f>
        <v>5.344556</v>
      </c>
      <c r="AO147" s="32">
        <f>IFERROR(__xludf.DUMMYFUNCTION("""COMPUTED_VALUE"""),9.0)</f>
        <v>9</v>
      </c>
      <c r="AP147" s="32">
        <f>IFERROR(__xludf.DUMMYFUNCTION("""COMPUTED_VALUE"""),0.11275)</f>
        <v>0.11275</v>
      </c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>
      <c r="A148" s="13" t="str">
        <f>IFERROR(__xludf.DUMMYFUNCTION("""COMPUTED_VALUE"""),"Fine Organic Industries Ltd.")</f>
        <v>Fine Organic Industries Ltd.</v>
      </c>
      <c r="B148" s="30">
        <f>IFERROR(__xludf.DUMMYFUNCTION("""COMPUTED_VALUE"""),541557.0)</f>
        <v>541557</v>
      </c>
      <c r="C148" s="13" t="str">
        <f>IFERROR(__xludf.DUMMYFUNCTION("""COMPUTED_VALUE"""),"FINEORG")</f>
        <v>FINEORG</v>
      </c>
      <c r="D148" s="13" t="str">
        <f>IFERROR(__xludf.DUMMYFUNCTION("""COMPUTED_VALUE"""),"INE686Y01026")</f>
        <v>INE686Y01026</v>
      </c>
      <c r="E148" s="13" t="str">
        <f>IFERROR(__xludf.DUMMYFUNCTION("""COMPUTED_VALUE"""),"Chemicals")</f>
        <v>Chemicals</v>
      </c>
      <c r="F148" s="13" t="str">
        <f>IFERROR(__xludf.DUMMYFUNCTION("""COMPUTED_VALUE"""),"Organic Chemicals")</f>
        <v>Organic Chemicals</v>
      </c>
      <c r="G148" s="31">
        <f>IFERROR(__xludf.DUMMYFUNCTION("""COMPUTED_VALUE"""),44809.0)</f>
        <v>44809</v>
      </c>
      <c r="H148" s="32">
        <f>IFERROR(__xludf.DUMMYFUNCTION("""COMPUTED_VALUE"""),6122.05)</f>
        <v>6122.05</v>
      </c>
      <c r="I148" s="32">
        <f>IFERROR(__xludf.DUMMYFUNCTION("""COMPUTED_VALUE"""),-0.365367)</f>
        <v>-0.365367</v>
      </c>
      <c r="J148" s="32">
        <f>IFERROR(__xludf.DUMMYFUNCTION("""COMPUTED_VALUE"""),2962.15)</f>
        <v>2962.15</v>
      </c>
      <c r="K148" s="32">
        <f>IFERROR(__xludf.DUMMYFUNCTION("""COMPUTED_VALUE"""),6909.35)</f>
        <v>6909.35</v>
      </c>
      <c r="L148" s="32">
        <f>IFERROR(__xludf.DUMMYFUNCTION("""COMPUTED_VALUE"""),1425.0)</f>
        <v>1425</v>
      </c>
      <c r="M148" s="32">
        <f>IFERROR(__xludf.DUMMYFUNCTION("""COMPUTED_VALUE"""),6909.35)</f>
        <v>6909.35</v>
      </c>
      <c r="N148" s="13"/>
      <c r="O148" s="13"/>
      <c r="P148" s="32">
        <f>IFERROR(__xludf.DUMMYFUNCTION("""COMPUTED_VALUE"""),735.0)</f>
        <v>735</v>
      </c>
      <c r="Q148" s="32">
        <f>IFERROR(__xludf.DUMMYFUNCTION("""COMPUTED_VALUE"""),6909.35)</f>
        <v>6909.35</v>
      </c>
      <c r="R148" s="32">
        <f>IFERROR(__xludf.DUMMYFUNCTION("""COMPUTED_VALUE"""),18764.97841116)</f>
        <v>18764.97841</v>
      </c>
      <c r="S148" s="32">
        <f>IFERROR(__xludf.DUMMYFUNCTION("""COMPUTED_VALUE"""),18666.21785224)</f>
        <v>18666.21785</v>
      </c>
      <c r="T148" s="32">
        <f>IFERROR(__xludf.DUMMYFUNCTION("""COMPUTED_VALUE"""),-1.564472)</f>
        <v>-1.564472</v>
      </c>
      <c r="U148" s="32">
        <f>IFERROR(__xludf.DUMMYFUNCTION("""COMPUTED_VALUE"""),7.995519)</f>
        <v>7.995519</v>
      </c>
      <c r="V148" s="32">
        <f>IFERROR(__xludf.DUMMYFUNCTION("""COMPUTED_VALUE"""),21.763992)</f>
        <v>21.763992</v>
      </c>
      <c r="W148" s="32">
        <f>IFERROR(__xludf.DUMMYFUNCTION("""COMPUTED_VALUE"""),99.9951)</f>
        <v>99.9951</v>
      </c>
      <c r="X148" s="32">
        <f>IFERROR(__xludf.DUMMYFUNCTION("""COMPUTED_VALUE"""),63.035549)</f>
        <v>63.035549</v>
      </c>
      <c r="Y148" s="13"/>
      <c r="Z148" s="13"/>
      <c r="AA148" s="32">
        <f>IFERROR(__xludf.DUMMYFUNCTION("""COMPUTED_VALUE"""),48.9316)</f>
        <v>48.9316</v>
      </c>
      <c r="AB148" s="32">
        <f>IFERROR(__xludf.DUMMYFUNCTION("""COMPUTED_VALUE"""),58.69015)</f>
        <v>58.69015</v>
      </c>
      <c r="AC148" s="32">
        <f>IFERROR(__xludf.DUMMYFUNCTION("""COMPUTED_VALUE"""),16.7659)</f>
        <v>16.7659</v>
      </c>
      <c r="AD148" s="32">
        <f>IFERROR(__xludf.DUMMYFUNCTION("""COMPUTED_VALUE"""),12.08135)</f>
        <v>12.08135</v>
      </c>
      <c r="AE148" s="32">
        <f>IFERROR(__xludf.DUMMYFUNCTION("""COMPUTED_VALUE"""),3.082473)</f>
        <v>3.082473</v>
      </c>
      <c r="AF148" s="32">
        <f>IFERROR(__xludf.DUMMYFUNCTION("""COMPUTED_VALUE"""),1.184682)</f>
        <v>1.184682</v>
      </c>
      <c r="AG148" s="32">
        <f>IFERROR(__xludf.DUMMYFUNCTION("""COMPUTED_VALUE"""),0.1471)</f>
        <v>0.1471</v>
      </c>
      <c r="AH148" s="32">
        <f>IFERROR(__xludf.DUMMYFUNCTION("""COMPUTED_VALUE"""),32.70002)</f>
        <v>32.70002</v>
      </c>
      <c r="AI148" s="32">
        <f>IFERROR(__xludf.DUMMYFUNCTION("""COMPUTED_VALUE"""),8.279542385949338)</f>
        <v>8.279542386</v>
      </c>
      <c r="AJ148" s="32">
        <f>IFERROR(__xludf.DUMMYFUNCTION("""COMPUTED_VALUE"""),280.17592068705517)</f>
        <v>280.1759207</v>
      </c>
      <c r="AK148" s="32">
        <f>IFERROR(__xludf.DUMMYFUNCTION("""COMPUTED_VALUE"""),125.0797)</f>
        <v>125.0797</v>
      </c>
      <c r="AL148" s="32">
        <f>IFERROR(__xludf.DUMMYFUNCTION("""COMPUTED_VALUE"""),365.0485)</f>
        <v>365.0485</v>
      </c>
      <c r="AM148" s="32">
        <f>IFERROR(__xludf.DUMMYFUNCTION("""COMPUTED_VALUE"""),21.844651)</f>
        <v>21.844651</v>
      </c>
      <c r="AN148" s="32">
        <f>IFERROR(__xludf.DUMMYFUNCTION("""COMPUTED_VALUE"""),7.534083)</f>
        <v>7.534083</v>
      </c>
      <c r="AO148" s="32">
        <f>IFERROR(__xludf.DUMMYFUNCTION("""COMPUTED_VALUE"""),9.0)</f>
        <v>9</v>
      </c>
      <c r="AP148" s="32">
        <f>IFERROR(__xludf.DUMMYFUNCTION("""COMPUTED_VALUE"""),0.11394704277536963)</f>
        <v>0.1139470428</v>
      </c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>
      <c r="A149" s="13" t="str">
        <f>IFERROR(__xludf.DUMMYFUNCTION("""COMPUTED_VALUE"""),"GAIL (India) Ltd.")</f>
        <v>GAIL (India) Ltd.</v>
      </c>
      <c r="B149" s="30">
        <f>IFERROR(__xludf.DUMMYFUNCTION("""COMPUTED_VALUE"""),532155.0)</f>
        <v>532155</v>
      </c>
      <c r="C149" s="13" t="str">
        <f>IFERROR(__xludf.DUMMYFUNCTION("""COMPUTED_VALUE"""),"GAIL")</f>
        <v>GAIL</v>
      </c>
      <c r="D149" s="13" t="str">
        <f>IFERROR(__xludf.DUMMYFUNCTION("""COMPUTED_VALUE"""),"INE129A01019")</f>
        <v>INE129A01019</v>
      </c>
      <c r="E149" s="13" t="str">
        <f>IFERROR(__xludf.DUMMYFUNCTION("""COMPUTED_VALUE"""),"Energy")</f>
        <v>Energy</v>
      </c>
      <c r="F149" s="13" t="str">
        <f>IFERROR(__xludf.DUMMYFUNCTION("""COMPUTED_VALUE"""),"Natural Gas Utilities")</f>
        <v>Natural Gas Utilities</v>
      </c>
      <c r="G149" s="31">
        <f>IFERROR(__xludf.DUMMYFUNCTION("""COMPUTED_VALUE"""),44809.0)</f>
        <v>44809</v>
      </c>
      <c r="H149" s="32">
        <f>IFERROR(__xludf.DUMMYFUNCTION("""COMPUTED_VALUE"""),136.75)</f>
        <v>136.75</v>
      </c>
      <c r="I149" s="32">
        <f>IFERROR(__xludf.DUMMYFUNCTION("""COMPUTED_VALUE"""),1.071693)</f>
        <v>1.071693</v>
      </c>
      <c r="J149" s="32">
        <f>IFERROR(__xludf.DUMMYFUNCTION("""COMPUTED_VALUE"""),125.2)</f>
        <v>125.2</v>
      </c>
      <c r="K149" s="32">
        <f>IFERROR(__xludf.DUMMYFUNCTION("""COMPUTED_VALUE"""),173.5)</f>
        <v>173.5</v>
      </c>
      <c r="L149" s="32">
        <f>IFERROR(__xludf.DUMMYFUNCTION("""COMPUTED_VALUE"""),65.0)</f>
        <v>65</v>
      </c>
      <c r="M149" s="32">
        <f>IFERROR(__xludf.DUMMYFUNCTION("""COMPUTED_VALUE"""),173.5)</f>
        <v>173.5</v>
      </c>
      <c r="N149" s="32">
        <f>IFERROR(__xludf.DUMMYFUNCTION("""COMPUTED_VALUE"""),65.0)</f>
        <v>65</v>
      </c>
      <c r="O149" s="32">
        <f>IFERROR(__xludf.DUMMYFUNCTION("""COMPUTED_VALUE"""),199.7)</f>
        <v>199.7</v>
      </c>
      <c r="P149" s="32">
        <f>IFERROR(__xludf.DUMMYFUNCTION("""COMPUTED_VALUE"""),6.375)</f>
        <v>6.375</v>
      </c>
      <c r="Q149" s="32">
        <f>IFERROR(__xludf.DUMMYFUNCTION("""COMPUTED_VALUE"""),199.7)</f>
        <v>199.7</v>
      </c>
      <c r="R149" s="32">
        <f>IFERROR(__xludf.DUMMYFUNCTION("""COMPUTED_VALUE"""),59942.99174535)</f>
        <v>59942.99175</v>
      </c>
      <c r="S149" s="32">
        <f>IFERROR(__xludf.DUMMYFUNCTION("""COMPUTED_VALUE"""),64377.52277748)</f>
        <v>64377.52278</v>
      </c>
      <c r="T149" s="32">
        <f>IFERROR(__xludf.DUMMYFUNCTION("""COMPUTED_VALUE"""),1.63508)</f>
        <v>1.63508</v>
      </c>
      <c r="U149" s="32">
        <f>IFERROR(__xludf.DUMMYFUNCTION("""COMPUTED_VALUE"""),-2.391149)</f>
        <v>-2.391149</v>
      </c>
      <c r="V149" s="32">
        <f>IFERROR(__xludf.DUMMYFUNCTION("""COMPUTED_VALUE"""),-7.350949)</f>
        <v>-7.350949</v>
      </c>
      <c r="W149" s="32">
        <f>IFERROR(__xludf.DUMMYFUNCTION("""COMPUTED_VALUE"""),-7.225237)</f>
        <v>-7.225237</v>
      </c>
      <c r="X149" s="32">
        <f>IFERROR(__xludf.DUMMYFUNCTION("""COMPUTED_VALUE"""),2.415646)</f>
        <v>2.415646</v>
      </c>
      <c r="Y149" s="32">
        <f>IFERROR(__xludf.DUMMYFUNCTION("""COMPUTED_VALUE"""),-0.799475)</f>
        <v>-0.799475</v>
      </c>
      <c r="Z149" s="32">
        <f>IFERROR(__xludf.DUMMYFUNCTION("""COMPUTED_VALUE"""),3.092841)</f>
        <v>3.092841</v>
      </c>
      <c r="AA149" s="32">
        <f>IFERROR(__xludf.DUMMYFUNCTION("""COMPUTED_VALUE"""),4.483)</f>
        <v>4.483</v>
      </c>
      <c r="AB149" s="32">
        <f>IFERROR(__xludf.DUMMYFUNCTION("""COMPUTED_VALUE"""),9.09665)</f>
        <v>9.09665</v>
      </c>
      <c r="AC149" s="32">
        <f>IFERROR(__xludf.DUMMYFUNCTION("""COMPUTED_VALUE"""),0.9088)</f>
        <v>0.9088</v>
      </c>
      <c r="AD149" s="32">
        <f>IFERROR(__xludf.DUMMYFUNCTION("""COMPUTED_VALUE"""),1.23265)</f>
        <v>1.23265</v>
      </c>
      <c r="AE149" s="32">
        <f>IFERROR(__xludf.DUMMYFUNCTION("""COMPUTED_VALUE"""),25.935996)</f>
        <v>25.935996</v>
      </c>
      <c r="AF149" s="32">
        <f>IFERROR(__xludf.DUMMYFUNCTION("""COMPUTED_VALUE"""),0.206552)</f>
        <v>0.206552</v>
      </c>
      <c r="AG149" s="32">
        <f>IFERROR(__xludf.DUMMYFUNCTION("""COMPUTED_VALUE"""),7.3126)</f>
        <v>7.3126</v>
      </c>
      <c r="AH149" s="32">
        <f>IFERROR(__xludf.DUMMYFUNCTION("""COMPUTED_VALUE"""),3.535632)</f>
        <v>3.535632</v>
      </c>
      <c r="AI149" s="32">
        <f>IFERROR(__xludf.DUMMYFUNCTION("""COMPUTED_VALUE"""),0.5294039146321828)</f>
        <v>0.5294039146</v>
      </c>
      <c r="AJ149" s="32">
        <f>IFERROR(__xludf.DUMMYFUNCTION("""COMPUTED_VALUE"""),6.225521259639262)</f>
        <v>6.22552126</v>
      </c>
      <c r="AK149" s="32">
        <f>IFERROR(__xludf.DUMMYFUNCTION("""COMPUTED_VALUE"""),30.5043)</f>
        <v>30.5043</v>
      </c>
      <c r="AL149" s="32">
        <f>IFERROR(__xludf.DUMMYFUNCTION("""COMPUTED_VALUE"""),150.4652)</f>
        <v>150.4652</v>
      </c>
      <c r="AM149" s="32">
        <f>IFERROR(__xludf.DUMMYFUNCTION("""COMPUTED_VALUE"""),21.684109)</f>
        <v>21.684109</v>
      </c>
      <c r="AN149" s="32">
        <f>IFERROR(__xludf.DUMMYFUNCTION("""COMPUTED_VALUE"""),5.498886)</f>
        <v>5.498886</v>
      </c>
      <c r="AO149" s="32">
        <f>IFERROR(__xludf.DUMMYFUNCTION("""COMPUTED_VALUE"""),9.0)</f>
        <v>9</v>
      </c>
      <c r="AP149" s="32">
        <f>IFERROR(__xludf.DUMMYFUNCTION("""COMPUTED_VALUE"""),0.21181556195965417)</f>
        <v>0.211815562</v>
      </c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>
      <c r="A150" s="13" t="str">
        <f>IFERROR(__xludf.DUMMYFUNCTION("""COMPUTED_VALUE"""),"Heidelberg Cement India Ltd.")</f>
        <v>Heidelberg Cement India Ltd.</v>
      </c>
      <c r="B150" s="30">
        <f>IFERROR(__xludf.DUMMYFUNCTION("""COMPUTED_VALUE"""),500292.0)</f>
        <v>500292</v>
      </c>
      <c r="C150" s="13" t="str">
        <f>IFERROR(__xludf.DUMMYFUNCTION("""COMPUTED_VALUE"""),"HEIDELBERG")</f>
        <v>HEIDELBERG</v>
      </c>
      <c r="D150" s="13" t="str">
        <f>IFERROR(__xludf.DUMMYFUNCTION("""COMPUTED_VALUE"""),"INE578A01017")</f>
        <v>INE578A01017</v>
      </c>
      <c r="E150" s="13" t="str">
        <f>IFERROR(__xludf.DUMMYFUNCTION("""COMPUTED_VALUE"""),"Materials")</f>
        <v>Materials</v>
      </c>
      <c r="F150" s="13" t="str">
        <f>IFERROR(__xludf.DUMMYFUNCTION("""COMPUTED_VALUE"""),"Cement")</f>
        <v>Cement</v>
      </c>
      <c r="G150" s="31">
        <f>IFERROR(__xludf.DUMMYFUNCTION("""COMPUTED_VALUE"""),44809.0)</f>
        <v>44809</v>
      </c>
      <c r="H150" s="32">
        <f>IFERROR(__xludf.DUMMYFUNCTION("""COMPUTED_VALUE"""),186.1)</f>
        <v>186.1</v>
      </c>
      <c r="I150" s="32">
        <f>IFERROR(__xludf.DUMMYFUNCTION("""COMPUTED_VALUE"""),-1.27321)</f>
        <v>-1.27321</v>
      </c>
      <c r="J150" s="32">
        <f>IFERROR(__xludf.DUMMYFUNCTION("""COMPUTED_VALUE"""),164.0)</f>
        <v>164</v>
      </c>
      <c r="K150" s="32">
        <f>IFERROR(__xludf.DUMMYFUNCTION("""COMPUTED_VALUE"""),277.95)</f>
        <v>277.95</v>
      </c>
      <c r="L150" s="32">
        <f>IFERROR(__xludf.DUMMYFUNCTION("""COMPUTED_VALUE"""),120.0)</f>
        <v>120</v>
      </c>
      <c r="M150" s="32">
        <f>IFERROR(__xludf.DUMMYFUNCTION("""COMPUTED_VALUE"""),284.95)</f>
        <v>284.95</v>
      </c>
      <c r="N150" s="32">
        <f>IFERROR(__xludf.DUMMYFUNCTION("""COMPUTED_VALUE"""),116.6)</f>
        <v>116.6</v>
      </c>
      <c r="O150" s="32">
        <f>IFERROR(__xludf.DUMMYFUNCTION("""COMPUTED_VALUE"""),284.95)</f>
        <v>284.95</v>
      </c>
      <c r="P150" s="32">
        <f>IFERROR(__xludf.DUMMYFUNCTION("""COMPUTED_VALUE"""),4.05)</f>
        <v>4.05</v>
      </c>
      <c r="Q150" s="32">
        <f>IFERROR(__xludf.DUMMYFUNCTION("""COMPUTED_VALUE"""),284.95)</f>
        <v>284.95</v>
      </c>
      <c r="R150" s="32">
        <f>IFERROR(__xludf.DUMMYFUNCTION("""COMPUTED_VALUE"""),4219.53621992)</f>
        <v>4219.53622</v>
      </c>
      <c r="S150" s="32">
        <f>IFERROR(__xludf.DUMMYFUNCTION("""COMPUTED_VALUE"""),4080.88030218)</f>
        <v>4080.880302</v>
      </c>
      <c r="T150" s="32">
        <f>IFERROR(__xludf.DUMMYFUNCTION("""COMPUTED_VALUE"""),-5.938843)</f>
        <v>-5.938843</v>
      </c>
      <c r="U150" s="32">
        <f>IFERROR(__xludf.DUMMYFUNCTION("""COMPUTED_VALUE"""),-0.587607)</f>
        <v>-0.587607</v>
      </c>
      <c r="V150" s="32">
        <f>IFERROR(__xludf.DUMMYFUNCTION("""COMPUTED_VALUE"""),1.416894)</f>
        <v>1.416894</v>
      </c>
      <c r="W150" s="32">
        <f>IFERROR(__xludf.DUMMYFUNCTION("""COMPUTED_VALUE"""),-29.387213)</f>
        <v>-29.387213</v>
      </c>
      <c r="X150" s="32">
        <f>IFERROR(__xludf.DUMMYFUNCTION("""COMPUTED_VALUE"""),-1.804608)</f>
        <v>-1.804608</v>
      </c>
      <c r="Y150" s="32">
        <f>IFERROR(__xludf.DUMMYFUNCTION("""COMPUTED_VALUE"""),8.432615)</f>
        <v>8.432615</v>
      </c>
      <c r="Z150" s="32">
        <f>IFERROR(__xludf.DUMMYFUNCTION("""COMPUTED_VALUE"""),15.94127)</f>
        <v>15.94127</v>
      </c>
      <c r="AA150" s="32">
        <f>IFERROR(__xludf.DUMMYFUNCTION("""COMPUTED_VALUE"""),17.9386)</f>
        <v>17.9386</v>
      </c>
      <c r="AB150" s="32">
        <f>IFERROR(__xludf.DUMMYFUNCTION("""COMPUTED_VALUE"""),17.99825)</f>
        <v>17.99825</v>
      </c>
      <c r="AC150" s="32">
        <f>IFERROR(__xludf.DUMMYFUNCTION("""COMPUTED_VALUE"""),2.6097)</f>
        <v>2.6097</v>
      </c>
      <c r="AD150" s="32">
        <f>IFERROR(__xludf.DUMMYFUNCTION("""COMPUTED_VALUE"""),3.4153)</f>
        <v>3.4153</v>
      </c>
      <c r="AE150" s="32">
        <f>IFERROR(__xludf.DUMMYFUNCTION("""COMPUTED_VALUE"""),9.525958)</f>
        <v>9.525958</v>
      </c>
      <c r="AF150" s="32">
        <f>IFERROR(__xludf.DUMMYFUNCTION("""COMPUTED_VALUE"""),0.619779)</f>
        <v>0.619779</v>
      </c>
      <c r="AG150" s="32">
        <f>IFERROR(__xludf.DUMMYFUNCTION("""COMPUTED_VALUE"""),4.8335)</f>
        <v>4.8335</v>
      </c>
      <c r="AH150" s="32">
        <f>IFERROR(__xludf.DUMMYFUNCTION("""COMPUTED_VALUE"""),9.122751)</f>
        <v>9.122751</v>
      </c>
      <c r="AI150" s="32">
        <f>IFERROR(__xludf.DUMMYFUNCTION("""COMPUTED_VALUE"""),1.8223395970200178)</f>
        <v>1.822339597</v>
      </c>
      <c r="AJ150" s="32">
        <f>IFERROR(__xludf.DUMMYFUNCTION("""COMPUTED_VALUE"""),13.978917409044227)</f>
        <v>13.97891741</v>
      </c>
      <c r="AK150" s="32">
        <f>IFERROR(__xludf.DUMMYFUNCTION("""COMPUTED_VALUE"""),10.3798)</f>
        <v>10.3798</v>
      </c>
      <c r="AL150" s="32">
        <f>IFERROR(__xludf.DUMMYFUNCTION("""COMPUTED_VALUE"""),71.3482)</f>
        <v>71.3482</v>
      </c>
      <c r="AM150" s="32">
        <f>IFERROR(__xludf.DUMMYFUNCTION("""COMPUTED_VALUE"""),13.320242)</f>
        <v>13.320242</v>
      </c>
      <c r="AN150" s="32">
        <f>IFERROR(__xludf.DUMMYFUNCTION("""COMPUTED_VALUE"""),10.544989)</f>
        <v>10.544989</v>
      </c>
      <c r="AO150" s="32">
        <f>IFERROR(__xludf.DUMMYFUNCTION("""COMPUTED_VALUE"""),9.0)</f>
        <v>9</v>
      </c>
      <c r="AP150" s="32">
        <f>IFERROR(__xludf.DUMMYFUNCTION("""COMPUTED_VALUE"""),0.3304551178269473)</f>
        <v>0.3304551178</v>
      </c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>
      <c r="A151" s="13" t="str">
        <f>IFERROR(__xludf.DUMMYFUNCTION("""COMPUTED_VALUE"""),"ICICI Lombard General Insurance Company Ltd.")</f>
        <v>ICICI Lombard General Insurance Company Ltd.</v>
      </c>
      <c r="B151" s="30">
        <f>IFERROR(__xludf.DUMMYFUNCTION("""COMPUTED_VALUE"""),540716.0)</f>
        <v>540716</v>
      </c>
      <c r="C151" s="13" t="str">
        <f>IFERROR(__xludf.DUMMYFUNCTION("""COMPUTED_VALUE"""),"ICICIGI")</f>
        <v>ICICIGI</v>
      </c>
      <c r="D151" s="13" t="str">
        <f>IFERROR(__xludf.DUMMYFUNCTION("""COMPUTED_VALUE"""),"INE765G01017")</f>
        <v>INE765G01017</v>
      </c>
      <c r="E151" s="13" t="str">
        <f>IFERROR(__xludf.DUMMYFUNCTION("""COMPUTED_VALUE"""),"Insurance")</f>
        <v>Insurance</v>
      </c>
      <c r="F151" s="13" t="str">
        <f>IFERROR(__xludf.DUMMYFUNCTION("""COMPUTED_VALUE"""),"General Insurance")</f>
        <v>General Insurance</v>
      </c>
      <c r="G151" s="31">
        <f>IFERROR(__xludf.DUMMYFUNCTION("""COMPUTED_VALUE"""),44809.0)</f>
        <v>44809</v>
      </c>
      <c r="H151" s="32">
        <f>IFERROR(__xludf.DUMMYFUNCTION("""COMPUTED_VALUE"""),1261.85)</f>
        <v>1261.85</v>
      </c>
      <c r="I151" s="32">
        <f>IFERROR(__xludf.DUMMYFUNCTION("""COMPUTED_VALUE"""),0.22637)</f>
        <v>0.22637</v>
      </c>
      <c r="J151" s="32">
        <f>IFERROR(__xludf.DUMMYFUNCTION("""COMPUTED_VALUE"""),1071.0)</f>
        <v>1071</v>
      </c>
      <c r="K151" s="32">
        <f>IFERROR(__xludf.DUMMYFUNCTION("""COMPUTED_VALUE"""),1675.0)</f>
        <v>1675</v>
      </c>
      <c r="L151" s="32">
        <f>IFERROR(__xludf.DUMMYFUNCTION("""COMPUTED_VALUE"""),805.0)</f>
        <v>805</v>
      </c>
      <c r="M151" s="32">
        <f>IFERROR(__xludf.DUMMYFUNCTION("""COMPUTED_VALUE"""),1675.0)</f>
        <v>1675</v>
      </c>
      <c r="N151" s="13"/>
      <c r="O151" s="13"/>
      <c r="P151" s="32">
        <f>IFERROR(__xludf.DUMMYFUNCTION("""COMPUTED_VALUE"""),619.0)</f>
        <v>619</v>
      </c>
      <c r="Q151" s="32">
        <f>IFERROR(__xludf.DUMMYFUNCTION("""COMPUTED_VALUE"""),1675.0)</f>
        <v>1675</v>
      </c>
      <c r="R151" s="32">
        <f>IFERROR(__xludf.DUMMYFUNCTION("""COMPUTED_VALUE"""),62052.55012007999)</f>
        <v>62052.55012</v>
      </c>
      <c r="S151" s="32">
        <f>IFERROR(__xludf.DUMMYFUNCTION("""COMPUTED_VALUE"""),61717.80864589)</f>
        <v>61717.80865</v>
      </c>
      <c r="T151" s="32">
        <f>IFERROR(__xludf.DUMMYFUNCTION("""COMPUTED_VALUE"""),0.142851)</f>
        <v>0.142851</v>
      </c>
      <c r="U151" s="32">
        <f>IFERROR(__xludf.DUMMYFUNCTION("""COMPUTED_VALUE"""),4.961737)</f>
        <v>4.961737</v>
      </c>
      <c r="V151" s="32">
        <f>IFERROR(__xludf.DUMMYFUNCTION("""COMPUTED_VALUE"""),3.574653)</f>
        <v>3.574653</v>
      </c>
      <c r="W151" s="32">
        <f>IFERROR(__xludf.DUMMYFUNCTION("""COMPUTED_VALUE"""),-22.574014)</f>
        <v>-22.574014</v>
      </c>
      <c r="X151" s="32">
        <f>IFERROR(__xludf.DUMMYFUNCTION("""COMPUTED_VALUE"""),3.278645)</f>
        <v>3.278645</v>
      </c>
      <c r="Y151" s="13"/>
      <c r="Z151" s="13"/>
      <c r="AA151" s="32">
        <f>IFERROR(__xludf.DUMMYFUNCTION("""COMPUTED_VALUE"""),43.523)</f>
        <v>43.523</v>
      </c>
      <c r="AB151" s="32">
        <f>IFERROR(__xludf.DUMMYFUNCTION("""COMPUTED_VALUE"""),47.7699)</f>
        <v>47.7699</v>
      </c>
      <c r="AC151" s="32">
        <f>IFERROR(__xludf.DUMMYFUNCTION("""COMPUTED_VALUE"""),6.5515)</f>
        <v>6.5515</v>
      </c>
      <c r="AD151" s="32">
        <f>IFERROR(__xludf.DUMMYFUNCTION("""COMPUTED_VALUE"""),8.62184)</f>
        <v>8.62184</v>
      </c>
      <c r="AE151" s="32">
        <f>IFERROR(__xludf.DUMMYFUNCTION("""COMPUTED_VALUE"""),9.598401)</f>
        <v>9.598401</v>
      </c>
      <c r="AF151" s="32">
        <f>IFERROR(__xludf.DUMMYFUNCTION("""COMPUTED_VALUE"""),3.433461)</f>
        <v>3.433461</v>
      </c>
      <c r="AG151" s="32">
        <f>IFERROR(__xludf.DUMMYFUNCTION("""COMPUTED_VALUE"""),0.7123)</f>
        <v>0.7123</v>
      </c>
      <c r="AH151" s="32">
        <f>IFERROR(__xludf.DUMMYFUNCTION("""COMPUTED_VALUE"""),32.648879)</f>
        <v>32.648879</v>
      </c>
      <c r="AI151" s="32">
        <f>IFERROR(__xludf.DUMMYFUNCTION("""COMPUTED_VALUE"""),4.6487753074456)</f>
        <v>4.648775307</v>
      </c>
      <c r="AJ151" s="32">
        <f>IFERROR(__xludf.DUMMYFUNCTION("""COMPUTED_VALUE"""),76.69326343193006)</f>
        <v>76.69326343</v>
      </c>
      <c r="AK151" s="32">
        <f>IFERROR(__xludf.DUMMYFUNCTION("""COMPUTED_VALUE"""),29.0329)</f>
        <v>29.0329</v>
      </c>
      <c r="AL151" s="32">
        <f>IFERROR(__xludf.DUMMYFUNCTION("""COMPUTED_VALUE"""),192.8724)</f>
        <v>192.8724</v>
      </c>
      <c r="AM151" s="32">
        <f>IFERROR(__xludf.DUMMYFUNCTION("""COMPUTED_VALUE"""),16.482269)</f>
        <v>16.482269</v>
      </c>
      <c r="AN151" s="32">
        <f>IFERROR(__xludf.DUMMYFUNCTION("""COMPUTED_VALUE"""),23.020847)</f>
        <v>23.020847</v>
      </c>
      <c r="AO151" s="32">
        <f>IFERROR(__xludf.DUMMYFUNCTION("""COMPUTED_VALUE"""),9.0)</f>
        <v>9</v>
      </c>
      <c r="AP151" s="32">
        <f>IFERROR(__xludf.DUMMYFUNCTION("""COMPUTED_VALUE"""),0.2466567164179105)</f>
        <v>0.2466567164</v>
      </c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>
      <c r="A152" s="13" t="str">
        <f>IFERROR(__xludf.DUMMYFUNCTION("""COMPUTED_VALUE"""),"Indiabulls Housing Finance Ltd.")</f>
        <v>Indiabulls Housing Finance Ltd.</v>
      </c>
      <c r="B152" s="30">
        <f>IFERROR(__xludf.DUMMYFUNCTION("""COMPUTED_VALUE"""),535789.0)</f>
        <v>535789</v>
      </c>
      <c r="C152" s="13" t="str">
        <f>IFERROR(__xludf.DUMMYFUNCTION("""COMPUTED_VALUE"""),"IBULHSGFIN")</f>
        <v>IBULHSGFIN</v>
      </c>
      <c r="D152" s="13" t="str">
        <f>IFERROR(__xludf.DUMMYFUNCTION("""COMPUTED_VALUE"""),"INE148I01020")</f>
        <v>INE148I01020</v>
      </c>
      <c r="E152" s="13" t="str">
        <f>IFERROR(__xludf.DUMMYFUNCTION("""COMPUTED_VALUE"""),"Financial")</f>
        <v>Financial</v>
      </c>
      <c r="F152" s="13" t="str">
        <f>IFERROR(__xludf.DUMMYFUNCTION("""COMPUTED_VALUE"""),"Housing Finance")</f>
        <v>Housing Finance</v>
      </c>
      <c r="G152" s="31">
        <f>IFERROR(__xludf.DUMMYFUNCTION("""COMPUTED_VALUE"""),44809.0)</f>
        <v>44809</v>
      </c>
      <c r="H152" s="32">
        <f>IFERROR(__xludf.DUMMYFUNCTION("""COMPUTED_VALUE"""),134.9)</f>
        <v>134.9</v>
      </c>
      <c r="I152" s="32">
        <f>IFERROR(__xludf.DUMMYFUNCTION("""COMPUTED_VALUE"""),1.238274)</f>
        <v>1.238274</v>
      </c>
      <c r="J152" s="32">
        <f>IFERROR(__xludf.DUMMYFUNCTION("""COMPUTED_VALUE"""),89.0)</f>
        <v>89</v>
      </c>
      <c r="K152" s="32">
        <f>IFERROR(__xludf.DUMMYFUNCTION("""COMPUTED_VALUE"""),282.6)</f>
        <v>282.6</v>
      </c>
      <c r="L152" s="32">
        <f>IFERROR(__xludf.DUMMYFUNCTION("""COMPUTED_VALUE"""),81.0)</f>
        <v>81</v>
      </c>
      <c r="M152" s="32">
        <f>IFERROR(__xludf.DUMMYFUNCTION("""COMPUTED_VALUE"""),458.95)</f>
        <v>458.95</v>
      </c>
      <c r="N152" s="32">
        <f>IFERROR(__xludf.DUMMYFUNCTION("""COMPUTED_VALUE"""),81.0)</f>
        <v>81</v>
      </c>
      <c r="O152" s="32">
        <f>IFERROR(__xludf.DUMMYFUNCTION("""COMPUTED_VALUE"""),1440.0)</f>
        <v>1440</v>
      </c>
      <c r="P152" s="32">
        <f>IFERROR(__xludf.DUMMYFUNCTION("""COMPUTED_VALUE"""),81.0)</f>
        <v>81</v>
      </c>
      <c r="Q152" s="32">
        <f>IFERROR(__xludf.DUMMYFUNCTION("""COMPUTED_VALUE"""),1440.0)</f>
        <v>1440</v>
      </c>
      <c r="R152" s="32">
        <f>IFERROR(__xludf.DUMMYFUNCTION("""COMPUTED_VALUE"""),6359.48055555)</f>
        <v>6359.480556</v>
      </c>
      <c r="S152" s="32">
        <f>IFERROR(__xludf.DUMMYFUNCTION("""COMPUTED_VALUE"""),53113.6130779)</f>
        <v>53113.61308</v>
      </c>
      <c r="T152" s="32">
        <f>IFERROR(__xludf.DUMMYFUNCTION("""COMPUTED_VALUE"""),-1.424918)</f>
        <v>-1.424918</v>
      </c>
      <c r="U152" s="32">
        <f>IFERROR(__xludf.DUMMYFUNCTION("""COMPUTED_VALUE"""),11.395541)</f>
        <v>11.395541</v>
      </c>
      <c r="V152" s="32">
        <f>IFERROR(__xludf.DUMMYFUNCTION("""COMPUTED_VALUE"""),10.032626)</f>
        <v>10.032626</v>
      </c>
      <c r="W152" s="32">
        <f>IFERROR(__xludf.DUMMYFUNCTION("""COMPUTED_VALUE"""),-41.513115)</f>
        <v>-41.513115</v>
      </c>
      <c r="X152" s="32">
        <f>IFERROR(__xludf.DUMMYFUNCTION("""COMPUTED_VALUE"""),-33.479726)</f>
        <v>-33.479726</v>
      </c>
      <c r="Y152" s="32">
        <f>IFERROR(__xludf.DUMMYFUNCTION("""COMPUTED_VALUE"""),-35.783832)</f>
        <v>-35.783832</v>
      </c>
      <c r="Z152" s="13"/>
      <c r="AA152" s="32">
        <f>IFERROR(__xludf.DUMMYFUNCTION("""COMPUTED_VALUE"""),5.3771)</f>
        <v>5.3771</v>
      </c>
      <c r="AB152" s="32">
        <f>IFERROR(__xludf.DUMMYFUNCTION("""COMPUTED_VALUE"""),7.4157)</f>
        <v>7.4157</v>
      </c>
      <c r="AC152" s="32">
        <f>IFERROR(__xludf.DUMMYFUNCTION("""COMPUTED_VALUE"""),0.3732)</f>
        <v>0.3732</v>
      </c>
      <c r="AD152" s="32">
        <f>IFERROR(__xludf.DUMMYFUNCTION("""COMPUTED_VALUE"""),0.7046)</f>
        <v>0.7046</v>
      </c>
      <c r="AE152" s="32">
        <f>IFERROR(__xludf.DUMMYFUNCTION("""COMPUTED_VALUE"""),14.744811)</f>
        <v>14.744811</v>
      </c>
      <c r="AF152" s="32">
        <f>IFERROR(__xludf.DUMMYFUNCTION("""COMPUTED_VALUE"""),-0.308781)</f>
        <v>-0.308781</v>
      </c>
      <c r="AG152" s="32">
        <f>IFERROR(__xludf.DUMMYFUNCTION("""COMPUTED_VALUE"""),6.6741)</f>
        <v>6.6741</v>
      </c>
      <c r="AH152" s="32">
        <f>IFERROR(__xludf.DUMMYFUNCTION("""COMPUTED_VALUE"""),6.779694)</f>
        <v>6.779694</v>
      </c>
      <c r="AI152" s="32">
        <f>IFERROR(__xludf.DUMMYFUNCTION("""COMPUTED_VALUE"""),0.725002257899579)</f>
        <v>0.7250022579</v>
      </c>
      <c r="AJ152" s="32">
        <f>IFERROR(__xludf.DUMMYFUNCTION("""COMPUTED_VALUE"""),0.8971546244692107)</f>
        <v>0.8971546245</v>
      </c>
      <c r="AK152" s="32">
        <f>IFERROR(__xludf.DUMMYFUNCTION("""COMPUTED_VALUE"""),25.0786)</f>
        <v>25.0786</v>
      </c>
      <c r="AL152" s="32">
        <f>IFERROR(__xludf.DUMMYFUNCTION("""COMPUTED_VALUE"""),361.3009)</f>
        <v>361.3009</v>
      </c>
      <c r="AM152" s="32">
        <f>IFERROR(__xludf.DUMMYFUNCTION("""COMPUTED_VALUE"""),159.166947)</f>
        <v>159.166947</v>
      </c>
      <c r="AN152" s="32">
        <f>IFERROR(__xludf.DUMMYFUNCTION("""COMPUTED_VALUE"""),158.267879)</f>
        <v>158.267879</v>
      </c>
      <c r="AO152" s="32">
        <f>IFERROR(__xludf.DUMMYFUNCTION("""COMPUTED_VALUE"""),9.0)</f>
        <v>9</v>
      </c>
      <c r="AP152" s="32">
        <f>IFERROR(__xludf.DUMMYFUNCTION("""COMPUTED_VALUE"""),0.5226468506723284)</f>
        <v>0.5226468507</v>
      </c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>
      <c r="A153" s="13" t="str">
        <f>IFERROR(__xludf.DUMMYFUNCTION("""COMPUTED_VALUE"""),"Symphony Ltd.")</f>
        <v>Symphony Ltd.</v>
      </c>
      <c r="B153" s="30">
        <f>IFERROR(__xludf.DUMMYFUNCTION("""COMPUTED_VALUE"""),517385.0)</f>
        <v>517385</v>
      </c>
      <c r="C153" s="13" t="str">
        <f>IFERROR(__xludf.DUMMYFUNCTION("""COMPUTED_VALUE"""),"SYMPHONY")</f>
        <v>SYMPHONY</v>
      </c>
      <c r="D153" s="13" t="str">
        <f>IFERROR(__xludf.DUMMYFUNCTION("""COMPUTED_VALUE"""),"INE225D01027")</f>
        <v>INE225D01027</v>
      </c>
      <c r="E153" s="13" t="str">
        <f>IFERROR(__xludf.DUMMYFUNCTION("""COMPUTED_VALUE"""),"Consumer Discretionary")</f>
        <v>Consumer Discretionary</v>
      </c>
      <c r="F153" s="13" t="str">
        <f>IFERROR(__xludf.DUMMYFUNCTION("""COMPUTED_VALUE"""),"ACs &amp; Refrigerators")</f>
        <v>ACs &amp; Refrigerators</v>
      </c>
      <c r="G153" s="31">
        <f>IFERROR(__xludf.DUMMYFUNCTION("""COMPUTED_VALUE"""),44809.0)</f>
        <v>44809</v>
      </c>
      <c r="H153" s="32">
        <f>IFERROR(__xludf.DUMMYFUNCTION("""COMPUTED_VALUE"""),925.25)</f>
        <v>925.25</v>
      </c>
      <c r="I153" s="32">
        <f>IFERROR(__xludf.DUMMYFUNCTION("""COMPUTED_VALUE"""),-0.809391)</f>
        <v>-0.809391</v>
      </c>
      <c r="J153" s="32">
        <f>IFERROR(__xludf.DUMMYFUNCTION("""COMPUTED_VALUE"""),828.0)</f>
        <v>828</v>
      </c>
      <c r="K153" s="32">
        <f>IFERROR(__xludf.DUMMYFUNCTION("""COMPUTED_VALUE"""),1215.0)</f>
        <v>1215</v>
      </c>
      <c r="L153" s="32">
        <f>IFERROR(__xludf.DUMMYFUNCTION("""COMPUTED_VALUE"""),690.0)</f>
        <v>690</v>
      </c>
      <c r="M153" s="32">
        <f>IFERROR(__xludf.DUMMYFUNCTION("""COMPUTED_VALUE"""),1529.65)</f>
        <v>1529.65</v>
      </c>
      <c r="N153" s="32">
        <f>IFERROR(__xludf.DUMMYFUNCTION("""COMPUTED_VALUE"""),690.0)</f>
        <v>690</v>
      </c>
      <c r="O153" s="32">
        <f>IFERROR(__xludf.DUMMYFUNCTION("""COMPUTED_VALUE"""),2212.75)</f>
        <v>2212.75</v>
      </c>
      <c r="P153" s="32">
        <f>IFERROR(__xludf.DUMMYFUNCTION("""COMPUTED_VALUE"""),0.156)</f>
        <v>0.156</v>
      </c>
      <c r="Q153" s="32">
        <f>IFERROR(__xludf.DUMMYFUNCTION("""COMPUTED_VALUE"""),2212.75)</f>
        <v>2212.75</v>
      </c>
      <c r="R153" s="32">
        <f>IFERROR(__xludf.DUMMYFUNCTION("""COMPUTED_VALUE"""),6472.771425)</f>
        <v>6472.771425</v>
      </c>
      <c r="S153" s="32">
        <f>IFERROR(__xludf.DUMMYFUNCTION("""COMPUTED_VALUE"""),6362.600145)</f>
        <v>6362.600145</v>
      </c>
      <c r="T153" s="32">
        <f>IFERROR(__xludf.DUMMYFUNCTION("""COMPUTED_VALUE"""),-0.77748)</f>
        <v>-0.77748</v>
      </c>
      <c r="U153" s="32">
        <f>IFERROR(__xludf.DUMMYFUNCTION("""COMPUTED_VALUE"""),-0.435812)</f>
        <v>-0.435812</v>
      </c>
      <c r="V153" s="32">
        <f>IFERROR(__xludf.DUMMYFUNCTION("""COMPUTED_VALUE"""),-6.01351)</f>
        <v>-6.01351</v>
      </c>
      <c r="W153" s="32">
        <f>IFERROR(__xludf.DUMMYFUNCTION("""COMPUTED_VALUE"""),-4.357039)</f>
        <v>-4.357039</v>
      </c>
      <c r="X153" s="32">
        <f>IFERROR(__xludf.DUMMYFUNCTION("""COMPUTED_VALUE"""),-9.020481)</f>
        <v>-9.020481</v>
      </c>
      <c r="Y153" s="32">
        <f>IFERROR(__xludf.DUMMYFUNCTION("""COMPUTED_VALUE"""),-6.206309)</f>
        <v>-6.206309</v>
      </c>
      <c r="Z153" s="32">
        <f>IFERROR(__xludf.DUMMYFUNCTION("""COMPUTED_VALUE"""),17.733502)</f>
        <v>17.733502</v>
      </c>
      <c r="AA153" s="32">
        <f>IFERROR(__xludf.DUMMYFUNCTION("""COMPUTED_VALUE"""),45.2519)</f>
        <v>45.2519</v>
      </c>
      <c r="AB153" s="32">
        <f>IFERROR(__xludf.DUMMYFUNCTION("""COMPUTED_VALUE"""),60.7433)</f>
        <v>60.7433</v>
      </c>
      <c r="AC153" s="32">
        <f>IFERROR(__xludf.DUMMYFUNCTION("""COMPUTED_VALUE"""),7.451)</f>
        <v>7.451</v>
      </c>
      <c r="AD153" s="32">
        <f>IFERROR(__xludf.DUMMYFUNCTION("""COMPUTED_VALUE"""),10.915)</f>
        <v>10.915</v>
      </c>
      <c r="AE153" s="32">
        <f>IFERROR(__xludf.DUMMYFUNCTION("""COMPUTED_VALUE"""),3.955243)</f>
        <v>3.955243</v>
      </c>
      <c r="AF153" s="32">
        <f>IFERROR(__xludf.DUMMYFUNCTION("""COMPUTED_VALUE"""),-7.32005)</f>
        <v>-7.32005</v>
      </c>
      <c r="AG153" s="32">
        <f>IFERROR(__xludf.DUMMYFUNCTION("""COMPUTED_VALUE"""),0.9721)</f>
        <v>0.9721</v>
      </c>
      <c r="AH153" s="32">
        <f>IFERROR(__xludf.DUMMYFUNCTION("""COMPUTED_VALUE"""),27.78428)</f>
        <v>27.78428</v>
      </c>
      <c r="AI153" s="32">
        <f>IFERROR(__xludf.DUMMYFUNCTION("""COMPUTED_VALUE"""),5.687848352372583)</f>
        <v>5.687848352</v>
      </c>
      <c r="AJ153" s="32">
        <f>IFERROR(__xludf.DUMMYFUNCTION("""COMPUTED_VALUE"""),113.87704829345532)</f>
        <v>113.8770483</v>
      </c>
      <c r="AK153" s="32">
        <f>IFERROR(__xludf.DUMMYFUNCTION("""COMPUTED_VALUE"""),20.4411)</f>
        <v>20.4411</v>
      </c>
      <c r="AL153" s="32">
        <f>IFERROR(__xludf.DUMMYFUNCTION("""COMPUTED_VALUE"""),124.1436)</f>
        <v>124.1436</v>
      </c>
      <c r="AM153" s="32">
        <f>IFERROR(__xludf.DUMMYFUNCTION("""COMPUTED_VALUE"""),8.125804)</f>
        <v>8.125804</v>
      </c>
      <c r="AN153" s="32">
        <f>IFERROR(__xludf.DUMMYFUNCTION("""COMPUTED_VALUE"""),8.508935)</f>
        <v>8.508935</v>
      </c>
      <c r="AO153" s="32">
        <f>IFERROR(__xludf.DUMMYFUNCTION("""COMPUTED_VALUE"""),9.0)</f>
        <v>9</v>
      </c>
      <c r="AP153" s="32">
        <f>IFERROR(__xludf.DUMMYFUNCTION("""COMPUTED_VALUE"""),0.23847736625514404)</f>
        <v>0.2384773663</v>
      </c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>
      <c r="A154" s="13" t="str">
        <f>IFERROR(__xludf.DUMMYFUNCTION("""COMPUTED_VALUE"""),"Thermax Ltd.")</f>
        <v>Thermax Ltd.</v>
      </c>
      <c r="B154" s="30">
        <f>IFERROR(__xludf.DUMMYFUNCTION("""COMPUTED_VALUE"""),500411.0)</f>
        <v>500411</v>
      </c>
      <c r="C154" s="13" t="str">
        <f>IFERROR(__xludf.DUMMYFUNCTION("""COMPUTED_VALUE"""),"THERMAX")</f>
        <v>THERMAX</v>
      </c>
      <c r="D154" s="13" t="str">
        <f>IFERROR(__xludf.DUMMYFUNCTION("""COMPUTED_VALUE"""),"INE152A01029")</f>
        <v>INE152A01029</v>
      </c>
      <c r="E154" s="13" t="str">
        <f>IFERROR(__xludf.DUMMYFUNCTION("""COMPUTED_VALUE"""),"Capital Goods")</f>
        <v>Capital Goods</v>
      </c>
      <c r="F154" s="13" t="str">
        <f>IFERROR(__xludf.DUMMYFUNCTION("""COMPUTED_VALUE"""),"Industrial Machinery")</f>
        <v>Industrial Machinery</v>
      </c>
      <c r="G154" s="31">
        <f>IFERROR(__xludf.DUMMYFUNCTION("""COMPUTED_VALUE"""),44809.0)</f>
        <v>44809</v>
      </c>
      <c r="H154" s="32">
        <f>IFERROR(__xludf.DUMMYFUNCTION("""COMPUTED_VALUE"""),2419.95)</f>
        <v>2419.95</v>
      </c>
      <c r="I154" s="32">
        <f>IFERROR(__xludf.DUMMYFUNCTION("""COMPUTED_VALUE"""),0.883794)</f>
        <v>0.883794</v>
      </c>
      <c r="J154" s="32">
        <f>IFERROR(__xludf.DUMMYFUNCTION("""COMPUTED_VALUE"""),1302.0)</f>
        <v>1302</v>
      </c>
      <c r="K154" s="32">
        <f>IFERROR(__xludf.DUMMYFUNCTION("""COMPUTED_VALUE"""),2537.5)</f>
        <v>2537.5</v>
      </c>
      <c r="L154" s="32">
        <f>IFERROR(__xludf.DUMMYFUNCTION("""COMPUTED_VALUE"""),570.0)</f>
        <v>570</v>
      </c>
      <c r="M154" s="32">
        <f>IFERROR(__xludf.DUMMYFUNCTION("""COMPUTED_VALUE"""),2537.5)</f>
        <v>2537.5</v>
      </c>
      <c r="N154" s="32">
        <f>IFERROR(__xludf.DUMMYFUNCTION("""COMPUTED_VALUE"""),570.0)</f>
        <v>570</v>
      </c>
      <c r="O154" s="32">
        <f>IFERROR(__xludf.DUMMYFUNCTION("""COMPUTED_VALUE"""),2537.5)</f>
        <v>2537.5</v>
      </c>
      <c r="P154" s="32">
        <f>IFERROR(__xludf.DUMMYFUNCTION("""COMPUTED_VALUE"""),2.533333)</f>
        <v>2.533333</v>
      </c>
      <c r="Q154" s="32">
        <f>IFERROR(__xludf.DUMMYFUNCTION("""COMPUTED_VALUE"""),2537.5)</f>
        <v>2537.5</v>
      </c>
      <c r="R154" s="32">
        <f>IFERROR(__xludf.DUMMYFUNCTION("""COMPUTED_VALUE"""),28835.2288185)</f>
        <v>28835.22882</v>
      </c>
      <c r="S154" s="32">
        <f>IFERROR(__xludf.DUMMYFUNCTION("""COMPUTED_VALUE"""),27235.275126)</f>
        <v>27235.27513</v>
      </c>
      <c r="T154" s="32">
        <f>IFERROR(__xludf.DUMMYFUNCTION("""COMPUTED_VALUE"""),-2.920469)</f>
        <v>-2.920469</v>
      </c>
      <c r="U154" s="32">
        <f>IFERROR(__xludf.DUMMYFUNCTION("""COMPUTED_VALUE"""),16.660641)</f>
        <v>16.660641</v>
      </c>
      <c r="V154" s="32">
        <f>IFERROR(__xludf.DUMMYFUNCTION("""COMPUTED_VALUE"""),17.100965)</f>
        <v>17.100965</v>
      </c>
      <c r="W154" s="32">
        <f>IFERROR(__xludf.DUMMYFUNCTION("""COMPUTED_VALUE"""),68.949628)</f>
        <v>68.949628</v>
      </c>
      <c r="X154" s="32">
        <f>IFERROR(__xludf.DUMMYFUNCTION("""COMPUTED_VALUE"""),34.26102)</f>
        <v>34.26102</v>
      </c>
      <c r="Y154" s="32">
        <f>IFERROR(__xludf.DUMMYFUNCTION("""COMPUTED_VALUE"""),22.302812)</f>
        <v>22.302812</v>
      </c>
      <c r="Z154" s="32">
        <f>IFERROR(__xludf.DUMMYFUNCTION("""COMPUTED_VALUE"""),17.338592)</f>
        <v>17.338592</v>
      </c>
      <c r="AA154" s="32">
        <f>IFERROR(__xludf.DUMMYFUNCTION("""COMPUTED_VALUE"""),87.7404)</f>
        <v>87.7404</v>
      </c>
      <c r="AB154" s="32">
        <f>IFERROR(__xludf.DUMMYFUNCTION("""COMPUTED_VALUE"""),61.9616)</f>
        <v>61.9616</v>
      </c>
      <c r="AC154" s="32">
        <f>IFERROR(__xludf.DUMMYFUNCTION("""COMPUTED_VALUE"""),8.1215)</f>
        <v>8.1215</v>
      </c>
      <c r="AD154" s="32">
        <f>IFERROR(__xludf.DUMMYFUNCTION("""COMPUTED_VALUE"""),4.54405)</f>
        <v>4.54405</v>
      </c>
      <c r="AE154" s="32">
        <f>IFERROR(__xludf.DUMMYFUNCTION("""COMPUTED_VALUE"""),2.126928)</f>
        <v>2.126928</v>
      </c>
      <c r="AF154" s="32">
        <f>IFERROR(__xludf.DUMMYFUNCTION("""COMPUTED_VALUE"""),24.465704)</f>
        <v>24.465704</v>
      </c>
      <c r="AG154" s="32">
        <f>IFERROR(__xludf.DUMMYFUNCTION("""COMPUTED_VALUE"""),0.3717)</f>
        <v>0.3717</v>
      </c>
      <c r="AH154" s="32">
        <f>IFERROR(__xludf.DUMMYFUNCTION("""COMPUTED_VALUE"""),47.240816)</f>
        <v>47.240816</v>
      </c>
      <c r="AI154" s="32">
        <f>IFERROR(__xludf.DUMMYFUNCTION("""COMPUTED_VALUE"""),4.284294336708541)</f>
        <v>4.284294337</v>
      </c>
      <c r="AJ154" s="32">
        <f>IFERROR(__xludf.DUMMYFUNCTION("""COMPUTED_VALUE"""),88.80302059838009)</f>
        <v>88.8030206</v>
      </c>
      <c r="AK154" s="32">
        <f>IFERROR(__xludf.DUMMYFUNCTION("""COMPUTED_VALUE"""),27.599)</f>
        <v>27.599</v>
      </c>
      <c r="AL154" s="32">
        <f>IFERROR(__xludf.DUMMYFUNCTION("""COMPUTED_VALUE"""),298.1648)</f>
        <v>298.1648</v>
      </c>
      <c r="AM154" s="32">
        <f>IFERROR(__xludf.DUMMYFUNCTION("""COMPUTED_VALUE"""),28.837478)</f>
        <v>28.837478</v>
      </c>
      <c r="AN154" s="32">
        <f>IFERROR(__xludf.DUMMYFUNCTION("""COMPUTED_VALUE"""),30.293073)</f>
        <v>30.293073</v>
      </c>
      <c r="AO154" s="32">
        <f>IFERROR(__xludf.DUMMYFUNCTION("""COMPUTED_VALUE"""),9.0)</f>
        <v>9</v>
      </c>
      <c r="AP154" s="32">
        <f>IFERROR(__xludf.DUMMYFUNCTION("""COMPUTED_VALUE"""),0.04632512315270943)</f>
        <v>0.04632512315</v>
      </c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>
      <c r="A155" s="13" t="str">
        <f>IFERROR(__xludf.DUMMYFUNCTION("""COMPUTED_VALUE"""),"Torrent Power Ltd.")</f>
        <v>Torrent Power Ltd.</v>
      </c>
      <c r="B155" s="30">
        <f>IFERROR(__xludf.DUMMYFUNCTION("""COMPUTED_VALUE"""),532779.0)</f>
        <v>532779</v>
      </c>
      <c r="C155" s="13" t="str">
        <f>IFERROR(__xludf.DUMMYFUNCTION("""COMPUTED_VALUE"""),"TORNTPOWER")</f>
        <v>TORNTPOWER</v>
      </c>
      <c r="D155" s="13" t="str">
        <f>IFERROR(__xludf.DUMMYFUNCTION("""COMPUTED_VALUE"""),"INE813H01021")</f>
        <v>INE813H01021</v>
      </c>
      <c r="E155" s="13" t="str">
        <f>IFERROR(__xludf.DUMMYFUNCTION("""COMPUTED_VALUE"""),"Energy")</f>
        <v>Energy</v>
      </c>
      <c r="F155" s="13" t="str">
        <f>IFERROR(__xludf.DUMMYFUNCTION("""COMPUTED_VALUE"""),"Electricity Distribution")</f>
        <v>Electricity Distribution</v>
      </c>
      <c r="G155" s="31">
        <f>IFERROR(__xludf.DUMMYFUNCTION("""COMPUTED_VALUE"""),44809.0)</f>
        <v>44809</v>
      </c>
      <c r="H155" s="32">
        <f>IFERROR(__xludf.DUMMYFUNCTION("""COMPUTED_VALUE"""),572.6)</f>
        <v>572.6</v>
      </c>
      <c r="I155" s="32">
        <f>IFERROR(__xludf.DUMMYFUNCTION("""COMPUTED_VALUE"""),-0.831313)</f>
        <v>-0.831313</v>
      </c>
      <c r="J155" s="32">
        <f>IFERROR(__xludf.DUMMYFUNCTION("""COMPUTED_VALUE"""),415.25)</f>
        <v>415.25</v>
      </c>
      <c r="K155" s="32">
        <f>IFERROR(__xludf.DUMMYFUNCTION("""COMPUTED_VALUE"""),610.0)</f>
        <v>610</v>
      </c>
      <c r="L155" s="32">
        <f>IFERROR(__xludf.DUMMYFUNCTION("""COMPUTED_VALUE"""),231.95)</f>
        <v>231.95</v>
      </c>
      <c r="M155" s="32">
        <f>IFERROR(__xludf.DUMMYFUNCTION("""COMPUTED_VALUE"""),610.0)</f>
        <v>610</v>
      </c>
      <c r="N155" s="32">
        <f>IFERROR(__xludf.DUMMYFUNCTION("""COMPUTED_VALUE"""),207.7)</f>
        <v>207.7</v>
      </c>
      <c r="O155" s="32">
        <f>IFERROR(__xludf.DUMMYFUNCTION("""COMPUTED_VALUE"""),610.0)</f>
        <v>610</v>
      </c>
      <c r="P155" s="32">
        <f>IFERROR(__xludf.DUMMYFUNCTION("""COMPUTED_VALUE"""),45.0)</f>
        <v>45</v>
      </c>
      <c r="Q155" s="32">
        <f>IFERROR(__xludf.DUMMYFUNCTION("""COMPUTED_VALUE"""),610.0)</f>
        <v>610</v>
      </c>
      <c r="R155" s="32">
        <f>IFERROR(__xludf.DUMMYFUNCTION("""COMPUTED_VALUE"""),27491.2800448)</f>
        <v>27491.28004</v>
      </c>
      <c r="S155" s="32">
        <f>IFERROR(__xludf.DUMMYFUNCTION("""COMPUTED_VALUE"""),36211.17768856)</f>
        <v>36211.17769</v>
      </c>
      <c r="T155" s="32">
        <f>IFERROR(__xludf.DUMMYFUNCTION("""COMPUTED_VALUE"""),-0.650646)</f>
        <v>-0.650646</v>
      </c>
      <c r="U155" s="32">
        <f>IFERROR(__xludf.DUMMYFUNCTION("""COMPUTED_VALUE"""),7.712566)</f>
        <v>7.712566</v>
      </c>
      <c r="V155" s="32">
        <f>IFERROR(__xludf.DUMMYFUNCTION("""COMPUTED_VALUE"""),22.994308)</f>
        <v>22.994308</v>
      </c>
      <c r="W155" s="32">
        <f>IFERROR(__xludf.DUMMYFUNCTION("""COMPUTED_VALUE"""),17.758355)</f>
        <v>17.758355</v>
      </c>
      <c r="X155" s="32">
        <f>IFERROR(__xludf.DUMMYFUNCTION("""COMPUTED_VALUE"""),28.383098)</f>
        <v>28.383098</v>
      </c>
      <c r="Y155" s="32">
        <f>IFERROR(__xludf.DUMMYFUNCTION("""COMPUTED_VALUE"""),21.388714)</f>
        <v>21.388714</v>
      </c>
      <c r="Z155" s="32">
        <f>IFERROR(__xludf.DUMMYFUNCTION("""COMPUTED_VALUE"""),13.784908)</f>
        <v>13.784908</v>
      </c>
      <c r="AA155" s="32">
        <f>IFERROR(__xludf.DUMMYFUNCTION("""COMPUTED_VALUE"""),36.6795)</f>
        <v>36.6795</v>
      </c>
      <c r="AB155" s="32">
        <f>IFERROR(__xludf.DUMMYFUNCTION("""COMPUTED_VALUE"""),14.197)</f>
        <v>14.197</v>
      </c>
      <c r="AC155" s="32">
        <f>IFERROR(__xludf.DUMMYFUNCTION("""COMPUTED_VALUE"""),2.632)</f>
        <v>2.632</v>
      </c>
      <c r="AD155" s="32">
        <f>IFERROR(__xludf.DUMMYFUNCTION("""COMPUTED_VALUE"""),1.61705)</f>
        <v>1.61705</v>
      </c>
      <c r="AE155" s="32">
        <f>IFERROR(__xludf.DUMMYFUNCTION("""COMPUTED_VALUE"""),8.954789)</f>
        <v>8.954789</v>
      </c>
      <c r="AF155" s="32">
        <f>IFERROR(__xludf.DUMMYFUNCTION("""COMPUTED_VALUE"""),7.166935)</f>
        <v>7.166935</v>
      </c>
      <c r="AG155" s="32">
        <f>IFERROR(__xludf.DUMMYFUNCTION("""COMPUTED_VALUE"""),1.5723)</f>
        <v>1.5723</v>
      </c>
      <c r="AH155" s="32">
        <f>IFERROR(__xludf.DUMMYFUNCTION("""COMPUTED_VALUE"""),8.559834)</f>
        <v>8.559834</v>
      </c>
      <c r="AI155" s="32">
        <f>IFERROR(__xludf.DUMMYFUNCTION("""COMPUTED_VALUE"""),1.5559038137846999)</f>
        <v>1.555903814</v>
      </c>
      <c r="AJ155" s="32">
        <f>IFERROR(__xludf.DUMMYFUNCTION("""COMPUTED_VALUE"""),8.680049774499713)</f>
        <v>8.680049774</v>
      </c>
      <c r="AK155" s="32">
        <f>IFERROR(__xludf.DUMMYFUNCTION("""COMPUTED_VALUE"""),15.5945)</f>
        <v>15.5945</v>
      </c>
      <c r="AL155" s="32">
        <f>IFERROR(__xludf.DUMMYFUNCTION("""COMPUTED_VALUE"""),217.3288)</f>
        <v>217.3288</v>
      </c>
      <c r="AM155" s="32">
        <f>IFERROR(__xludf.DUMMYFUNCTION("""COMPUTED_VALUE"""),65.897799)</f>
        <v>65.897799</v>
      </c>
      <c r="AN155" s="32">
        <f>IFERROR(__xludf.DUMMYFUNCTION("""COMPUTED_VALUE"""),-3.739753)</f>
        <v>-3.739753</v>
      </c>
      <c r="AO155" s="32">
        <f>IFERROR(__xludf.DUMMYFUNCTION("""COMPUTED_VALUE"""),9.0)</f>
        <v>9</v>
      </c>
      <c r="AP155" s="32">
        <f>IFERROR(__xludf.DUMMYFUNCTION("""COMPUTED_VALUE"""),0.06131147540983603)</f>
        <v>0.06131147541</v>
      </c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>
      <c r="A156" s="13" t="str">
        <f>IFERROR(__xludf.DUMMYFUNCTION("""COMPUTED_VALUE"""),"IndusInd Bank Ltd.")</f>
        <v>IndusInd Bank Ltd.</v>
      </c>
      <c r="B156" s="30">
        <f>IFERROR(__xludf.DUMMYFUNCTION("""COMPUTED_VALUE"""),532187.0)</f>
        <v>532187</v>
      </c>
      <c r="C156" s="13" t="str">
        <f>IFERROR(__xludf.DUMMYFUNCTION("""COMPUTED_VALUE"""),"INDUSINDBK")</f>
        <v>INDUSINDBK</v>
      </c>
      <c r="D156" s="13" t="str">
        <f>IFERROR(__xludf.DUMMYFUNCTION("""COMPUTED_VALUE"""),"INE095A01012")</f>
        <v>INE095A01012</v>
      </c>
      <c r="E156" s="13" t="str">
        <f>IFERROR(__xludf.DUMMYFUNCTION("""COMPUTED_VALUE"""),"Financial")</f>
        <v>Financial</v>
      </c>
      <c r="F156" s="13" t="str">
        <f>IFERROR(__xludf.DUMMYFUNCTION("""COMPUTED_VALUE"""),"Banking")</f>
        <v>Banking</v>
      </c>
      <c r="G156" s="31">
        <f>IFERROR(__xludf.DUMMYFUNCTION("""COMPUTED_VALUE"""),44809.0)</f>
        <v>44809</v>
      </c>
      <c r="H156" s="32">
        <f>IFERROR(__xludf.DUMMYFUNCTION("""COMPUTED_VALUE"""),1108.0)</f>
        <v>1108</v>
      </c>
      <c r="I156" s="32">
        <f>IFERROR(__xludf.DUMMYFUNCTION("""COMPUTED_VALUE"""),0.658642)</f>
        <v>0.658642</v>
      </c>
      <c r="J156" s="32">
        <f>IFERROR(__xludf.DUMMYFUNCTION("""COMPUTED_VALUE"""),763.2)</f>
        <v>763.2</v>
      </c>
      <c r="K156" s="32">
        <f>IFERROR(__xludf.DUMMYFUNCTION("""COMPUTED_VALUE"""),1242.0)</f>
        <v>1242</v>
      </c>
      <c r="L156" s="32">
        <f>IFERROR(__xludf.DUMMYFUNCTION("""COMPUTED_VALUE"""),235.55)</f>
        <v>235.55</v>
      </c>
      <c r="M156" s="32">
        <f>IFERROR(__xludf.DUMMYFUNCTION("""COMPUTED_VALUE"""),1596.55)</f>
        <v>1596.55</v>
      </c>
      <c r="N156" s="32">
        <f>IFERROR(__xludf.DUMMYFUNCTION("""COMPUTED_VALUE"""),235.55)</f>
        <v>235.55</v>
      </c>
      <c r="O156" s="32">
        <f>IFERROR(__xludf.DUMMYFUNCTION("""COMPUTED_VALUE"""),2038.0)</f>
        <v>2038</v>
      </c>
      <c r="P156" s="32">
        <f>IFERROR(__xludf.DUMMYFUNCTION("""COMPUTED_VALUE"""),8.5)</f>
        <v>8.5</v>
      </c>
      <c r="Q156" s="32">
        <f>IFERROR(__xludf.DUMMYFUNCTION("""COMPUTED_VALUE"""),2038.0)</f>
        <v>2038</v>
      </c>
      <c r="R156" s="32">
        <f>IFERROR(__xludf.DUMMYFUNCTION("""COMPUTED_VALUE"""),85846.869331605)</f>
        <v>85846.86933</v>
      </c>
      <c r="S156" s="32">
        <f>IFERROR(__xludf.DUMMYFUNCTION("""COMPUTED_VALUE"""),64081.520212755)</f>
        <v>64081.52021</v>
      </c>
      <c r="T156" s="32">
        <f>IFERROR(__xludf.DUMMYFUNCTION("""COMPUTED_VALUE"""),3.575602)</f>
        <v>3.575602</v>
      </c>
      <c r="U156" s="32">
        <f>IFERROR(__xludf.DUMMYFUNCTION("""COMPUTED_VALUE"""),5.503714)</f>
        <v>5.503714</v>
      </c>
      <c r="V156" s="32">
        <f>IFERROR(__xludf.DUMMYFUNCTION("""COMPUTED_VALUE"""),19.8745)</f>
        <v>19.8745</v>
      </c>
      <c r="W156" s="32">
        <f>IFERROR(__xludf.DUMMYFUNCTION("""COMPUTED_VALUE"""),10.386052)</f>
        <v>10.386052</v>
      </c>
      <c r="X156" s="32">
        <f>IFERROR(__xludf.DUMMYFUNCTION("""COMPUTED_VALUE"""),-5.611578)</f>
        <v>-5.611578</v>
      </c>
      <c r="Y156" s="32">
        <f>IFERROR(__xludf.DUMMYFUNCTION("""COMPUTED_VALUE"""),-7.871655)</f>
        <v>-7.871655</v>
      </c>
      <c r="Z156" s="32">
        <f>IFERROR(__xludf.DUMMYFUNCTION("""COMPUTED_VALUE"""),13.377406)</f>
        <v>13.377406</v>
      </c>
      <c r="AA156" s="32">
        <f>IFERROR(__xludf.DUMMYFUNCTION("""COMPUTED_VALUE"""),15.8387)</f>
        <v>15.8387</v>
      </c>
      <c r="AB156" s="32">
        <f>IFERROR(__xludf.DUMMYFUNCTION("""COMPUTED_VALUE"""),24.1361)</f>
        <v>24.1361</v>
      </c>
      <c r="AC156" s="32">
        <f>IFERROR(__xludf.DUMMYFUNCTION("""COMPUTED_VALUE"""),1.7401)</f>
        <v>1.7401</v>
      </c>
      <c r="AD156" s="32">
        <f>IFERROR(__xludf.DUMMYFUNCTION("""COMPUTED_VALUE"""),2.0513)</f>
        <v>2.0513</v>
      </c>
      <c r="AE156" s="32">
        <f>IFERROR(__xludf.DUMMYFUNCTION("""COMPUTED_VALUE"""),36.259303)</f>
        <v>36.259303</v>
      </c>
      <c r="AF156" s="32">
        <f>IFERROR(__xludf.DUMMYFUNCTION("""COMPUTED_VALUE"""),0.797329)</f>
        <v>0.797329</v>
      </c>
      <c r="AG156" s="32">
        <f>IFERROR(__xludf.DUMMYFUNCTION("""COMPUTED_VALUE"""),0.7675)</f>
        <v>0.7675</v>
      </c>
      <c r="AH156" s="32">
        <f>IFERROR(__xludf.DUMMYFUNCTION("""COMPUTED_VALUE"""),4.802632)</f>
        <v>4.802632</v>
      </c>
      <c r="AI156" s="32">
        <f>IFERROR(__xludf.DUMMYFUNCTION("""COMPUTED_VALUE"""),2.7314097270878546)</f>
        <v>2.731409727</v>
      </c>
      <c r="AJ156" s="32">
        <f>IFERROR(__xludf.DUMMYFUNCTION("""COMPUTED_VALUE"""),5.149106487477684)</f>
        <v>5.149106487</v>
      </c>
      <c r="AK156" s="32">
        <f>IFERROR(__xludf.DUMMYFUNCTION("""COMPUTED_VALUE"""),69.9204)</f>
        <v>69.9204</v>
      </c>
      <c r="AL156" s="32">
        <f>IFERROR(__xludf.DUMMYFUNCTION("""COMPUTED_VALUE"""),636.4259)</f>
        <v>636.4259</v>
      </c>
      <c r="AM156" s="32">
        <f>IFERROR(__xludf.DUMMYFUNCTION("""COMPUTED_VALUE"""),215.218531)</f>
        <v>215.218531</v>
      </c>
      <c r="AN156" s="32">
        <f>IFERROR(__xludf.DUMMYFUNCTION("""COMPUTED_VALUE"""),126.025735)</f>
        <v>126.025735</v>
      </c>
      <c r="AO156" s="32">
        <f>IFERROR(__xludf.DUMMYFUNCTION("""COMPUTED_VALUE"""),8.5)</f>
        <v>8.5</v>
      </c>
      <c r="AP156" s="32">
        <f>IFERROR(__xludf.DUMMYFUNCTION("""COMPUTED_VALUE"""),0.10789049919484701)</f>
        <v>0.1078904992</v>
      </c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>
      <c r="A157" s="13" t="str">
        <f>IFERROR(__xludf.DUMMYFUNCTION("""COMPUTED_VALUE"""),"LIC Housing Finance Ltd.")</f>
        <v>LIC Housing Finance Ltd.</v>
      </c>
      <c r="B157" s="30">
        <f>IFERROR(__xludf.DUMMYFUNCTION("""COMPUTED_VALUE"""),500253.0)</f>
        <v>500253</v>
      </c>
      <c r="C157" s="13" t="str">
        <f>IFERROR(__xludf.DUMMYFUNCTION("""COMPUTED_VALUE"""),"LICHSGFIN")</f>
        <v>LICHSGFIN</v>
      </c>
      <c r="D157" s="13" t="str">
        <f>IFERROR(__xludf.DUMMYFUNCTION("""COMPUTED_VALUE"""),"INE115A01026")</f>
        <v>INE115A01026</v>
      </c>
      <c r="E157" s="13" t="str">
        <f>IFERROR(__xludf.DUMMYFUNCTION("""COMPUTED_VALUE"""),"Financial")</f>
        <v>Financial</v>
      </c>
      <c r="F157" s="13" t="str">
        <f>IFERROR(__xludf.DUMMYFUNCTION("""COMPUTED_VALUE"""),"Housing Finance")</f>
        <v>Housing Finance</v>
      </c>
      <c r="G157" s="31">
        <f>IFERROR(__xludf.DUMMYFUNCTION("""COMPUTED_VALUE"""),44809.0)</f>
        <v>44809</v>
      </c>
      <c r="H157" s="32">
        <f>IFERROR(__xludf.DUMMYFUNCTION("""COMPUTED_VALUE"""),425.55)</f>
        <v>425.55</v>
      </c>
      <c r="I157" s="32">
        <f>IFERROR(__xludf.DUMMYFUNCTION("""COMPUTED_VALUE"""),1.794044)</f>
        <v>1.794044</v>
      </c>
      <c r="J157" s="32">
        <f>IFERROR(__xludf.DUMMYFUNCTION("""COMPUTED_VALUE"""),291.75)</f>
        <v>291.75</v>
      </c>
      <c r="K157" s="32">
        <f>IFERROR(__xludf.DUMMYFUNCTION("""COMPUTED_VALUE"""),462.5)</f>
        <v>462.5</v>
      </c>
      <c r="L157" s="32">
        <f>IFERROR(__xludf.DUMMYFUNCTION("""COMPUTED_VALUE"""),185.25)</f>
        <v>185.25</v>
      </c>
      <c r="M157" s="32">
        <f>IFERROR(__xludf.DUMMYFUNCTION("""COMPUTED_VALUE"""),542.45)</f>
        <v>542.45</v>
      </c>
      <c r="N157" s="32">
        <f>IFERROR(__xludf.DUMMYFUNCTION("""COMPUTED_VALUE"""),185.25)</f>
        <v>185.25</v>
      </c>
      <c r="O157" s="32">
        <f>IFERROR(__xludf.DUMMYFUNCTION("""COMPUTED_VALUE"""),684.55)</f>
        <v>684.55</v>
      </c>
      <c r="P157" s="32">
        <f>IFERROR(__xludf.DUMMYFUNCTION("""COMPUTED_VALUE"""),4.6)</f>
        <v>4.6</v>
      </c>
      <c r="Q157" s="32">
        <f>IFERROR(__xludf.DUMMYFUNCTION("""COMPUTED_VALUE"""),794.1)</f>
        <v>794.1</v>
      </c>
      <c r="R157" s="32">
        <f>IFERROR(__xludf.DUMMYFUNCTION("""COMPUTED_VALUE"""),23407.930965)</f>
        <v>23407.93097</v>
      </c>
      <c r="S157" s="32">
        <f>IFERROR(__xludf.DUMMYFUNCTION("""COMPUTED_VALUE"""),227212.01403)</f>
        <v>227212.014</v>
      </c>
      <c r="T157" s="32">
        <f>IFERROR(__xludf.DUMMYFUNCTION("""COMPUTED_VALUE"""),6.02965)</f>
        <v>6.02965</v>
      </c>
      <c r="U157" s="32">
        <f>IFERROR(__xludf.DUMMYFUNCTION("""COMPUTED_VALUE"""),14.410539)</f>
        <v>14.410539</v>
      </c>
      <c r="V157" s="32">
        <f>IFERROR(__xludf.DUMMYFUNCTION("""COMPUTED_VALUE"""),13.631509)</f>
        <v>13.631509</v>
      </c>
      <c r="W157" s="32">
        <f>IFERROR(__xludf.DUMMYFUNCTION("""COMPUTED_VALUE"""),4.506385)</f>
        <v>4.506385</v>
      </c>
      <c r="X157" s="32">
        <f>IFERROR(__xludf.DUMMYFUNCTION("""COMPUTED_VALUE"""),1.211558)</f>
        <v>1.211558</v>
      </c>
      <c r="Y157" s="32">
        <f>IFERROR(__xludf.DUMMYFUNCTION("""COMPUTED_VALUE"""),-8.851527)</f>
        <v>-8.851527</v>
      </c>
      <c r="Z157" s="32">
        <f>IFERROR(__xludf.DUMMYFUNCTION("""COMPUTED_VALUE"""),5.859396)</f>
        <v>5.859396</v>
      </c>
      <c r="AA157" s="32">
        <f>IFERROR(__xludf.DUMMYFUNCTION("""COMPUTED_VALUE"""),7.6455)</f>
        <v>7.6455</v>
      </c>
      <c r="AB157" s="32">
        <f>IFERROR(__xludf.DUMMYFUNCTION("""COMPUTED_VALUE"""),9.8404)</f>
        <v>9.8404</v>
      </c>
      <c r="AC157" s="32">
        <f>IFERROR(__xludf.DUMMYFUNCTION("""COMPUTED_VALUE"""),0.9114)</f>
        <v>0.9114</v>
      </c>
      <c r="AD157" s="32">
        <f>IFERROR(__xludf.DUMMYFUNCTION("""COMPUTED_VALUE"""),1.11435)</f>
        <v>1.11435</v>
      </c>
      <c r="AE157" s="32">
        <f>IFERROR(__xludf.DUMMYFUNCTION("""COMPUTED_VALUE"""),7.938782)</f>
        <v>7.938782</v>
      </c>
      <c r="AF157" s="32">
        <f>IFERROR(__xludf.DUMMYFUNCTION("""COMPUTED_VALUE"""),0.731607)</f>
        <v>0.731607</v>
      </c>
      <c r="AG157" s="32">
        <f>IFERROR(__xludf.DUMMYFUNCTION("""COMPUTED_VALUE"""),1.9979)</f>
        <v>1.9979</v>
      </c>
      <c r="AH157" s="32">
        <f>IFERROR(__xludf.DUMMYFUNCTION("""COMPUTED_VALUE"""),12.597778)</f>
        <v>12.597778</v>
      </c>
      <c r="AI157" s="32">
        <f>IFERROR(__xludf.DUMMYFUNCTION("""COMPUTED_VALUE"""),1.1538958377698907)</f>
        <v>1.153895838</v>
      </c>
      <c r="AJ157" s="32">
        <f>IFERROR(__xludf.DUMMYFUNCTION("""COMPUTED_VALUE"""),-2.0671846681879757)</f>
        <v>-2.067184668</v>
      </c>
      <c r="AK157" s="32">
        <f>IFERROR(__xludf.DUMMYFUNCTION("""COMPUTED_VALUE"""),55.6471)</f>
        <v>55.6471</v>
      </c>
      <c r="AL157" s="32">
        <f>IFERROR(__xludf.DUMMYFUNCTION("""COMPUTED_VALUE"""),466.8128)</f>
        <v>466.8128</v>
      </c>
      <c r="AM157" s="32">
        <f>IFERROR(__xludf.DUMMYFUNCTION("""COMPUTED_VALUE"""),-224.384821)</f>
        <v>-224.384821</v>
      </c>
      <c r="AN157" s="32">
        <f>IFERROR(__xludf.DUMMYFUNCTION("""COMPUTED_VALUE"""),72.806103)</f>
        <v>72.806103</v>
      </c>
      <c r="AO157" s="32">
        <f>IFERROR(__xludf.DUMMYFUNCTION("""COMPUTED_VALUE"""),8.5)</f>
        <v>8.5</v>
      </c>
      <c r="AP157" s="32">
        <f>IFERROR(__xludf.DUMMYFUNCTION("""COMPUTED_VALUE"""),0.07989189189189187)</f>
        <v>0.07989189189</v>
      </c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>
      <c r="A158" s="13" t="str">
        <f>IFERROR(__xludf.DUMMYFUNCTION("""COMPUTED_VALUE"""),"Bharat Dynamics Ltd.")</f>
        <v>Bharat Dynamics Ltd.</v>
      </c>
      <c r="B158" s="30">
        <f>IFERROR(__xludf.DUMMYFUNCTION("""COMPUTED_VALUE"""),541143.0)</f>
        <v>541143</v>
      </c>
      <c r="C158" s="13" t="str">
        <f>IFERROR(__xludf.DUMMYFUNCTION("""COMPUTED_VALUE"""),"BDL")</f>
        <v>BDL</v>
      </c>
      <c r="D158" s="13" t="str">
        <f>IFERROR(__xludf.DUMMYFUNCTION("""COMPUTED_VALUE"""),"INE171Z01018")</f>
        <v>INE171Z01018</v>
      </c>
      <c r="E158" s="13" t="str">
        <f>IFERROR(__xludf.DUMMYFUNCTION("""COMPUTED_VALUE"""),"Others")</f>
        <v>Others</v>
      </c>
      <c r="F158" s="13" t="str">
        <f>IFERROR(__xludf.DUMMYFUNCTION("""COMPUTED_VALUE"""),"Others")</f>
        <v>Others</v>
      </c>
      <c r="G158" s="31">
        <f>IFERROR(__xludf.DUMMYFUNCTION("""COMPUTED_VALUE"""),44809.0)</f>
        <v>44809</v>
      </c>
      <c r="H158" s="32">
        <f>IFERROR(__xludf.DUMMYFUNCTION("""COMPUTED_VALUE"""),830.35)</f>
        <v>830.35</v>
      </c>
      <c r="I158" s="32">
        <f>IFERROR(__xludf.DUMMYFUNCTION("""COMPUTED_VALUE"""),-0.550931)</f>
        <v>-0.550931</v>
      </c>
      <c r="J158" s="32">
        <f>IFERROR(__xludf.DUMMYFUNCTION("""COMPUTED_VALUE"""),368.15)</f>
        <v>368.15</v>
      </c>
      <c r="K158" s="32">
        <f>IFERROR(__xludf.DUMMYFUNCTION("""COMPUTED_VALUE"""),904.95)</f>
        <v>904.95</v>
      </c>
      <c r="L158" s="32">
        <f>IFERROR(__xludf.DUMMYFUNCTION("""COMPUTED_VALUE"""),145.3)</f>
        <v>145.3</v>
      </c>
      <c r="M158" s="32">
        <f>IFERROR(__xludf.DUMMYFUNCTION("""COMPUTED_VALUE"""),904.95)</f>
        <v>904.95</v>
      </c>
      <c r="N158" s="13"/>
      <c r="O158" s="13"/>
      <c r="P158" s="32">
        <f>IFERROR(__xludf.DUMMYFUNCTION("""COMPUTED_VALUE"""),145.3)</f>
        <v>145.3</v>
      </c>
      <c r="Q158" s="32">
        <f>IFERROR(__xludf.DUMMYFUNCTION("""COMPUTED_VALUE"""),904.95)</f>
        <v>904.95</v>
      </c>
      <c r="R158" s="32">
        <f>IFERROR(__xludf.DUMMYFUNCTION("""COMPUTED_VALUE"""),15198.59765625)</f>
        <v>15198.59766</v>
      </c>
      <c r="S158" s="32">
        <f>IFERROR(__xludf.DUMMYFUNCTION("""COMPUTED_VALUE"""),13393.365475)</f>
        <v>13393.36548</v>
      </c>
      <c r="T158" s="32">
        <f>IFERROR(__xludf.DUMMYFUNCTION("""COMPUTED_VALUE"""),0.477977)</f>
        <v>0.477977</v>
      </c>
      <c r="U158" s="32">
        <f>IFERROR(__xludf.DUMMYFUNCTION("""COMPUTED_VALUE"""),-1.213491)</f>
        <v>-1.213491</v>
      </c>
      <c r="V158" s="32">
        <f>IFERROR(__xludf.DUMMYFUNCTION("""COMPUTED_VALUE"""),4.354656)</f>
        <v>4.354656</v>
      </c>
      <c r="W158" s="32">
        <f>IFERROR(__xludf.DUMMYFUNCTION("""COMPUTED_VALUE"""),110.055654)</f>
        <v>110.055654</v>
      </c>
      <c r="X158" s="32">
        <f>IFERROR(__xludf.DUMMYFUNCTION("""COMPUTED_VALUE"""),44.923542)</f>
        <v>44.923542</v>
      </c>
      <c r="Y158" s="13"/>
      <c r="Z158" s="13"/>
      <c r="AA158" s="32">
        <f>IFERROR(__xludf.DUMMYFUNCTION("""COMPUTED_VALUE"""),27.1049)</f>
        <v>27.1049</v>
      </c>
      <c r="AB158" s="32">
        <f>IFERROR(__xludf.DUMMYFUNCTION("""COMPUTED_VALUE"""),19.2458)</f>
        <v>19.2458</v>
      </c>
      <c r="AC158" s="32">
        <f>IFERROR(__xludf.DUMMYFUNCTION("""COMPUTED_VALUE"""),4.9816)</f>
        <v>4.9816</v>
      </c>
      <c r="AD158" s="32">
        <f>IFERROR(__xludf.DUMMYFUNCTION("""COMPUTED_VALUE"""),2.5928)</f>
        <v>2.5928</v>
      </c>
      <c r="AE158" s="32">
        <f>IFERROR(__xludf.DUMMYFUNCTION("""COMPUTED_VALUE"""),7.141507)</f>
        <v>7.141507</v>
      </c>
      <c r="AF158" s="32">
        <f>IFERROR(__xludf.DUMMYFUNCTION("""COMPUTED_VALUE"""),2.391305)</f>
        <v>2.391305</v>
      </c>
      <c r="AG158" s="32">
        <f>IFERROR(__xludf.DUMMYFUNCTION("""COMPUTED_VALUE"""),1.0009)</f>
        <v>1.0009</v>
      </c>
      <c r="AH158" s="32">
        <f>IFERROR(__xludf.DUMMYFUNCTION("""COMPUTED_VALUE"""),14.524237)</f>
        <v>14.524237</v>
      </c>
      <c r="AI158" s="32">
        <f>IFERROR(__xludf.DUMMYFUNCTION("""COMPUTED_VALUE"""),4.635163046610865)</f>
        <v>4.635163047</v>
      </c>
      <c r="AJ158" s="32">
        <f>IFERROR(__xludf.DUMMYFUNCTION("""COMPUTED_VALUE"""),28.69506164579475)</f>
        <v>28.69506165</v>
      </c>
      <c r="AK158" s="32">
        <f>IFERROR(__xludf.DUMMYFUNCTION("""COMPUTED_VALUE"""),30.5941)</f>
        <v>30.5941</v>
      </c>
      <c r="AL158" s="32">
        <f>IFERROR(__xludf.DUMMYFUNCTION("""COMPUTED_VALUE"""),166.4629)</f>
        <v>166.4629</v>
      </c>
      <c r="AM158" s="32">
        <f>IFERROR(__xludf.DUMMYFUNCTION("""COMPUTED_VALUE"""),28.898709)</f>
        <v>28.898709</v>
      </c>
      <c r="AN158" s="32">
        <f>IFERROR(__xludf.DUMMYFUNCTION("""COMPUTED_VALUE"""),21.276132)</f>
        <v>21.276132</v>
      </c>
      <c r="AO158" s="32">
        <f>IFERROR(__xludf.DUMMYFUNCTION("""COMPUTED_VALUE"""),8.3)</f>
        <v>8.3</v>
      </c>
      <c r="AP158" s="32">
        <f>IFERROR(__xludf.DUMMYFUNCTION("""COMPUTED_VALUE"""),0.08243549367368365)</f>
        <v>0.08243549367</v>
      </c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>
      <c r="A159" s="13" t="str">
        <f>IFERROR(__xludf.DUMMYFUNCTION("""COMPUTED_VALUE"""),"Emami Ltd.")</f>
        <v>Emami Ltd.</v>
      </c>
      <c r="B159" s="30">
        <f>IFERROR(__xludf.DUMMYFUNCTION("""COMPUTED_VALUE"""),531162.0)</f>
        <v>531162</v>
      </c>
      <c r="C159" s="13" t="str">
        <f>IFERROR(__xludf.DUMMYFUNCTION("""COMPUTED_VALUE"""),"EMAMILTD")</f>
        <v>EMAMILTD</v>
      </c>
      <c r="D159" s="13" t="str">
        <f>IFERROR(__xludf.DUMMYFUNCTION("""COMPUTED_VALUE"""),"INE548C01032")</f>
        <v>INE548C01032</v>
      </c>
      <c r="E159" s="13" t="str">
        <f>IFERROR(__xludf.DUMMYFUNCTION("""COMPUTED_VALUE"""),"Consumer Staples")</f>
        <v>Consumer Staples</v>
      </c>
      <c r="F159" s="13" t="str">
        <f>IFERROR(__xludf.DUMMYFUNCTION("""COMPUTED_VALUE"""),"Household &amp; Personal Products")</f>
        <v>Household &amp; Personal Products</v>
      </c>
      <c r="G159" s="31">
        <f>IFERROR(__xludf.DUMMYFUNCTION("""COMPUTED_VALUE"""),44809.0)</f>
        <v>44809</v>
      </c>
      <c r="H159" s="32">
        <f>IFERROR(__xludf.DUMMYFUNCTION("""COMPUTED_VALUE"""),495.1)</f>
        <v>495.1</v>
      </c>
      <c r="I159" s="32">
        <f>IFERROR(__xludf.DUMMYFUNCTION("""COMPUTED_VALUE"""),0.609632)</f>
        <v>0.609632</v>
      </c>
      <c r="J159" s="32">
        <f>IFERROR(__xludf.DUMMYFUNCTION("""COMPUTED_VALUE"""),393.4)</f>
        <v>393.4</v>
      </c>
      <c r="K159" s="32">
        <f>IFERROR(__xludf.DUMMYFUNCTION("""COMPUTED_VALUE"""),612.0)</f>
        <v>612</v>
      </c>
      <c r="L159" s="32">
        <f>IFERROR(__xludf.DUMMYFUNCTION("""COMPUTED_VALUE"""),130.95)</f>
        <v>130.95</v>
      </c>
      <c r="M159" s="32">
        <f>IFERROR(__xludf.DUMMYFUNCTION("""COMPUTED_VALUE"""),621.8)</f>
        <v>621.8</v>
      </c>
      <c r="N159" s="32">
        <f>IFERROR(__xludf.DUMMYFUNCTION("""COMPUTED_VALUE"""),130.95)</f>
        <v>130.95</v>
      </c>
      <c r="O159" s="32">
        <f>IFERROR(__xludf.DUMMYFUNCTION("""COMPUTED_VALUE"""),714.0)</f>
        <v>714</v>
      </c>
      <c r="P159" s="32">
        <f>IFERROR(__xludf.DUMMYFUNCTION("""COMPUTED_VALUE"""),2.341667)</f>
        <v>2.341667</v>
      </c>
      <c r="Q159" s="32">
        <f>IFERROR(__xludf.DUMMYFUNCTION("""COMPUTED_VALUE"""),714.0)</f>
        <v>714</v>
      </c>
      <c r="R159" s="32">
        <f>IFERROR(__xludf.DUMMYFUNCTION("""COMPUTED_VALUE"""),21836.925)</f>
        <v>21836.925</v>
      </c>
      <c r="S159" s="32">
        <f>IFERROR(__xludf.DUMMYFUNCTION("""COMPUTED_VALUE"""),21823.79945)</f>
        <v>21823.79945</v>
      </c>
      <c r="T159" s="32">
        <f>IFERROR(__xludf.DUMMYFUNCTION("""COMPUTED_VALUE"""),1.642373)</f>
        <v>1.642373</v>
      </c>
      <c r="U159" s="32">
        <f>IFERROR(__xludf.DUMMYFUNCTION("""COMPUTED_VALUE"""),7.653838)</f>
        <v>7.653838</v>
      </c>
      <c r="V159" s="32">
        <f>IFERROR(__xludf.DUMMYFUNCTION("""COMPUTED_VALUE"""),15.286995)</f>
        <v>15.286995</v>
      </c>
      <c r="W159" s="32">
        <f>IFERROR(__xludf.DUMMYFUNCTION("""COMPUTED_VALUE"""),-18.253116)</f>
        <v>-18.253116</v>
      </c>
      <c r="X159" s="32">
        <f>IFERROR(__xludf.DUMMYFUNCTION("""COMPUTED_VALUE"""),18.306129)</f>
        <v>18.306129</v>
      </c>
      <c r="Y159" s="32">
        <f>IFERROR(__xludf.DUMMYFUNCTION("""COMPUTED_VALUE"""),-2.013414)</f>
        <v>-2.013414</v>
      </c>
      <c r="Z159" s="32">
        <f>IFERROR(__xludf.DUMMYFUNCTION("""COMPUTED_VALUE"""),11.637145)</f>
        <v>11.637145</v>
      </c>
      <c r="AA159" s="32">
        <f>IFERROR(__xludf.DUMMYFUNCTION("""COMPUTED_VALUE"""),26.1511)</f>
        <v>26.1511</v>
      </c>
      <c r="AB159" s="32">
        <f>IFERROR(__xludf.DUMMYFUNCTION("""COMPUTED_VALUE"""),52.10395)</f>
        <v>52.10395</v>
      </c>
      <c r="AC159" s="32">
        <f>IFERROR(__xludf.DUMMYFUNCTION("""COMPUTED_VALUE"""),10.1395)</f>
        <v>10.1395</v>
      </c>
      <c r="AD159" s="32">
        <f>IFERROR(__xludf.DUMMYFUNCTION("""COMPUTED_VALUE"""),9.9346)</f>
        <v>9.9346</v>
      </c>
      <c r="AE159" s="32">
        <f>IFERROR(__xludf.DUMMYFUNCTION("""COMPUTED_VALUE"""),3.635479)</f>
        <v>3.635479</v>
      </c>
      <c r="AF159" s="32">
        <f>IFERROR(__xludf.DUMMYFUNCTION("""COMPUTED_VALUE"""),1.069183)</f>
        <v>1.069183</v>
      </c>
      <c r="AG159" s="32">
        <f>IFERROR(__xludf.DUMMYFUNCTION("""COMPUTED_VALUE"""),1.6158)</f>
        <v>1.6158</v>
      </c>
      <c r="AH159" s="32">
        <f>IFERROR(__xludf.DUMMYFUNCTION("""COMPUTED_VALUE"""),20.847311)</f>
        <v>20.847311</v>
      </c>
      <c r="AI159" s="32">
        <f>IFERROR(__xludf.DUMMYFUNCTION("""COMPUTED_VALUE"""),6.598514218718367)</f>
        <v>6.598514219</v>
      </c>
      <c r="AJ159" s="32">
        <f>IFERROR(__xludf.DUMMYFUNCTION("""COMPUTED_VALUE"""),33.91598399325312)</f>
        <v>33.91598399</v>
      </c>
      <c r="AK159" s="32">
        <f>IFERROR(__xludf.DUMMYFUNCTION("""COMPUTED_VALUE"""),18.9285)</f>
        <v>18.9285</v>
      </c>
      <c r="AL159" s="32">
        <f>IFERROR(__xludf.DUMMYFUNCTION("""COMPUTED_VALUE"""),48.8191)</f>
        <v>48.8191</v>
      </c>
      <c r="AM159" s="32">
        <f>IFERROR(__xludf.DUMMYFUNCTION("""COMPUTED_VALUE"""),14.594888)</f>
        <v>14.594888</v>
      </c>
      <c r="AN159" s="32">
        <f>IFERROR(__xludf.DUMMYFUNCTION("""COMPUTED_VALUE"""),12.090362)</f>
        <v>12.090362</v>
      </c>
      <c r="AO159" s="32">
        <f>IFERROR(__xludf.DUMMYFUNCTION("""COMPUTED_VALUE"""),8.0)</f>
        <v>8</v>
      </c>
      <c r="AP159" s="32">
        <f>IFERROR(__xludf.DUMMYFUNCTION("""COMPUTED_VALUE"""),0.1910130718954248)</f>
        <v>0.1910130719</v>
      </c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>
      <c r="A160" s="13" t="str">
        <f>IFERROR(__xludf.DUMMYFUNCTION("""COMPUTED_VALUE"""),"Gujarat Alkalies &amp; Chemicals Ltd.")</f>
        <v>Gujarat Alkalies &amp; Chemicals Ltd.</v>
      </c>
      <c r="B160" s="30">
        <f>IFERROR(__xludf.DUMMYFUNCTION("""COMPUTED_VALUE"""),530001.0)</f>
        <v>530001</v>
      </c>
      <c r="C160" s="13" t="str">
        <f>IFERROR(__xludf.DUMMYFUNCTION("""COMPUTED_VALUE"""),"GUJALKALI")</f>
        <v>GUJALKALI</v>
      </c>
      <c r="D160" s="13" t="str">
        <f>IFERROR(__xludf.DUMMYFUNCTION("""COMPUTED_VALUE"""),"INE186A01019")</f>
        <v>INE186A01019</v>
      </c>
      <c r="E160" s="13" t="str">
        <f>IFERROR(__xludf.DUMMYFUNCTION("""COMPUTED_VALUE"""),"Chemicals")</f>
        <v>Chemicals</v>
      </c>
      <c r="F160" s="13" t="str">
        <f>IFERROR(__xludf.DUMMYFUNCTION("""COMPUTED_VALUE"""),"Caustic Soda")</f>
        <v>Caustic Soda</v>
      </c>
      <c r="G160" s="31">
        <f>IFERROR(__xludf.DUMMYFUNCTION("""COMPUTED_VALUE"""),44809.0)</f>
        <v>44809</v>
      </c>
      <c r="H160" s="32">
        <f>IFERROR(__xludf.DUMMYFUNCTION("""COMPUTED_VALUE"""),887.9)</f>
        <v>887.9</v>
      </c>
      <c r="I160" s="32">
        <f>IFERROR(__xludf.DUMMYFUNCTION("""COMPUTED_VALUE"""),-0.476377)</f>
        <v>-0.476377</v>
      </c>
      <c r="J160" s="32">
        <f>IFERROR(__xludf.DUMMYFUNCTION("""COMPUTED_VALUE"""),448.5)</f>
        <v>448.5</v>
      </c>
      <c r="K160" s="32">
        <f>IFERROR(__xludf.DUMMYFUNCTION("""COMPUTED_VALUE"""),1044.75)</f>
        <v>1044.75</v>
      </c>
      <c r="L160" s="32">
        <f>IFERROR(__xludf.DUMMYFUNCTION("""COMPUTED_VALUE"""),165.0)</f>
        <v>165</v>
      </c>
      <c r="M160" s="32">
        <f>IFERROR(__xludf.DUMMYFUNCTION("""COMPUTED_VALUE"""),1044.75)</f>
        <v>1044.75</v>
      </c>
      <c r="N160" s="32">
        <f>IFERROR(__xludf.DUMMYFUNCTION("""COMPUTED_VALUE"""),165.0)</f>
        <v>165</v>
      </c>
      <c r="O160" s="32">
        <f>IFERROR(__xludf.DUMMYFUNCTION("""COMPUTED_VALUE"""),1044.75)</f>
        <v>1044.75</v>
      </c>
      <c r="P160" s="32">
        <f>IFERROR(__xludf.DUMMYFUNCTION("""COMPUTED_VALUE"""),6.7355)</f>
        <v>6.7355</v>
      </c>
      <c r="Q160" s="32">
        <f>IFERROR(__xludf.DUMMYFUNCTION("""COMPUTED_VALUE"""),1044.75)</f>
        <v>1044.75</v>
      </c>
      <c r="R160" s="32">
        <f>IFERROR(__xludf.DUMMYFUNCTION("""COMPUTED_VALUE"""),6521.1992064)</f>
        <v>6521.199206</v>
      </c>
      <c r="S160" s="32">
        <f>IFERROR(__xludf.DUMMYFUNCTION("""COMPUTED_VALUE"""),6630.70353088)</f>
        <v>6630.703531</v>
      </c>
      <c r="T160" s="32">
        <f>IFERROR(__xludf.DUMMYFUNCTION("""COMPUTED_VALUE"""),-1.124722)</f>
        <v>-1.124722</v>
      </c>
      <c r="U160" s="32">
        <f>IFERROR(__xludf.DUMMYFUNCTION("""COMPUTED_VALUE"""),10.017967)</f>
        <v>10.017967</v>
      </c>
      <c r="V160" s="32">
        <f>IFERROR(__xludf.DUMMYFUNCTION("""COMPUTED_VALUE"""),9.705319)</f>
        <v>9.705319</v>
      </c>
      <c r="W160" s="32">
        <f>IFERROR(__xludf.DUMMYFUNCTION("""COMPUTED_VALUE"""),95.572687)</f>
        <v>95.572687</v>
      </c>
      <c r="X160" s="32">
        <f>IFERROR(__xludf.DUMMYFUNCTION("""COMPUTED_VALUE"""),28.241125)</f>
        <v>28.241125</v>
      </c>
      <c r="Y160" s="32">
        <f>IFERROR(__xludf.DUMMYFUNCTION("""COMPUTED_VALUE"""),15.161844)</f>
        <v>15.161844</v>
      </c>
      <c r="Z160" s="32">
        <f>IFERROR(__xludf.DUMMYFUNCTION("""COMPUTED_VALUE"""),21.447253)</f>
        <v>21.447253</v>
      </c>
      <c r="AA160" s="32">
        <f>IFERROR(__xludf.DUMMYFUNCTION("""COMPUTED_VALUE"""),9.4852)</f>
        <v>9.4852</v>
      </c>
      <c r="AB160" s="32">
        <f>IFERROR(__xludf.DUMMYFUNCTION("""COMPUTED_VALUE"""),9.50795)</f>
        <v>9.50795</v>
      </c>
      <c r="AC160" s="32">
        <f>IFERROR(__xludf.DUMMYFUNCTION("""COMPUTED_VALUE"""),1.0653)</f>
        <v>1.0653</v>
      </c>
      <c r="AD160" s="32">
        <f>IFERROR(__xludf.DUMMYFUNCTION("""COMPUTED_VALUE"""),0.8291)</f>
        <v>0.8291</v>
      </c>
      <c r="AE160" s="32">
        <f>IFERROR(__xludf.DUMMYFUNCTION("""COMPUTED_VALUE"""),16.857914)</f>
        <v>16.857914</v>
      </c>
      <c r="AF160" s="32">
        <f>IFERROR(__xludf.DUMMYFUNCTION("""COMPUTED_VALUE"""),-1.765991)</f>
        <v>-1.765991</v>
      </c>
      <c r="AG160" s="32">
        <f>IFERROR(__xludf.DUMMYFUNCTION("""COMPUTED_VALUE"""),1.1261)</f>
        <v>1.1261</v>
      </c>
      <c r="AH160" s="32">
        <f>IFERROR(__xludf.DUMMYFUNCTION("""COMPUTED_VALUE"""),5.188344)</f>
        <v>5.188344</v>
      </c>
      <c r="AI160" s="32">
        <f>IFERROR(__xludf.DUMMYFUNCTION("""COMPUTED_VALUE"""),1.5636042618123924)</f>
        <v>1.563604262</v>
      </c>
      <c r="AJ160" s="32">
        <f>IFERROR(__xludf.DUMMYFUNCTION("""COMPUTED_VALUE"""),15.483447525870053)</f>
        <v>15.48344753</v>
      </c>
      <c r="AK160" s="32">
        <f>IFERROR(__xludf.DUMMYFUNCTION("""COMPUTED_VALUE"""),93.6191)</f>
        <v>93.6191</v>
      </c>
      <c r="AL160" s="32">
        <f>IFERROR(__xludf.DUMMYFUNCTION("""COMPUTED_VALUE"""),833.5543)</f>
        <v>833.5543</v>
      </c>
      <c r="AM160" s="32">
        <f>IFERROR(__xludf.DUMMYFUNCTION("""COMPUTED_VALUE"""),57.35159)</f>
        <v>57.35159</v>
      </c>
      <c r="AN160" s="32">
        <f>IFERROR(__xludf.DUMMYFUNCTION("""COMPUTED_VALUE"""),36.136561)</f>
        <v>36.136561</v>
      </c>
      <c r="AO160" s="32">
        <f>IFERROR(__xludf.DUMMYFUNCTION("""COMPUTED_VALUE"""),8.0)</f>
        <v>8</v>
      </c>
      <c r="AP160" s="32">
        <f>IFERROR(__xludf.DUMMYFUNCTION("""COMPUTED_VALUE"""),0.15013161043311798)</f>
        <v>0.1501316104</v>
      </c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>
      <c r="A161" s="13" t="str">
        <f>IFERROR(__xludf.DUMMYFUNCTION("""COMPUTED_VALUE"""),"Metropolis Healthcare Ltd.")</f>
        <v>Metropolis Healthcare Ltd.</v>
      </c>
      <c r="B161" s="30">
        <f>IFERROR(__xludf.DUMMYFUNCTION("""COMPUTED_VALUE"""),542650.0)</f>
        <v>542650</v>
      </c>
      <c r="C161" s="13" t="str">
        <f>IFERROR(__xludf.DUMMYFUNCTION("""COMPUTED_VALUE"""),"METROPOLIS")</f>
        <v>METROPOLIS</v>
      </c>
      <c r="D161" s="13" t="str">
        <f>IFERROR(__xludf.DUMMYFUNCTION("""COMPUTED_VALUE"""),"INE112L01020")</f>
        <v>INE112L01020</v>
      </c>
      <c r="E161" s="13" t="str">
        <f>IFERROR(__xludf.DUMMYFUNCTION("""COMPUTED_VALUE"""),"Healthcare")</f>
        <v>Healthcare</v>
      </c>
      <c r="F161" s="13" t="str">
        <f>IFERROR(__xludf.DUMMYFUNCTION("""COMPUTED_VALUE"""),"Diagnostics Services")</f>
        <v>Diagnostics Services</v>
      </c>
      <c r="G161" s="31">
        <f>IFERROR(__xludf.DUMMYFUNCTION("""COMPUTED_VALUE"""),44809.0)</f>
        <v>44809</v>
      </c>
      <c r="H161" s="32">
        <f>IFERROR(__xludf.DUMMYFUNCTION("""COMPUTED_VALUE"""),1377.45)</f>
        <v>1377.45</v>
      </c>
      <c r="I161" s="32">
        <f>IFERROR(__xludf.DUMMYFUNCTION("""COMPUTED_VALUE"""),-1.814099)</f>
        <v>-1.814099</v>
      </c>
      <c r="J161" s="32">
        <f>IFERROR(__xludf.DUMMYFUNCTION("""COMPUTED_VALUE"""),1355.5)</f>
        <v>1355.5</v>
      </c>
      <c r="K161" s="32">
        <f>IFERROR(__xludf.DUMMYFUNCTION("""COMPUTED_VALUE"""),3579.9)</f>
        <v>3579.9</v>
      </c>
      <c r="L161" s="32">
        <f>IFERROR(__xludf.DUMMYFUNCTION("""COMPUTED_VALUE"""),993.2)</f>
        <v>993.2</v>
      </c>
      <c r="M161" s="32">
        <f>IFERROR(__xludf.DUMMYFUNCTION("""COMPUTED_VALUE"""),3579.9)</f>
        <v>3579.9</v>
      </c>
      <c r="N161" s="13"/>
      <c r="O161" s="13"/>
      <c r="P161" s="32">
        <f>IFERROR(__xludf.DUMMYFUNCTION("""COMPUTED_VALUE"""),904.85)</f>
        <v>904.85</v>
      </c>
      <c r="Q161" s="32">
        <f>IFERROR(__xludf.DUMMYFUNCTION("""COMPUTED_VALUE"""),3579.9)</f>
        <v>3579.9</v>
      </c>
      <c r="R161" s="32">
        <f>IFERROR(__xludf.DUMMYFUNCTION("""COMPUTED_VALUE"""),7050.530288545)</f>
        <v>7050.530289</v>
      </c>
      <c r="S161" s="32">
        <f>IFERROR(__xludf.DUMMYFUNCTION("""COMPUTED_VALUE"""),7277.889415625)</f>
        <v>7277.889416</v>
      </c>
      <c r="T161" s="32">
        <f>IFERROR(__xludf.DUMMYFUNCTION("""COMPUTED_VALUE"""),-2.941798)</f>
        <v>-2.941798</v>
      </c>
      <c r="U161" s="32">
        <f>IFERROR(__xludf.DUMMYFUNCTION("""COMPUTED_VALUE"""),-12.440009)</f>
        <v>-12.440009</v>
      </c>
      <c r="V161" s="32">
        <f>IFERROR(__xludf.DUMMYFUNCTION("""COMPUTED_VALUE"""),-16.213504)</f>
        <v>-16.213504</v>
      </c>
      <c r="W161" s="32">
        <f>IFERROR(__xludf.DUMMYFUNCTION("""COMPUTED_VALUE"""),-51.429831)</f>
        <v>-51.429831</v>
      </c>
      <c r="X161" s="32">
        <f>IFERROR(__xludf.DUMMYFUNCTION("""COMPUTED_VALUE"""),4.288886)</f>
        <v>4.288886</v>
      </c>
      <c r="Y161" s="13"/>
      <c r="Z161" s="13"/>
      <c r="AA161" s="32">
        <f>IFERROR(__xludf.DUMMYFUNCTION("""COMPUTED_VALUE"""),40.8279)</f>
        <v>40.8279</v>
      </c>
      <c r="AB161" s="32">
        <f>IFERROR(__xludf.DUMMYFUNCTION("""COMPUTED_VALUE"""),60.0977)</f>
        <v>60.0977</v>
      </c>
      <c r="AC161" s="32">
        <f>IFERROR(__xludf.DUMMYFUNCTION("""COMPUTED_VALUE"""),7.7636)</f>
        <v>7.7636</v>
      </c>
      <c r="AD161" s="32">
        <f>IFERROR(__xludf.DUMMYFUNCTION("""COMPUTED_VALUE"""),16.28735)</f>
        <v>16.28735</v>
      </c>
      <c r="AE161" s="32">
        <f>IFERROR(__xludf.DUMMYFUNCTION("""COMPUTED_VALUE"""),3.810386)</f>
        <v>3.810386</v>
      </c>
      <c r="AF161" s="32">
        <f>IFERROR(__xludf.DUMMYFUNCTION("""COMPUTED_VALUE"""),3.514668)</f>
        <v>3.514668</v>
      </c>
      <c r="AG161" s="32">
        <f>IFERROR(__xludf.DUMMYFUNCTION("""COMPUTED_VALUE"""),0.581)</f>
        <v>0.581</v>
      </c>
      <c r="AH161" s="32">
        <f>IFERROR(__xludf.DUMMYFUNCTION("""COMPUTED_VALUE"""),22.337902)</f>
        <v>22.337902</v>
      </c>
      <c r="AI161" s="32">
        <f>IFERROR(__xludf.DUMMYFUNCTION("""COMPUTED_VALUE"""),5.967783409070518)</f>
        <v>5.967783409</v>
      </c>
      <c r="AJ161" s="32">
        <f>IFERROR(__xludf.DUMMYFUNCTION("""COMPUTED_VALUE"""),27.837494516011475)</f>
        <v>27.83749452</v>
      </c>
      <c r="AK161" s="32">
        <f>IFERROR(__xludf.DUMMYFUNCTION("""COMPUTED_VALUE"""),33.7282)</f>
        <v>33.7282</v>
      </c>
      <c r="AL161" s="32">
        <f>IFERROR(__xludf.DUMMYFUNCTION("""COMPUTED_VALUE"""),177.3723)</f>
        <v>177.3723</v>
      </c>
      <c r="AM161" s="32">
        <f>IFERROR(__xludf.DUMMYFUNCTION("""COMPUTED_VALUE"""),49.494763)</f>
        <v>49.494763</v>
      </c>
      <c r="AN161" s="32">
        <f>IFERROR(__xludf.DUMMYFUNCTION("""COMPUTED_VALUE"""),45.112249)</f>
        <v>45.112249</v>
      </c>
      <c r="AO161" s="32">
        <f>IFERROR(__xludf.DUMMYFUNCTION("""COMPUTED_VALUE"""),8.0)</f>
        <v>8</v>
      </c>
      <c r="AP161" s="32">
        <f>IFERROR(__xludf.DUMMYFUNCTION("""COMPUTED_VALUE"""),0.6152266823095617)</f>
        <v>0.6152266823</v>
      </c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>
      <c r="A162" s="13" t="str">
        <f>IFERROR(__xludf.DUMMYFUNCTION("""COMPUTED_VALUE"""),"Reliance Industries Ltd.")</f>
        <v>Reliance Industries Ltd.</v>
      </c>
      <c r="B162" s="30">
        <f>IFERROR(__xludf.DUMMYFUNCTION("""COMPUTED_VALUE"""),500325.0)</f>
        <v>500325</v>
      </c>
      <c r="C162" s="13" t="str">
        <f>IFERROR(__xludf.DUMMYFUNCTION("""COMPUTED_VALUE"""),"RELIANCE")</f>
        <v>RELIANCE</v>
      </c>
      <c r="D162" s="13" t="str">
        <f>IFERROR(__xludf.DUMMYFUNCTION("""COMPUTED_VALUE"""),"INE002A01018")</f>
        <v>INE002A01018</v>
      </c>
      <c r="E162" s="13" t="str">
        <f>IFERROR(__xludf.DUMMYFUNCTION("""COMPUTED_VALUE"""),"Energy")</f>
        <v>Energy</v>
      </c>
      <c r="F162" s="13" t="str">
        <f>IFERROR(__xludf.DUMMYFUNCTION("""COMPUTED_VALUE"""),"Oil Refineries &amp; Marketing")</f>
        <v>Oil Refineries &amp; Marketing</v>
      </c>
      <c r="G162" s="31">
        <f>IFERROR(__xludf.DUMMYFUNCTION("""COMPUTED_VALUE"""),44809.0)</f>
        <v>44809</v>
      </c>
      <c r="H162" s="32">
        <f>IFERROR(__xludf.DUMMYFUNCTION("""COMPUTED_VALUE"""),2569.8)</f>
        <v>2569.8</v>
      </c>
      <c r="I162" s="32">
        <f>IFERROR(__xludf.DUMMYFUNCTION("""COMPUTED_VALUE"""),1.553053)</f>
        <v>1.553053</v>
      </c>
      <c r="J162" s="32">
        <f>IFERROR(__xludf.DUMMYFUNCTION("""COMPUTED_VALUE"""),2180.0)</f>
        <v>2180</v>
      </c>
      <c r="K162" s="32">
        <f>IFERROR(__xludf.DUMMYFUNCTION("""COMPUTED_VALUE"""),2856.15)</f>
        <v>2856.15</v>
      </c>
      <c r="L162" s="32">
        <f>IFERROR(__xludf.DUMMYFUNCTION("""COMPUTED_VALUE"""),867.42737)</f>
        <v>867.42737</v>
      </c>
      <c r="M162" s="32">
        <f>IFERROR(__xludf.DUMMYFUNCTION("""COMPUTED_VALUE"""),2856.15)</f>
        <v>2856.15</v>
      </c>
      <c r="N162" s="32">
        <f>IFERROR(__xludf.DUMMYFUNCTION("""COMPUTED_VALUE"""),771.784005)</f>
        <v>771.784005</v>
      </c>
      <c r="O162" s="32">
        <f>IFERROR(__xludf.DUMMYFUNCTION("""COMPUTED_VALUE"""),2856.15)</f>
        <v>2856.15</v>
      </c>
      <c r="P162" s="32">
        <f>IFERROR(__xludf.DUMMYFUNCTION("""COMPUTED_VALUE"""),48.824675)</f>
        <v>48.824675</v>
      </c>
      <c r="Q162" s="32">
        <f>IFERROR(__xludf.DUMMYFUNCTION("""COMPUTED_VALUE"""),2856.15)</f>
        <v>2856.15</v>
      </c>
      <c r="R162" s="32">
        <f>IFERROR(__xludf.DUMMYFUNCTION("""COMPUTED_VALUE"""),1738725.1404328202)</f>
        <v>1738725.14</v>
      </c>
      <c r="S162" s="32">
        <f>IFERROR(__xludf.DUMMYFUNCTION("""COMPUTED_VALUE"""),1833670.1643968201)</f>
        <v>1833670.164</v>
      </c>
      <c r="T162" s="32">
        <f>IFERROR(__xludf.DUMMYFUNCTION("""COMPUTED_VALUE"""),-1.8411)</f>
        <v>-1.8411</v>
      </c>
      <c r="U162" s="32">
        <f>IFERROR(__xludf.DUMMYFUNCTION("""COMPUTED_VALUE"""),-0.081652)</f>
        <v>-0.081652</v>
      </c>
      <c r="V162" s="32">
        <f>IFERROR(__xludf.DUMMYFUNCTION("""COMPUTED_VALUE"""),-7.544522)</f>
        <v>-7.544522</v>
      </c>
      <c r="W162" s="32">
        <f>IFERROR(__xludf.DUMMYFUNCTION("""COMPUTED_VALUE"""),7.590538)</f>
        <v>7.590538</v>
      </c>
      <c r="X162" s="32">
        <f>IFERROR(__xludf.DUMMYFUNCTION("""COMPUTED_VALUE"""),29.2607)</f>
        <v>29.2607</v>
      </c>
      <c r="Y162" s="32">
        <f>IFERROR(__xludf.DUMMYFUNCTION("""COMPUTED_VALUE"""),26.316368)</f>
        <v>26.316368</v>
      </c>
      <c r="Z162" s="32">
        <f>IFERROR(__xludf.DUMMYFUNCTION("""COMPUTED_VALUE"""),20.869157)</f>
        <v>20.869157</v>
      </c>
      <c r="AA162" s="32">
        <f>IFERROR(__xludf.DUMMYFUNCTION("""COMPUTED_VALUE"""),26.1953)</f>
        <v>26.1953</v>
      </c>
      <c r="AB162" s="32">
        <f>IFERROR(__xludf.DUMMYFUNCTION("""COMPUTED_VALUE"""),23.7707)</f>
        <v>23.7707</v>
      </c>
      <c r="AC162" s="32">
        <f>IFERROR(__xludf.DUMMYFUNCTION("""COMPUTED_VALUE"""),2.1777)</f>
        <v>2.1777</v>
      </c>
      <c r="AD162" s="32">
        <f>IFERROR(__xludf.DUMMYFUNCTION("""COMPUTED_VALUE"""),2.19225)</f>
        <v>2.19225</v>
      </c>
      <c r="AE162" s="32">
        <f>IFERROR(__xludf.DUMMYFUNCTION("""COMPUTED_VALUE"""),6.404945)</f>
        <v>6.404945</v>
      </c>
      <c r="AF162" s="32">
        <f>IFERROR(__xludf.DUMMYFUNCTION("""COMPUTED_VALUE"""),1.449791)</f>
        <v>1.449791</v>
      </c>
      <c r="AG162" s="32">
        <f>IFERROR(__xludf.DUMMYFUNCTION("""COMPUTED_VALUE"""),0.3113)</f>
        <v>0.3113</v>
      </c>
      <c r="AH162" s="32">
        <f>IFERROR(__xludf.DUMMYFUNCTION("""COMPUTED_VALUE"""),13.281306)</f>
        <v>13.281306</v>
      </c>
      <c r="AI162" s="32">
        <f>IFERROR(__xludf.DUMMYFUNCTION("""COMPUTED_VALUE"""),2.1723881186104266)</f>
        <v>2.172388119</v>
      </c>
      <c r="AJ162" s="32">
        <f>IFERROR(__xludf.DUMMYFUNCTION("""COMPUTED_VALUE"""),15.713170246288612)</f>
        <v>15.71317025</v>
      </c>
      <c r="AK162" s="32">
        <f>IFERROR(__xludf.DUMMYFUNCTION("""COMPUTED_VALUE"""),98.1186)</f>
        <v>98.1186</v>
      </c>
      <c r="AL162" s="32">
        <f>IFERROR(__xludf.DUMMYFUNCTION("""COMPUTED_VALUE"""),1180.2552)</f>
        <v>1180.2552</v>
      </c>
      <c r="AM162" s="32">
        <f>IFERROR(__xludf.DUMMYFUNCTION("""COMPUTED_VALUE"""),163.568367)</f>
        <v>163.568367</v>
      </c>
      <c r="AN162" s="32">
        <f>IFERROR(__xludf.DUMMYFUNCTION("""COMPUTED_VALUE"""),-3.042129)</f>
        <v>-3.042129</v>
      </c>
      <c r="AO162" s="32">
        <f>IFERROR(__xludf.DUMMYFUNCTION("""COMPUTED_VALUE"""),8.0)</f>
        <v>8</v>
      </c>
      <c r="AP162" s="32">
        <f>IFERROR(__xludf.DUMMYFUNCTION("""COMPUTED_VALUE"""),0.10025733942545031)</f>
        <v>0.1002573394</v>
      </c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>
      <c r="A163" s="13" t="str">
        <f>IFERROR(__xludf.DUMMYFUNCTION("""COMPUTED_VALUE"""),"Siemens Ltd.")</f>
        <v>Siemens Ltd.</v>
      </c>
      <c r="B163" s="30">
        <f>IFERROR(__xludf.DUMMYFUNCTION("""COMPUTED_VALUE"""),500550.0)</f>
        <v>500550</v>
      </c>
      <c r="C163" s="13" t="str">
        <f>IFERROR(__xludf.DUMMYFUNCTION("""COMPUTED_VALUE"""),"SIEMENS")</f>
        <v>SIEMENS</v>
      </c>
      <c r="D163" s="13" t="str">
        <f>IFERROR(__xludf.DUMMYFUNCTION("""COMPUTED_VALUE"""),"INE003A01024")</f>
        <v>INE003A01024</v>
      </c>
      <c r="E163" s="13" t="str">
        <f>IFERROR(__xludf.DUMMYFUNCTION("""COMPUTED_VALUE"""),"Capital Goods")</f>
        <v>Capital Goods</v>
      </c>
      <c r="F163" s="13" t="str">
        <f>IFERROR(__xludf.DUMMYFUNCTION("""COMPUTED_VALUE"""),"Switching Equipment")</f>
        <v>Switching Equipment</v>
      </c>
      <c r="G163" s="31">
        <f>IFERROR(__xludf.DUMMYFUNCTION("""COMPUTED_VALUE"""),44809.0)</f>
        <v>44809</v>
      </c>
      <c r="H163" s="32">
        <f>IFERROR(__xludf.DUMMYFUNCTION("""COMPUTED_VALUE"""),2935.4)</f>
        <v>2935.4</v>
      </c>
      <c r="I163" s="32">
        <f>IFERROR(__xludf.DUMMYFUNCTION("""COMPUTED_VALUE"""),0.737843)</f>
        <v>0.737843</v>
      </c>
      <c r="J163" s="32">
        <f>IFERROR(__xludf.DUMMYFUNCTION("""COMPUTED_VALUE"""),2021.0)</f>
        <v>2021</v>
      </c>
      <c r="K163" s="32">
        <f>IFERROR(__xludf.DUMMYFUNCTION("""COMPUTED_VALUE"""),2975.0)</f>
        <v>2975</v>
      </c>
      <c r="L163" s="32">
        <f>IFERROR(__xludf.DUMMYFUNCTION("""COMPUTED_VALUE"""),947.0)</f>
        <v>947</v>
      </c>
      <c r="M163" s="32">
        <f>IFERROR(__xludf.DUMMYFUNCTION("""COMPUTED_VALUE"""),2975.0)</f>
        <v>2975</v>
      </c>
      <c r="N163" s="32">
        <f>IFERROR(__xludf.DUMMYFUNCTION("""COMPUTED_VALUE"""),841.0)</f>
        <v>841</v>
      </c>
      <c r="O163" s="32">
        <f>IFERROR(__xludf.DUMMYFUNCTION("""COMPUTED_VALUE"""),2975.0)</f>
        <v>2975</v>
      </c>
      <c r="P163" s="32">
        <f>IFERROR(__xludf.DUMMYFUNCTION("""COMPUTED_VALUE"""),16.985)</f>
        <v>16.985</v>
      </c>
      <c r="Q163" s="32">
        <f>IFERROR(__xludf.DUMMYFUNCTION("""COMPUTED_VALUE"""),2975.0)</f>
        <v>2975</v>
      </c>
      <c r="R163" s="32">
        <f>IFERROR(__xludf.DUMMYFUNCTION("""COMPUTED_VALUE"""),104535.5396527)</f>
        <v>104535.5397</v>
      </c>
      <c r="S163" s="32">
        <f>IFERROR(__xludf.DUMMYFUNCTION("""COMPUTED_VALUE"""),98556.121262375)</f>
        <v>98556.12126</v>
      </c>
      <c r="T163" s="32">
        <f>IFERROR(__xludf.DUMMYFUNCTION("""COMPUTED_VALUE"""),0.525676)</f>
        <v>0.525676</v>
      </c>
      <c r="U163" s="32">
        <f>IFERROR(__xludf.DUMMYFUNCTION("""COMPUTED_VALUE"""),10.832547)</f>
        <v>10.832547</v>
      </c>
      <c r="V163" s="32">
        <f>IFERROR(__xludf.DUMMYFUNCTION("""COMPUTED_VALUE"""),24.982437)</f>
        <v>24.982437</v>
      </c>
      <c r="W163" s="32">
        <f>IFERROR(__xludf.DUMMYFUNCTION("""COMPUTED_VALUE"""),29.461057)</f>
        <v>29.461057</v>
      </c>
      <c r="X163" s="32">
        <f>IFERROR(__xludf.DUMMYFUNCTION("""COMPUTED_VALUE"""),35.96682)</f>
        <v>35.96682</v>
      </c>
      <c r="Y163" s="32">
        <f>IFERROR(__xludf.DUMMYFUNCTION("""COMPUTED_VALUE"""),18.062459)</f>
        <v>18.062459</v>
      </c>
      <c r="Z163" s="32">
        <f>IFERROR(__xludf.DUMMYFUNCTION("""COMPUTED_VALUE"""),15.919369)</f>
        <v>15.919369</v>
      </c>
      <c r="AA163" s="32">
        <f>IFERROR(__xludf.DUMMYFUNCTION("""COMPUTED_VALUE"""),86.1089)</f>
        <v>86.1089</v>
      </c>
      <c r="AB163" s="32">
        <f>IFERROR(__xludf.DUMMYFUNCTION("""COMPUTED_VALUE"""),48.5082)</f>
        <v>48.5082</v>
      </c>
      <c r="AC163" s="32">
        <f>IFERROR(__xludf.DUMMYFUNCTION("""COMPUTED_VALUE"""),9.5563)</f>
        <v>9.5563</v>
      </c>
      <c r="AD163" s="32">
        <f>IFERROR(__xludf.DUMMYFUNCTION("""COMPUTED_VALUE"""),5.6194)</f>
        <v>5.6194</v>
      </c>
      <c r="AE163" s="32">
        <f>IFERROR(__xludf.DUMMYFUNCTION("""COMPUTED_VALUE"""),1.936093)</f>
        <v>1.936093</v>
      </c>
      <c r="AF163" s="32">
        <f>IFERROR(__xludf.DUMMYFUNCTION("""COMPUTED_VALUE"""),-4.825083)</f>
        <v>-4.825083</v>
      </c>
      <c r="AG163" s="32">
        <f>IFERROR(__xludf.DUMMYFUNCTION("""COMPUTED_VALUE"""),0.2725)</f>
        <v>0.2725</v>
      </c>
      <c r="AH163" s="32">
        <f>IFERROR(__xludf.DUMMYFUNCTION("""COMPUTED_VALUE"""),49.874056)</f>
        <v>49.874056</v>
      </c>
      <c r="AI163" s="32">
        <f>IFERROR(__xludf.DUMMYFUNCTION("""COMPUTED_VALUE"""),6.607809080448799)</f>
        <v>6.60780908</v>
      </c>
      <c r="AJ163" s="32">
        <f>IFERROR(__xludf.DUMMYFUNCTION("""COMPUTED_VALUE"""),73.50786840074538)</f>
        <v>73.5078684</v>
      </c>
      <c r="AK163" s="32">
        <f>IFERROR(__xludf.DUMMYFUNCTION("""COMPUTED_VALUE"""),34.0615)</f>
        <v>34.0615</v>
      </c>
      <c r="AL163" s="32">
        <f>IFERROR(__xludf.DUMMYFUNCTION("""COMPUTED_VALUE"""),306.9195)</f>
        <v>306.9195</v>
      </c>
      <c r="AM163" s="32">
        <f>IFERROR(__xludf.DUMMYFUNCTION("""COMPUTED_VALUE"""),39.946629)</f>
        <v>39.946629</v>
      </c>
      <c r="AN163" s="32">
        <f>IFERROR(__xludf.DUMMYFUNCTION("""COMPUTED_VALUE"""),42.33427)</f>
        <v>42.33427</v>
      </c>
      <c r="AO163" s="32">
        <f>IFERROR(__xludf.DUMMYFUNCTION("""COMPUTED_VALUE"""),8.0)</f>
        <v>8</v>
      </c>
      <c r="AP163" s="32">
        <f>IFERROR(__xludf.DUMMYFUNCTION("""COMPUTED_VALUE"""),0.013310924369747868)</f>
        <v>0.01331092437</v>
      </c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>
      <c r="A164" s="13" t="str">
        <f>IFERROR(__xludf.DUMMYFUNCTION("""COMPUTED_VALUE"""),"TCI Express Ltd.")</f>
        <v>TCI Express Ltd.</v>
      </c>
      <c r="B164" s="30">
        <f>IFERROR(__xludf.DUMMYFUNCTION("""COMPUTED_VALUE"""),540212.0)</f>
        <v>540212</v>
      </c>
      <c r="C164" s="13" t="str">
        <f>IFERROR(__xludf.DUMMYFUNCTION("""COMPUTED_VALUE"""),"TCIEXP")</f>
        <v>TCIEXP</v>
      </c>
      <c r="D164" s="13" t="str">
        <f>IFERROR(__xludf.DUMMYFUNCTION("""COMPUTED_VALUE"""),"INE586V01016")</f>
        <v>INE586V01016</v>
      </c>
      <c r="E164" s="13" t="str">
        <f>IFERROR(__xludf.DUMMYFUNCTION("""COMPUTED_VALUE"""),"Services")</f>
        <v>Services</v>
      </c>
      <c r="F164" s="13" t="str">
        <f>IFERROR(__xludf.DUMMYFUNCTION("""COMPUTED_VALUE"""),"Courier Services")</f>
        <v>Courier Services</v>
      </c>
      <c r="G164" s="31">
        <f>IFERROR(__xludf.DUMMYFUNCTION("""COMPUTED_VALUE"""),44809.0)</f>
        <v>44809</v>
      </c>
      <c r="H164" s="32">
        <f>IFERROR(__xludf.DUMMYFUNCTION("""COMPUTED_VALUE"""),1781.2)</f>
        <v>1781.2</v>
      </c>
      <c r="I164" s="32">
        <f>IFERROR(__xludf.DUMMYFUNCTION("""COMPUTED_VALUE"""),-0.890274)</f>
        <v>-0.890274</v>
      </c>
      <c r="J164" s="32">
        <f>IFERROR(__xludf.DUMMYFUNCTION("""COMPUTED_VALUE"""),1436.4)</f>
        <v>1436.4</v>
      </c>
      <c r="K164" s="32">
        <f>IFERROR(__xludf.DUMMYFUNCTION("""COMPUTED_VALUE"""),2572.0)</f>
        <v>2572</v>
      </c>
      <c r="L164" s="32">
        <f>IFERROR(__xludf.DUMMYFUNCTION("""COMPUTED_VALUE"""),455.8)</f>
        <v>455.8</v>
      </c>
      <c r="M164" s="32">
        <f>IFERROR(__xludf.DUMMYFUNCTION("""COMPUTED_VALUE"""),2572.0)</f>
        <v>2572</v>
      </c>
      <c r="N164" s="32">
        <f>IFERROR(__xludf.DUMMYFUNCTION("""COMPUTED_VALUE"""),425.0)</f>
        <v>425</v>
      </c>
      <c r="O164" s="32">
        <f>IFERROR(__xludf.DUMMYFUNCTION("""COMPUTED_VALUE"""),2572.0)</f>
        <v>2572</v>
      </c>
      <c r="P164" s="32">
        <f>IFERROR(__xludf.DUMMYFUNCTION("""COMPUTED_VALUE"""),265.15)</f>
        <v>265.15</v>
      </c>
      <c r="Q164" s="32">
        <f>IFERROR(__xludf.DUMMYFUNCTION("""COMPUTED_VALUE"""),2572.0)</f>
        <v>2572</v>
      </c>
      <c r="R164" s="32">
        <f>IFERROR(__xludf.DUMMYFUNCTION("""COMPUTED_VALUE"""),6869.01532225)</f>
        <v>6869.015322</v>
      </c>
      <c r="S164" s="32">
        <f>IFERROR(__xludf.DUMMYFUNCTION("""COMPUTED_VALUE"""),6819.3043165)</f>
        <v>6819.304317</v>
      </c>
      <c r="T164" s="32">
        <f>IFERROR(__xludf.DUMMYFUNCTION("""COMPUTED_VALUE"""),-0.12896)</f>
        <v>-0.12896</v>
      </c>
      <c r="U164" s="32">
        <f>IFERROR(__xludf.DUMMYFUNCTION("""COMPUTED_VALUE"""),4.567336)</f>
        <v>4.567336</v>
      </c>
      <c r="V164" s="32">
        <f>IFERROR(__xludf.DUMMYFUNCTION("""COMPUTED_VALUE"""),6.229313)</f>
        <v>6.229313</v>
      </c>
      <c r="W164" s="32">
        <f>IFERROR(__xludf.DUMMYFUNCTION("""COMPUTED_VALUE"""),22.255397)</f>
        <v>22.255397</v>
      </c>
      <c r="X164" s="32">
        <f>IFERROR(__xludf.DUMMYFUNCTION("""COMPUTED_VALUE"""),41.511245)</f>
        <v>41.511245</v>
      </c>
      <c r="Y164" s="32">
        <f>IFERROR(__xludf.DUMMYFUNCTION("""COMPUTED_VALUE"""),27.761702)</f>
        <v>27.761702</v>
      </c>
      <c r="Z164" s="13"/>
      <c r="AA164" s="32">
        <f>IFERROR(__xludf.DUMMYFUNCTION("""COMPUTED_VALUE"""),50.4666)</f>
        <v>50.4666</v>
      </c>
      <c r="AB164" s="32">
        <f>IFERROR(__xludf.DUMMYFUNCTION("""COMPUTED_VALUE"""),40.58945)</f>
        <v>40.58945</v>
      </c>
      <c r="AC164" s="32">
        <f>IFERROR(__xludf.DUMMYFUNCTION("""COMPUTED_VALUE"""),12.1706)</f>
        <v>12.1706</v>
      </c>
      <c r="AD164" s="32">
        <f>IFERROR(__xludf.DUMMYFUNCTION("""COMPUTED_VALUE"""),10.1061)</f>
        <v>10.1061</v>
      </c>
      <c r="AE164" s="32">
        <f>IFERROR(__xludf.DUMMYFUNCTION("""COMPUTED_VALUE"""),2.827492)</f>
        <v>2.827492</v>
      </c>
      <c r="AF164" s="32">
        <f>IFERROR(__xludf.DUMMYFUNCTION("""COMPUTED_VALUE"""),1.932236)</f>
        <v>1.932236</v>
      </c>
      <c r="AG164" s="32">
        <f>IFERROR(__xludf.DUMMYFUNCTION("""COMPUTED_VALUE"""),0.4485)</f>
        <v>0.4485</v>
      </c>
      <c r="AH164" s="32">
        <f>IFERROR(__xludf.DUMMYFUNCTION("""COMPUTED_VALUE"""),35.169182)</f>
        <v>35.169182</v>
      </c>
      <c r="AI164" s="32">
        <f>IFERROR(__xludf.DUMMYFUNCTION("""COMPUTED_VALUE"""),5.978359346768438)</f>
        <v>5.978359347</v>
      </c>
      <c r="AJ164" s="32">
        <f>IFERROR(__xludf.DUMMYFUNCTION("""COMPUTED_VALUE"""),53.84928913648479)</f>
        <v>53.84928914</v>
      </c>
      <c r="AK164" s="32">
        <f>IFERROR(__xludf.DUMMYFUNCTION("""COMPUTED_VALUE"""),35.3441)</f>
        <v>35.3441</v>
      </c>
      <c r="AL164" s="32">
        <f>IFERROR(__xludf.DUMMYFUNCTION("""COMPUTED_VALUE"""),146.5575)</f>
        <v>146.5575</v>
      </c>
      <c r="AM164" s="32">
        <f>IFERROR(__xludf.DUMMYFUNCTION("""COMPUTED_VALUE"""),33.132468)</f>
        <v>33.132468</v>
      </c>
      <c r="AN164" s="32">
        <f>IFERROR(__xludf.DUMMYFUNCTION("""COMPUTED_VALUE"""),12.402597)</f>
        <v>12.402597</v>
      </c>
      <c r="AO164" s="32">
        <f>IFERROR(__xludf.DUMMYFUNCTION("""COMPUTED_VALUE"""),8.0)</f>
        <v>8</v>
      </c>
      <c r="AP164" s="32">
        <f>IFERROR(__xludf.DUMMYFUNCTION("""COMPUTED_VALUE"""),0.30746500777604974)</f>
        <v>0.3074650078</v>
      </c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>
      <c r="A165" s="13" t="str">
        <f>IFERROR(__xludf.DUMMYFUNCTION("""COMPUTED_VALUE"""),"Chambal Fertilisers &amp; Chemicals Ltd.")</f>
        <v>Chambal Fertilisers &amp; Chemicals Ltd.</v>
      </c>
      <c r="B165" s="30">
        <f>IFERROR(__xludf.DUMMYFUNCTION("""COMPUTED_VALUE"""),500085.0)</f>
        <v>500085</v>
      </c>
      <c r="C165" s="13" t="str">
        <f>IFERROR(__xludf.DUMMYFUNCTION("""COMPUTED_VALUE"""),"CHAMBLFERT")</f>
        <v>CHAMBLFERT</v>
      </c>
      <c r="D165" s="13" t="str">
        <f>IFERROR(__xludf.DUMMYFUNCTION("""COMPUTED_VALUE"""),"INE085A01013")</f>
        <v>INE085A01013</v>
      </c>
      <c r="E165" s="13" t="str">
        <f>IFERROR(__xludf.DUMMYFUNCTION("""COMPUTED_VALUE"""),"Chemicals")</f>
        <v>Chemicals</v>
      </c>
      <c r="F165" s="13" t="str">
        <f>IFERROR(__xludf.DUMMYFUNCTION("""COMPUTED_VALUE"""),"Nitrogenous Fertilizer.")</f>
        <v>Nitrogenous Fertilizer.</v>
      </c>
      <c r="G165" s="31">
        <f>IFERROR(__xludf.DUMMYFUNCTION("""COMPUTED_VALUE"""),44809.0)</f>
        <v>44809</v>
      </c>
      <c r="H165" s="32">
        <f>IFERROR(__xludf.DUMMYFUNCTION("""COMPUTED_VALUE"""),345.65)</f>
        <v>345.65</v>
      </c>
      <c r="I165" s="32">
        <f>IFERROR(__xludf.DUMMYFUNCTION("""COMPUTED_VALUE"""),-0.043378)</f>
        <v>-0.043378</v>
      </c>
      <c r="J165" s="32">
        <f>IFERROR(__xludf.DUMMYFUNCTION("""COMPUTED_VALUE"""),260.8)</f>
        <v>260.8</v>
      </c>
      <c r="K165" s="32">
        <f>IFERROR(__xludf.DUMMYFUNCTION("""COMPUTED_VALUE"""),516.0)</f>
        <v>516</v>
      </c>
      <c r="L165" s="32">
        <f>IFERROR(__xludf.DUMMYFUNCTION("""COMPUTED_VALUE"""),93.8)</f>
        <v>93.8</v>
      </c>
      <c r="M165" s="32">
        <f>IFERROR(__xludf.DUMMYFUNCTION("""COMPUTED_VALUE"""),516.0)</f>
        <v>516</v>
      </c>
      <c r="N165" s="32">
        <f>IFERROR(__xludf.DUMMYFUNCTION("""COMPUTED_VALUE"""),93.8)</f>
        <v>93.8</v>
      </c>
      <c r="O165" s="32">
        <f>IFERROR(__xludf.DUMMYFUNCTION("""COMPUTED_VALUE"""),516.0)</f>
        <v>516</v>
      </c>
      <c r="P165" s="32">
        <f>IFERROR(__xludf.DUMMYFUNCTION("""COMPUTED_VALUE"""),8.5)</f>
        <v>8.5</v>
      </c>
      <c r="Q165" s="32">
        <f>IFERROR(__xludf.DUMMYFUNCTION("""COMPUTED_VALUE"""),516.0)</f>
        <v>516</v>
      </c>
      <c r="R165" s="32">
        <f>IFERROR(__xludf.DUMMYFUNCTION("""COMPUTED_VALUE"""),14386.22440438)</f>
        <v>14386.2244</v>
      </c>
      <c r="S165" s="32">
        <f>IFERROR(__xludf.DUMMYFUNCTION("""COMPUTED_VALUE"""),18146.85024734)</f>
        <v>18146.85025</v>
      </c>
      <c r="T165" s="32">
        <f>IFERROR(__xludf.DUMMYFUNCTION("""COMPUTED_VALUE"""),-0.718081)</f>
        <v>-0.718081</v>
      </c>
      <c r="U165" s="32">
        <f>IFERROR(__xludf.DUMMYFUNCTION("""COMPUTED_VALUE"""),7.948157)</f>
        <v>7.948157</v>
      </c>
      <c r="V165" s="32">
        <f>IFERROR(__xludf.DUMMYFUNCTION("""COMPUTED_VALUE"""),-1.762115)</f>
        <v>-1.762115</v>
      </c>
      <c r="W165" s="32">
        <f>IFERROR(__xludf.DUMMYFUNCTION("""COMPUTED_VALUE"""),9.400222)</f>
        <v>9.400222</v>
      </c>
      <c r="X165" s="32">
        <f>IFERROR(__xludf.DUMMYFUNCTION("""COMPUTED_VALUE"""),29.870303)</f>
        <v>29.870303</v>
      </c>
      <c r="Y165" s="32">
        <f>IFERROR(__xludf.DUMMYFUNCTION("""COMPUTED_VALUE"""),18.217822)</f>
        <v>18.217822</v>
      </c>
      <c r="Z165" s="32">
        <f>IFERROR(__xludf.DUMMYFUNCTION("""COMPUTED_VALUE"""),17.535209)</f>
        <v>17.535209</v>
      </c>
      <c r="AA165" s="32">
        <f>IFERROR(__xludf.DUMMYFUNCTION("""COMPUTED_VALUE"""),9.4483)</f>
        <v>9.4483</v>
      </c>
      <c r="AB165" s="32">
        <f>IFERROR(__xludf.DUMMYFUNCTION("""COMPUTED_VALUE"""),9.1862)</f>
        <v>9.1862</v>
      </c>
      <c r="AC165" s="32">
        <f>IFERROR(__xludf.DUMMYFUNCTION("""COMPUTED_VALUE"""),2.1488)</f>
        <v>2.1488</v>
      </c>
      <c r="AD165" s="32">
        <f>IFERROR(__xludf.DUMMYFUNCTION("""COMPUTED_VALUE"""),2.20465)</f>
        <v>2.20465</v>
      </c>
      <c r="AE165" s="32">
        <f>IFERROR(__xludf.DUMMYFUNCTION("""COMPUTED_VALUE"""),11.690662)</f>
        <v>11.690662</v>
      </c>
      <c r="AF165" s="32">
        <f>IFERROR(__xludf.DUMMYFUNCTION("""COMPUTED_VALUE"""),0.328791)</f>
        <v>0.328791</v>
      </c>
      <c r="AG165" s="32">
        <f>IFERROR(__xludf.DUMMYFUNCTION("""COMPUTED_VALUE"""),2.1673)</f>
        <v>2.1673</v>
      </c>
      <c r="AH165" s="32">
        <f>IFERROR(__xludf.DUMMYFUNCTION("""COMPUTED_VALUE"""),7.723181)</f>
        <v>7.723181</v>
      </c>
      <c r="AI165" s="32">
        <f>IFERROR(__xludf.DUMMYFUNCTION("""COMPUTED_VALUE"""),0.7258258703180396)</f>
        <v>0.7258258703</v>
      </c>
      <c r="AJ165" s="32">
        <f>IFERROR(__xludf.DUMMYFUNCTION("""COMPUTED_VALUE"""),-593.7360464044573)</f>
        <v>-593.7360464</v>
      </c>
      <c r="AK165" s="32">
        <f>IFERROR(__xludf.DUMMYFUNCTION("""COMPUTED_VALUE"""),36.6733)</f>
        <v>36.6733</v>
      </c>
      <c r="AL165" s="32">
        <f>IFERROR(__xludf.DUMMYFUNCTION("""COMPUTED_VALUE"""),161.2514)</f>
        <v>161.2514</v>
      </c>
      <c r="AM165" s="32">
        <f>IFERROR(__xludf.DUMMYFUNCTION("""COMPUTED_VALUE"""),-0.582158)</f>
        <v>-0.582158</v>
      </c>
      <c r="AN165" s="32">
        <f>IFERROR(__xludf.DUMMYFUNCTION("""COMPUTED_VALUE"""),-16.734101)</f>
        <v>-16.734101</v>
      </c>
      <c r="AO165" s="32">
        <f>IFERROR(__xludf.DUMMYFUNCTION("""COMPUTED_VALUE"""),7.5)</f>
        <v>7.5</v>
      </c>
      <c r="AP165" s="32">
        <f>IFERROR(__xludf.DUMMYFUNCTION("""COMPUTED_VALUE"""),0.33013565891472874)</f>
        <v>0.3301356589</v>
      </c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>
      <c r="A166" s="13" t="str">
        <f>IFERROR(__xludf.DUMMYFUNCTION("""COMPUTED_VALUE"""),"Havells India Ltd.")</f>
        <v>Havells India Ltd.</v>
      </c>
      <c r="B166" s="30">
        <f>IFERROR(__xludf.DUMMYFUNCTION("""COMPUTED_VALUE"""),517354.0)</f>
        <v>517354</v>
      </c>
      <c r="C166" s="13" t="str">
        <f>IFERROR(__xludf.DUMMYFUNCTION("""COMPUTED_VALUE"""),"HAVELLS")</f>
        <v>HAVELLS</v>
      </c>
      <c r="D166" s="13" t="str">
        <f>IFERROR(__xludf.DUMMYFUNCTION("""COMPUTED_VALUE"""),"INE176B01034")</f>
        <v>INE176B01034</v>
      </c>
      <c r="E166" s="13" t="str">
        <f>IFERROR(__xludf.DUMMYFUNCTION("""COMPUTED_VALUE"""),"Capital Goods")</f>
        <v>Capital Goods</v>
      </c>
      <c r="F166" s="13" t="str">
        <f>IFERROR(__xludf.DUMMYFUNCTION("""COMPUTED_VALUE"""),"Switching Equipment")</f>
        <v>Switching Equipment</v>
      </c>
      <c r="G166" s="31">
        <f>IFERROR(__xludf.DUMMYFUNCTION("""COMPUTED_VALUE"""),44809.0)</f>
        <v>44809</v>
      </c>
      <c r="H166" s="32">
        <f>IFERROR(__xludf.DUMMYFUNCTION("""COMPUTED_VALUE"""),1379.8)</f>
        <v>1379.8</v>
      </c>
      <c r="I166" s="32">
        <f>IFERROR(__xludf.DUMMYFUNCTION("""COMPUTED_VALUE"""),-0.180858)</f>
        <v>-0.180858</v>
      </c>
      <c r="J166" s="32">
        <f>IFERROR(__xludf.DUMMYFUNCTION("""COMPUTED_VALUE"""),1040.0)</f>
        <v>1040</v>
      </c>
      <c r="K166" s="32">
        <f>IFERROR(__xludf.DUMMYFUNCTION("""COMPUTED_VALUE"""),1504.45)</f>
        <v>1504.45</v>
      </c>
      <c r="L166" s="32">
        <f>IFERROR(__xludf.DUMMYFUNCTION("""COMPUTED_VALUE"""),447.05)</f>
        <v>447.05</v>
      </c>
      <c r="M166" s="32">
        <f>IFERROR(__xludf.DUMMYFUNCTION("""COMPUTED_VALUE"""),1504.45)</f>
        <v>1504.45</v>
      </c>
      <c r="N166" s="32">
        <f>IFERROR(__xludf.DUMMYFUNCTION("""COMPUTED_VALUE"""),447.05)</f>
        <v>447.05</v>
      </c>
      <c r="O166" s="32">
        <f>IFERROR(__xludf.DUMMYFUNCTION("""COMPUTED_VALUE"""),1504.45)</f>
        <v>1504.45</v>
      </c>
      <c r="P166" s="32">
        <f>IFERROR(__xludf.DUMMYFUNCTION("""COMPUTED_VALUE"""),0.469375)</f>
        <v>0.469375</v>
      </c>
      <c r="Q166" s="32">
        <f>IFERROR(__xludf.DUMMYFUNCTION("""COMPUTED_VALUE"""),1504.45)</f>
        <v>1504.45</v>
      </c>
      <c r="R166" s="32">
        <f>IFERROR(__xludf.DUMMYFUNCTION("""COMPUTED_VALUE"""),86445.57604767999)</f>
        <v>86445.57605</v>
      </c>
      <c r="S166" s="32">
        <f>IFERROR(__xludf.DUMMYFUNCTION("""COMPUTED_VALUE"""),84266.30019096)</f>
        <v>84266.30019</v>
      </c>
      <c r="T166" s="32">
        <f>IFERROR(__xludf.DUMMYFUNCTION("""COMPUTED_VALUE"""),4.242058)</f>
        <v>4.242058</v>
      </c>
      <c r="U166" s="32">
        <f>IFERROR(__xludf.DUMMYFUNCTION("""COMPUTED_VALUE"""),5.336285)</f>
        <v>5.336285</v>
      </c>
      <c r="V166" s="32">
        <f>IFERROR(__xludf.DUMMYFUNCTION("""COMPUTED_VALUE"""),19.344376)</f>
        <v>19.344376</v>
      </c>
      <c r="W166" s="32">
        <f>IFERROR(__xludf.DUMMYFUNCTION("""COMPUTED_VALUE"""),-3.540844)</f>
        <v>-3.540844</v>
      </c>
      <c r="X166" s="32">
        <f>IFERROR(__xludf.DUMMYFUNCTION("""COMPUTED_VALUE"""),29.455252)</f>
        <v>29.455252</v>
      </c>
      <c r="Y166" s="32">
        <f>IFERROR(__xludf.DUMMYFUNCTION("""COMPUTED_VALUE"""),22.862762)</f>
        <v>22.862762</v>
      </c>
      <c r="Z166" s="32">
        <f>IFERROR(__xludf.DUMMYFUNCTION("""COMPUTED_VALUE"""),28.640864)</f>
        <v>28.640864</v>
      </c>
      <c r="AA166" s="32">
        <f>IFERROR(__xludf.DUMMYFUNCTION("""COMPUTED_VALUE"""),71.9533)</f>
        <v>71.9533</v>
      </c>
      <c r="AB166" s="32">
        <f>IFERROR(__xludf.DUMMYFUNCTION("""COMPUTED_VALUE"""),58.97655)</f>
        <v>58.97655</v>
      </c>
      <c r="AC166" s="32">
        <f>IFERROR(__xludf.DUMMYFUNCTION("""COMPUTED_VALUE"""),13.8693)</f>
        <v>13.8693</v>
      </c>
      <c r="AD166" s="32">
        <f>IFERROR(__xludf.DUMMYFUNCTION("""COMPUTED_VALUE"""),10.9423)</f>
        <v>10.9423</v>
      </c>
      <c r="AE166" s="32">
        <f>IFERROR(__xludf.DUMMYFUNCTION("""COMPUTED_VALUE"""),2.190369)</f>
        <v>2.190369</v>
      </c>
      <c r="AF166" s="32">
        <f>IFERROR(__xludf.DUMMYFUNCTION("""COMPUTED_VALUE"""),3.763439)</f>
        <v>3.763439</v>
      </c>
      <c r="AG166" s="32">
        <f>IFERROR(__xludf.DUMMYFUNCTION("""COMPUTED_VALUE"""),0.5436)</f>
        <v>0.5436</v>
      </c>
      <c r="AH166" s="32">
        <f>IFERROR(__xludf.DUMMYFUNCTION("""COMPUTED_VALUE"""),43.425717)</f>
        <v>43.425717</v>
      </c>
      <c r="AI166" s="32">
        <f>IFERROR(__xludf.DUMMYFUNCTION("""COMPUTED_VALUE"""),5.551001257157754)</f>
        <v>5.551001257</v>
      </c>
      <c r="AJ166" s="32">
        <f>IFERROR(__xludf.DUMMYFUNCTION("""COMPUTED_VALUE"""),50.03129708807)</f>
        <v>50.03129709</v>
      </c>
      <c r="AK166" s="32">
        <f>IFERROR(__xludf.DUMMYFUNCTION("""COMPUTED_VALUE"""),19.2152)</f>
        <v>19.2152</v>
      </c>
      <c r="AL166" s="32">
        <f>IFERROR(__xludf.DUMMYFUNCTION("""COMPUTED_VALUE"""),99.6881)</f>
        <v>99.6881</v>
      </c>
      <c r="AM166" s="32">
        <f>IFERROR(__xludf.DUMMYFUNCTION("""COMPUTED_VALUE"""),27.587897)</f>
        <v>27.587897</v>
      </c>
      <c r="AN166" s="32">
        <f>IFERROR(__xludf.DUMMYFUNCTION("""COMPUTED_VALUE"""),24.310873)</f>
        <v>24.310873</v>
      </c>
      <c r="AO166" s="32">
        <f>IFERROR(__xludf.DUMMYFUNCTION("""COMPUTED_VALUE"""),7.5)</f>
        <v>7.5</v>
      </c>
      <c r="AP166" s="32">
        <f>IFERROR(__xludf.DUMMYFUNCTION("""COMPUTED_VALUE"""),0.08285419920901332)</f>
        <v>0.08285419921</v>
      </c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>
      <c r="A167" s="13" t="str">
        <f>IFERROR(__xludf.DUMMYFUNCTION("""COMPUTED_VALUE"""),"Solar Industries India Ltd.")</f>
        <v>Solar Industries India Ltd.</v>
      </c>
      <c r="B167" s="30">
        <f>IFERROR(__xludf.DUMMYFUNCTION("""COMPUTED_VALUE"""),532725.0)</f>
        <v>532725</v>
      </c>
      <c r="C167" s="13" t="str">
        <f>IFERROR(__xludf.DUMMYFUNCTION("""COMPUTED_VALUE"""),"SOLARINDS")</f>
        <v>SOLARINDS</v>
      </c>
      <c r="D167" s="13" t="str">
        <f>IFERROR(__xludf.DUMMYFUNCTION("""COMPUTED_VALUE"""),"INE343H01029")</f>
        <v>INE343H01029</v>
      </c>
      <c r="E167" s="13" t="str">
        <f>IFERROR(__xludf.DUMMYFUNCTION("""COMPUTED_VALUE"""),"Chemicals")</f>
        <v>Chemicals</v>
      </c>
      <c r="F167" s="13" t="str">
        <f>IFERROR(__xludf.DUMMYFUNCTION("""COMPUTED_VALUE"""),"Explosives")</f>
        <v>Explosives</v>
      </c>
      <c r="G167" s="31">
        <f>IFERROR(__xludf.DUMMYFUNCTION("""COMPUTED_VALUE"""),44809.0)</f>
        <v>44809</v>
      </c>
      <c r="H167" s="32">
        <f>IFERROR(__xludf.DUMMYFUNCTION("""COMPUTED_VALUE"""),3494.55)</f>
        <v>3494.55</v>
      </c>
      <c r="I167" s="32">
        <f>IFERROR(__xludf.DUMMYFUNCTION("""COMPUTED_VALUE"""),4.812393)</f>
        <v>4.812393</v>
      </c>
      <c r="J167" s="32">
        <f>IFERROR(__xludf.DUMMYFUNCTION("""COMPUTED_VALUE"""),1700.7)</f>
        <v>1700.7</v>
      </c>
      <c r="K167" s="32">
        <f>IFERROR(__xludf.DUMMYFUNCTION("""COMPUTED_VALUE"""),3588.5)</f>
        <v>3588.5</v>
      </c>
      <c r="L167" s="32">
        <f>IFERROR(__xludf.DUMMYFUNCTION("""COMPUTED_VALUE"""),772.05)</f>
        <v>772.05</v>
      </c>
      <c r="M167" s="32">
        <f>IFERROR(__xludf.DUMMYFUNCTION("""COMPUTED_VALUE"""),3588.5)</f>
        <v>3588.5</v>
      </c>
      <c r="N167" s="32">
        <f>IFERROR(__xludf.DUMMYFUNCTION("""COMPUTED_VALUE"""),772.05)</f>
        <v>772.05</v>
      </c>
      <c r="O167" s="32">
        <f>IFERROR(__xludf.DUMMYFUNCTION("""COMPUTED_VALUE"""),3588.5)</f>
        <v>3588.5</v>
      </c>
      <c r="P167" s="32">
        <f>IFERROR(__xludf.DUMMYFUNCTION("""COMPUTED_VALUE"""),18.3)</f>
        <v>18.3</v>
      </c>
      <c r="Q167" s="32">
        <f>IFERROR(__xludf.DUMMYFUNCTION("""COMPUTED_VALUE"""),3588.5)</f>
        <v>3588.5</v>
      </c>
      <c r="R167" s="32">
        <f>IFERROR(__xludf.DUMMYFUNCTION("""COMPUTED_VALUE"""),31807.2543325)</f>
        <v>31807.25433</v>
      </c>
      <c r="S167" s="32">
        <f>IFERROR(__xludf.DUMMYFUNCTION("""COMPUTED_VALUE"""),30931.3149337)</f>
        <v>30931.31493</v>
      </c>
      <c r="T167" s="32">
        <f>IFERROR(__xludf.DUMMYFUNCTION("""COMPUTED_VALUE"""),4.44119)</f>
        <v>4.44119</v>
      </c>
      <c r="U167" s="32">
        <f>IFERROR(__xludf.DUMMYFUNCTION("""COMPUTED_VALUE"""),16.98609)</f>
        <v>16.98609</v>
      </c>
      <c r="V167" s="32">
        <f>IFERROR(__xludf.DUMMYFUNCTION("""COMPUTED_VALUE"""),24.676228)</f>
        <v>24.676228</v>
      </c>
      <c r="W167" s="32">
        <f>IFERROR(__xludf.DUMMYFUNCTION("""COMPUTED_VALUE"""),97.610835)</f>
        <v>97.610835</v>
      </c>
      <c r="X167" s="32">
        <f>IFERROR(__xludf.DUMMYFUNCTION("""COMPUTED_VALUE"""),48.246514)</f>
        <v>48.246514</v>
      </c>
      <c r="Y167" s="32">
        <f>IFERROR(__xludf.DUMMYFUNCTION("""COMPUTED_VALUE"""),31.604267)</f>
        <v>31.604267</v>
      </c>
      <c r="Z167" s="32">
        <f>IFERROR(__xludf.DUMMYFUNCTION("""COMPUTED_VALUE"""),33.407438)</f>
        <v>33.407438</v>
      </c>
      <c r="AA167" s="32">
        <f>IFERROR(__xludf.DUMMYFUNCTION("""COMPUTED_VALUE"""),61.8842)</f>
        <v>61.8842</v>
      </c>
      <c r="AB167" s="32">
        <f>IFERROR(__xludf.DUMMYFUNCTION("""COMPUTED_VALUE"""),43.74715)</f>
        <v>43.74715</v>
      </c>
      <c r="AC167" s="32">
        <f>IFERROR(__xludf.DUMMYFUNCTION("""COMPUTED_VALUE"""),15.1685)</f>
        <v>15.1685</v>
      </c>
      <c r="AD167" s="32">
        <f>IFERROR(__xludf.DUMMYFUNCTION("""COMPUTED_VALUE"""),8.50805)</f>
        <v>8.50805</v>
      </c>
      <c r="AE167" s="32">
        <f>IFERROR(__xludf.DUMMYFUNCTION("""COMPUTED_VALUE"""),2.442945)</f>
        <v>2.442945</v>
      </c>
      <c r="AF167" s="32">
        <f>IFERROR(__xludf.DUMMYFUNCTION("""COMPUTED_VALUE"""),2.903874)</f>
        <v>2.903874</v>
      </c>
      <c r="AG167" s="32">
        <f>IFERROR(__xludf.DUMMYFUNCTION("""COMPUTED_VALUE"""),0.2147)</f>
        <v>0.2147</v>
      </c>
      <c r="AH167" s="32">
        <f>IFERROR(__xludf.DUMMYFUNCTION("""COMPUTED_VALUE"""),35.031785)</f>
        <v>35.031785</v>
      </c>
      <c r="AI167" s="32">
        <f>IFERROR(__xludf.DUMMYFUNCTION("""COMPUTED_VALUE"""),6.713195455591154)</f>
        <v>6.713195456</v>
      </c>
      <c r="AJ167" s="32">
        <f>IFERROR(__xludf.DUMMYFUNCTION("""COMPUTED_VALUE"""),106.80743563633311)</f>
        <v>106.8074356</v>
      </c>
      <c r="AK167" s="32">
        <f>IFERROR(__xludf.DUMMYFUNCTION("""COMPUTED_VALUE"""),56.7996)</f>
        <v>56.7996</v>
      </c>
      <c r="AL167" s="32">
        <f>IFERROR(__xludf.DUMMYFUNCTION("""COMPUTED_VALUE"""),231.7302)</f>
        <v>231.7302</v>
      </c>
      <c r="AM167" s="32">
        <f>IFERROR(__xludf.DUMMYFUNCTION("""COMPUTED_VALUE"""),32.906077)</f>
        <v>32.906077</v>
      </c>
      <c r="AN167" s="32">
        <f>IFERROR(__xludf.DUMMYFUNCTION("""COMPUTED_VALUE"""),-3.868508)</f>
        <v>-3.868508</v>
      </c>
      <c r="AO167" s="32">
        <f>IFERROR(__xludf.DUMMYFUNCTION("""COMPUTED_VALUE"""),7.5)</f>
        <v>7.5</v>
      </c>
      <c r="AP167" s="32">
        <f>IFERROR(__xludf.DUMMYFUNCTION("""COMPUTED_VALUE"""),0.026180855510659)</f>
        <v>0.02618085551</v>
      </c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>
      <c r="A168" s="13" t="str">
        <f>IFERROR(__xludf.DUMMYFUNCTION("""COMPUTED_VALUE"""),"Titan Company Ltd.")</f>
        <v>Titan Company Ltd.</v>
      </c>
      <c r="B168" s="30">
        <f>IFERROR(__xludf.DUMMYFUNCTION("""COMPUTED_VALUE"""),500114.0)</f>
        <v>500114</v>
      </c>
      <c r="C168" s="13" t="str">
        <f>IFERROR(__xludf.DUMMYFUNCTION("""COMPUTED_VALUE"""),"TITAN")</f>
        <v>TITAN</v>
      </c>
      <c r="D168" s="13" t="str">
        <f>IFERROR(__xludf.DUMMYFUNCTION("""COMPUTED_VALUE"""),"INE280A01028")</f>
        <v>INE280A01028</v>
      </c>
      <c r="E168" s="13" t="str">
        <f>IFERROR(__xludf.DUMMYFUNCTION("""COMPUTED_VALUE"""),"Consumer Discretionary")</f>
        <v>Consumer Discretionary</v>
      </c>
      <c r="F168" s="13" t="str">
        <f>IFERROR(__xludf.DUMMYFUNCTION("""COMPUTED_VALUE"""),"Gems, Jewellery &amp; Accessories")</f>
        <v>Gems, Jewellery &amp; Accessories</v>
      </c>
      <c r="G168" s="31">
        <f>IFERROR(__xludf.DUMMYFUNCTION("""COMPUTED_VALUE"""),44809.0)</f>
        <v>44809</v>
      </c>
      <c r="H168" s="32">
        <f>IFERROR(__xludf.DUMMYFUNCTION("""COMPUTED_VALUE"""),2627.35)</f>
        <v>2627.35</v>
      </c>
      <c r="I168" s="32">
        <f>IFERROR(__xludf.DUMMYFUNCTION("""COMPUTED_VALUE"""),0.564572)</f>
        <v>0.564572</v>
      </c>
      <c r="J168" s="32">
        <f>IFERROR(__xludf.DUMMYFUNCTION("""COMPUTED_VALUE"""),1825.05)</f>
        <v>1825.05</v>
      </c>
      <c r="K168" s="32">
        <f>IFERROR(__xludf.DUMMYFUNCTION("""COMPUTED_VALUE"""),2768.0)</f>
        <v>2768</v>
      </c>
      <c r="L168" s="32">
        <f>IFERROR(__xludf.DUMMYFUNCTION("""COMPUTED_VALUE"""),720.0)</f>
        <v>720</v>
      </c>
      <c r="M168" s="32">
        <f>IFERROR(__xludf.DUMMYFUNCTION("""COMPUTED_VALUE"""),2768.0)</f>
        <v>2768</v>
      </c>
      <c r="N168" s="32">
        <f>IFERROR(__xludf.DUMMYFUNCTION("""COMPUTED_VALUE"""),563.6)</f>
        <v>563.6</v>
      </c>
      <c r="O168" s="32">
        <f>IFERROR(__xludf.DUMMYFUNCTION("""COMPUTED_VALUE"""),2768.0)</f>
        <v>2768</v>
      </c>
      <c r="P168" s="32">
        <f>IFERROR(__xludf.DUMMYFUNCTION("""COMPUTED_VALUE"""),1.165)</f>
        <v>1.165</v>
      </c>
      <c r="Q168" s="32">
        <f>IFERROR(__xludf.DUMMYFUNCTION("""COMPUTED_VALUE"""),2768.0)</f>
        <v>2768</v>
      </c>
      <c r="R168" s="32">
        <f>IFERROR(__xludf.DUMMYFUNCTION("""COMPUTED_VALUE"""),233252.4967476)</f>
        <v>233252.4967</v>
      </c>
      <c r="S168" s="32">
        <f>IFERROR(__xludf.DUMMYFUNCTION("""COMPUTED_VALUE"""),236217.744992)</f>
        <v>236217.745</v>
      </c>
      <c r="T168" s="32">
        <f>IFERROR(__xludf.DUMMYFUNCTION("""COMPUTED_VALUE"""),3.728927)</f>
        <v>3.728927</v>
      </c>
      <c r="U168" s="32">
        <f>IFERROR(__xludf.DUMMYFUNCTION("""COMPUTED_VALUE"""),8.404679)</f>
        <v>8.404679</v>
      </c>
      <c r="V168" s="32">
        <f>IFERROR(__xludf.DUMMYFUNCTION("""COMPUTED_VALUE"""),19.186627)</f>
        <v>19.186627</v>
      </c>
      <c r="W168" s="32">
        <f>IFERROR(__xludf.DUMMYFUNCTION("""COMPUTED_VALUE"""),30.11192)</f>
        <v>30.11192</v>
      </c>
      <c r="X168" s="32">
        <f>IFERROR(__xludf.DUMMYFUNCTION("""COMPUTED_VALUE"""),36.317561)</f>
        <v>36.317561</v>
      </c>
      <c r="Y168" s="32">
        <f>IFERROR(__xludf.DUMMYFUNCTION("""COMPUTED_VALUE"""),33.819015)</f>
        <v>33.819015</v>
      </c>
      <c r="Z168" s="32">
        <f>IFERROR(__xludf.DUMMYFUNCTION("""COMPUTED_VALUE"""),27.82278)</f>
        <v>27.82278</v>
      </c>
      <c r="AA168" s="32">
        <f>IFERROR(__xludf.DUMMYFUNCTION("""COMPUTED_VALUE"""),79.304)</f>
        <v>79.304</v>
      </c>
      <c r="AB168" s="32">
        <f>IFERROR(__xludf.DUMMYFUNCTION("""COMPUTED_VALUE"""),78.42875)</f>
        <v>78.42875</v>
      </c>
      <c r="AC168" s="32">
        <f>IFERROR(__xludf.DUMMYFUNCTION("""COMPUTED_VALUE"""),23.0991)</f>
        <v>23.0991</v>
      </c>
      <c r="AD168" s="32">
        <f>IFERROR(__xludf.DUMMYFUNCTION("""COMPUTED_VALUE"""),17.3167)</f>
        <v>17.3167</v>
      </c>
      <c r="AE168" s="32">
        <f>IFERROR(__xludf.DUMMYFUNCTION("""COMPUTED_VALUE"""),1.875996)</f>
        <v>1.875996</v>
      </c>
      <c r="AF168" s="32">
        <f>IFERROR(__xludf.DUMMYFUNCTION("""COMPUTED_VALUE"""),2.690763)</f>
        <v>2.690763</v>
      </c>
      <c r="AG168" s="32">
        <f>IFERROR(__xludf.DUMMYFUNCTION("""COMPUTED_VALUE"""),0.2858)</f>
        <v>0.2858</v>
      </c>
      <c r="AH168" s="32">
        <f>IFERROR(__xludf.DUMMYFUNCTION("""COMPUTED_VALUE"""),50.996922)</f>
        <v>50.996922</v>
      </c>
      <c r="AI168" s="32">
        <f>IFERROR(__xludf.DUMMYFUNCTION("""COMPUTED_VALUE"""),6.986117669450102)</f>
        <v>6.986117669</v>
      </c>
      <c r="AJ168" s="32">
        <f>IFERROR(__xludf.DUMMYFUNCTION("""COMPUTED_VALUE"""),-322.17195683370164)</f>
        <v>-322.1719568</v>
      </c>
      <c r="AK168" s="32">
        <f>IFERROR(__xludf.DUMMYFUNCTION("""COMPUTED_VALUE"""),33.0936)</f>
        <v>33.0936</v>
      </c>
      <c r="AL168" s="32">
        <f>IFERROR(__xludf.DUMMYFUNCTION("""COMPUTED_VALUE"""),113.6172)</f>
        <v>113.6172</v>
      </c>
      <c r="AM168" s="32">
        <f>IFERROR(__xludf.DUMMYFUNCTION("""COMPUTED_VALUE"""),-8.134831)</f>
        <v>-8.134831</v>
      </c>
      <c r="AN168" s="32">
        <f>IFERROR(__xludf.DUMMYFUNCTION("""COMPUTED_VALUE"""),-9.516854)</f>
        <v>-9.516854</v>
      </c>
      <c r="AO168" s="32">
        <f>IFERROR(__xludf.DUMMYFUNCTION("""COMPUTED_VALUE"""),7.5)</f>
        <v>7.5</v>
      </c>
      <c r="AP168" s="32">
        <f>IFERROR(__xludf.DUMMYFUNCTION("""COMPUTED_VALUE"""),0.050812861271676335)</f>
        <v>0.05081286127</v>
      </c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>
      <c r="A169" s="13" t="str">
        <f>IFERROR(__xludf.DUMMYFUNCTION("""COMPUTED_VALUE"""),"Mazagon Dock Shipbuilders Ltd.")</f>
        <v>Mazagon Dock Shipbuilders Ltd.</v>
      </c>
      <c r="B169" s="30">
        <f>IFERROR(__xludf.DUMMYFUNCTION("""COMPUTED_VALUE"""),543237.0)</f>
        <v>543237</v>
      </c>
      <c r="C169" s="13" t="str">
        <f>IFERROR(__xludf.DUMMYFUNCTION("""COMPUTED_VALUE"""),"MAZDOCK")</f>
        <v>MAZDOCK</v>
      </c>
      <c r="D169" s="13" t="str">
        <f>IFERROR(__xludf.DUMMYFUNCTION("""COMPUTED_VALUE"""),"INE249Z01012")</f>
        <v>INE249Z01012</v>
      </c>
      <c r="E169" s="13" t="str">
        <f>IFERROR(__xludf.DUMMYFUNCTION("""COMPUTED_VALUE"""),"Capital Goods")</f>
        <v>Capital Goods</v>
      </c>
      <c r="F169" s="13" t="str">
        <f>IFERROR(__xludf.DUMMYFUNCTION("""COMPUTED_VALUE"""),"Ship Building")</f>
        <v>Ship Building</v>
      </c>
      <c r="G169" s="31">
        <f>IFERROR(__xludf.DUMMYFUNCTION("""COMPUTED_VALUE"""),44809.0)</f>
        <v>44809</v>
      </c>
      <c r="H169" s="32">
        <f>IFERROR(__xludf.DUMMYFUNCTION("""COMPUTED_VALUE"""),392.1)</f>
        <v>392.1</v>
      </c>
      <c r="I169" s="32">
        <f>IFERROR(__xludf.DUMMYFUNCTION("""COMPUTED_VALUE"""),-1.358491)</f>
        <v>-1.358491</v>
      </c>
      <c r="J169" s="32">
        <f>IFERROR(__xludf.DUMMYFUNCTION("""COMPUTED_VALUE"""),225.4)</f>
        <v>225.4</v>
      </c>
      <c r="K169" s="32">
        <f>IFERROR(__xludf.DUMMYFUNCTION("""COMPUTED_VALUE"""),417.0)</f>
        <v>417</v>
      </c>
      <c r="L169" s="13"/>
      <c r="M169" s="13"/>
      <c r="N169" s="13"/>
      <c r="O169" s="13"/>
      <c r="P169" s="32">
        <f>IFERROR(__xludf.DUMMYFUNCTION("""COMPUTED_VALUE"""),164.0)</f>
        <v>164</v>
      </c>
      <c r="Q169" s="32">
        <f>IFERROR(__xludf.DUMMYFUNCTION("""COMPUTED_VALUE"""),417.0)</f>
        <v>417</v>
      </c>
      <c r="R169" s="32">
        <f>IFERROR(__xludf.DUMMYFUNCTION("""COMPUTED_VALUE"""),7901.20575)</f>
        <v>7901.20575</v>
      </c>
      <c r="S169" s="32">
        <f>IFERROR(__xludf.DUMMYFUNCTION("""COMPUTED_VALUE"""),-9.72405)</f>
        <v>-9.72405</v>
      </c>
      <c r="T169" s="32">
        <f>IFERROR(__xludf.DUMMYFUNCTION("""COMPUTED_VALUE"""),10.715798)</f>
        <v>10.715798</v>
      </c>
      <c r="U169" s="32">
        <f>IFERROR(__xludf.DUMMYFUNCTION("""COMPUTED_VALUE"""),43.10219)</f>
        <v>43.10219</v>
      </c>
      <c r="V169" s="32">
        <f>IFERROR(__xludf.DUMMYFUNCTION("""COMPUTED_VALUE"""),37.313956)</f>
        <v>37.313956</v>
      </c>
      <c r="W169" s="32">
        <f>IFERROR(__xludf.DUMMYFUNCTION("""COMPUTED_VALUE"""),53.976046)</f>
        <v>53.976046</v>
      </c>
      <c r="X169" s="13"/>
      <c r="Y169" s="13"/>
      <c r="Z169" s="13"/>
      <c r="AA169" s="32">
        <f>IFERROR(__xludf.DUMMYFUNCTION("""COMPUTED_VALUE"""),10.7643)</f>
        <v>10.7643</v>
      </c>
      <c r="AB169" s="32">
        <f>IFERROR(__xludf.DUMMYFUNCTION("""COMPUTED_VALUE"""),8.4821)</f>
        <v>8.4821</v>
      </c>
      <c r="AC169" s="32">
        <f>IFERROR(__xludf.DUMMYFUNCTION("""COMPUTED_VALUE"""),1.9391)</f>
        <v>1.9391</v>
      </c>
      <c r="AD169" s="32">
        <f>IFERROR(__xludf.DUMMYFUNCTION("""COMPUTED_VALUE"""),1.4489)</f>
        <v>1.4489</v>
      </c>
      <c r="AE169" s="32">
        <f>IFERROR(__xludf.DUMMYFUNCTION("""COMPUTED_VALUE"""),-1088.432314)</f>
        <v>-1088.432314</v>
      </c>
      <c r="AF169" s="32">
        <f>IFERROR(__xludf.DUMMYFUNCTION("""COMPUTED_VALUE"""),0.369507)</f>
        <v>0.369507</v>
      </c>
      <c r="AG169" s="32">
        <f>IFERROR(__xludf.DUMMYFUNCTION("""COMPUTED_VALUE"""),2.2285)</f>
        <v>2.2285</v>
      </c>
      <c r="AH169" s="32">
        <f>IFERROR(__xludf.DUMMYFUNCTION("""COMPUTED_VALUE"""),-0.009759)</f>
        <v>-0.009759</v>
      </c>
      <c r="AI169" s="32">
        <f>IFERROR(__xludf.DUMMYFUNCTION("""COMPUTED_VALUE"""),1.1706599959107233)</f>
        <v>1.170659996</v>
      </c>
      <c r="AJ169" s="32">
        <f>IFERROR(__xludf.DUMMYFUNCTION("""COMPUTED_VALUE"""),115.8364719249377)</f>
        <v>115.8364719</v>
      </c>
      <c r="AK169" s="32">
        <f>IFERROR(__xludf.DUMMYFUNCTION("""COMPUTED_VALUE"""),36.3935)</f>
        <v>36.3935</v>
      </c>
      <c r="AL169" s="32">
        <f>IFERROR(__xludf.DUMMYFUNCTION("""COMPUTED_VALUE"""),202.0279)</f>
        <v>202.0279</v>
      </c>
      <c r="AM169" s="32">
        <f>IFERROR(__xludf.DUMMYFUNCTION("""COMPUTED_VALUE"""),3.381923)</f>
        <v>3.381923</v>
      </c>
      <c r="AN169" s="32">
        <f>IFERROR(__xludf.DUMMYFUNCTION("""COMPUTED_VALUE"""),20.051068)</f>
        <v>20.051068</v>
      </c>
      <c r="AO169" s="32">
        <f>IFERROR(__xludf.DUMMYFUNCTION("""COMPUTED_VALUE"""),7.24)</f>
        <v>7.24</v>
      </c>
      <c r="AP169" s="32">
        <f>IFERROR(__xludf.DUMMYFUNCTION("""COMPUTED_VALUE"""),0.059712230215827285)</f>
        <v>0.05971223022</v>
      </c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>
      <c r="A170" s="13" t="str">
        <f>IFERROR(__xludf.DUMMYFUNCTION("""COMPUTED_VALUE"""),"State Bank Of India")</f>
        <v>State Bank Of India</v>
      </c>
      <c r="B170" s="30">
        <f>IFERROR(__xludf.DUMMYFUNCTION("""COMPUTED_VALUE"""),500112.0)</f>
        <v>500112</v>
      </c>
      <c r="C170" s="13" t="str">
        <f>IFERROR(__xludf.DUMMYFUNCTION("""COMPUTED_VALUE"""),"SBIN")</f>
        <v>SBIN</v>
      </c>
      <c r="D170" s="13" t="str">
        <f>IFERROR(__xludf.DUMMYFUNCTION("""COMPUTED_VALUE"""),"INE062A01020")</f>
        <v>INE062A01020</v>
      </c>
      <c r="E170" s="13" t="str">
        <f>IFERROR(__xludf.DUMMYFUNCTION("""COMPUTED_VALUE"""),"Financial")</f>
        <v>Financial</v>
      </c>
      <c r="F170" s="13" t="str">
        <f>IFERROR(__xludf.DUMMYFUNCTION("""COMPUTED_VALUE"""),"Banking")</f>
        <v>Banking</v>
      </c>
      <c r="G170" s="31">
        <f>IFERROR(__xludf.DUMMYFUNCTION("""COMPUTED_VALUE"""),44809.0)</f>
        <v>44809</v>
      </c>
      <c r="H170" s="32">
        <f>IFERROR(__xludf.DUMMYFUNCTION("""COMPUTED_VALUE"""),538.9)</f>
        <v>538.9</v>
      </c>
      <c r="I170" s="32">
        <f>IFERROR(__xludf.DUMMYFUNCTION("""COMPUTED_VALUE"""),0.409912)</f>
        <v>0.409912</v>
      </c>
      <c r="J170" s="32">
        <f>IFERROR(__xludf.DUMMYFUNCTION("""COMPUTED_VALUE"""),425.0)</f>
        <v>425</v>
      </c>
      <c r="K170" s="32">
        <f>IFERROR(__xludf.DUMMYFUNCTION("""COMPUTED_VALUE"""),549.05)</f>
        <v>549.05</v>
      </c>
      <c r="L170" s="32">
        <f>IFERROR(__xludf.DUMMYFUNCTION("""COMPUTED_VALUE"""),149.45)</f>
        <v>149.45</v>
      </c>
      <c r="M170" s="32">
        <f>IFERROR(__xludf.DUMMYFUNCTION("""COMPUTED_VALUE"""),549.05)</f>
        <v>549.05</v>
      </c>
      <c r="N170" s="32">
        <f>IFERROR(__xludf.DUMMYFUNCTION("""COMPUTED_VALUE"""),149.45)</f>
        <v>149.45</v>
      </c>
      <c r="O170" s="32">
        <f>IFERROR(__xludf.DUMMYFUNCTION("""COMPUTED_VALUE"""),549.05)</f>
        <v>549.05</v>
      </c>
      <c r="P170" s="32">
        <f>IFERROR(__xludf.DUMMYFUNCTION("""COMPUTED_VALUE"""),13.195133)</f>
        <v>13.195133</v>
      </c>
      <c r="Q170" s="32">
        <f>IFERROR(__xludf.DUMMYFUNCTION("""COMPUTED_VALUE"""),549.05)</f>
        <v>549.05</v>
      </c>
      <c r="R170" s="32">
        <f>IFERROR(__xludf.DUMMYFUNCTION("""COMPUTED_VALUE"""),480947.32634525996)</f>
        <v>480947.3263</v>
      </c>
      <c r="S170" s="32">
        <f>IFERROR(__xludf.DUMMYFUNCTION("""COMPUTED_VALUE"""),529015.45837043)</f>
        <v>529015.4584</v>
      </c>
      <c r="T170" s="32">
        <f>IFERROR(__xludf.DUMMYFUNCTION("""COMPUTED_VALUE"""),2.88278)</f>
        <v>2.88278</v>
      </c>
      <c r="U170" s="32">
        <f>IFERROR(__xludf.DUMMYFUNCTION("""COMPUTED_VALUE"""),1.059541)</f>
        <v>1.059541</v>
      </c>
      <c r="V170" s="32">
        <f>IFERROR(__xludf.DUMMYFUNCTION("""COMPUTED_VALUE"""),16.017223)</f>
        <v>16.017223</v>
      </c>
      <c r="W170" s="32">
        <f>IFERROR(__xludf.DUMMYFUNCTION("""COMPUTED_VALUE"""),24.918869)</f>
        <v>24.918869</v>
      </c>
      <c r="X170" s="32">
        <f>IFERROR(__xludf.DUMMYFUNCTION("""COMPUTED_VALUE"""),25.12359)</f>
        <v>25.12359</v>
      </c>
      <c r="Y170" s="32">
        <f>IFERROR(__xludf.DUMMYFUNCTION("""COMPUTED_VALUE"""),14.174948)</f>
        <v>14.174948</v>
      </c>
      <c r="Z170" s="32">
        <f>IFERROR(__xludf.DUMMYFUNCTION("""COMPUTED_VALUE"""),11.134958)</f>
        <v>11.134958</v>
      </c>
      <c r="AA170" s="32">
        <f>IFERROR(__xludf.DUMMYFUNCTION("""COMPUTED_VALUE"""),13.6185)</f>
        <v>13.6185</v>
      </c>
      <c r="AB170" s="32">
        <f>IFERROR(__xludf.DUMMYFUNCTION("""COMPUTED_VALUE"""),15.32375)</f>
        <v>15.32375</v>
      </c>
      <c r="AC170" s="32">
        <f>IFERROR(__xludf.DUMMYFUNCTION("""COMPUTED_VALUE"""),1.6326)</f>
        <v>1.6326</v>
      </c>
      <c r="AD170" s="32">
        <f>IFERROR(__xludf.DUMMYFUNCTION("""COMPUTED_VALUE"""),1.30835)</f>
        <v>1.30835</v>
      </c>
      <c r="AE170" s="32">
        <f>IFERROR(__xludf.DUMMYFUNCTION("""COMPUTED_VALUE"""),49.490566)</f>
        <v>49.490566</v>
      </c>
      <c r="AF170" s="32">
        <f>IFERROR(__xludf.DUMMYFUNCTION("""COMPUTED_VALUE"""),1.210966)</f>
        <v>1.210966</v>
      </c>
      <c r="AG170" s="32">
        <f>IFERROR(__xludf.DUMMYFUNCTION("""COMPUTED_VALUE"""),1.3174)</f>
        <v>1.3174</v>
      </c>
      <c r="AH170" s="32">
        <f>IFERROR(__xludf.DUMMYFUNCTION("""COMPUTED_VALUE"""),6.779552)</f>
        <v>6.779552</v>
      </c>
      <c r="AI170" s="32">
        <f>IFERROR(__xludf.DUMMYFUNCTION("""COMPUTED_VALUE"""),1.6150358044808886)</f>
        <v>1.615035804</v>
      </c>
      <c r="AJ170" s="32">
        <f>IFERROR(__xludf.DUMMYFUNCTION("""COMPUTED_VALUE"""),8.336053501396616)</f>
        <v>8.336053501</v>
      </c>
      <c r="AK170" s="32">
        <f>IFERROR(__xludf.DUMMYFUNCTION("""COMPUTED_VALUE"""),39.5749)</f>
        <v>39.5749</v>
      </c>
      <c r="AL170" s="32">
        <f>IFERROR(__xludf.DUMMYFUNCTION("""COMPUTED_VALUE"""),330.1211)</f>
        <v>330.1211</v>
      </c>
      <c r="AM170" s="32">
        <f>IFERROR(__xludf.DUMMYFUNCTION("""COMPUTED_VALUE"""),64.646896)</f>
        <v>64.646896</v>
      </c>
      <c r="AN170" s="32">
        <f>IFERROR(__xludf.DUMMYFUNCTION("""COMPUTED_VALUE"""),21.431694)</f>
        <v>21.431694</v>
      </c>
      <c r="AO170" s="32">
        <f>IFERROR(__xludf.DUMMYFUNCTION("""COMPUTED_VALUE"""),7.1)</f>
        <v>7.1</v>
      </c>
      <c r="AP170" s="32">
        <f>IFERROR(__xludf.DUMMYFUNCTION("""COMPUTED_VALUE"""),0.018486476641471593)</f>
        <v>0.01848647664</v>
      </c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>
      <c r="A171" s="13" t="str">
        <f>IFERROR(__xludf.DUMMYFUNCTION("""COMPUTED_VALUE"""),"Bharat Forge Ltd.")</f>
        <v>Bharat Forge Ltd.</v>
      </c>
      <c r="B171" s="30">
        <f>IFERROR(__xludf.DUMMYFUNCTION("""COMPUTED_VALUE"""),500493.0)</f>
        <v>500493</v>
      </c>
      <c r="C171" s="13" t="str">
        <f>IFERROR(__xludf.DUMMYFUNCTION("""COMPUTED_VALUE"""),"BHARATFORG")</f>
        <v>BHARATFORG</v>
      </c>
      <c r="D171" s="13" t="str">
        <f>IFERROR(__xludf.DUMMYFUNCTION("""COMPUTED_VALUE"""),"INE465A01025")</f>
        <v>INE465A01025</v>
      </c>
      <c r="E171" s="13" t="str">
        <f>IFERROR(__xludf.DUMMYFUNCTION("""COMPUTED_VALUE"""),"Automobile")</f>
        <v>Automobile</v>
      </c>
      <c r="F171" s="13" t="str">
        <f>IFERROR(__xludf.DUMMYFUNCTION("""COMPUTED_VALUE"""),"Auto Ancillaries")</f>
        <v>Auto Ancillaries</v>
      </c>
      <c r="G171" s="31">
        <f>IFERROR(__xludf.DUMMYFUNCTION("""COMPUTED_VALUE"""),44809.0)</f>
        <v>44809</v>
      </c>
      <c r="H171" s="32">
        <f>IFERROR(__xludf.DUMMYFUNCTION("""COMPUTED_VALUE"""),767.7)</f>
        <v>767.7</v>
      </c>
      <c r="I171" s="32">
        <f>IFERROR(__xludf.DUMMYFUNCTION("""COMPUTED_VALUE"""),0.130429)</f>
        <v>0.130429</v>
      </c>
      <c r="J171" s="32">
        <f>IFERROR(__xludf.DUMMYFUNCTION("""COMPUTED_VALUE"""),595.0)</f>
        <v>595</v>
      </c>
      <c r="K171" s="32">
        <f>IFERROR(__xludf.DUMMYFUNCTION("""COMPUTED_VALUE"""),848.0)</f>
        <v>848</v>
      </c>
      <c r="L171" s="32">
        <f>IFERROR(__xludf.DUMMYFUNCTION("""COMPUTED_VALUE"""),207.5)</f>
        <v>207.5</v>
      </c>
      <c r="M171" s="32">
        <f>IFERROR(__xludf.DUMMYFUNCTION("""COMPUTED_VALUE"""),848.0)</f>
        <v>848</v>
      </c>
      <c r="N171" s="32">
        <f>IFERROR(__xludf.DUMMYFUNCTION("""COMPUTED_VALUE"""),207.5)</f>
        <v>207.5</v>
      </c>
      <c r="O171" s="32">
        <f>IFERROR(__xludf.DUMMYFUNCTION("""COMPUTED_VALUE"""),848.0)</f>
        <v>848</v>
      </c>
      <c r="P171" s="32">
        <f>IFERROR(__xludf.DUMMYFUNCTION("""COMPUTED_VALUE"""),20.5)</f>
        <v>20.5</v>
      </c>
      <c r="Q171" s="32">
        <f>IFERROR(__xludf.DUMMYFUNCTION("""COMPUTED_VALUE"""),848.0)</f>
        <v>848</v>
      </c>
      <c r="R171" s="32">
        <f>IFERROR(__xludf.DUMMYFUNCTION("""COMPUTED_VALUE"""),35743.23927864)</f>
        <v>35743.23928</v>
      </c>
      <c r="S171" s="32">
        <f>IFERROR(__xludf.DUMMYFUNCTION("""COMPUTED_VALUE"""),38847.16124492)</f>
        <v>38847.16124</v>
      </c>
      <c r="T171" s="32">
        <f>IFERROR(__xludf.DUMMYFUNCTION("""COMPUTED_VALUE"""),4.762555)</f>
        <v>4.762555</v>
      </c>
      <c r="U171" s="32">
        <f>IFERROR(__xludf.DUMMYFUNCTION("""COMPUTED_VALUE"""),8.027862)</f>
        <v>8.027862</v>
      </c>
      <c r="V171" s="32">
        <f>IFERROR(__xludf.DUMMYFUNCTION("""COMPUTED_VALUE"""),16.494689)</f>
        <v>16.494689</v>
      </c>
      <c r="W171" s="32">
        <f>IFERROR(__xludf.DUMMYFUNCTION("""COMPUTED_VALUE"""),-2.982434)</f>
        <v>-2.982434</v>
      </c>
      <c r="X171" s="32">
        <f>IFERROR(__xludf.DUMMYFUNCTION("""COMPUTED_VALUE"""),26.16765)</f>
        <v>26.16765</v>
      </c>
      <c r="Y171" s="32">
        <f>IFERROR(__xludf.DUMMYFUNCTION("""COMPUTED_VALUE"""),6.414846)</f>
        <v>6.414846</v>
      </c>
      <c r="Z171" s="32">
        <f>IFERROR(__xludf.DUMMYFUNCTION("""COMPUTED_VALUE"""),18.719861)</f>
        <v>18.719861</v>
      </c>
      <c r="AA171" s="32">
        <f>IFERROR(__xludf.DUMMYFUNCTION("""COMPUTED_VALUE"""),32.7173)</f>
        <v>32.7173</v>
      </c>
      <c r="AB171" s="32">
        <f>IFERROR(__xludf.DUMMYFUNCTION("""COMPUTED_VALUE"""),37.34585)</f>
        <v>37.34585</v>
      </c>
      <c r="AC171" s="32">
        <f>IFERROR(__xludf.DUMMYFUNCTION("""COMPUTED_VALUE"""),5.3099)</f>
        <v>5.3099</v>
      </c>
      <c r="AD171" s="32">
        <f>IFERROR(__xludf.DUMMYFUNCTION("""COMPUTED_VALUE"""),5.0449)</f>
        <v>5.0449</v>
      </c>
      <c r="AE171" s="32">
        <f>IFERROR(__xludf.DUMMYFUNCTION("""COMPUTED_VALUE"""),4.178065)</f>
        <v>4.178065</v>
      </c>
      <c r="AF171" s="32">
        <f>IFERROR(__xludf.DUMMYFUNCTION("""COMPUTED_VALUE"""),3.360195)</f>
        <v>3.360195</v>
      </c>
      <c r="AG171" s="32">
        <f>IFERROR(__xludf.DUMMYFUNCTION("""COMPUTED_VALUE"""),0.9118)</f>
        <v>0.9118</v>
      </c>
      <c r="AH171" s="32">
        <f>IFERROR(__xludf.DUMMYFUNCTION("""COMPUTED_VALUE"""),17.809758)</f>
        <v>17.809758</v>
      </c>
      <c r="AI171" s="32">
        <f>IFERROR(__xludf.DUMMYFUNCTION("""COMPUTED_VALUE"""),3.189975004485998)</f>
        <v>3.189975004</v>
      </c>
      <c r="AJ171" s="32">
        <f>IFERROR(__xludf.DUMMYFUNCTION("""COMPUTED_VALUE"""),70.66003874412867)</f>
        <v>70.66003874</v>
      </c>
      <c r="AK171" s="32">
        <f>IFERROR(__xludf.DUMMYFUNCTION("""COMPUTED_VALUE"""),23.4662)</f>
        <v>23.4662</v>
      </c>
      <c r="AL171" s="32">
        <f>IFERROR(__xludf.DUMMYFUNCTION("""COMPUTED_VALUE"""),144.5884)</f>
        <v>144.5884</v>
      </c>
      <c r="AM171" s="32">
        <f>IFERROR(__xludf.DUMMYFUNCTION("""COMPUTED_VALUE"""),10.864666)</f>
        <v>10.864666</v>
      </c>
      <c r="AN171" s="32">
        <f>IFERROR(__xludf.DUMMYFUNCTION("""COMPUTED_VALUE"""),-9.768358)</f>
        <v>-9.768358</v>
      </c>
      <c r="AO171" s="32">
        <f>IFERROR(__xludf.DUMMYFUNCTION("""COMPUTED_VALUE"""),7.0)</f>
        <v>7</v>
      </c>
      <c r="AP171" s="32">
        <f>IFERROR(__xludf.DUMMYFUNCTION("""COMPUTED_VALUE"""),0.09469339622641504)</f>
        <v>0.09469339623</v>
      </c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>
      <c r="A172" s="13" t="str">
        <f>IFERROR(__xludf.DUMMYFUNCTION("""COMPUTED_VALUE"""),"Deepak Nitrite Ltd.")</f>
        <v>Deepak Nitrite Ltd.</v>
      </c>
      <c r="B172" s="30">
        <f>IFERROR(__xludf.DUMMYFUNCTION("""COMPUTED_VALUE"""),506401.0)</f>
        <v>506401</v>
      </c>
      <c r="C172" s="13" t="str">
        <f>IFERROR(__xludf.DUMMYFUNCTION("""COMPUTED_VALUE"""),"DEEPAKNTR")</f>
        <v>DEEPAKNTR</v>
      </c>
      <c r="D172" s="13" t="str">
        <f>IFERROR(__xludf.DUMMYFUNCTION("""COMPUTED_VALUE"""),"INE288B01029")</f>
        <v>INE288B01029</v>
      </c>
      <c r="E172" s="13" t="str">
        <f>IFERROR(__xludf.DUMMYFUNCTION("""COMPUTED_VALUE"""),"Chemicals")</f>
        <v>Chemicals</v>
      </c>
      <c r="F172" s="13" t="str">
        <f>IFERROR(__xludf.DUMMYFUNCTION("""COMPUTED_VALUE"""),"Organic Chemicals")</f>
        <v>Organic Chemicals</v>
      </c>
      <c r="G172" s="31">
        <f>IFERROR(__xludf.DUMMYFUNCTION("""COMPUTED_VALUE"""),44809.0)</f>
        <v>44809</v>
      </c>
      <c r="H172" s="32">
        <f>IFERROR(__xludf.DUMMYFUNCTION("""COMPUTED_VALUE"""),2018.4)</f>
        <v>2018.4</v>
      </c>
      <c r="I172" s="32">
        <f>IFERROR(__xludf.DUMMYFUNCTION("""COMPUTED_VALUE"""),1.795441)</f>
        <v>1.795441</v>
      </c>
      <c r="J172" s="32">
        <f>IFERROR(__xludf.DUMMYFUNCTION("""COMPUTED_VALUE"""),1681.15)</f>
        <v>1681.15</v>
      </c>
      <c r="K172" s="32">
        <f>IFERROR(__xludf.DUMMYFUNCTION("""COMPUTED_VALUE"""),3020.0)</f>
        <v>3020</v>
      </c>
      <c r="L172" s="32">
        <f>IFERROR(__xludf.DUMMYFUNCTION("""COMPUTED_VALUE"""),267.0)</f>
        <v>267</v>
      </c>
      <c r="M172" s="32">
        <f>IFERROR(__xludf.DUMMYFUNCTION("""COMPUTED_VALUE"""),3020.0)</f>
        <v>3020</v>
      </c>
      <c r="N172" s="32">
        <f>IFERROR(__xludf.DUMMYFUNCTION("""COMPUTED_VALUE"""),166.1)</f>
        <v>166.1</v>
      </c>
      <c r="O172" s="32">
        <f>IFERROR(__xludf.DUMMYFUNCTION("""COMPUTED_VALUE"""),3020.0)</f>
        <v>3020</v>
      </c>
      <c r="P172" s="32">
        <f>IFERROR(__xludf.DUMMYFUNCTION("""COMPUTED_VALUE"""),1.702296)</f>
        <v>1.702296</v>
      </c>
      <c r="Q172" s="32">
        <f>IFERROR(__xludf.DUMMYFUNCTION("""COMPUTED_VALUE"""),3020.0)</f>
        <v>3020</v>
      </c>
      <c r="R172" s="32">
        <f>IFERROR(__xludf.DUMMYFUNCTION("""COMPUTED_VALUE"""),27529.57139544)</f>
        <v>27529.5714</v>
      </c>
      <c r="S172" s="32">
        <f>IFERROR(__xludf.DUMMYFUNCTION("""COMPUTED_VALUE"""),26855.2007262)</f>
        <v>26855.20073</v>
      </c>
      <c r="T172" s="32">
        <f>IFERROR(__xludf.DUMMYFUNCTION("""COMPUTED_VALUE"""),2.942827)</f>
        <v>2.942827</v>
      </c>
      <c r="U172" s="32">
        <f>IFERROR(__xludf.DUMMYFUNCTION("""COMPUTED_VALUE"""),0.29566)</f>
        <v>0.29566</v>
      </c>
      <c r="V172" s="32">
        <f>IFERROR(__xludf.DUMMYFUNCTION("""COMPUTED_VALUE"""),3.079516)</f>
        <v>3.079516</v>
      </c>
      <c r="W172" s="32">
        <f>IFERROR(__xludf.DUMMYFUNCTION("""COMPUTED_VALUE"""),-14.063099)</f>
        <v>-14.063099</v>
      </c>
      <c r="X172" s="32">
        <f>IFERROR(__xludf.DUMMYFUNCTION("""COMPUTED_VALUE"""),95.133803)</f>
        <v>95.133803</v>
      </c>
      <c r="Y172" s="32">
        <f>IFERROR(__xludf.DUMMYFUNCTION("""COMPUTED_VALUE"""),62.65211)</f>
        <v>62.65211</v>
      </c>
      <c r="Z172" s="32">
        <f>IFERROR(__xludf.DUMMYFUNCTION("""COMPUTED_VALUE"""),61.564619)</f>
        <v>61.564619</v>
      </c>
      <c r="AA172" s="32">
        <f>IFERROR(__xludf.DUMMYFUNCTION("""COMPUTED_VALUE"""),27.5482)</f>
        <v>27.5482</v>
      </c>
      <c r="AB172" s="32">
        <f>IFERROR(__xludf.DUMMYFUNCTION("""COMPUTED_VALUE"""),28.38435)</f>
        <v>28.38435</v>
      </c>
      <c r="AC172" s="32">
        <f>IFERROR(__xludf.DUMMYFUNCTION("""COMPUTED_VALUE"""),7.6994)</f>
        <v>7.6994</v>
      </c>
      <c r="AD172" s="32">
        <f>IFERROR(__xludf.DUMMYFUNCTION("""COMPUTED_VALUE"""),4.4542)</f>
        <v>4.4542</v>
      </c>
      <c r="AE172" s="32">
        <f>IFERROR(__xludf.DUMMYFUNCTION("""COMPUTED_VALUE"""),5.20385)</f>
        <v>5.20385</v>
      </c>
      <c r="AF172" s="32">
        <f>IFERROR(__xludf.DUMMYFUNCTION("""COMPUTED_VALUE"""),0.446415)</f>
        <v>0.446415</v>
      </c>
      <c r="AG172" s="32">
        <f>IFERROR(__xludf.DUMMYFUNCTION("""COMPUTED_VALUE"""),0.3468)</f>
        <v>0.3468</v>
      </c>
      <c r="AH172" s="32">
        <f>IFERROR(__xludf.DUMMYFUNCTION("""COMPUTED_VALUE"""),17.303274)</f>
        <v>17.303274</v>
      </c>
      <c r="AI172" s="32">
        <f>IFERROR(__xludf.DUMMYFUNCTION("""COMPUTED_VALUE"""),3.753711691288199)</f>
        <v>3.753711691</v>
      </c>
      <c r="AJ172" s="32">
        <f>IFERROR(__xludf.DUMMYFUNCTION("""COMPUTED_VALUE"""),33.41616259885414)</f>
        <v>33.4161626</v>
      </c>
      <c r="AK172" s="32">
        <f>IFERROR(__xludf.DUMMYFUNCTION("""COMPUTED_VALUE"""),73.2171)</f>
        <v>73.2171</v>
      </c>
      <c r="AL172" s="32">
        <f>IFERROR(__xludf.DUMMYFUNCTION("""COMPUTED_VALUE"""),261.9678)</f>
        <v>261.9678</v>
      </c>
      <c r="AM172" s="32">
        <f>IFERROR(__xludf.DUMMYFUNCTION("""COMPUTED_VALUE"""),60.398827)</f>
        <v>60.398827</v>
      </c>
      <c r="AN172" s="32">
        <f>IFERROR(__xludf.DUMMYFUNCTION("""COMPUTED_VALUE"""),43.490469)</f>
        <v>43.490469</v>
      </c>
      <c r="AO172" s="32">
        <f>IFERROR(__xludf.DUMMYFUNCTION("""COMPUTED_VALUE"""),7.0)</f>
        <v>7</v>
      </c>
      <c r="AP172" s="32">
        <f>IFERROR(__xludf.DUMMYFUNCTION("""COMPUTED_VALUE"""),0.3316556291390728)</f>
        <v>0.3316556291</v>
      </c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>
      <c r="A173" s="13" t="str">
        <f>IFERROR(__xludf.DUMMYFUNCTION("""COMPUTED_VALUE"""),"Escorts Ltd.")</f>
        <v>Escorts Ltd.</v>
      </c>
      <c r="B173" s="30">
        <f>IFERROR(__xludf.DUMMYFUNCTION("""COMPUTED_VALUE"""),500495.0)</f>
        <v>500495</v>
      </c>
      <c r="C173" s="13" t="str">
        <f>IFERROR(__xludf.DUMMYFUNCTION("""COMPUTED_VALUE"""),"ESCORTS")</f>
        <v>ESCORTS</v>
      </c>
      <c r="D173" s="13" t="str">
        <f>IFERROR(__xludf.DUMMYFUNCTION("""COMPUTED_VALUE"""),"INE042A01014")</f>
        <v>INE042A01014</v>
      </c>
      <c r="E173" s="13" t="str">
        <f>IFERROR(__xludf.DUMMYFUNCTION("""COMPUTED_VALUE"""),"Automobile")</f>
        <v>Automobile</v>
      </c>
      <c r="F173" s="13" t="str">
        <f>IFERROR(__xludf.DUMMYFUNCTION("""COMPUTED_VALUE"""),"Tractors &amp; Farm Machinery")</f>
        <v>Tractors &amp; Farm Machinery</v>
      </c>
      <c r="G173" s="31">
        <f>IFERROR(__xludf.DUMMYFUNCTION("""COMPUTED_VALUE"""),44809.0)</f>
        <v>44809</v>
      </c>
      <c r="H173" s="32">
        <f>IFERROR(__xludf.DUMMYFUNCTION("""COMPUTED_VALUE"""),2019.6)</f>
        <v>2019.6</v>
      </c>
      <c r="I173" s="32">
        <f>IFERROR(__xludf.DUMMYFUNCTION("""COMPUTED_VALUE"""),-2.67457)</f>
        <v>-2.67457</v>
      </c>
      <c r="J173" s="32">
        <f>IFERROR(__xludf.DUMMYFUNCTION("""COMPUTED_VALUE"""),1306.7)</f>
        <v>1306.7</v>
      </c>
      <c r="K173" s="32">
        <f>IFERROR(__xludf.DUMMYFUNCTION("""COMPUTED_VALUE"""),2089.35)</f>
        <v>2089.35</v>
      </c>
      <c r="L173" s="32">
        <f>IFERROR(__xludf.DUMMYFUNCTION("""COMPUTED_VALUE"""),460.35)</f>
        <v>460.35</v>
      </c>
      <c r="M173" s="32">
        <f>IFERROR(__xludf.DUMMYFUNCTION("""COMPUTED_VALUE"""),2089.35)</f>
        <v>2089.35</v>
      </c>
      <c r="N173" s="32">
        <f>IFERROR(__xludf.DUMMYFUNCTION("""COMPUTED_VALUE"""),423.3)</f>
        <v>423.3</v>
      </c>
      <c r="O173" s="32">
        <f>IFERROR(__xludf.DUMMYFUNCTION("""COMPUTED_VALUE"""),2089.35)</f>
        <v>2089.35</v>
      </c>
      <c r="P173" s="32">
        <f>IFERROR(__xludf.DUMMYFUNCTION("""COMPUTED_VALUE"""),30.5)</f>
        <v>30.5</v>
      </c>
      <c r="Q173" s="32">
        <f>IFERROR(__xludf.DUMMYFUNCTION("""COMPUTED_VALUE"""),2089.35)</f>
        <v>2089.35</v>
      </c>
      <c r="R173" s="32">
        <f>IFERROR(__xludf.DUMMYFUNCTION("""COMPUTED_VALUE"""),26646.72438384)</f>
        <v>26646.72438</v>
      </c>
      <c r="S173" s="32">
        <f>IFERROR(__xludf.DUMMYFUNCTION("""COMPUTED_VALUE"""),22517.01592396)</f>
        <v>22517.01592</v>
      </c>
      <c r="T173" s="32">
        <f>IFERROR(__xludf.DUMMYFUNCTION("""COMPUTED_VALUE"""),9.916186)</f>
        <v>9.916186</v>
      </c>
      <c r="U173" s="32">
        <f>IFERROR(__xludf.DUMMYFUNCTION("""COMPUTED_VALUE"""),23.477623)</f>
        <v>23.477623</v>
      </c>
      <c r="V173" s="32">
        <f>IFERROR(__xludf.DUMMYFUNCTION("""COMPUTED_VALUE"""),25.992701)</f>
        <v>25.992701</v>
      </c>
      <c r="W173" s="32">
        <f>IFERROR(__xludf.DUMMYFUNCTION("""COMPUTED_VALUE"""),52.803208)</f>
        <v>52.803208</v>
      </c>
      <c r="X173" s="32">
        <f>IFERROR(__xludf.DUMMYFUNCTION("""COMPUTED_VALUE"""),63.91784)</f>
        <v>63.91784</v>
      </c>
      <c r="Y173" s="32">
        <f>IFERROR(__xludf.DUMMYFUNCTION("""COMPUTED_VALUE"""),25.61462)</f>
        <v>25.61462</v>
      </c>
      <c r="Z173" s="32">
        <f>IFERROR(__xludf.DUMMYFUNCTION("""COMPUTED_VALUE"""),41.514122)</f>
        <v>41.514122</v>
      </c>
      <c r="AA173" s="32">
        <f>IFERROR(__xludf.DUMMYFUNCTION("""COMPUTED_VALUE"""),38.1227)</f>
        <v>38.1227</v>
      </c>
      <c r="AB173" s="32">
        <f>IFERROR(__xludf.DUMMYFUNCTION("""COMPUTED_VALUE"""),24.2939)</f>
        <v>24.2939</v>
      </c>
      <c r="AC173" s="32">
        <f>IFERROR(__xludf.DUMMYFUNCTION("""COMPUTED_VALUE"""),3.4452)</f>
        <v>3.4452</v>
      </c>
      <c r="AD173" s="32">
        <f>IFERROR(__xludf.DUMMYFUNCTION("""COMPUTED_VALUE"""),3.3462)</f>
        <v>3.3462</v>
      </c>
      <c r="AE173" s="32">
        <f>IFERROR(__xludf.DUMMYFUNCTION("""COMPUTED_VALUE"""),5.466053)</f>
        <v>5.466053</v>
      </c>
      <c r="AF173" s="32">
        <f>IFERROR(__xludf.DUMMYFUNCTION("""COMPUTED_VALUE"""),0.899611)</f>
        <v>0.899611</v>
      </c>
      <c r="AG173" s="32">
        <f>IFERROR(__xludf.DUMMYFUNCTION("""COMPUTED_VALUE"""),0.3466)</f>
        <v>0.3466</v>
      </c>
      <c r="AH173" s="32">
        <f>IFERROR(__xludf.DUMMYFUNCTION("""COMPUTED_VALUE"""),20.048629)</f>
        <v>20.048629</v>
      </c>
      <c r="AI173" s="32">
        <f>IFERROR(__xludf.DUMMYFUNCTION("""COMPUTED_VALUE"""),3.5206474538348727)</f>
        <v>3.520647454</v>
      </c>
      <c r="AJ173" s="32">
        <f>IFERROR(__xludf.DUMMYFUNCTION("""COMPUTED_VALUE"""),825.4871246542751)</f>
        <v>825.4871247</v>
      </c>
      <c r="AK173" s="32">
        <f>IFERROR(__xludf.DUMMYFUNCTION("""COMPUTED_VALUE"""),52.9723)</f>
        <v>52.9723</v>
      </c>
      <c r="AL173" s="32">
        <f>IFERROR(__xludf.DUMMYFUNCTION("""COMPUTED_VALUE"""),586.1653)</f>
        <v>586.1653</v>
      </c>
      <c r="AM173" s="32">
        <f>IFERROR(__xludf.DUMMYFUNCTION("""COMPUTED_VALUE"""),2.446567)</f>
        <v>2.446567</v>
      </c>
      <c r="AN173" s="32">
        <f>IFERROR(__xludf.DUMMYFUNCTION("""COMPUTED_VALUE"""),4.404275)</f>
        <v>4.404275</v>
      </c>
      <c r="AO173" s="32">
        <f>IFERROR(__xludf.DUMMYFUNCTION("""COMPUTED_VALUE"""),7.0)</f>
        <v>7</v>
      </c>
      <c r="AP173" s="32">
        <f>IFERROR(__xludf.DUMMYFUNCTION("""COMPUTED_VALUE"""),0.03338358819728624)</f>
        <v>0.0333835882</v>
      </c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>
      <c r="A174" s="13" t="str">
        <f>IFERROR(__xludf.DUMMYFUNCTION("""COMPUTED_VALUE"""),"Garware Technical Fibres Ltd.")</f>
        <v>Garware Technical Fibres Ltd.</v>
      </c>
      <c r="B174" s="30">
        <f>IFERROR(__xludf.DUMMYFUNCTION("""COMPUTED_VALUE"""),509557.0)</f>
        <v>509557</v>
      </c>
      <c r="C174" s="13" t="str">
        <f>IFERROR(__xludf.DUMMYFUNCTION("""COMPUTED_VALUE"""),"GARFIBRES")</f>
        <v>GARFIBRES</v>
      </c>
      <c r="D174" s="13" t="str">
        <f>IFERROR(__xludf.DUMMYFUNCTION("""COMPUTED_VALUE"""),"INE276A01018")</f>
        <v>INE276A01018</v>
      </c>
      <c r="E174" s="13" t="str">
        <f>IFERROR(__xludf.DUMMYFUNCTION("""COMPUTED_VALUE"""),"Textiles")</f>
        <v>Textiles</v>
      </c>
      <c r="F174" s="13" t="str">
        <f>IFERROR(__xludf.DUMMYFUNCTION("""COMPUTED_VALUE"""),"Misc.Textiles")</f>
        <v>Misc.Textiles</v>
      </c>
      <c r="G174" s="31">
        <f>IFERROR(__xludf.DUMMYFUNCTION("""COMPUTED_VALUE"""),44809.0)</f>
        <v>44809</v>
      </c>
      <c r="H174" s="32">
        <f>IFERROR(__xludf.DUMMYFUNCTION("""COMPUTED_VALUE"""),3422.6)</f>
        <v>3422.6</v>
      </c>
      <c r="I174" s="32">
        <f>IFERROR(__xludf.DUMMYFUNCTION("""COMPUTED_VALUE"""),-0.262268)</f>
        <v>-0.262268</v>
      </c>
      <c r="J174" s="32">
        <f>IFERROR(__xludf.DUMMYFUNCTION("""COMPUTED_VALUE"""),2619.8)</f>
        <v>2619.8</v>
      </c>
      <c r="K174" s="32">
        <f>IFERROR(__xludf.DUMMYFUNCTION("""COMPUTED_VALUE"""),4033.4)</f>
        <v>4033.4</v>
      </c>
      <c r="L174" s="32">
        <f>IFERROR(__xludf.DUMMYFUNCTION("""COMPUTED_VALUE"""),872.5)</f>
        <v>872.5</v>
      </c>
      <c r="M174" s="32">
        <f>IFERROR(__xludf.DUMMYFUNCTION("""COMPUTED_VALUE"""),4033.4)</f>
        <v>4033.4</v>
      </c>
      <c r="N174" s="32">
        <f>IFERROR(__xludf.DUMMYFUNCTION("""COMPUTED_VALUE"""),850.0)</f>
        <v>850</v>
      </c>
      <c r="O174" s="32">
        <f>IFERROR(__xludf.DUMMYFUNCTION("""COMPUTED_VALUE"""),4033.4)</f>
        <v>4033.4</v>
      </c>
      <c r="P174" s="32">
        <f>IFERROR(__xludf.DUMMYFUNCTION("""COMPUTED_VALUE"""),10.0)</f>
        <v>10</v>
      </c>
      <c r="Q174" s="32">
        <f>IFERROR(__xludf.DUMMYFUNCTION("""COMPUTED_VALUE"""),4033.4)</f>
        <v>4033.4</v>
      </c>
      <c r="R174" s="32">
        <f>IFERROR(__xludf.DUMMYFUNCTION("""COMPUTED_VALUE"""),7056.77452194)</f>
        <v>7056.774522</v>
      </c>
      <c r="S174" s="32">
        <f>IFERROR(__xludf.DUMMYFUNCTION("""COMPUTED_VALUE"""),6934.21922052)</f>
        <v>6934.219221</v>
      </c>
      <c r="T174" s="32">
        <f>IFERROR(__xludf.DUMMYFUNCTION("""COMPUTED_VALUE"""),3.126083)</f>
        <v>3.126083</v>
      </c>
      <c r="U174" s="32">
        <f>IFERROR(__xludf.DUMMYFUNCTION("""COMPUTED_VALUE"""),5.967769)</f>
        <v>5.967769</v>
      </c>
      <c r="V174" s="32">
        <f>IFERROR(__xludf.DUMMYFUNCTION("""COMPUTED_VALUE"""),10.021377)</f>
        <v>10.021377</v>
      </c>
      <c r="W174" s="32">
        <f>IFERROR(__xludf.DUMMYFUNCTION("""COMPUTED_VALUE"""),4.730722)</f>
        <v>4.730722</v>
      </c>
      <c r="X174" s="32">
        <f>IFERROR(__xludf.DUMMYFUNCTION("""COMPUTED_VALUE"""),47.640741)</f>
        <v>47.640741</v>
      </c>
      <c r="Y174" s="32">
        <f>IFERROR(__xludf.DUMMYFUNCTION("""COMPUTED_VALUE"""),29.883422)</f>
        <v>29.883422</v>
      </c>
      <c r="Z174" s="32">
        <f>IFERROR(__xludf.DUMMYFUNCTION("""COMPUTED_VALUE"""),52.594406)</f>
        <v>52.594406</v>
      </c>
      <c r="AA174" s="32">
        <f>IFERROR(__xludf.DUMMYFUNCTION("""COMPUTED_VALUE"""),44.297)</f>
        <v>44.297</v>
      </c>
      <c r="AB174" s="32">
        <f>IFERROR(__xludf.DUMMYFUNCTION("""COMPUTED_VALUE"""),24.15225)</f>
        <v>24.15225</v>
      </c>
      <c r="AC174" s="32">
        <f>IFERROR(__xludf.DUMMYFUNCTION("""COMPUTED_VALUE"""),7.1421)</f>
        <v>7.1421</v>
      </c>
      <c r="AD174" s="32">
        <f>IFERROR(__xludf.DUMMYFUNCTION("""COMPUTED_VALUE"""),4.59455)</f>
        <v>4.59455</v>
      </c>
      <c r="AE174" s="32">
        <f>IFERROR(__xludf.DUMMYFUNCTION("""COMPUTED_VALUE"""),3.577372)</f>
        <v>3.577372</v>
      </c>
      <c r="AF174" s="32">
        <f>IFERROR(__xludf.DUMMYFUNCTION("""COMPUTED_VALUE"""),3.091536)</f>
        <v>3.091536</v>
      </c>
      <c r="AG174" s="32">
        <f>IFERROR(__xludf.DUMMYFUNCTION("""COMPUTED_VALUE"""),0.2034)</f>
        <v>0.2034</v>
      </c>
      <c r="AH174" s="32">
        <f>IFERROR(__xludf.DUMMYFUNCTION("""COMPUTED_VALUE"""),28.323976)</f>
        <v>28.323976</v>
      </c>
      <c r="AI174" s="32">
        <f>IFERROR(__xludf.DUMMYFUNCTION("""COMPUTED_VALUE"""),5.641948690717471)</f>
        <v>5.641948691</v>
      </c>
      <c r="AJ174" s="32">
        <f>IFERROR(__xludf.DUMMYFUNCTION("""COMPUTED_VALUE"""),110.52857940221503)</f>
        <v>110.5285794</v>
      </c>
      <c r="AK174" s="32">
        <f>IFERROR(__xludf.DUMMYFUNCTION("""COMPUTED_VALUE"""),78.1034)</f>
        <v>78.1034</v>
      </c>
      <c r="AL174" s="32">
        <f>IFERROR(__xludf.DUMMYFUNCTION("""COMPUTED_VALUE"""),484.4146)</f>
        <v>484.4146</v>
      </c>
      <c r="AM174" s="32">
        <f>IFERROR(__xludf.DUMMYFUNCTION("""COMPUTED_VALUE"""),30.9657)</f>
        <v>30.9657</v>
      </c>
      <c r="AN174" s="32">
        <f>IFERROR(__xludf.DUMMYFUNCTION("""COMPUTED_VALUE"""),30.017557)</f>
        <v>30.017557</v>
      </c>
      <c r="AO174" s="32">
        <f>IFERROR(__xludf.DUMMYFUNCTION("""COMPUTED_VALUE"""),7.0)</f>
        <v>7</v>
      </c>
      <c r="AP174" s="32">
        <f>IFERROR(__xludf.DUMMYFUNCTION("""COMPUTED_VALUE"""),0.15143551346258743)</f>
        <v>0.1514355135</v>
      </c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>
      <c r="A175" s="13" t="str">
        <f>IFERROR(__xludf.DUMMYFUNCTION("""COMPUTED_VALUE"""),"NTPC Ltd.")</f>
        <v>NTPC Ltd.</v>
      </c>
      <c r="B175" s="30">
        <f>IFERROR(__xludf.DUMMYFUNCTION("""COMPUTED_VALUE"""),532555.0)</f>
        <v>532555</v>
      </c>
      <c r="C175" s="13" t="str">
        <f>IFERROR(__xludf.DUMMYFUNCTION("""COMPUTED_VALUE"""),"NTPC")</f>
        <v>NTPC</v>
      </c>
      <c r="D175" s="13" t="str">
        <f>IFERROR(__xludf.DUMMYFUNCTION("""COMPUTED_VALUE"""),"INE733E01010")</f>
        <v>INE733E01010</v>
      </c>
      <c r="E175" s="13" t="str">
        <f>IFERROR(__xludf.DUMMYFUNCTION("""COMPUTED_VALUE"""),"Energy")</f>
        <v>Energy</v>
      </c>
      <c r="F175" s="13" t="str">
        <f>IFERROR(__xludf.DUMMYFUNCTION("""COMPUTED_VALUE"""),"Electricity Generation")</f>
        <v>Electricity Generation</v>
      </c>
      <c r="G175" s="31">
        <f>IFERROR(__xludf.DUMMYFUNCTION("""COMPUTED_VALUE"""),44809.0)</f>
        <v>44809</v>
      </c>
      <c r="H175" s="32">
        <f>IFERROR(__xludf.DUMMYFUNCTION("""COMPUTED_VALUE"""),164.5)</f>
        <v>164.5</v>
      </c>
      <c r="I175" s="32">
        <f>IFERROR(__xludf.DUMMYFUNCTION("""COMPUTED_VALUE"""),1.668727)</f>
        <v>1.668727</v>
      </c>
      <c r="J175" s="32">
        <f>IFERROR(__xludf.DUMMYFUNCTION("""COMPUTED_VALUE"""),112.4)</f>
        <v>112.4</v>
      </c>
      <c r="K175" s="32">
        <f>IFERROR(__xludf.DUMMYFUNCTION("""COMPUTED_VALUE"""),166.4)</f>
        <v>166.4</v>
      </c>
      <c r="L175" s="32">
        <f>IFERROR(__xludf.DUMMYFUNCTION("""COMPUTED_VALUE"""),73.2)</f>
        <v>73.2</v>
      </c>
      <c r="M175" s="32">
        <f>IFERROR(__xludf.DUMMYFUNCTION("""COMPUTED_VALUE"""),166.4)</f>
        <v>166.4</v>
      </c>
      <c r="N175" s="32">
        <f>IFERROR(__xludf.DUMMYFUNCTION("""COMPUTED_VALUE"""),73.2)</f>
        <v>73.2</v>
      </c>
      <c r="O175" s="32">
        <f>IFERROR(__xludf.DUMMYFUNCTION("""COMPUTED_VALUE"""),166.4)</f>
        <v>166.4</v>
      </c>
      <c r="P175" s="32">
        <f>IFERROR(__xludf.DUMMYFUNCTION("""COMPUTED_VALUE"""),56.666667)</f>
        <v>56.666667</v>
      </c>
      <c r="Q175" s="32">
        <f>IFERROR(__xludf.DUMMYFUNCTION("""COMPUTED_VALUE"""),242.5)</f>
        <v>242.5</v>
      </c>
      <c r="R175" s="32">
        <f>IFERROR(__xludf.DUMMYFUNCTION("""COMPUTED_VALUE"""),159461.67457362998)</f>
        <v>159461.6746</v>
      </c>
      <c r="S175" s="32">
        <f>IFERROR(__xludf.DUMMYFUNCTION("""COMPUTED_VALUE"""),361892.27138677996)</f>
        <v>361892.2714</v>
      </c>
      <c r="T175" s="32">
        <f>IFERROR(__xludf.DUMMYFUNCTION("""COMPUTED_VALUE"""),0.673195)</f>
        <v>0.673195</v>
      </c>
      <c r="U175" s="32">
        <f>IFERROR(__xludf.DUMMYFUNCTION("""COMPUTED_VALUE"""),6.334842)</f>
        <v>6.334842</v>
      </c>
      <c r="V175" s="32">
        <f>IFERROR(__xludf.DUMMYFUNCTION("""COMPUTED_VALUE"""),6.129032)</f>
        <v>6.129032</v>
      </c>
      <c r="W175" s="32">
        <f>IFERROR(__xludf.DUMMYFUNCTION("""COMPUTED_VALUE"""),40.598291)</f>
        <v>40.598291</v>
      </c>
      <c r="X175" s="32">
        <f>IFERROR(__xludf.DUMMYFUNCTION("""COMPUTED_VALUE"""),11.256805)</f>
        <v>11.256805</v>
      </c>
      <c r="Y175" s="32">
        <f>IFERROR(__xludf.DUMMYFUNCTION("""COMPUTED_VALUE"""),3.247232)</f>
        <v>3.247232</v>
      </c>
      <c r="Z175" s="32">
        <f>IFERROR(__xludf.DUMMYFUNCTION("""COMPUTED_VALUE"""),1.484683)</f>
        <v>1.484683</v>
      </c>
      <c r="AA175" s="32">
        <f>IFERROR(__xludf.DUMMYFUNCTION("""COMPUTED_VALUE"""),9.6909)</f>
        <v>9.6909</v>
      </c>
      <c r="AB175" s="32">
        <f>IFERROR(__xludf.DUMMYFUNCTION("""COMPUTED_VALUE"""),11.12155)</f>
        <v>11.12155</v>
      </c>
      <c r="AC175" s="32">
        <f>IFERROR(__xludf.DUMMYFUNCTION("""COMPUTED_VALUE"""),1.1605)</f>
        <v>1.1605</v>
      </c>
      <c r="AD175" s="32">
        <f>IFERROR(__xludf.DUMMYFUNCTION("""COMPUTED_VALUE"""),1.0639)</f>
        <v>1.0639</v>
      </c>
      <c r="AE175" s="32">
        <f>IFERROR(__xludf.DUMMYFUNCTION("""COMPUTED_VALUE"""),8.914089)</f>
        <v>8.914089</v>
      </c>
      <c r="AF175" s="32">
        <f>IFERROR(__xludf.DUMMYFUNCTION("""COMPUTED_VALUE"""),1.011692)</f>
        <v>1.011692</v>
      </c>
      <c r="AG175" s="32">
        <f>IFERROR(__xludf.DUMMYFUNCTION("""COMPUTED_VALUE"""),4.2631)</f>
        <v>4.2631</v>
      </c>
      <c r="AH175" s="32">
        <f>IFERROR(__xludf.DUMMYFUNCTION("""COMPUTED_VALUE"""),8.147114)</f>
        <v>8.147114</v>
      </c>
      <c r="AI175" s="32">
        <f>IFERROR(__xludf.DUMMYFUNCTION("""COMPUTED_VALUE"""),1.0925145423191127)</f>
        <v>1.092514542</v>
      </c>
      <c r="AJ175" s="32">
        <f>IFERROR(__xludf.DUMMYFUNCTION("""COMPUTED_VALUE"""),3.8159470878194646)</f>
        <v>3.815947088</v>
      </c>
      <c r="AK175" s="32">
        <f>IFERROR(__xludf.DUMMYFUNCTION("""COMPUTED_VALUE"""),16.9695)</f>
        <v>16.9695</v>
      </c>
      <c r="AL175" s="32">
        <f>IFERROR(__xludf.DUMMYFUNCTION("""COMPUTED_VALUE"""),141.7034)</f>
        <v>141.7034</v>
      </c>
      <c r="AM175" s="32">
        <f>IFERROR(__xludf.DUMMYFUNCTION("""COMPUTED_VALUE"""),43.095444)</f>
        <v>43.095444</v>
      </c>
      <c r="AN175" s="32">
        <f>IFERROR(__xludf.DUMMYFUNCTION("""COMPUTED_VALUE"""),7.422827)</f>
        <v>7.422827</v>
      </c>
      <c r="AO175" s="32">
        <f>IFERROR(__xludf.DUMMYFUNCTION("""COMPUTED_VALUE"""),7.0)</f>
        <v>7</v>
      </c>
      <c r="AP175" s="32">
        <f>IFERROR(__xludf.DUMMYFUNCTION("""COMPUTED_VALUE"""),0.011418269230769265)</f>
        <v>0.01141826923</v>
      </c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>
      <c r="A176" s="13" t="str">
        <f>IFERROR(__xludf.DUMMYFUNCTION("""COMPUTED_VALUE"""),"Redington India Ltd.")</f>
        <v>Redington India Ltd.</v>
      </c>
      <c r="B176" s="30">
        <f>IFERROR(__xludf.DUMMYFUNCTION("""COMPUTED_VALUE"""),532805.0)</f>
        <v>532805</v>
      </c>
      <c r="C176" s="13" t="str">
        <f>IFERROR(__xludf.DUMMYFUNCTION("""COMPUTED_VALUE"""),"REDINGTON")</f>
        <v>REDINGTON</v>
      </c>
      <c r="D176" s="13" t="str">
        <f>IFERROR(__xludf.DUMMYFUNCTION("""COMPUTED_VALUE"""),"INE891D01026")</f>
        <v>INE891D01026</v>
      </c>
      <c r="E176" s="13" t="str">
        <f>IFERROR(__xludf.DUMMYFUNCTION("""COMPUTED_VALUE"""),"Services")</f>
        <v>Services</v>
      </c>
      <c r="F176" s="13" t="str">
        <f>IFERROR(__xludf.DUMMYFUNCTION("""COMPUTED_VALUE"""),"Trading")</f>
        <v>Trading</v>
      </c>
      <c r="G176" s="31">
        <f>IFERROR(__xludf.DUMMYFUNCTION("""COMPUTED_VALUE"""),44809.0)</f>
        <v>44809</v>
      </c>
      <c r="H176" s="32">
        <f>IFERROR(__xludf.DUMMYFUNCTION("""COMPUTED_VALUE"""),150.0)</f>
        <v>150</v>
      </c>
      <c r="I176" s="32">
        <f>IFERROR(__xludf.DUMMYFUNCTION("""COMPUTED_VALUE"""),1.7294)</f>
        <v>1.7294</v>
      </c>
      <c r="J176" s="32">
        <f>IFERROR(__xludf.DUMMYFUNCTION("""COMPUTED_VALUE"""),109.4)</f>
        <v>109.4</v>
      </c>
      <c r="K176" s="32">
        <f>IFERROR(__xludf.DUMMYFUNCTION("""COMPUTED_VALUE"""),179.25)</f>
        <v>179.25</v>
      </c>
      <c r="L176" s="32">
        <f>IFERROR(__xludf.DUMMYFUNCTION("""COMPUTED_VALUE"""),29.55)</f>
        <v>29.55</v>
      </c>
      <c r="M176" s="32">
        <f>IFERROR(__xludf.DUMMYFUNCTION("""COMPUTED_VALUE"""),179.25)</f>
        <v>179.25</v>
      </c>
      <c r="N176" s="32">
        <f>IFERROR(__xludf.DUMMYFUNCTION("""COMPUTED_VALUE"""),29.55)</f>
        <v>29.55</v>
      </c>
      <c r="O176" s="32">
        <f>IFERROR(__xludf.DUMMYFUNCTION("""COMPUTED_VALUE"""),179.25)</f>
        <v>179.25</v>
      </c>
      <c r="P176" s="32">
        <f>IFERROR(__xludf.DUMMYFUNCTION("""COMPUTED_VALUE"""),7.965)</f>
        <v>7.965</v>
      </c>
      <c r="Q176" s="32">
        <f>IFERROR(__xludf.DUMMYFUNCTION("""COMPUTED_VALUE"""),179.25)</f>
        <v>179.25</v>
      </c>
      <c r="R176" s="32">
        <f>IFERROR(__xludf.DUMMYFUNCTION("""COMPUTED_VALUE"""),11714.16306319)</f>
        <v>11714.16306</v>
      </c>
      <c r="S176" s="32">
        <f>IFERROR(__xludf.DUMMYFUNCTION("""COMPUTED_VALUE"""),8504.008745655)</f>
        <v>8504.008746</v>
      </c>
      <c r="T176" s="32">
        <f>IFERROR(__xludf.DUMMYFUNCTION("""COMPUTED_VALUE"""),-1.315789)</f>
        <v>-1.315789</v>
      </c>
      <c r="U176" s="32">
        <f>IFERROR(__xludf.DUMMYFUNCTION("""COMPUTED_VALUE"""),7.488355)</f>
        <v>7.488355</v>
      </c>
      <c r="V176" s="32">
        <f>IFERROR(__xludf.DUMMYFUNCTION("""COMPUTED_VALUE"""),14.285714)</f>
        <v>14.285714</v>
      </c>
      <c r="W176" s="32">
        <f>IFERROR(__xludf.DUMMYFUNCTION("""COMPUTED_VALUE"""),3.986135)</f>
        <v>3.986135</v>
      </c>
      <c r="X176" s="32">
        <f>IFERROR(__xludf.DUMMYFUNCTION("""COMPUTED_VALUE"""),40.291225)</f>
        <v>40.291225</v>
      </c>
      <c r="Y176" s="32">
        <f>IFERROR(__xludf.DUMMYFUNCTION("""COMPUTED_VALUE"""),15.147526)</f>
        <v>15.147526</v>
      </c>
      <c r="Z176" s="32">
        <f>IFERROR(__xludf.DUMMYFUNCTION("""COMPUTED_VALUE"""),15.267875)</f>
        <v>15.267875</v>
      </c>
      <c r="AA176" s="32">
        <f>IFERROR(__xludf.DUMMYFUNCTION("""COMPUTED_VALUE"""),8.6196)</f>
        <v>8.6196</v>
      </c>
      <c r="AB176" s="32">
        <f>IFERROR(__xludf.DUMMYFUNCTION("""COMPUTED_VALUE"""),9.03255)</f>
        <v>9.03255</v>
      </c>
      <c r="AC176" s="32">
        <f>IFERROR(__xludf.DUMMYFUNCTION("""COMPUTED_VALUE"""),1.9183)</f>
        <v>1.9183</v>
      </c>
      <c r="AD176" s="32">
        <f>IFERROR(__xludf.DUMMYFUNCTION("""COMPUTED_VALUE"""),1.17205)</f>
        <v>1.17205</v>
      </c>
      <c r="AE176" s="32">
        <f>IFERROR(__xludf.DUMMYFUNCTION("""COMPUTED_VALUE"""),22.467518)</f>
        <v>22.467518</v>
      </c>
      <c r="AF176" s="32">
        <f>IFERROR(__xludf.DUMMYFUNCTION("""COMPUTED_VALUE"""),0.359559)</f>
        <v>0.359559</v>
      </c>
      <c r="AG176" s="32">
        <f>IFERROR(__xludf.DUMMYFUNCTION("""COMPUTED_VALUE"""),4.4029)</f>
        <v>4.4029</v>
      </c>
      <c r="AH176" s="32">
        <f>IFERROR(__xludf.DUMMYFUNCTION("""COMPUTED_VALUE"""),4.247757)</f>
        <v>4.247757</v>
      </c>
      <c r="AI176" s="32">
        <f>IFERROR(__xludf.DUMMYFUNCTION("""COMPUTED_VALUE"""),0.17750587657179312)</f>
        <v>0.1775058766</v>
      </c>
      <c r="AJ176" s="32">
        <f>IFERROR(__xludf.DUMMYFUNCTION("""COMPUTED_VALUE"""),11.842057281833805)</f>
        <v>11.84205728</v>
      </c>
      <c r="AK176" s="32">
        <f>IFERROR(__xludf.DUMMYFUNCTION("""COMPUTED_VALUE"""),17.3907)</f>
        <v>17.3907</v>
      </c>
      <c r="AL176" s="32">
        <f>IFERROR(__xludf.DUMMYFUNCTION("""COMPUTED_VALUE"""),78.1411)</f>
        <v>78.1411</v>
      </c>
      <c r="AM176" s="32">
        <f>IFERROR(__xludf.DUMMYFUNCTION("""COMPUTED_VALUE"""),12.658519)</f>
        <v>12.658519</v>
      </c>
      <c r="AN176" s="32">
        <f>IFERROR(__xludf.DUMMYFUNCTION("""COMPUTED_VALUE"""),9.03308)</f>
        <v>9.03308</v>
      </c>
      <c r="AO176" s="32">
        <f>IFERROR(__xludf.DUMMYFUNCTION("""COMPUTED_VALUE"""),6.6)</f>
        <v>6.6</v>
      </c>
      <c r="AP176" s="32">
        <f>IFERROR(__xludf.DUMMYFUNCTION("""COMPUTED_VALUE"""),0.16317991631799164)</f>
        <v>0.1631799163</v>
      </c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>
      <c r="A177" s="13" t="str">
        <f>IFERROR(__xludf.DUMMYFUNCTION("""COMPUTED_VALUE"""),"Canara Bank")</f>
        <v>Canara Bank</v>
      </c>
      <c r="B177" s="30">
        <f>IFERROR(__xludf.DUMMYFUNCTION("""COMPUTED_VALUE"""),532483.0)</f>
        <v>532483</v>
      </c>
      <c r="C177" s="13" t="str">
        <f>IFERROR(__xludf.DUMMYFUNCTION("""COMPUTED_VALUE"""),"CANBK")</f>
        <v>CANBK</v>
      </c>
      <c r="D177" s="13" t="str">
        <f>IFERROR(__xludf.DUMMYFUNCTION("""COMPUTED_VALUE"""),"INE476A01014")</f>
        <v>INE476A01014</v>
      </c>
      <c r="E177" s="13" t="str">
        <f>IFERROR(__xludf.DUMMYFUNCTION("""COMPUTED_VALUE"""),"Financial")</f>
        <v>Financial</v>
      </c>
      <c r="F177" s="13" t="str">
        <f>IFERROR(__xludf.DUMMYFUNCTION("""COMPUTED_VALUE"""),"Banking")</f>
        <v>Banking</v>
      </c>
      <c r="G177" s="31">
        <f>IFERROR(__xludf.DUMMYFUNCTION("""COMPUTED_VALUE"""),44809.0)</f>
        <v>44809</v>
      </c>
      <c r="H177" s="32">
        <f>IFERROR(__xludf.DUMMYFUNCTION("""COMPUTED_VALUE"""),245.3)</f>
        <v>245.3</v>
      </c>
      <c r="I177" s="32">
        <f>IFERROR(__xludf.DUMMYFUNCTION("""COMPUTED_VALUE"""),0.615258)</f>
        <v>0.615258</v>
      </c>
      <c r="J177" s="32">
        <f>IFERROR(__xludf.DUMMYFUNCTION("""COMPUTED_VALUE"""),152.05)</f>
        <v>152.05</v>
      </c>
      <c r="K177" s="32">
        <f>IFERROR(__xludf.DUMMYFUNCTION("""COMPUTED_VALUE"""),272.8)</f>
        <v>272.8</v>
      </c>
      <c r="L177" s="32">
        <f>IFERROR(__xludf.DUMMYFUNCTION("""COMPUTED_VALUE"""),73.65)</f>
        <v>73.65</v>
      </c>
      <c r="M177" s="32">
        <f>IFERROR(__xludf.DUMMYFUNCTION("""COMPUTED_VALUE"""),272.8)</f>
        <v>272.8</v>
      </c>
      <c r="N177" s="32">
        <f>IFERROR(__xludf.DUMMYFUNCTION("""COMPUTED_VALUE"""),73.65)</f>
        <v>73.65</v>
      </c>
      <c r="O177" s="32">
        <f>IFERROR(__xludf.DUMMYFUNCTION("""COMPUTED_VALUE"""),463.7)</f>
        <v>463.7</v>
      </c>
      <c r="P177" s="32">
        <f>IFERROR(__xludf.DUMMYFUNCTION("""COMPUTED_VALUE"""),38.907064)</f>
        <v>38.907064</v>
      </c>
      <c r="Q177" s="32">
        <f>IFERROR(__xludf.DUMMYFUNCTION("""COMPUTED_VALUE"""),821.115444)</f>
        <v>821.115444</v>
      </c>
      <c r="R177" s="32">
        <f>IFERROR(__xludf.DUMMYFUNCTION("""COMPUTED_VALUE"""),44491.5444303)</f>
        <v>44491.54443</v>
      </c>
      <c r="S177" s="32">
        <f>IFERROR(__xludf.DUMMYFUNCTION("""COMPUTED_VALUE"""),-91877.97115624)</f>
        <v>-91877.97116</v>
      </c>
      <c r="T177" s="32">
        <f>IFERROR(__xludf.DUMMYFUNCTION("""COMPUTED_VALUE"""),2.421712)</f>
        <v>2.421712</v>
      </c>
      <c r="U177" s="32">
        <f>IFERROR(__xludf.DUMMYFUNCTION("""COMPUTED_VALUE"""),9.216385)</f>
        <v>9.216385</v>
      </c>
      <c r="V177" s="32">
        <f>IFERROR(__xludf.DUMMYFUNCTION("""COMPUTED_VALUE"""),16.200853)</f>
        <v>16.200853</v>
      </c>
      <c r="W177" s="32">
        <f>IFERROR(__xludf.DUMMYFUNCTION("""COMPUTED_VALUE"""),52.64468)</f>
        <v>52.64468</v>
      </c>
      <c r="X177" s="32">
        <f>IFERROR(__xludf.DUMMYFUNCTION("""COMPUTED_VALUE"""),8.386746)</f>
        <v>8.386746</v>
      </c>
      <c r="Y177" s="32">
        <f>IFERROR(__xludf.DUMMYFUNCTION("""COMPUTED_VALUE"""),-6.065117)</f>
        <v>-6.065117</v>
      </c>
      <c r="Z177" s="32">
        <f>IFERROR(__xludf.DUMMYFUNCTION("""COMPUTED_VALUE"""),-2.380429)</f>
        <v>-2.380429</v>
      </c>
      <c r="AA177" s="32">
        <f>IFERROR(__xludf.DUMMYFUNCTION("""COMPUTED_VALUE"""),6.2929)</f>
        <v>6.2929</v>
      </c>
      <c r="AB177" s="32">
        <f>IFERROR(__xludf.DUMMYFUNCTION("""COMPUTED_VALUE"""),16.6752)</f>
        <v>16.6752</v>
      </c>
      <c r="AC177" s="32">
        <f>IFERROR(__xludf.DUMMYFUNCTION("""COMPUTED_VALUE"""),0.6984)</f>
        <v>0.6984</v>
      </c>
      <c r="AD177" s="32">
        <f>IFERROR(__xludf.DUMMYFUNCTION("""COMPUTED_VALUE"""),0.57945)</f>
        <v>0.57945</v>
      </c>
      <c r="AE177" s="32">
        <f>IFERROR(__xludf.DUMMYFUNCTION("""COMPUTED_VALUE"""),-71.324614)</f>
        <v>-71.324614</v>
      </c>
      <c r="AF177" s="32">
        <f>IFERROR(__xludf.DUMMYFUNCTION("""COMPUTED_VALUE"""),0.277226)</f>
        <v>0.277226</v>
      </c>
      <c r="AG177" s="32">
        <f>IFERROR(__xludf.DUMMYFUNCTION("""COMPUTED_VALUE"""),2.6504)</f>
        <v>2.6504</v>
      </c>
      <c r="AH177" s="32">
        <f>IFERROR(__xludf.DUMMYFUNCTION("""COMPUTED_VALUE"""),-3.744395)</f>
        <v>-3.744395</v>
      </c>
      <c r="AI177" s="32">
        <f>IFERROR(__xludf.DUMMYFUNCTION("""COMPUTED_VALUE"""),0.6172300170956653)</f>
        <v>0.6172300171</v>
      </c>
      <c r="AJ177" s="32">
        <f>IFERROR(__xludf.DUMMYFUNCTION("""COMPUTED_VALUE"""),48.41352401038096)</f>
        <v>48.41352401</v>
      </c>
      <c r="AK177" s="32">
        <f>IFERROR(__xludf.DUMMYFUNCTION("""COMPUTED_VALUE"""),38.9722)</f>
        <v>38.9722</v>
      </c>
      <c r="AL177" s="32">
        <f>IFERROR(__xludf.DUMMYFUNCTION("""COMPUTED_VALUE"""),351.1524)</f>
        <v>351.1524</v>
      </c>
      <c r="AM177" s="32">
        <f>IFERROR(__xludf.DUMMYFUNCTION("""COMPUTED_VALUE"""),5.065733)</f>
        <v>5.065733</v>
      </c>
      <c r="AN177" s="32">
        <f>IFERROR(__xludf.DUMMYFUNCTION("""COMPUTED_VALUE"""),-67.209359)</f>
        <v>-67.209359</v>
      </c>
      <c r="AO177" s="32">
        <f>IFERROR(__xludf.DUMMYFUNCTION("""COMPUTED_VALUE"""),6.5)</f>
        <v>6.5</v>
      </c>
      <c r="AP177" s="32">
        <f>IFERROR(__xludf.DUMMYFUNCTION("""COMPUTED_VALUE"""),0.10080645161290322)</f>
        <v>0.1008064516</v>
      </c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>
      <c r="A178" s="13" t="str">
        <f>IFERROR(__xludf.DUMMYFUNCTION("""COMPUTED_VALUE"""),"Indian Bank")</f>
        <v>Indian Bank</v>
      </c>
      <c r="B178" s="30">
        <f>IFERROR(__xludf.DUMMYFUNCTION("""COMPUTED_VALUE"""),532814.0)</f>
        <v>532814</v>
      </c>
      <c r="C178" s="13" t="str">
        <f>IFERROR(__xludf.DUMMYFUNCTION("""COMPUTED_VALUE"""),"INDIANB")</f>
        <v>INDIANB</v>
      </c>
      <c r="D178" s="13" t="str">
        <f>IFERROR(__xludf.DUMMYFUNCTION("""COMPUTED_VALUE"""),"INE562A01011")</f>
        <v>INE562A01011</v>
      </c>
      <c r="E178" s="13" t="str">
        <f>IFERROR(__xludf.DUMMYFUNCTION("""COMPUTED_VALUE"""),"Financial")</f>
        <v>Financial</v>
      </c>
      <c r="F178" s="13" t="str">
        <f>IFERROR(__xludf.DUMMYFUNCTION("""COMPUTED_VALUE"""),"Banking")</f>
        <v>Banking</v>
      </c>
      <c r="G178" s="31">
        <f>IFERROR(__xludf.DUMMYFUNCTION("""COMPUTED_VALUE"""),44809.0)</f>
        <v>44809</v>
      </c>
      <c r="H178" s="32">
        <f>IFERROR(__xludf.DUMMYFUNCTION("""COMPUTED_VALUE"""),192.55)</f>
        <v>192.55</v>
      </c>
      <c r="I178" s="32">
        <f>IFERROR(__xludf.DUMMYFUNCTION("""COMPUTED_VALUE"""),0.391032)</f>
        <v>0.391032</v>
      </c>
      <c r="J178" s="32">
        <f>IFERROR(__xludf.DUMMYFUNCTION("""COMPUTED_VALUE"""),121.95)</f>
        <v>121.95</v>
      </c>
      <c r="K178" s="32">
        <f>IFERROR(__xludf.DUMMYFUNCTION("""COMPUTED_VALUE"""),197.75)</f>
        <v>197.75</v>
      </c>
      <c r="L178" s="32">
        <f>IFERROR(__xludf.DUMMYFUNCTION("""COMPUTED_VALUE"""),41.55)</f>
        <v>41.55</v>
      </c>
      <c r="M178" s="32">
        <f>IFERROR(__xludf.DUMMYFUNCTION("""COMPUTED_VALUE"""),197.75)</f>
        <v>197.75</v>
      </c>
      <c r="N178" s="32">
        <f>IFERROR(__xludf.DUMMYFUNCTION("""COMPUTED_VALUE"""),41.55)</f>
        <v>41.55</v>
      </c>
      <c r="O178" s="32">
        <f>IFERROR(__xludf.DUMMYFUNCTION("""COMPUTED_VALUE"""),428.0)</f>
        <v>428</v>
      </c>
      <c r="P178" s="32">
        <f>IFERROR(__xludf.DUMMYFUNCTION("""COMPUTED_VALUE"""),41.55)</f>
        <v>41.55</v>
      </c>
      <c r="Q178" s="32">
        <f>IFERROR(__xludf.DUMMYFUNCTION("""COMPUTED_VALUE"""),428.0)</f>
        <v>428</v>
      </c>
      <c r="R178" s="32">
        <f>IFERROR(__xludf.DUMMYFUNCTION("""COMPUTED_VALUE"""),24043.241188395)</f>
        <v>24043.24119</v>
      </c>
      <c r="S178" s="32">
        <f>IFERROR(__xludf.DUMMYFUNCTION("""COMPUTED_VALUE"""),-38940.26336537)</f>
        <v>-38940.26337</v>
      </c>
      <c r="T178" s="32">
        <f>IFERROR(__xludf.DUMMYFUNCTION("""COMPUTED_VALUE"""),-0.413757)</f>
        <v>-0.413757</v>
      </c>
      <c r="U178" s="32">
        <f>IFERROR(__xludf.DUMMYFUNCTION("""COMPUTED_VALUE"""),10.028571)</f>
        <v>10.028571</v>
      </c>
      <c r="V178" s="32">
        <f>IFERROR(__xludf.DUMMYFUNCTION("""COMPUTED_VALUE"""),17.229833)</f>
        <v>17.229833</v>
      </c>
      <c r="W178" s="32">
        <f>IFERROR(__xludf.DUMMYFUNCTION("""COMPUTED_VALUE"""),53.487445)</f>
        <v>53.487445</v>
      </c>
      <c r="X178" s="32">
        <f>IFERROR(__xludf.DUMMYFUNCTION("""COMPUTED_VALUE"""),4.943652)</f>
        <v>4.943652</v>
      </c>
      <c r="Y178" s="32">
        <f>IFERROR(__xludf.DUMMYFUNCTION("""COMPUTED_VALUE"""),-7.533278)</f>
        <v>-7.533278</v>
      </c>
      <c r="Z178" s="32">
        <f>IFERROR(__xludf.DUMMYFUNCTION("""COMPUTED_VALUE"""),1.85317)</f>
        <v>1.85317</v>
      </c>
      <c r="AA178" s="32">
        <f>IFERROR(__xludf.DUMMYFUNCTION("""COMPUTED_VALUE"""),5.734)</f>
        <v>5.734</v>
      </c>
      <c r="AB178" s="32">
        <f>IFERROR(__xludf.DUMMYFUNCTION("""COMPUTED_VALUE"""),9.7389)</f>
        <v>9.7389</v>
      </c>
      <c r="AC178" s="32">
        <f>IFERROR(__xludf.DUMMYFUNCTION("""COMPUTED_VALUE"""),0.5208)</f>
        <v>0.5208</v>
      </c>
      <c r="AD178" s="32">
        <f>IFERROR(__xludf.DUMMYFUNCTION("""COMPUTED_VALUE"""),0.4539)</f>
        <v>0.4539</v>
      </c>
      <c r="AE178" s="32">
        <f>IFERROR(__xludf.DUMMYFUNCTION("""COMPUTED_VALUE"""),-75.643131)</f>
        <v>-75.643131</v>
      </c>
      <c r="AF178" s="32">
        <f>IFERROR(__xludf.DUMMYFUNCTION("""COMPUTED_VALUE"""),0.215672)</f>
        <v>0.215672</v>
      </c>
      <c r="AG178" s="32">
        <f>IFERROR(__xludf.DUMMYFUNCTION("""COMPUTED_VALUE"""),3.3749)</f>
        <v>3.3749</v>
      </c>
      <c r="AH178" s="32">
        <f>IFERROR(__xludf.DUMMYFUNCTION("""COMPUTED_VALUE"""),-3.012629)</f>
        <v>-3.012629</v>
      </c>
      <c r="AI178" s="32">
        <f>IFERROR(__xludf.DUMMYFUNCTION("""COMPUTED_VALUE"""),0.6101754197624961)</f>
        <v>0.6101754198</v>
      </c>
      <c r="AJ178" s="32">
        <f>IFERROR(__xludf.DUMMYFUNCTION("""COMPUTED_VALUE"""),0.8362770510249795)</f>
        <v>0.836277051</v>
      </c>
      <c r="AK178" s="32">
        <f>IFERROR(__xludf.DUMMYFUNCTION("""COMPUTED_VALUE"""),33.6674)</f>
        <v>33.6674</v>
      </c>
      <c r="AL178" s="32">
        <f>IFERROR(__xludf.DUMMYFUNCTION("""COMPUTED_VALUE"""),370.6971)</f>
        <v>370.6971</v>
      </c>
      <c r="AM178" s="32">
        <f>IFERROR(__xludf.DUMMYFUNCTION("""COMPUTED_VALUE"""),230.844762)</f>
        <v>230.844762</v>
      </c>
      <c r="AN178" s="32">
        <f>IFERROR(__xludf.DUMMYFUNCTION("""COMPUTED_VALUE"""),147.802142)</f>
        <v>147.802142</v>
      </c>
      <c r="AO178" s="32">
        <f>IFERROR(__xludf.DUMMYFUNCTION("""COMPUTED_VALUE"""),6.5)</f>
        <v>6.5</v>
      </c>
      <c r="AP178" s="32">
        <f>IFERROR(__xludf.DUMMYFUNCTION("""COMPUTED_VALUE"""),0.02629582806573951)</f>
        <v>0.02629582807</v>
      </c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>
      <c r="A179" s="13" t="str">
        <f>IFERROR(__xludf.DUMMYFUNCTION("""COMPUTED_VALUE"""),"Kalpataru Power Transmission Ltd.")</f>
        <v>Kalpataru Power Transmission Ltd.</v>
      </c>
      <c r="B179" s="30">
        <f>IFERROR(__xludf.DUMMYFUNCTION("""COMPUTED_VALUE"""),522287.0)</f>
        <v>522287</v>
      </c>
      <c r="C179" s="13" t="str">
        <f>IFERROR(__xludf.DUMMYFUNCTION("""COMPUTED_VALUE"""),"KALPATPOWR")</f>
        <v>KALPATPOWR</v>
      </c>
      <c r="D179" s="13" t="str">
        <f>IFERROR(__xludf.DUMMYFUNCTION("""COMPUTED_VALUE"""),"INE220B01022")</f>
        <v>INE220B01022</v>
      </c>
      <c r="E179" s="13" t="str">
        <f>IFERROR(__xludf.DUMMYFUNCTION("""COMPUTED_VALUE"""),"Capital Goods")</f>
        <v>Capital Goods</v>
      </c>
      <c r="F179" s="13" t="str">
        <f>IFERROR(__xludf.DUMMYFUNCTION("""COMPUTED_VALUE"""),"Power Projects")</f>
        <v>Power Projects</v>
      </c>
      <c r="G179" s="31">
        <f>IFERROR(__xludf.DUMMYFUNCTION("""COMPUTED_VALUE"""),44809.0)</f>
        <v>44809</v>
      </c>
      <c r="H179" s="32">
        <f>IFERROR(__xludf.DUMMYFUNCTION("""COMPUTED_VALUE"""),404.05)</f>
        <v>404.05</v>
      </c>
      <c r="I179" s="32">
        <f>IFERROR(__xludf.DUMMYFUNCTION("""COMPUTED_VALUE"""),0.798304)</f>
        <v>0.798304</v>
      </c>
      <c r="J179" s="32">
        <f>IFERROR(__xludf.DUMMYFUNCTION("""COMPUTED_VALUE"""),331.8)</f>
        <v>331.8</v>
      </c>
      <c r="K179" s="32">
        <f>IFERROR(__xludf.DUMMYFUNCTION("""COMPUTED_VALUE"""),452.65)</f>
        <v>452.65</v>
      </c>
      <c r="L179" s="32">
        <f>IFERROR(__xludf.DUMMYFUNCTION("""COMPUTED_VALUE"""),169.5)</f>
        <v>169.5</v>
      </c>
      <c r="M179" s="32">
        <f>IFERROR(__xludf.DUMMYFUNCTION("""COMPUTED_VALUE"""),515.5)</f>
        <v>515.5</v>
      </c>
      <c r="N179" s="32">
        <f>IFERROR(__xludf.DUMMYFUNCTION("""COMPUTED_VALUE"""),169.5)</f>
        <v>169.5</v>
      </c>
      <c r="O179" s="32">
        <f>IFERROR(__xludf.DUMMYFUNCTION("""COMPUTED_VALUE"""),554.5)</f>
        <v>554.5</v>
      </c>
      <c r="P179" s="32">
        <f>IFERROR(__xludf.DUMMYFUNCTION("""COMPUTED_VALUE"""),1.425)</f>
        <v>1.425</v>
      </c>
      <c r="Q179" s="32">
        <f>IFERROR(__xludf.DUMMYFUNCTION("""COMPUTED_VALUE"""),554.5)</f>
        <v>554.5</v>
      </c>
      <c r="R179" s="32">
        <f>IFERROR(__xludf.DUMMYFUNCTION("""COMPUTED_VALUE"""),6016.67654924)</f>
        <v>6016.676549</v>
      </c>
      <c r="S179" s="32">
        <f>IFERROR(__xludf.DUMMYFUNCTION("""COMPUTED_VALUE"""),8466.59922792)</f>
        <v>8466.599228</v>
      </c>
      <c r="T179" s="32">
        <f>IFERROR(__xludf.DUMMYFUNCTION("""COMPUTED_VALUE"""),3.43018)</f>
        <v>3.43018</v>
      </c>
      <c r="U179" s="32">
        <f>IFERROR(__xludf.DUMMYFUNCTION("""COMPUTED_VALUE"""),6.161324)</f>
        <v>6.161324</v>
      </c>
      <c r="V179" s="32">
        <f>IFERROR(__xludf.DUMMYFUNCTION("""COMPUTED_VALUE"""),11.894212)</f>
        <v>11.894212</v>
      </c>
      <c r="W179" s="32">
        <f>IFERROR(__xludf.DUMMYFUNCTION("""COMPUTED_VALUE"""),-1.941512)</f>
        <v>-1.941512</v>
      </c>
      <c r="X179" s="32">
        <f>IFERROR(__xludf.DUMMYFUNCTION("""COMPUTED_VALUE"""),-3.580148)</f>
        <v>-3.580148</v>
      </c>
      <c r="Y179" s="32">
        <f>IFERROR(__xludf.DUMMYFUNCTION("""COMPUTED_VALUE"""),2.544334)</f>
        <v>2.544334</v>
      </c>
      <c r="Z179" s="32">
        <f>IFERROR(__xludf.DUMMYFUNCTION("""COMPUTED_VALUE"""),19.827835)</f>
        <v>19.827835</v>
      </c>
      <c r="AA179" s="32">
        <f>IFERROR(__xludf.DUMMYFUNCTION("""COMPUTED_VALUE"""),11.0925)</f>
        <v>11.0925</v>
      </c>
      <c r="AB179" s="32">
        <f>IFERROR(__xludf.DUMMYFUNCTION("""COMPUTED_VALUE"""),13.1658)</f>
        <v>13.1658</v>
      </c>
      <c r="AC179" s="32">
        <f>IFERROR(__xludf.DUMMYFUNCTION("""COMPUTED_VALUE"""),1.3743)</f>
        <v>1.3743</v>
      </c>
      <c r="AD179" s="32">
        <f>IFERROR(__xludf.DUMMYFUNCTION("""COMPUTED_VALUE"""),1.6858)</f>
        <v>1.6858</v>
      </c>
      <c r="AE179" s="32">
        <f>IFERROR(__xludf.DUMMYFUNCTION("""COMPUTED_VALUE"""),11.97177)</f>
        <v>11.97177</v>
      </c>
      <c r="AF179" s="32">
        <f>IFERROR(__xludf.DUMMYFUNCTION("""COMPUTED_VALUE"""),0.461179)</f>
        <v>0.461179</v>
      </c>
      <c r="AG179" s="32">
        <f>IFERROR(__xludf.DUMMYFUNCTION("""COMPUTED_VALUE"""),1.6123)</f>
        <v>1.6123</v>
      </c>
      <c r="AH179" s="32">
        <f>IFERROR(__xludf.DUMMYFUNCTION("""COMPUTED_VALUE"""),6.578554)</f>
        <v>6.578554</v>
      </c>
      <c r="AI179" s="32">
        <f>IFERROR(__xludf.DUMMYFUNCTION("""COMPUTED_VALUE"""),0.39453616716327866)</f>
        <v>0.3945361672</v>
      </c>
      <c r="AJ179" s="32">
        <f>IFERROR(__xludf.DUMMYFUNCTION("""COMPUTED_VALUE"""),8.430732490597764)</f>
        <v>8.430732491</v>
      </c>
      <c r="AK179" s="32">
        <f>IFERROR(__xludf.DUMMYFUNCTION("""COMPUTED_VALUE"""),36.3309)</f>
        <v>36.3309</v>
      </c>
      <c r="AL179" s="32">
        <f>IFERROR(__xludf.DUMMYFUNCTION("""COMPUTED_VALUE"""),293.2372)</f>
        <v>293.2372</v>
      </c>
      <c r="AM179" s="32">
        <f>IFERROR(__xludf.DUMMYFUNCTION("""COMPUTED_VALUE"""),47.928811)</f>
        <v>47.928811</v>
      </c>
      <c r="AN179" s="32">
        <f>IFERROR(__xludf.DUMMYFUNCTION("""COMPUTED_VALUE"""),20.538617)</f>
        <v>20.538617</v>
      </c>
      <c r="AO179" s="32">
        <f>IFERROR(__xludf.DUMMYFUNCTION("""COMPUTED_VALUE"""),6.5)</f>
        <v>6.5</v>
      </c>
      <c r="AP179" s="32">
        <f>IFERROR(__xludf.DUMMYFUNCTION("""COMPUTED_VALUE"""),0.10736772340660547)</f>
        <v>0.1073677234</v>
      </c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>
      <c r="A180" s="13" t="str">
        <f>IFERROR(__xludf.DUMMYFUNCTION("""COMPUTED_VALUE"""),"National Aluminium Company Ltd.")</f>
        <v>National Aluminium Company Ltd.</v>
      </c>
      <c r="B180" s="30">
        <f>IFERROR(__xludf.DUMMYFUNCTION("""COMPUTED_VALUE"""),532234.0)</f>
        <v>532234</v>
      </c>
      <c r="C180" s="13" t="str">
        <f>IFERROR(__xludf.DUMMYFUNCTION("""COMPUTED_VALUE"""),"NATIONALUM")</f>
        <v>NATIONALUM</v>
      </c>
      <c r="D180" s="13" t="str">
        <f>IFERROR(__xludf.DUMMYFUNCTION("""COMPUTED_VALUE"""),"INE139A01034")</f>
        <v>INE139A01034</v>
      </c>
      <c r="E180" s="13" t="str">
        <f>IFERROR(__xludf.DUMMYFUNCTION("""COMPUTED_VALUE"""),"Metals &amp; Mining")</f>
        <v>Metals &amp; Mining</v>
      </c>
      <c r="F180" s="13" t="str">
        <f>IFERROR(__xludf.DUMMYFUNCTION("""COMPUTED_VALUE"""),"Aluminium")</f>
        <v>Aluminium</v>
      </c>
      <c r="G180" s="31">
        <f>IFERROR(__xludf.DUMMYFUNCTION("""COMPUTED_VALUE"""),44809.0)</f>
        <v>44809</v>
      </c>
      <c r="H180" s="32">
        <f>IFERROR(__xludf.DUMMYFUNCTION("""COMPUTED_VALUE"""),79.4)</f>
        <v>79.4</v>
      </c>
      <c r="I180" s="32">
        <f>IFERROR(__xludf.DUMMYFUNCTION("""COMPUTED_VALUE"""),2.983139)</f>
        <v>2.983139</v>
      </c>
      <c r="J180" s="32">
        <f>IFERROR(__xludf.DUMMYFUNCTION("""COMPUTED_VALUE"""),66.95)</f>
        <v>66.95</v>
      </c>
      <c r="K180" s="32">
        <f>IFERROR(__xludf.DUMMYFUNCTION("""COMPUTED_VALUE"""),132.75)</f>
        <v>132.75</v>
      </c>
      <c r="L180" s="32">
        <f>IFERROR(__xludf.DUMMYFUNCTION("""COMPUTED_VALUE"""),24.4)</f>
        <v>24.4</v>
      </c>
      <c r="M180" s="32">
        <f>IFERROR(__xludf.DUMMYFUNCTION("""COMPUTED_VALUE"""),132.75)</f>
        <v>132.75</v>
      </c>
      <c r="N180" s="32">
        <f>IFERROR(__xludf.DUMMYFUNCTION("""COMPUTED_VALUE"""),24.4)</f>
        <v>24.4</v>
      </c>
      <c r="O180" s="32">
        <f>IFERROR(__xludf.DUMMYFUNCTION("""COMPUTED_VALUE"""),132.75)</f>
        <v>132.75</v>
      </c>
      <c r="P180" s="32">
        <f>IFERROR(__xludf.DUMMYFUNCTION("""COMPUTED_VALUE"""),9.125)</f>
        <v>9.125</v>
      </c>
      <c r="Q180" s="32">
        <f>IFERROR(__xludf.DUMMYFUNCTION("""COMPUTED_VALUE"""),141.6125)</f>
        <v>141.6125</v>
      </c>
      <c r="R180" s="32">
        <f>IFERROR(__xludf.DUMMYFUNCTION("""COMPUTED_VALUE"""),14573.673229845)</f>
        <v>14573.67323</v>
      </c>
      <c r="S180" s="32">
        <f>IFERROR(__xludf.DUMMYFUNCTION("""COMPUTED_VALUE"""),10411.02107777)</f>
        <v>10411.02108</v>
      </c>
      <c r="T180" s="32">
        <f>IFERROR(__xludf.DUMMYFUNCTION("""COMPUTED_VALUE"""),-2.815177)</f>
        <v>-2.815177</v>
      </c>
      <c r="U180" s="32">
        <f>IFERROR(__xludf.DUMMYFUNCTION("""COMPUTED_VALUE"""),1.860167)</f>
        <v>1.860167</v>
      </c>
      <c r="V180" s="32">
        <f>IFERROR(__xludf.DUMMYFUNCTION("""COMPUTED_VALUE"""),-13.929539)</f>
        <v>-13.929539</v>
      </c>
      <c r="W180" s="32">
        <f>IFERROR(__xludf.DUMMYFUNCTION("""COMPUTED_VALUE"""),-15.44196)</f>
        <v>-15.44196</v>
      </c>
      <c r="X180" s="32">
        <f>IFERROR(__xludf.DUMMYFUNCTION("""COMPUTED_VALUE"""),25.157004)</f>
        <v>25.157004</v>
      </c>
      <c r="Y180" s="32">
        <f>IFERROR(__xludf.DUMMYFUNCTION("""COMPUTED_VALUE"""),1.487299)</f>
        <v>1.487299</v>
      </c>
      <c r="Z180" s="32">
        <f>IFERROR(__xludf.DUMMYFUNCTION("""COMPUTED_VALUE"""),4.701995)</f>
        <v>4.701995</v>
      </c>
      <c r="AA180" s="32">
        <f>IFERROR(__xludf.DUMMYFUNCTION("""COMPUTED_VALUE"""),4.6092)</f>
        <v>4.6092</v>
      </c>
      <c r="AB180" s="32">
        <f>IFERROR(__xludf.DUMMYFUNCTION("""COMPUTED_VALUE"""),9.90275)</f>
        <v>9.90275</v>
      </c>
      <c r="AC180" s="32">
        <f>IFERROR(__xludf.DUMMYFUNCTION("""COMPUTED_VALUE"""),1.1099)</f>
        <v>1.1099</v>
      </c>
      <c r="AD180" s="32">
        <f>IFERROR(__xludf.DUMMYFUNCTION("""COMPUTED_VALUE"""),1.0405)</f>
        <v>1.0405</v>
      </c>
      <c r="AE180" s="32">
        <f>IFERROR(__xludf.DUMMYFUNCTION("""COMPUTED_VALUE"""),42.729098)</f>
        <v>42.729098</v>
      </c>
      <c r="AF180" s="32">
        <f>IFERROR(__xludf.DUMMYFUNCTION("""COMPUTED_VALUE"""),0.13327)</f>
        <v>0.13327</v>
      </c>
      <c r="AG180" s="32">
        <f>IFERROR(__xludf.DUMMYFUNCTION("""COMPUTED_VALUE"""),8.1916)</f>
        <v>8.1916</v>
      </c>
      <c r="AH180" s="32">
        <f>IFERROR(__xludf.DUMMYFUNCTION("""COMPUTED_VALUE"""),2.028004)</f>
        <v>2.028004</v>
      </c>
      <c r="AI180" s="32">
        <f>IFERROR(__xludf.DUMMYFUNCTION("""COMPUTED_VALUE"""),0.9408694896727349)</f>
        <v>0.9408694897</v>
      </c>
      <c r="AJ180" s="32">
        <f>IFERROR(__xludf.DUMMYFUNCTION("""COMPUTED_VALUE"""),3.681754576994202)</f>
        <v>3.681754577</v>
      </c>
      <c r="AK180" s="32">
        <f>IFERROR(__xludf.DUMMYFUNCTION("""COMPUTED_VALUE"""),17.2154)</f>
        <v>17.2154</v>
      </c>
      <c r="AL180" s="32">
        <f>IFERROR(__xludf.DUMMYFUNCTION("""COMPUTED_VALUE"""),71.4951)</f>
        <v>71.4951</v>
      </c>
      <c r="AM180" s="32">
        <f>IFERROR(__xludf.DUMMYFUNCTION("""COMPUTED_VALUE"""),21.552128)</f>
        <v>21.552128</v>
      </c>
      <c r="AN180" s="32">
        <f>IFERROR(__xludf.DUMMYFUNCTION("""COMPUTED_VALUE"""),14.002472)</f>
        <v>14.002472</v>
      </c>
      <c r="AO180" s="32">
        <f>IFERROR(__xludf.DUMMYFUNCTION("""COMPUTED_VALUE"""),6.5)</f>
        <v>6.5</v>
      </c>
      <c r="AP180" s="32">
        <f>IFERROR(__xludf.DUMMYFUNCTION("""COMPUTED_VALUE"""),0.4018832391713747)</f>
        <v>0.4018832392</v>
      </c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>
      <c r="A181" s="13" t="str">
        <f>IFERROR(__xludf.DUMMYFUNCTION("""COMPUTED_VALUE"""),"Vinati Organics Ltd.")</f>
        <v>Vinati Organics Ltd.</v>
      </c>
      <c r="B181" s="30">
        <f>IFERROR(__xludf.DUMMYFUNCTION("""COMPUTED_VALUE"""),524200.0)</f>
        <v>524200</v>
      </c>
      <c r="C181" s="13" t="str">
        <f>IFERROR(__xludf.DUMMYFUNCTION("""COMPUTED_VALUE"""),"VINATIORGA")</f>
        <v>VINATIORGA</v>
      </c>
      <c r="D181" s="13" t="str">
        <f>IFERROR(__xludf.DUMMYFUNCTION("""COMPUTED_VALUE"""),"INE410B01037")</f>
        <v>INE410B01037</v>
      </c>
      <c r="E181" s="13" t="str">
        <f>IFERROR(__xludf.DUMMYFUNCTION("""COMPUTED_VALUE"""),"Chemicals")</f>
        <v>Chemicals</v>
      </c>
      <c r="F181" s="13" t="str">
        <f>IFERROR(__xludf.DUMMYFUNCTION("""COMPUTED_VALUE"""),"Organic Chemicals")</f>
        <v>Organic Chemicals</v>
      </c>
      <c r="G181" s="31">
        <f>IFERROR(__xludf.DUMMYFUNCTION("""COMPUTED_VALUE"""),44809.0)</f>
        <v>44809</v>
      </c>
      <c r="H181" s="32">
        <f>IFERROR(__xludf.DUMMYFUNCTION("""COMPUTED_VALUE"""),2281.9)</f>
        <v>2281.9</v>
      </c>
      <c r="I181" s="32">
        <f>IFERROR(__xludf.DUMMYFUNCTION("""COMPUTED_VALUE"""),1.886455)</f>
        <v>1.886455</v>
      </c>
      <c r="J181" s="32">
        <f>IFERROR(__xludf.DUMMYFUNCTION("""COMPUTED_VALUE"""),1674.2)</f>
        <v>1674.2</v>
      </c>
      <c r="K181" s="32">
        <f>IFERROR(__xludf.DUMMYFUNCTION("""COMPUTED_VALUE"""),2323.8)</f>
        <v>2323.8</v>
      </c>
      <c r="L181" s="32">
        <f>IFERROR(__xludf.DUMMYFUNCTION("""COMPUTED_VALUE"""),651.0)</f>
        <v>651</v>
      </c>
      <c r="M181" s="32">
        <f>IFERROR(__xludf.DUMMYFUNCTION("""COMPUTED_VALUE"""),2323.8)</f>
        <v>2323.8</v>
      </c>
      <c r="N181" s="32">
        <f>IFERROR(__xludf.DUMMYFUNCTION("""COMPUTED_VALUE"""),378.0)</f>
        <v>378</v>
      </c>
      <c r="O181" s="32">
        <f>IFERROR(__xludf.DUMMYFUNCTION("""COMPUTED_VALUE"""),2323.8)</f>
        <v>2323.8</v>
      </c>
      <c r="P181" s="32">
        <f>IFERROR(__xludf.DUMMYFUNCTION("""COMPUTED_VALUE"""),0.703333)</f>
        <v>0.703333</v>
      </c>
      <c r="Q181" s="32">
        <f>IFERROR(__xludf.DUMMYFUNCTION("""COMPUTED_VALUE"""),2323.8)</f>
        <v>2323.8</v>
      </c>
      <c r="R181" s="32">
        <f>IFERROR(__xludf.DUMMYFUNCTION("""COMPUTED_VALUE"""),23453.8359895)</f>
        <v>23453.83599</v>
      </c>
      <c r="S181" s="32">
        <f>IFERROR(__xludf.DUMMYFUNCTION("""COMPUTED_VALUE"""),23056.18077925)</f>
        <v>23056.18078</v>
      </c>
      <c r="T181" s="32">
        <f>IFERROR(__xludf.DUMMYFUNCTION("""COMPUTED_VALUE"""),2.908812)</f>
        <v>2.908812</v>
      </c>
      <c r="U181" s="32">
        <f>IFERROR(__xludf.DUMMYFUNCTION("""COMPUTED_VALUE"""),3.743948)</f>
        <v>3.743948</v>
      </c>
      <c r="V181" s="32">
        <f>IFERROR(__xludf.DUMMYFUNCTION("""COMPUTED_VALUE"""),8.579178)</f>
        <v>8.579178</v>
      </c>
      <c r="W181" s="32">
        <f>IFERROR(__xludf.DUMMYFUNCTION("""COMPUTED_VALUE"""),22.105094)</f>
        <v>22.105094</v>
      </c>
      <c r="X181" s="32">
        <f>IFERROR(__xludf.DUMMYFUNCTION("""COMPUTED_VALUE"""),28.473826)</f>
        <v>28.473826</v>
      </c>
      <c r="Y181" s="32">
        <f>IFERROR(__xludf.DUMMYFUNCTION("""COMPUTED_VALUE"""),35.257168)</f>
        <v>35.257168</v>
      </c>
      <c r="Z181" s="32">
        <f>IFERROR(__xludf.DUMMYFUNCTION("""COMPUTED_VALUE"""),46.163554)</f>
        <v>46.163554</v>
      </c>
      <c r="AA181" s="32">
        <f>IFERROR(__xludf.DUMMYFUNCTION("""COMPUTED_VALUE"""),64.1066)</f>
        <v>64.1066</v>
      </c>
      <c r="AB181" s="32">
        <f>IFERROR(__xludf.DUMMYFUNCTION("""COMPUTED_VALUE"""),38.1874)</f>
        <v>38.1874</v>
      </c>
      <c r="AC181" s="32">
        <f>IFERROR(__xludf.DUMMYFUNCTION("""COMPUTED_VALUE"""),12.1897)</f>
        <v>12.1897</v>
      </c>
      <c r="AD181" s="32">
        <f>IFERROR(__xludf.DUMMYFUNCTION("""COMPUTED_VALUE"""),9.0668)</f>
        <v>9.0668</v>
      </c>
      <c r="AE181" s="32">
        <f>IFERROR(__xludf.DUMMYFUNCTION("""COMPUTED_VALUE"""),2.301411)</f>
        <v>2.301411</v>
      </c>
      <c r="AF181" s="32">
        <f>IFERROR(__xludf.DUMMYFUNCTION("""COMPUTED_VALUE"""),3.231781)</f>
        <v>3.231781</v>
      </c>
      <c r="AG181" s="32">
        <f>IFERROR(__xludf.DUMMYFUNCTION("""COMPUTED_VALUE"""),0.2846)</f>
        <v>0.2846</v>
      </c>
      <c r="AH181" s="32">
        <f>IFERROR(__xludf.DUMMYFUNCTION("""COMPUTED_VALUE"""),43.881597)</f>
        <v>43.881597</v>
      </c>
      <c r="AI181" s="32">
        <f>IFERROR(__xludf.DUMMYFUNCTION("""COMPUTED_VALUE"""),13.51450914889228)</f>
        <v>13.51450915</v>
      </c>
      <c r="AJ181" s="32">
        <f>IFERROR(__xludf.DUMMYFUNCTION("""COMPUTED_VALUE"""),185.00670087613364)</f>
        <v>185.0067009</v>
      </c>
      <c r="AK181" s="32">
        <f>IFERROR(__xludf.DUMMYFUNCTION("""COMPUTED_VALUE"""),35.6906)</f>
        <v>35.6906</v>
      </c>
      <c r="AL181" s="32">
        <f>IFERROR(__xludf.DUMMYFUNCTION("""COMPUTED_VALUE"""),187.6987)</f>
        <v>187.6987</v>
      </c>
      <c r="AM181" s="32">
        <f>IFERROR(__xludf.DUMMYFUNCTION("""COMPUTED_VALUE"""),12.334154)</f>
        <v>12.334154</v>
      </c>
      <c r="AN181" s="32">
        <f>IFERROR(__xludf.DUMMYFUNCTION("""COMPUTED_VALUE"""),0.437868)</f>
        <v>0.437868</v>
      </c>
      <c r="AO181" s="32">
        <f>IFERROR(__xludf.DUMMYFUNCTION("""COMPUTED_VALUE"""),6.5)</f>
        <v>6.5</v>
      </c>
      <c r="AP181" s="32">
        <f>IFERROR(__xludf.DUMMYFUNCTION("""COMPUTED_VALUE"""),0.01803081160168693)</f>
        <v>0.0180308116</v>
      </c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>
      <c r="A182" s="13" t="str">
        <f>IFERROR(__xludf.DUMMYFUNCTION("""COMPUTED_VALUE"""),"Sundram Fasteners Ltd.")</f>
        <v>Sundram Fasteners Ltd.</v>
      </c>
      <c r="B182" s="30">
        <f>IFERROR(__xludf.DUMMYFUNCTION("""COMPUTED_VALUE"""),500403.0)</f>
        <v>500403</v>
      </c>
      <c r="C182" s="13" t="str">
        <f>IFERROR(__xludf.DUMMYFUNCTION("""COMPUTED_VALUE"""),"SUNDRMFAST")</f>
        <v>SUNDRMFAST</v>
      </c>
      <c r="D182" s="13" t="str">
        <f>IFERROR(__xludf.DUMMYFUNCTION("""COMPUTED_VALUE"""),"INE387A01021")</f>
        <v>INE387A01021</v>
      </c>
      <c r="E182" s="13" t="str">
        <f>IFERROR(__xludf.DUMMYFUNCTION("""COMPUTED_VALUE"""),"Capital Goods")</f>
        <v>Capital Goods</v>
      </c>
      <c r="F182" s="13" t="str">
        <f>IFERROR(__xludf.DUMMYFUNCTION("""COMPUTED_VALUE"""),"Fasteners")</f>
        <v>Fasteners</v>
      </c>
      <c r="G182" s="31">
        <f>IFERROR(__xludf.DUMMYFUNCTION("""COMPUTED_VALUE"""),44809.0)</f>
        <v>44809</v>
      </c>
      <c r="H182" s="32">
        <f>IFERROR(__xludf.DUMMYFUNCTION("""COMPUTED_VALUE"""),842.65)</f>
        <v>842.65</v>
      </c>
      <c r="I182" s="32">
        <f>IFERROR(__xludf.DUMMYFUNCTION("""COMPUTED_VALUE"""),0.065313)</f>
        <v>0.065313</v>
      </c>
      <c r="J182" s="32">
        <f>IFERROR(__xludf.DUMMYFUNCTION("""COMPUTED_VALUE"""),673.05)</f>
        <v>673.05</v>
      </c>
      <c r="K182" s="32">
        <f>IFERROR(__xludf.DUMMYFUNCTION("""COMPUTED_VALUE"""),993.7)</f>
        <v>993.7</v>
      </c>
      <c r="L182" s="32">
        <f>IFERROR(__xludf.DUMMYFUNCTION("""COMPUTED_VALUE"""),248.5)</f>
        <v>248.5</v>
      </c>
      <c r="M182" s="32">
        <f>IFERROR(__xludf.DUMMYFUNCTION("""COMPUTED_VALUE"""),993.7)</f>
        <v>993.7</v>
      </c>
      <c r="N182" s="32">
        <f>IFERROR(__xludf.DUMMYFUNCTION("""COMPUTED_VALUE"""),248.5)</f>
        <v>248.5</v>
      </c>
      <c r="O182" s="32">
        <f>IFERROR(__xludf.DUMMYFUNCTION("""COMPUTED_VALUE"""),993.7)</f>
        <v>993.7</v>
      </c>
      <c r="P182" s="32">
        <f>IFERROR(__xludf.DUMMYFUNCTION("""COMPUTED_VALUE"""),5.35)</f>
        <v>5.35</v>
      </c>
      <c r="Q182" s="32">
        <f>IFERROR(__xludf.DUMMYFUNCTION("""COMPUTED_VALUE"""),993.7)</f>
        <v>993.7</v>
      </c>
      <c r="R182" s="32">
        <f>IFERROR(__xludf.DUMMYFUNCTION("""COMPUTED_VALUE"""),17706.46709805)</f>
        <v>17706.4671</v>
      </c>
      <c r="S182" s="32">
        <f>IFERROR(__xludf.DUMMYFUNCTION("""COMPUTED_VALUE"""),18295.80189895)</f>
        <v>18295.8019</v>
      </c>
      <c r="T182" s="32">
        <f>IFERROR(__xludf.DUMMYFUNCTION("""COMPUTED_VALUE"""),-0.395981)</f>
        <v>-0.395981</v>
      </c>
      <c r="U182" s="32">
        <f>IFERROR(__xludf.DUMMYFUNCTION("""COMPUTED_VALUE"""),1.53633)</f>
        <v>1.53633</v>
      </c>
      <c r="V182" s="32">
        <f>IFERROR(__xludf.DUMMYFUNCTION("""COMPUTED_VALUE"""),9.349857)</f>
        <v>9.349857</v>
      </c>
      <c r="W182" s="32">
        <f>IFERROR(__xludf.DUMMYFUNCTION("""COMPUTED_VALUE"""),5.953728)</f>
        <v>5.953728</v>
      </c>
      <c r="X182" s="32">
        <f>IFERROR(__xludf.DUMMYFUNCTION("""COMPUTED_VALUE"""),25.677204)</f>
        <v>25.677204</v>
      </c>
      <c r="Y182" s="32">
        <f>IFERROR(__xludf.DUMMYFUNCTION("""COMPUTED_VALUE"""),15.613369)</f>
        <v>15.613369</v>
      </c>
      <c r="Z182" s="32">
        <f>IFERROR(__xludf.DUMMYFUNCTION("""COMPUTED_VALUE"""),34.374936)</f>
        <v>34.374936</v>
      </c>
      <c r="AA182" s="32">
        <f>IFERROR(__xludf.DUMMYFUNCTION("""COMPUTED_VALUE"""),37.3976)</f>
        <v>37.3976</v>
      </c>
      <c r="AB182" s="32">
        <f>IFERROR(__xludf.DUMMYFUNCTION("""COMPUTED_VALUE"""),33.49235)</f>
        <v>33.49235</v>
      </c>
      <c r="AC182" s="32">
        <f>IFERROR(__xludf.DUMMYFUNCTION("""COMPUTED_VALUE"""),6.412)</f>
        <v>6.412</v>
      </c>
      <c r="AD182" s="32">
        <f>IFERROR(__xludf.DUMMYFUNCTION("""COMPUTED_VALUE"""),6.4063)</f>
        <v>6.4063</v>
      </c>
      <c r="AE182" s="32">
        <f>IFERROR(__xludf.DUMMYFUNCTION("""COMPUTED_VALUE"""),3.813956)</f>
        <v>3.813956</v>
      </c>
      <c r="AF182" s="32">
        <f>IFERROR(__xludf.DUMMYFUNCTION("""COMPUTED_VALUE"""),5.815495)</f>
        <v>5.815495</v>
      </c>
      <c r="AG182" s="32">
        <f>IFERROR(__xludf.DUMMYFUNCTION("""COMPUTED_VALUE"""),0.7656)</f>
        <v>0.7656</v>
      </c>
      <c r="AH182" s="32">
        <f>IFERROR(__xludf.DUMMYFUNCTION("""COMPUTED_VALUE"""),21.267758)</f>
        <v>21.267758</v>
      </c>
      <c r="AI182" s="32">
        <f>IFERROR(__xludf.DUMMYFUNCTION("""COMPUTED_VALUE"""),3.405253540660609)</f>
        <v>3.405253541</v>
      </c>
      <c r="AJ182" s="32">
        <f>IFERROR(__xludf.DUMMYFUNCTION("""COMPUTED_VALUE"""),44.135966643526594)</f>
        <v>44.13596664</v>
      </c>
      <c r="AK182" s="32">
        <f>IFERROR(__xludf.DUMMYFUNCTION("""COMPUTED_VALUE"""),22.5148)</f>
        <v>22.5148</v>
      </c>
      <c r="AL182" s="32">
        <f>IFERROR(__xludf.DUMMYFUNCTION("""COMPUTED_VALUE"""),131.3156)</f>
        <v>131.3156</v>
      </c>
      <c r="AM182" s="32">
        <f>IFERROR(__xludf.DUMMYFUNCTION("""COMPUTED_VALUE"""),19.094717)</f>
        <v>19.094717</v>
      </c>
      <c r="AN182" s="32">
        <f>IFERROR(__xludf.DUMMYFUNCTION("""COMPUTED_VALUE"""),8.243693)</f>
        <v>8.243693</v>
      </c>
      <c r="AO182" s="32">
        <f>IFERROR(__xludf.DUMMYFUNCTION("""COMPUTED_VALUE"""),6.45)</f>
        <v>6.45</v>
      </c>
      <c r="AP182" s="32">
        <f>IFERROR(__xludf.DUMMYFUNCTION("""COMPUTED_VALUE"""),0.15200764818355647)</f>
        <v>0.1520076482</v>
      </c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>
      <c r="A183" s="13" t="str">
        <f>IFERROR(__xludf.DUMMYFUNCTION("""COMPUTED_VALUE"""),"Ambuja Cements Ltd.")</f>
        <v>Ambuja Cements Ltd.</v>
      </c>
      <c r="B183" s="30">
        <f>IFERROR(__xludf.DUMMYFUNCTION("""COMPUTED_VALUE"""),500425.0)</f>
        <v>500425</v>
      </c>
      <c r="C183" s="13" t="str">
        <f>IFERROR(__xludf.DUMMYFUNCTION("""COMPUTED_VALUE"""),"AMBUJACEM")</f>
        <v>AMBUJACEM</v>
      </c>
      <c r="D183" s="13" t="str">
        <f>IFERROR(__xludf.DUMMYFUNCTION("""COMPUTED_VALUE"""),"INE079A01024")</f>
        <v>INE079A01024</v>
      </c>
      <c r="E183" s="13" t="str">
        <f>IFERROR(__xludf.DUMMYFUNCTION("""COMPUTED_VALUE"""),"Materials")</f>
        <v>Materials</v>
      </c>
      <c r="F183" s="13" t="str">
        <f>IFERROR(__xludf.DUMMYFUNCTION("""COMPUTED_VALUE"""),"Cement")</f>
        <v>Cement</v>
      </c>
      <c r="G183" s="31">
        <f>IFERROR(__xludf.DUMMYFUNCTION("""COMPUTED_VALUE"""),44809.0)</f>
        <v>44809</v>
      </c>
      <c r="H183" s="32">
        <f>IFERROR(__xludf.DUMMYFUNCTION("""COMPUTED_VALUE"""),417.95)</f>
        <v>417.95</v>
      </c>
      <c r="I183" s="32">
        <f>IFERROR(__xludf.DUMMYFUNCTION("""COMPUTED_VALUE"""),0.565448)</f>
        <v>0.565448</v>
      </c>
      <c r="J183" s="32">
        <f>IFERROR(__xludf.DUMMYFUNCTION("""COMPUTED_VALUE"""),274.0)</f>
        <v>274</v>
      </c>
      <c r="K183" s="32">
        <f>IFERROR(__xludf.DUMMYFUNCTION("""COMPUTED_VALUE"""),442.95)</f>
        <v>442.95</v>
      </c>
      <c r="L183" s="32">
        <f>IFERROR(__xludf.DUMMYFUNCTION("""COMPUTED_VALUE"""),136.55)</f>
        <v>136.55</v>
      </c>
      <c r="M183" s="32">
        <f>IFERROR(__xludf.DUMMYFUNCTION("""COMPUTED_VALUE"""),442.95)</f>
        <v>442.95</v>
      </c>
      <c r="N183" s="32">
        <f>IFERROR(__xludf.DUMMYFUNCTION("""COMPUTED_VALUE"""),136.55)</f>
        <v>136.55</v>
      </c>
      <c r="O183" s="32">
        <f>IFERROR(__xludf.DUMMYFUNCTION("""COMPUTED_VALUE"""),442.95)</f>
        <v>442.95</v>
      </c>
      <c r="P183" s="32">
        <f>IFERROR(__xludf.DUMMYFUNCTION("""COMPUTED_VALUE"""),16.8)</f>
        <v>16.8</v>
      </c>
      <c r="Q183" s="32">
        <f>IFERROR(__xludf.DUMMYFUNCTION("""COMPUTED_VALUE"""),442.95)</f>
        <v>442.95</v>
      </c>
      <c r="R183" s="32">
        <f>IFERROR(__xludf.DUMMYFUNCTION("""COMPUTED_VALUE"""),82990.042346055)</f>
        <v>82990.04235</v>
      </c>
      <c r="S183" s="32">
        <f>IFERROR(__xludf.DUMMYFUNCTION("""COMPUTED_VALUE"""),70866.13749109501)</f>
        <v>70866.13749</v>
      </c>
      <c r="T183" s="32">
        <f>IFERROR(__xludf.DUMMYFUNCTION("""COMPUTED_VALUE"""),3.748293)</f>
        <v>3.748293</v>
      </c>
      <c r="U183" s="32">
        <f>IFERROR(__xludf.DUMMYFUNCTION("""COMPUTED_VALUE"""),9.62623)</f>
        <v>9.62623</v>
      </c>
      <c r="V183" s="32">
        <f>IFERROR(__xludf.DUMMYFUNCTION("""COMPUTED_VALUE"""),13.913873)</f>
        <v>13.913873</v>
      </c>
      <c r="W183" s="32">
        <f>IFERROR(__xludf.DUMMYFUNCTION("""COMPUTED_VALUE"""),-4.381148)</f>
        <v>-4.381148</v>
      </c>
      <c r="X183" s="32">
        <f>IFERROR(__xludf.DUMMYFUNCTION("""COMPUTED_VALUE"""),29.849256)</f>
        <v>29.849256</v>
      </c>
      <c r="Y183" s="32">
        <f>IFERROR(__xludf.DUMMYFUNCTION("""COMPUTED_VALUE"""),8.590454)</f>
        <v>8.590454</v>
      </c>
      <c r="Z183" s="32">
        <f>IFERROR(__xludf.DUMMYFUNCTION("""COMPUTED_VALUE"""),8.71079)</f>
        <v>8.71079</v>
      </c>
      <c r="AA183" s="32">
        <f>IFERROR(__xludf.DUMMYFUNCTION("""COMPUTED_VALUE"""),34.9473)</f>
        <v>34.9473</v>
      </c>
      <c r="AB183" s="32">
        <f>IFERROR(__xludf.DUMMYFUNCTION("""COMPUTED_VALUE"""),23.7433)</f>
        <v>23.7433</v>
      </c>
      <c r="AC183" s="32">
        <f>IFERROR(__xludf.DUMMYFUNCTION("""COMPUTED_VALUE"""),3.2409)</f>
        <v>3.2409</v>
      </c>
      <c r="AD183" s="32">
        <f>IFERROR(__xludf.DUMMYFUNCTION("""COMPUTED_VALUE"""),2.0355)</f>
        <v>2.0355</v>
      </c>
      <c r="AE183" s="32">
        <f>IFERROR(__xludf.DUMMYFUNCTION("""COMPUTED_VALUE"""),6.524705)</f>
        <v>6.524705</v>
      </c>
      <c r="AF183" s="32">
        <f>IFERROR(__xludf.DUMMYFUNCTION("""COMPUTED_VALUE"""),2.602181)</f>
        <v>2.602181</v>
      </c>
      <c r="AG183" s="32">
        <f>IFERROR(__xludf.DUMMYFUNCTION("""COMPUTED_VALUE"""),1.5072)</f>
        <v>1.5072</v>
      </c>
      <c r="AH183" s="32">
        <f>IFERROR(__xludf.DUMMYFUNCTION("""COMPUTED_VALUE"""),12.920365)</f>
        <v>12.920365</v>
      </c>
      <c r="AI183" s="32">
        <f>IFERROR(__xludf.DUMMYFUNCTION("""COMPUTED_VALUE"""),2.7475297355153874)</f>
        <v>2.747529736</v>
      </c>
      <c r="AJ183" s="32">
        <f>IFERROR(__xludf.DUMMYFUNCTION("""COMPUTED_VALUE"""),15.631482634928123)</f>
        <v>15.63148263</v>
      </c>
      <c r="AK183" s="32">
        <f>IFERROR(__xludf.DUMMYFUNCTION("""COMPUTED_VALUE"""),11.9222)</f>
        <v>11.9222</v>
      </c>
      <c r="AL183" s="32">
        <f>IFERROR(__xludf.DUMMYFUNCTION("""COMPUTED_VALUE"""),128.5601)</f>
        <v>128.5601</v>
      </c>
      <c r="AM183" s="32">
        <f>IFERROR(__xludf.DUMMYFUNCTION("""COMPUTED_VALUE"""),26.737643)</f>
        <v>26.737643</v>
      </c>
      <c r="AN183" s="32">
        <f>IFERROR(__xludf.DUMMYFUNCTION("""COMPUTED_VALUE"""),10.967643)</f>
        <v>10.967643</v>
      </c>
      <c r="AO183" s="32">
        <f>IFERROR(__xludf.DUMMYFUNCTION("""COMPUTED_VALUE"""),6.3)</f>
        <v>6.3</v>
      </c>
      <c r="AP183" s="32">
        <f>IFERROR(__xludf.DUMMYFUNCTION("""COMPUTED_VALUE"""),0.056439778756067274)</f>
        <v>0.05643977876</v>
      </c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>
      <c r="A184" s="13" t="str">
        <f>IFERROR(__xludf.DUMMYFUNCTION("""COMPUTED_VALUE"""),"Avanti Feeds Ltd.")</f>
        <v>Avanti Feeds Ltd.</v>
      </c>
      <c r="B184" s="30">
        <f>IFERROR(__xludf.DUMMYFUNCTION("""COMPUTED_VALUE"""),512573.0)</f>
        <v>512573</v>
      </c>
      <c r="C184" s="13" t="str">
        <f>IFERROR(__xludf.DUMMYFUNCTION("""COMPUTED_VALUE"""),"AVANTIFEED")</f>
        <v>AVANTIFEED</v>
      </c>
      <c r="D184" s="13" t="str">
        <f>IFERROR(__xludf.DUMMYFUNCTION("""COMPUTED_VALUE"""),"INE871C01038")</f>
        <v>INE871C01038</v>
      </c>
      <c r="E184" s="13" t="str">
        <f>IFERROR(__xludf.DUMMYFUNCTION("""COMPUTED_VALUE"""),"Consumer Staples")</f>
        <v>Consumer Staples</v>
      </c>
      <c r="F184" s="13" t="str">
        <f>IFERROR(__xludf.DUMMYFUNCTION("""COMPUTED_VALUE"""),"Aquaculture")</f>
        <v>Aquaculture</v>
      </c>
      <c r="G184" s="31">
        <f>IFERROR(__xludf.DUMMYFUNCTION("""COMPUTED_VALUE"""),44809.0)</f>
        <v>44809</v>
      </c>
      <c r="H184" s="32">
        <f>IFERROR(__xludf.DUMMYFUNCTION("""COMPUTED_VALUE"""),466.85)</f>
        <v>466.85</v>
      </c>
      <c r="I184" s="32">
        <f>IFERROR(__xludf.DUMMYFUNCTION("""COMPUTED_VALUE"""),0.343901)</f>
        <v>0.343901</v>
      </c>
      <c r="J184" s="32">
        <f>IFERROR(__xludf.DUMMYFUNCTION("""COMPUTED_VALUE"""),384.2)</f>
        <v>384.2</v>
      </c>
      <c r="K184" s="32">
        <f>IFERROR(__xludf.DUMMYFUNCTION("""COMPUTED_VALUE"""),638.8)</f>
        <v>638.8</v>
      </c>
      <c r="L184" s="32">
        <f>IFERROR(__xludf.DUMMYFUNCTION("""COMPUTED_VALUE"""),250.0)</f>
        <v>250</v>
      </c>
      <c r="M184" s="32">
        <f>IFERROR(__xludf.DUMMYFUNCTION("""COMPUTED_VALUE"""),770.0)</f>
        <v>770</v>
      </c>
      <c r="N184" s="32">
        <f>IFERROR(__xludf.DUMMYFUNCTION("""COMPUTED_VALUE"""),250.0)</f>
        <v>250</v>
      </c>
      <c r="O184" s="32">
        <f>IFERROR(__xludf.DUMMYFUNCTION("""COMPUTED_VALUE"""),1000.0)</f>
        <v>1000</v>
      </c>
      <c r="P184" s="32">
        <f>IFERROR(__xludf.DUMMYFUNCTION("""COMPUTED_VALUE"""),0.933333)</f>
        <v>0.933333</v>
      </c>
      <c r="Q184" s="32">
        <f>IFERROR(__xludf.DUMMYFUNCTION("""COMPUTED_VALUE"""),1000.0)</f>
        <v>1000</v>
      </c>
      <c r="R184" s="32">
        <f>IFERROR(__xludf.DUMMYFUNCTION("""COMPUTED_VALUE"""),6360.62723655)</f>
        <v>6360.627237</v>
      </c>
      <c r="S184" s="32">
        <f>IFERROR(__xludf.DUMMYFUNCTION("""COMPUTED_VALUE"""),5451.9576202)</f>
        <v>5451.95762</v>
      </c>
      <c r="T184" s="32">
        <f>IFERROR(__xludf.DUMMYFUNCTION("""COMPUTED_VALUE"""),0.085754)</f>
        <v>0.085754</v>
      </c>
      <c r="U184" s="32">
        <f>IFERROR(__xludf.DUMMYFUNCTION("""COMPUTED_VALUE"""),-5.361849)</f>
        <v>-5.361849</v>
      </c>
      <c r="V184" s="32">
        <f>IFERROR(__xludf.DUMMYFUNCTION("""COMPUTED_VALUE"""),10.05422)</f>
        <v>10.05422</v>
      </c>
      <c r="W184" s="32">
        <f>IFERROR(__xludf.DUMMYFUNCTION("""COMPUTED_VALUE"""),-16.715726)</f>
        <v>-16.715726</v>
      </c>
      <c r="X184" s="32">
        <f>IFERROR(__xludf.DUMMYFUNCTION("""COMPUTED_VALUE"""),13.755102)</f>
        <v>13.755102</v>
      </c>
      <c r="Y184" s="32">
        <f>IFERROR(__xludf.DUMMYFUNCTION("""COMPUTED_VALUE"""),-5.356443)</f>
        <v>-5.356443</v>
      </c>
      <c r="Z184" s="32">
        <f>IFERROR(__xludf.DUMMYFUNCTION("""COMPUTED_VALUE"""),46.507371)</f>
        <v>46.507371</v>
      </c>
      <c r="AA184" s="32">
        <f>IFERROR(__xludf.DUMMYFUNCTION("""COMPUTED_VALUE"""),29.5905)</f>
        <v>29.5905</v>
      </c>
      <c r="AB184" s="32">
        <f>IFERROR(__xludf.DUMMYFUNCTION("""COMPUTED_VALUE"""),19.5503)</f>
        <v>19.5503</v>
      </c>
      <c r="AC184" s="32">
        <f>IFERROR(__xludf.DUMMYFUNCTION("""COMPUTED_VALUE"""),3.2291)</f>
        <v>3.2291</v>
      </c>
      <c r="AD184" s="32">
        <f>IFERROR(__xludf.DUMMYFUNCTION("""COMPUTED_VALUE"""),4.40055)</f>
        <v>4.40055</v>
      </c>
      <c r="AE184" s="32">
        <f>IFERROR(__xludf.DUMMYFUNCTION("""COMPUTED_VALUE"""),7.975582)</f>
        <v>7.975582</v>
      </c>
      <c r="AF184" s="32">
        <f>IFERROR(__xludf.DUMMYFUNCTION("""COMPUTED_VALUE"""),-5.686452)</f>
        <v>-5.686452</v>
      </c>
      <c r="AG184" s="32">
        <f>IFERROR(__xludf.DUMMYFUNCTION("""COMPUTED_VALUE"""),1.3389)</f>
        <v>1.3389</v>
      </c>
      <c r="AH184" s="32">
        <f>IFERROR(__xludf.DUMMYFUNCTION("""COMPUTED_VALUE"""),13.49745)</f>
        <v>13.49745</v>
      </c>
      <c r="AI184" s="32">
        <f>IFERROR(__xludf.DUMMYFUNCTION("""COMPUTED_VALUE"""),1.2240317702199346)</f>
        <v>1.22403177</v>
      </c>
      <c r="AJ184" s="32">
        <f>IFERROR(__xludf.DUMMYFUNCTION("""COMPUTED_VALUE"""),-29.953337850457167)</f>
        <v>-29.95333785</v>
      </c>
      <c r="AK184" s="32">
        <f>IFERROR(__xludf.DUMMYFUNCTION("""COMPUTED_VALUE"""),15.7753)</f>
        <v>15.7753</v>
      </c>
      <c r="AL184" s="32">
        <f>IFERROR(__xludf.DUMMYFUNCTION("""COMPUTED_VALUE"""),144.5595)</f>
        <v>144.5595</v>
      </c>
      <c r="AM184" s="32">
        <f>IFERROR(__xludf.DUMMYFUNCTION("""COMPUTED_VALUE"""),-15.585867)</f>
        <v>-15.585867</v>
      </c>
      <c r="AN184" s="32">
        <f>IFERROR(__xludf.DUMMYFUNCTION("""COMPUTED_VALUE"""),-15.172365)</f>
        <v>-15.172365</v>
      </c>
      <c r="AO184" s="32">
        <f>IFERROR(__xludf.DUMMYFUNCTION("""COMPUTED_VALUE"""),6.25)</f>
        <v>6.25</v>
      </c>
      <c r="AP184" s="32">
        <f>IFERROR(__xludf.DUMMYFUNCTION("""COMPUTED_VALUE"""),0.2691765810895428)</f>
        <v>0.2691765811</v>
      </c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>
      <c r="A185" s="13" t="str">
        <f>IFERROR(__xludf.DUMMYFUNCTION("""COMPUTED_VALUE"""),"Endurance Technologies Ltd.")</f>
        <v>Endurance Technologies Ltd.</v>
      </c>
      <c r="B185" s="30">
        <f>IFERROR(__xludf.DUMMYFUNCTION("""COMPUTED_VALUE"""),540153.0)</f>
        <v>540153</v>
      </c>
      <c r="C185" s="13" t="str">
        <f>IFERROR(__xludf.DUMMYFUNCTION("""COMPUTED_VALUE"""),"ENDURANCE")</f>
        <v>ENDURANCE</v>
      </c>
      <c r="D185" s="13" t="str">
        <f>IFERROR(__xludf.DUMMYFUNCTION("""COMPUTED_VALUE"""),"INE913H01037")</f>
        <v>INE913H01037</v>
      </c>
      <c r="E185" s="13" t="str">
        <f>IFERROR(__xludf.DUMMYFUNCTION("""COMPUTED_VALUE"""),"Automobile")</f>
        <v>Automobile</v>
      </c>
      <c r="F185" s="13" t="str">
        <f>IFERROR(__xludf.DUMMYFUNCTION("""COMPUTED_VALUE"""),"Auto Ancillaries")</f>
        <v>Auto Ancillaries</v>
      </c>
      <c r="G185" s="31">
        <f>IFERROR(__xludf.DUMMYFUNCTION("""COMPUTED_VALUE"""),44809.0)</f>
        <v>44809</v>
      </c>
      <c r="H185" s="32">
        <f>IFERROR(__xludf.DUMMYFUNCTION("""COMPUTED_VALUE"""),1529.55)</f>
        <v>1529.55</v>
      </c>
      <c r="I185" s="32">
        <f>IFERROR(__xludf.DUMMYFUNCTION("""COMPUTED_VALUE"""),0.717743)</f>
        <v>0.717743</v>
      </c>
      <c r="J185" s="32">
        <f>IFERROR(__xludf.DUMMYFUNCTION("""COMPUTED_VALUE"""),1047.2)</f>
        <v>1047.2</v>
      </c>
      <c r="K185" s="32">
        <f>IFERROR(__xludf.DUMMYFUNCTION("""COMPUTED_VALUE"""),1989.0)</f>
        <v>1989</v>
      </c>
      <c r="L185" s="32">
        <f>IFERROR(__xludf.DUMMYFUNCTION("""COMPUTED_VALUE"""),562.0)</f>
        <v>562</v>
      </c>
      <c r="M185" s="32">
        <f>IFERROR(__xludf.DUMMYFUNCTION("""COMPUTED_VALUE"""),1989.0)</f>
        <v>1989</v>
      </c>
      <c r="N185" s="32">
        <f>IFERROR(__xludf.DUMMYFUNCTION("""COMPUTED_VALUE"""),562.0)</f>
        <v>562</v>
      </c>
      <c r="O185" s="32">
        <f>IFERROR(__xludf.DUMMYFUNCTION("""COMPUTED_VALUE"""),1989.0)</f>
        <v>1989</v>
      </c>
      <c r="P185" s="32">
        <f>IFERROR(__xludf.DUMMYFUNCTION("""COMPUTED_VALUE"""),518.25)</f>
        <v>518.25</v>
      </c>
      <c r="Q185" s="32">
        <f>IFERROR(__xludf.DUMMYFUNCTION("""COMPUTED_VALUE"""),1989.0)</f>
        <v>1989</v>
      </c>
      <c r="R185" s="32">
        <f>IFERROR(__xludf.DUMMYFUNCTION("""COMPUTED_VALUE"""),21492.57986016)</f>
        <v>21492.57986</v>
      </c>
      <c r="S185" s="32">
        <f>IFERROR(__xludf.DUMMYFUNCTION("""COMPUTED_VALUE"""),20844.14552768)</f>
        <v>20844.14553</v>
      </c>
      <c r="T185" s="32">
        <f>IFERROR(__xludf.DUMMYFUNCTION("""COMPUTED_VALUE"""),4.990219)</f>
        <v>4.990219</v>
      </c>
      <c r="U185" s="32">
        <f>IFERROR(__xludf.DUMMYFUNCTION("""COMPUTED_VALUE"""),4.09705)</f>
        <v>4.09705</v>
      </c>
      <c r="V185" s="32">
        <f>IFERROR(__xludf.DUMMYFUNCTION("""COMPUTED_VALUE"""),18.869244)</f>
        <v>18.869244</v>
      </c>
      <c r="W185" s="32">
        <f>IFERROR(__xludf.DUMMYFUNCTION("""COMPUTED_VALUE"""),-5.12065)</f>
        <v>-5.12065</v>
      </c>
      <c r="X185" s="32">
        <f>IFERROR(__xludf.DUMMYFUNCTION("""COMPUTED_VALUE"""),18.889167)</f>
        <v>18.889167</v>
      </c>
      <c r="Y185" s="32">
        <f>IFERROR(__xludf.DUMMYFUNCTION("""COMPUTED_VALUE"""),9.1985)</f>
        <v>9.1985</v>
      </c>
      <c r="Z185" s="13"/>
      <c r="AA185" s="32">
        <f>IFERROR(__xludf.DUMMYFUNCTION("""COMPUTED_VALUE"""),45.9697)</f>
        <v>45.9697</v>
      </c>
      <c r="AB185" s="32">
        <f>IFERROR(__xludf.DUMMYFUNCTION("""COMPUTED_VALUE"""),38.84185)</f>
        <v>38.84185</v>
      </c>
      <c r="AC185" s="32">
        <f>IFERROR(__xludf.DUMMYFUNCTION("""COMPUTED_VALUE"""),5.3419)</f>
        <v>5.3419</v>
      </c>
      <c r="AD185" s="32">
        <f>IFERROR(__xludf.DUMMYFUNCTION("""COMPUTED_VALUE"""),6.082)</f>
        <v>6.082</v>
      </c>
      <c r="AE185" s="32">
        <f>IFERROR(__xludf.DUMMYFUNCTION("""COMPUTED_VALUE"""),3.06386)</f>
        <v>3.06386</v>
      </c>
      <c r="AF185" s="32">
        <f>IFERROR(__xludf.DUMMYFUNCTION("""COMPUTED_VALUE"""),7.240657)</f>
        <v>7.240657</v>
      </c>
      <c r="AG185" s="32">
        <f>IFERROR(__xludf.DUMMYFUNCTION("""COMPUTED_VALUE"""),0.409)</f>
        <v>0.409</v>
      </c>
      <c r="AH185" s="32">
        <f>IFERROR(__xludf.DUMMYFUNCTION("""COMPUTED_VALUE"""),20.9888)</f>
        <v>20.9888</v>
      </c>
      <c r="AI185" s="32">
        <f>IFERROR(__xludf.DUMMYFUNCTION("""COMPUTED_VALUE"""),2.6969215819756336)</f>
        <v>2.696921582</v>
      </c>
      <c r="AJ185" s="32">
        <f>IFERROR(__xludf.DUMMYFUNCTION("""COMPUTED_VALUE"""),28.98316219743943)</f>
        <v>28.9831622</v>
      </c>
      <c r="AK185" s="32">
        <f>IFERROR(__xludf.DUMMYFUNCTION("""COMPUTED_VALUE"""),33.2382)</f>
        <v>33.2382</v>
      </c>
      <c r="AL185" s="32">
        <f>IFERROR(__xludf.DUMMYFUNCTION("""COMPUTED_VALUE"""),286.0299)</f>
        <v>286.0299</v>
      </c>
      <c r="AM185" s="32">
        <f>IFERROR(__xludf.DUMMYFUNCTION("""COMPUTED_VALUE"""),52.718483)</f>
        <v>52.718483</v>
      </c>
      <c r="AN185" s="32">
        <f>IFERROR(__xludf.DUMMYFUNCTION("""COMPUTED_VALUE"""),19.448469)</f>
        <v>19.448469</v>
      </c>
      <c r="AO185" s="32">
        <f>IFERROR(__xludf.DUMMYFUNCTION("""COMPUTED_VALUE"""),6.25)</f>
        <v>6.25</v>
      </c>
      <c r="AP185" s="32">
        <f>IFERROR(__xludf.DUMMYFUNCTION("""COMPUTED_VALUE"""),0.23099547511312218)</f>
        <v>0.2309954751</v>
      </c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>
      <c r="A186" s="13" t="str">
        <f>IFERROR(__xludf.DUMMYFUNCTION("""COMPUTED_VALUE"""),"Tata Consumer Products Ltd.")</f>
        <v>Tata Consumer Products Ltd.</v>
      </c>
      <c r="B186" s="30">
        <f>IFERROR(__xludf.DUMMYFUNCTION("""COMPUTED_VALUE"""),500800.0)</f>
        <v>500800</v>
      </c>
      <c r="C186" s="13" t="str">
        <f>IFERROR(__xludf.DUMMYFUNCTION("""COMPUTED_VALUE"""),"TATACONSUM")</f>
        <v>TATACONSUM</v>
      </c>
      <c r="D186" s="13" t="str">
        <f>IFERROR(__xludf.DUMMYFUNCTION("""COMPUTED_VALUE"""),"INE192A01025")</f>
        <v>INE192A01025</v>
      </c>
      <c r="E186" s="13" t="str">
        <f>IFERROR(__xludf.DUMMYFUNCTION("""COMPUTED_VALUE"""),"Consumer Staples")</f>
        <v>Consumer Staples</v>
      </c>
      <c r="F186" s="13" t="str">
        <f>IFERROR(__xludf.DUMMYFUNCTION("""COMPUTED_VALUE"""),"Food Processing")</f>
        <v>Food Processing</v>
      </c>
      <c r="G186" s="31">
        <f>IFERROR(__xludf.DUMMYFUNCTION("""COMPUTED_VALUE"""),44809.0)</f>
        <v>44809</v>
      </c>
      <c r="H186" s="32">
        <f>IFERROR(__xludf.DUMMYFUNCTION("""COMPUTED_VALUE"""),837.45)</f>
        <v>837.45</v>
      </c>
      <c r="I186" s="32">
        <f>IFERROR(__xludf.DUMMYFUNCTION("""COMPUTED_VALUE"""),0.449802)</f>
        <v>0.449802</v>
      </c>
      <c r="J186" s="32">
        <f>IFERROR(__xludf.DUMMYFUNCTION("""COMPUTED_VALUE"""),657.5)</f>
        <v>657.5</v>
      </c>
      <c r="K186" s="32">
        <f>IFERROR(__xludf.DUMMYFUNCTION("""COMPUTED_VALUE"""),889.0)</f>
        <v>889</v>
      </c>
      <c r="L186" s="32">
        <f>IFERROR(__xludf.DUMMYFUNCTION("""COMPUTED_VALUE"""),213.7)</f>
        <v>213.7</v>
      </c>
      <c r="M186" s="32">
        <f>IFERROR(__xludf.DUMMYFUNCTION("""COMPUTED_VALUE"""),889.0)</f>
        <v>889</v>
      </c>
      <c r="N186" s="32">
        <f>IFERROR(__xludf.DUMMYFUNCTION("""COMPUTED_VALUE"""),177.05)</f>
        <v>177.05</v>
      </c>
      <c r="O186" s="32">
        <f>IFERROR(__xludf.DUMMYFUNCTION("""COMPUTED_VALUE"""),889.0)</f>
        <v>889</v>
      </c>
      <c r="P186" s="32">
        <f>IFERROR(__xludf.DUMMYFUNCTION("""COMPUTED_VALUE"""),11.65)</f>
        <v>11.65</v>
      </c>
      <c r="Q186" s="32">
        <f>IFERROR(__xludf.DUMMYFUNCTION("""COMPUTED_VALUE"""),889.0)</f>
        <v>889</v>
      </c>
      <c r="R186" s="32">
        <f>IFERROR(__xludf.DUMMYFUNCTION("""COMPUTED_VALUE"""),77175.348372675)</f>
        <v>77175.34837</v>
      </c>
      <c r="S186" s="32">
        <f>IFERROR(__xludf.DUMMYFUNCTION("""COMPUTED_VALUE"""),74982.535618075)</f>
        <v>74982.53562</v>
      </c>
      <c r="T186" s="32">
        <f>IFERROR(__xludf.DUMMYFUNCTION("""COMPUTED_VALUE"""),4.42671)</f>
        <v>4.42671</v>
      </c>
      <c r="U186" s="32">
        <f>IFERROR(__xludf.DUMMYFUNCTION("""COMPUTED_VALUE"""),6.107064)</f>
        <v>6.107064</v>
      </c>
      <c r="V186" s="32">
        <f>IFERROR(__xludf.DUMMYFUNCTION("""COMPUTED_VALUE"""),11.082372)</f>
        <v>11.082372</v>
      </c>
      <c r="W186" s="32">
        <f>IFERROR(__xludf.DUMMYFUNCTION("""COMPUTED_VALUE"""),-3.72478)</f>
        <v>-3.72478</v>
      </c>
      <c r="X186" s="32">
        <f>IFERROR(__xludf.DUMMYFUNCTION("""COMPUTED_VALUE"""),46.380269)</f>
        <v>46.380269</v>
      </c>
      <c r="Y186" s="32">
        <f>IFERROR(__xludf.DUMMYFUNCTION("""COMPUTED_VALUE"""),34.074259)</f>
        <v>34.074259</v>
      </c>
      <c r="Z186" s="32">
        <f>IFERROR(__xludf.DUMMYFUNCTION("""COMPUTED_VALUE"""),20.328998)</f>
        <v>20.328998</v>
      </c>
      <c r="AA186" s="32">
        <f>IFERROR(__xludf.DUMMYFUNCTION("""COMPUTED_VALUE"""),76.7586)</f>
        <v>76.7586</v>
      </c>
      <c r="AB186" s="32">
        <f>IFERROR(__xludf.DUMMYFUNCTION("""COMPUTED_VALUE"""),69.6065)</f>
        <v>69.6065</v>
      </c>
      <c r="AC186" s="32">
        <f>IFERROR(__xludf.DUMMYFUNCTION("""COMPUTED_VALUE"""),5.0159)</f>
        <v>5.0159</v>
      </c>
      <c r="AD186" s="32">
        <f>IFERROR(__xludf.DUMMYFUNCTION("""COMPUTED_VALUE"""),3.06095)</f>
        <v>3.06095</v>
      </c>
      <c r="AE186" s="32">
        <f>IFERROR(__xludf.DUMMYFUNCTION("""COMPUTED_VALUE"""),2.370708)</f>
        <v>2.370708</v>
      </c>
      <c r="AF186" s="32">
        <f>IFERROR(__xludf.DUMMYFUNCTION("""COMPUTED_VALUE"""),4.185269)</f>
        <v>4.185269</v>
      </c>
      <c r="AG186" s="32">
        <f>IFERROR(__xludf.DUMMYFUNCTION("""COMPUTED_VALUE"""),0.7217)</f>
        <v>0.7217</v>
      </c>
      <c r="AH186" s="32">
        <f>IFERROR(__xludf.DUMMYFUNCTION("""COMPUTED_VALUE"""),38.972617)</f>
        <v>38.972617</v>
      </c>
      <c r="AI186" s="32">
        <f>IFERROR(__xludf.DUMMYFUNCTION("""COMPUTED_VALUE"""),6.0559418485213135)</f>
        <v>6.055941849</v>
      </c>
      <c r="AJ186" s="32">
        <f>IFERROR(__xludf.DUMMYFUNCTION("""COMPUTED_VALUE"""),50.91360287415639)</f>
        <v>50.91360287</v>
      </c>
      <c r="AK186" s="32">
        <f>IFERROR(__xludf.DUMMYFUNCTION("""COMPUTED_VALUE"""),10.9173)</f>
        <v>10.9173</v>
      </c>
      <c r="AL186" s="32">
        <f>IFERROR(__xludf.DUMMYFUNCTION("""COMPUTED_VALUE"""),167.0674)</f>
        <v>167.0674</v>
      </c>
      <c r="AM186" s="32">
        <f>IFERROR(__xludf.DUMMYFUNCTION("""COMPUTED_VALUE"""),16.447591)</f>
        <v>16.447591</v>
      </c>
      <c r="AN186" s="32">
        <f>IFERROR(__xludf.DUMMYFUNCTION("""COMPUTED_VALUE"""),11.782661)</f>
        <v>11.782661</v>
      </c>
      <c r="AO186" s="32">
        <f>IFERROR(__xludf.DUMMYFUNCTION("""COMPUTED_VALUE"""),6.05)</f>
        <v>6.05</v>
      </c>
      <c r="AP186" s="32">
        <f>IFERROR(__xludf.DUMMYFUNCTION("""COMPUTED_VALUE"""),0.05798650168728904)</f>
        <v>0.05798650169</v>
      </c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>
      <c r="A187" s="13" t="str">
        <f>IFERROR(__xludf.DUMMYFUNCTION("""COMPUTED_VALUE"""),"Eris Lifesciences Ltd.")</f>
        <v>Eris Lifesciences Ltd.</v>
      </c>
      <c r="B187" s="30">
        <f>IFERROR(__xludf.DUMMYFUNCTION("""COMPUTED_VALUE"""),540596.0)</f>
        <v>540596</v>
      </c>
      <c r="C187" s="13" t="str">
        <f>IFERROR(__xludf.DUMMYFUNCTION("""COMPUTED_VALUE"""),"ERIS")</f>
        <v>ERIS</v>
      </c>
      <c r="D187" s="13" t="str">
        <f>IFERROR(__xludf.DUMMYFUNCTION("""COMPUTED_VALUE"""),"INE406M01024")</f>
        <v>INE406M01024</v>
      </c>
      <c r="E187" s="13" t="str">
        <f>IFERROR(__xludf.DUMMYFUNCTION("""COMPUTED_VALUE"""),"Healthcare")</f>
        <v>Healthcare</v>
      </c>
      <c r="F187" s="13" t="str">
        <f>IFERROR(__xludf.DUMMYFUNCTION("""COMPUTED_VALUE"""),"Drugs &amp; Pharma")</f>
        <v>Drugs &amp; Pharma</v>
      </c>
      <c r="G187" s="31">
        <f>IFERROR(__xludf.DUMMYFUNCTION("""COMPUTED_VALUE"""),44809.0)</f>
        <v>44809</v>
      </c>
      <c r="H187" s="32">
        <f>IFERROR(__xludf.DUMMYFUNCTION("""COMPUTED_VALUE"""),699.0)</f>
        <v>699</v>
      </c>
      <c r="I187" s="32">
        <f>IFERROR(__xludf.DUMMYFUNCTION("""COMPUTED_VALUE"""),1.084599)</f>
        <v>1.084599</v>
      </c>
      <c r="J187" s="32">
        <f>IFERROR(__xludf.DUMMYFUNCTION("""COMPUTED_VALUE"""),600.3)</f>
        <v>600.3</v>
      </c>
      <c r="K187" s="32">
        <f>IFERROR(__xludf.DUMMYFUNCTION("""COMPUTED_VALUE"""),863.15)</f>
        <v>863.15</v>
      </c>
      <c r="L187" s="32">
        <f>IFERROR(__xludf.DUMMYFUNCTION("""COMPUTED_VALUE"""),321.0)</f>
        <v>321</v>
      </c>
      <c r="M187" s="32">
        <f>IFERROR(__xludf.DUMMYFUNCTION("""COMPUTED_VALUE"""),863.15)</f>
        <v>863.15</v>
      </c>
      <c r="N187" s="32">
        <f>IFERROR(__xludf.DUMMYFUNCTION("""COMPUTED_VALUE"""),321.0)</f>
        <v>321</v>
      </c>
      <c r="O187" s="32">
        <f>IFERROR(__xludf.DUMMYFUNCTION("""COMPUTED_VALUE"""),896.0)</f>
        <v>896</v>
      </c>
      <c r="P187" s="32">
        <f>IFERROR(__xludf.DUMMYFUNCTION("""COMPUTED_VALUE"""),321.0)</f>
        <v>321</v>
      </c>
      <c r="Q187" s="32">
        <f>IFERROR(__xludf.DUMMYFUNCTION("""COMPUTED_VALUE"""),896.0)</f>
        <v>896</v>
      </c>
      <c r="R187" s="32">
        <f>IFERROR(__xludf.DUMMYFUNCTION("""COMPUTED_VALUE"""),9499.7312882)</f>
        <v>9499.731288</v>
      </c>
      <c r="S187" s="32">
        <f>IFERROR(__xludf.DUMMYFUNCTION("""COMPUTED_VALUE"""),9323.5212214)</f>
        <v>9323.521221</v>
      </c>
      <c r="T187" s="32">
        <f>IFERROR(__xludf.DUMMYFUNCTION("""COMPUTED_VALUE"""),1.040763)</f>
        <v>1.040763</v>
      </c>
      <c r="U187" s="32">
        <f>IFERROR(__xludf.DUMMYFUNCTION("""COMPUTED_VALUE"""),-0.20701)</f>
        <v>-0.20701</v>
      </c>
      <c r="V187" s="32">
        <f>IFERROR(__xludf.DUMMYFUNCTION("""COMPUTED_VALUE"""),5.613054)</f>
        <v>5.613054</v>
      </c>
      <c r="W187" s="32">
        <f>IFERROR(__xludf.DUMMYFUNCTION("""COMPUTED_VALUE"""),-8.681168)</f>
        <v>-8.681168</v>
      </c>
      <c r="X187" s="32">
        <f>IFERROR(__xludf.DUMMYFUNCTION("""COMPUTED_VALUE"""),21.475702)</f>
        <v>21.475702</v>
      </c>
      <c r="Y187" s="32">
        <f>IFERROR(__xludf.DUMMYFUNCTION("""COMPUTED_VALUE"""),3.939539)</f>
        <v>3.939539</v>
      </c>
      <c r="Z187" s="13"/>
      <c r="AA187" s="32">
        <f>IFERROR(__xludf.DUMMYFUNCTION("""COMPUTED_VALUE"""),24.1091)</f>
        <v>24.1091</v>
      </c>
      <c r="AB187" s="32">
        <f>IFERROR(__xludf.DUMMYFUNCTION("""COMPUTED_VALUE"""),24.5481)</f>
        <v>24.5481</v>
      </c>
      <c r="AC187" s="32">
        <f>IFERROR(__xludf.DUMMYFUNCTION("""COMPUTED_VALUE"""),4.7495)</f>
        <v>4.7495</v>
      </c>
      <c r="AD187" s="32">
        <f>IFERROR(__xludf.DUMMYFUNCTION("""COMPUTED_VALUE"""),5.71195)</f>
        <v>5.71195</v>
      </c>
      <c r="AE187" s="32">
        <f>IFERROR(__xludf.DUMMYFUNCTION("""COMPUTED_VALUE"""),4.896641)</f>
        <v>4.896641</v>
      </c>
      <c r="AF187" s="32">
        <f>IFERROR(__xludf.DUMMYFUNCTION("""COMPUTED_VALUE"""),2.673189)</f>
        <v>2.673189</v>
      </c>
      <c r="AG187" s="32">
        <f>IFERROR(__xludf.DUMMYFUNCTION("""COMPUTED_VALUE"""),0.8602)</f>
        <v>0.8602</v>
      </c>
      <c r="AH187" s="32">
        <f>IFERROR(__xludf.DUMMYFUNCTION("""COMPUTED_VALUE"""),18.259539)</f>
        <v>18.259539</v>
      </c>
      <c r="AI187" s="32">
        <f>IFERROR(__xludf.DUMMYFUNCTION("""COMPUTED_VALUE"""),6.911086925163179)</f>
        <v>6.911086925</v>
      </c>
      <c r="AJ187" s="32">
        <f>IFERROR(__xludf.DUMMYFUNCTION("""COMPUTED_VALUE"""),25.114024301017277)</f>
        <v>25.1140243</v>
      </c>
      <c r="AK187" s="32">
        <f>IFERROR(__xludf.DUMMYFUNCTION("""COMPUTED_VALUE"""),28.9787)</f>
        <v>28.9787</v>
      </c>
      <c r="AL187" s="32">
        <f>IFERROR(__xludf.DUMMYFUNCTION("""COMPUTED_VALUE"""),147.0998)</f>
        <v>147.0998</v>
      </c>
      <c r="AM187" s="32">
        <f>IFERROR(__xludf.DUMMYFUNCTION("""COMPUTED_VALUE"""),27.827853)</f>
        <v>27.827853</v>
      </c>
      <c r="AN187" s="32">
        <f>IFERROR(__xludf.DUMMYFUNCTION("""COMPUTED_VALUE"""),23.509159)</f>
        <v>23.509159</v>
      </c>
      <c r="AO187" s="32">
        <f>IFERROR(__xludf.DUMMYFUNCTION("""COMPUTED_VALUE"""),6.01)</f>
        <v>6.01</v>
      </c>
      <c r="AP187" s="32">
        <f>IFERROR(__xludf.DUMMYFUNCTION("""COMPUTED_VALUE"""),0.19017551989804782)</f>
        <v>0.1901755199</v>
      </c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>
      <c r="A188" s="13" t="str">
        <f>IFERROR(__xludf.DUMMYFUNCTION("""COMPUTED_VALUE"""),"Balaji Amines Ltd.")</f>
        <v>Balaji Amines Ltd.</v>
      </c>
      <c r="B188" s="30">
        <f>IFERROR(__xludf.DUMMYFUNCTION("""COMPUTED_VALUE"""),530999.0)</f>
        <v>530999</v>
      </c>
      <c r="C188" s="13" t="str">
        <f>IFERROR(__xludf.DUMMYFUNCTION("""COMPUTED_VALUE"""),"BALAMINES")</f>
        <v>BALAMINES</v>
      </c>
      <c r="D188" s="13" t="str">
        <f>IFERROR(__xludf.DUMMYFUNCTION("""COMPUTED_VALUE"""),"INE050E01027")</f>
        <v>INE050E01027</v>
      </c>
      <c r="E188" s="13" t="str">
        <f>IFERROR(__xludf.DUMMYFUNCTION("""COMPUTED_VALUE"""),"Chemicals")</f>
        <v>Chemicals</v>
      </c>
      <c r="F188" s="13" t="str">
        <f>IFERROR(__xludf.DUMMYFUNCTION("""COMPUTED_VALUE"""),"Organic Chemicals")</f>
        <v>Organic Chemicals</v>
      </c>
      <c r="G188" s="31">
        <f>IFERROR(__xludf.DUMMYFUNCTION("""COMPUTED_VALUE"""),44809.0)</f>
        <v>44809</v>
      </c>
      <c r="H188" s="32">
        <f>IFERROR(__xludf.DUMMYFUNCTION("""COMPUTED_VALUE"""),3436.3)</f>
        <v>3436.3</v>
      </c>
      <c r="I188" s="32">
        <f>IFERROR(__xludf.DUMMYFUNCTION("""COMPUTED_VALUE"""),0.214351)</f>
        <v>0.214351</v>
      </c>
      <c r="J188" s="32">
        <f>IFERROR(__xludf.DUMMYFUNCTION("""COMPUTED_VALUE"""),2696.65)</f>
        <v>2696.65</v>
      </c>
      <c r="K188" s="32">
        <f>IFERROR(__xludf.DUMMYFUNCTION("""COMPUTED_VALUE"""),5223.55)</f>
        <v>5223.55</v>
      </c>
      <c r="L188" s="32">
        <f>IFERROR(__xludf.DUMMYFUNCTION("""COMPUTED_VALUE"""),200.0)</f>
        <v>200</v>
      </c>
      <c r="M188" s="32">
        <f>IFERROR(__xludf.DUMMYFUNCTION("""COMPUTED_VALUE"""),5223.55)</f>
        <v>5223.55</v>
      </c>
      <c r="N188" s="32">
        <f>IFERROR(__xludf.DUMMYFUNCTION("""COMPUTED_VALUE"""),200.0)</f>
        <v>200</v>
      </c>
      <c r="O188" s="32">
        <f>IFERROR(__xludf.DUMMYFUNCTION("""COMPUTED_VALUE"""),5223.55)</f>
        <v>5223.55</v>
      </c>
      <c r="P188" s="32">
        <f>IFERROR(__xludf.DUMMYFUNCTION("""COMPUTED_VALUE"""),1.56)</f>
        <v>1.56</v>
      </c>
      <c r="Q188" s="32">
        <f>IFERROR(__xludf.DUMMYFUNCTION("""COMPUTED_VALUE"""),5223.55)</f>
        <v>5223.55</v>
      </c>
      <c r="R188" s="32">
        <f>IFERROR(__xludf.DUMMYFUNCTION("""COMPUTED_VALUE"""),11090.8623)</f>
        <v>11090.8623</v>
      </c>
      <c r="S188" s="32">
        <f>IFERROR(__xludf.DUMMYFUNCTION("""COMPUTED_VALUE"""),11144.649145)</f>
        <v>11144.64915</v>
      </c>
      <c r="T188" s="32">
        <f>IFERROR(__xludf.DUMMYFUNCTION("""COMPUTED_VALUE"""),-2.71089)</f>
        <v>-2.71089</v>
      </c>
      <c r="U188" s="32">
        <f>IFERROR(__xludf.DUMMYFUNCTION("""COMPUTED_VALUE"""),-5.565021)</f>
        <v>-5.565021</v>
      </c>
      <c r="V188" s="32">
        <f>IFERROR(__xludf.DUMMYFUNCTION("""COMPUTED_VALUE"""),7.345798)</f>
        <v>7.345798</v>
      </c>
      <c r="W188" s="32">
        <f>IFERROR(__xludf.DUMMYFUNCTION("""COMPUTED_VALUE"""),-15.164607)</f>
        <v>-15.164607</v>
      </c>
      <c r="X188" s="32">
        <f>IFERROR(__xludf.DUMMYFUNCTION("""COMPUTED_VALUE"""),140.411729)</f>
        <v>140.411729</v>
      </c>
      <c r="Y188" s="32">
        <f>IFERROR(__xludf.DUMMYFUNCTION("""COMPUTED_VALUE"""),58.667953)</f>
        <v>58.667953</v>
      </c>
      <c r="Z188" s="32">
        <f>IFERROR(__xludf.DUMMYFUNCTION("""COMPUTED_VALUE"""),54.549242)</f>
        <v>54.549242</v>
      </c>
      <c r="AA188" s="32">
        <f>IFERROR(__xludf.DUMMYFUNCTION("""COMPUTED_VALUE"""),27.658)</f>
        <v>27.658</v>
      </c>
      <c r="AB188" s="32">
        <f>IFERROR(__xludf.DUMMYFUNCTION("""COMPUTED_VALUE"""),20.94765)</f>
        <v>20.94765</v>
      </c>
      <c r="AC188" s="32">
        <f>IFERROR(__xludf.DUMMYFUNCTION("""COMPUTED_VALUE"""),7.934)</f>
        <v>7.934</v>
      </c>
      <c r="AD188" s="32">
        <f>IFERROR(__xludf.DUMMYFUNCTION("""COMPUTED_VALUE"""),4.21685)</f>
        <v>4.21685</v>
      </c>
      <c r="AE188" s="32">
        <f>IFERROR(__xludf.DUMMYFUNCTION("""COMPUTED_VALUE"""),6.102738)</f>
        <v>6.102738</v>
      </c>
      <c r="AF188" s="32">
        <f>IFERROR(__xludf.DUMMYFUNCTION("""COMPUTED_VALUE"""),0.720596)</f>
        <v>0.720596</v>
      </c>
      <c r="AG188" s="32">
        <f>IFERROR(__xludf.DUMMYFUNCTION("""COMPUTED_VALUE"""),0.1745)</f>
        <v>0.1745</v>
      </c>
      <c r="AH188" s="32">
        <f>IFERROR(__xludf.DUMMYFUNCTION("""COMPUTED_VALUE"""),15.639813)</f>
        <v>15.639813</v>
      </c>
      <c r="AI188" s="32">
        <f>IFERROR(__xludf.DUMMYFUNCTION("""COMPUTED_VALUE"""),4.366749414530971)</f>
        <v>4.366749415</v>
      </c>
      <c r="AJ188" s="32">
        <f>IFERROR(__xludf.DUMMYFUNCTION("""COMPUTED_VALUE"""),47.722173982637194)</f>
        <v>47.72217398</v>
      </c>
      <c r="AK188" s="32">
        <f>IFERROR(__xludf.DUMMYFUNCTION("""COMPUTED_VALUE"""),123.7616)</f>
        <v>123.7616</v>
      </c>
      <c r="AL188" s="32">
        <f>IFERROR(__xludf.DUMMYFUNCTION("""COMPUTED_VALUE"""),431.4337)</f>
        <v>431.4337</v>
      </c>
      <c r="AM188" s="32">
        <f>IFERROR(__xludf.DUMMYFUNCTION("""COMPUTED_VALUE"""),71.727663)</f>
        <v>71.727663</v>
      </c>
      <c r="AN188" s="32">
        <f>IFERROR(__xludf.DUMMYFUNCTION("""COMPUTED_VALUE"""),-0.982161)</f>
        <v>-0.982161</v>
      </c>
      <c r="AO188" s="32">
        <f>IFERROR(__xludf.DUMMYFUNCTION("""COMPUTED_VALUE"""),6.0)</f>
        <v>6</v>
      </c>
      <c r="AP188" s="32">
        <f>IFERROR(__xludf.DUMMYFUNCTION("""COMPUTED_VALUE"""),0.3421523676426951)</f>
        <v>0.3421523676</v>
      </c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>
      <c r="A189" s="13" t="str">
        <f>IFERROR(__xludf.DUMMYFUNCTION("""COMPUTED_VALUE"""),"BASF India Ltd.")</f>
        <v>BASF India Ltd.</v>
      </c>
      <c r="B189" s="30">
        <f>IFERROR(__xludf.DUMMYFUNCTION("""COMPUTED_VALUE"""),500042.0)</f>
        <v>500042</v>
      </c>
      <c r="C189" s="13" t="str">
        <f>IFERROR(__xludf.DUMMYFUNCTION("""COMPUTED_VALUE"""),"BASF")</f>
        <v>BASF</v>
      </c>
      <c r="D189" s="13" t="str">
        <f>IFERROR(__xludf.DUMMYFUNCTION("""COMPUTED_VALUE"""),"INE373A01013")</f>
        <v>INE373A01013</v>
      </c>
      <c r="E189" s="13" t="str">
        <f>IFERROR(__xludf.DUMMYFUNCTION("""COMPUTED_VALUE"""),"Chemicals")</f>
        <v>Chemicals</v>
      </c>
      <c r="F189" s="13" t="str">
        <f>IFERROR(__xludf.DUMMYFUNCTION("""COMPUTED_VALUE"""),"Pesticides")</f>
        <v>Pesticides</v>
      </c>
      <c r="G189" s="31">
        <f>IFERROR(__xludf.DUMMYFUNCTION("""COMPUTED_VALUE"""),44809.0)</f>
        <v>44809</v>
      </c>
      <c r="H189" s="32">
        <f>IFERROR(__xludf.DUMMYFUNCTION("""COMPUTED_VALUE"""),3179.75)</f>
        <v>3179.75</v>
      </c>
      <c r="I189" s="32">
        <f>IFERROR(__xludf.DUMMYFUNCTION("""COMPUTED_VALUE"""),-0.950082)</f>
        <v>-0.950082</v>
      </c>
      <c r="J189" s="32">
        <f>IFERROR(__xludf.DUMMYFUNCTION("""COMPUTED_VALUE"""),2351.0)</f>
        <v>2351</v>
      </c>
      <c r="K189" s="32">
        <f>IFERROR(__xludf.DUMMYFUNCTION("""COMPUTED_VALUE"""),3740.0)</f>
        <v>3740</v>
      </c>
      <c r="L189" s="32">
        <f>IFERROR(__xludf.DUMMYFUNCTION("""COMPUTED_VALUE"""),795.0)</f>
        <v>795</v>
      </c>
      <c r="M189" s="32">
        <f>IFERROR(__xludf.DUMMYFUNCTION("""COMPUTED_VALUE"""),3930.0)</f>
        <v>3930</v>
      </c>
      <c r="N189" s="32">
        <f>IFERROR(__xludf.DUMMYFUNCTION("""COMPUTED_VALUE"""),795.0)</f>
        <v>795</v>
      </c>
      <c r="O189" s="32">
        <f>IFERROR(__xludf.DUMMYFUNCTION("""COMPUTED_VALUE"""),3930.0)</f>
        <v>3930</v>
      </c>
      <c r="P189" s="32">
        <f>IFERROR(__xludf.DUMMYFUNCTION("""COMPUTED_VALUE"""),63.5)</f>
        <v>63.5</v>
      </c>
      <c r="Q189" s="32">
        <f>IFERROR(__xludf.DUMMYFUNCTION("""COMPUTED_VALUE"""),3930.0)</f>
        <v>3930</v>
      </c>
      <c r="R189" s="32">
        <f>IFERROR(__xludf.DUMMYFUNCTION("""COMPUTED_VALUE"""),13795.9991808)</f>
        <v>13795.99918</v>
      </c>
      <c r="S189" s="32">
        <f>IFERROR(__xludf.DUMMYFUNCTION("""COMPUTED_VALUE"""),13759.1640274)</f>
        <v>13759.16403</v>
      </c>
      <c r="T189" s="32">
        <f>IFERROR(__xludf.DUMMYFUNCTION("""COMPUTED_VALUE"""),-5.446192)</f>
        <v>-5.446192</v>
      </c>
      <c r="U189" s="32">
        <f>IFERROR(__xludf.DUMMYFUNCTION("""COMPUTED_VALUE"""),9.131002)</f>
        <v>9.131002</v>
      </c>
      <c r="V189" s="32">
        <f>IFERROR(__xludf.DUMMYFUNCTION("""COMPUTED_VALUE"""),17.868925)</f>
        <v>17.868925</v>
      </c>
      <c r="W189" s="32">
        <f>IFERROR(__xludf.DUMMYFUNCTION("""COMPUTED_VALUE"""),-12.194347)</f>
        <v>-12.194347</v>
      </c>
      <c r="X189" s="32">
        <f>IFERROR(__xludf.DUMMYFUNCTION("""COMPUTED_VALUE"""),46.067982)</f>
        <v>46.067982</v>
      </c>
      <c r="Y189" s="32">
        <f>IFERROR(__xludf.DUMMYFUNCTION("""COMPUTED_VALUE"""),16.299141)</f>
        <v>16.299141</v>
      </c>
      <c r="Z189" s="32">
        <f>IFERROR(__xludf.DUMMYFUNCTION("""COMPUTED_VALUE"""),17.516521)</f>
        <v>17.516521</v>
      </c>
      <c r="AA189" s="32">
        <f>IFERROR(__xludf.DUMMYFUNCTION("""COMPUTED_VALUE"""),23.2135)</f>
        <v>23.2135</v>
      </c>
      <c r="AB189" s="32">
        <f>IFERROR(__xludf.DUMMYFUNCTION("""COMPUTED_VALUE"""),35.2273)</f>
        <v>35.2273</v>
      </c>
      <c r="AC189" s="32">
        <f>IFERROR(__xludf.DUMMYFUNCTION("""COMPUTED_VALUE"""),5.4566)</f>
        <v>5.4566</v>
      </c>
      <c r="AD189" s="32">
        <f>IFERROR(__xludf.DUMMYFUNCTION("""COMPUTED_VALUE"""),4.93055)</f>
        <v>4.93055</v>
      </c>
      <c r="AE189" s="32">
        <f>IFERROR(__xludf.DUMMYFUNCTION("""COMPUTED_VALUE"""),5.900168)</f>
        <v>5.900168</v>
      </c>
      <c r="AF189" s="32">
        <f>IFERROR(__xludf.DUMMYFUNCTION("""COMPUTED_VALUE"""),0.247215)</f>
        <v>0.247215</v>
      </c>
      <c r="AG189" s="32">
        <f>IFERROR(__xludf.DUMMYFUNCTION("""COMPUTED_VALUE"""),0.1883)</f>
        <v>0.1883</v>
      </c>
      <c r="AH189" s="32">
        <f>IFERROR(__xludf.DUMMYFUNCTION("""COMPUTED_VALUE"""),14.391076)</f>
        <v>14.391076</v>
      </c>
      <c r="AI189" s="32">
        <f>IFERROR(__xludf.DUMMYFUNCTION("""COMPUTED_VALUE"""),0.9885955493706624)</f>
        <v>0.9885955494</v>
      </c>
      <c r="AJ189" s="32">
        <f>IFERROR(__xludf.DUMMYFUNCTION("""COMPUTED_VALUE"""),41.81492795683933)</f>
        <v>41.81492796</v>
      </c>
      <c r="AK189" s="32">
        <f>IFERROR(__xludf.DUMMYFUNCTION("""COMPUTED_VALUE"""),137.2996)</f>
        <v>137.2996</v>
      </c>
      <c r="AL189" s="32">
        <f>IFERROR(__xludf.DUMMYFUNCTION("""COMPUTED_VALUE"""),584.1003)</f>
        <v>584.1003</v>
      </c>
      <c r="AM189" s="32">
        <f>IFERROR(__xludf.DUMMYFUNCTION("""COMPUTED_VALUE"""),76.213906)</f>
        <v>76.213906</v>
      </c>
      <c r="AN189" s="32">
        <f>IFERROR(__xludf.DUMMYFUNCTION("""COMPUTED_VALUE"""),68.530839)</f>
        <v>68.530839</v>
      </c>
      <c r="AO189" s="32">
        <f>IFERROR(__xludf.DUMMYFUNCTION("""COMPUTED_VALUE"""),6.0)</f>
        <v>6</v>
      </c>
      <c r="AP189" s="32">
        <f>IFERROR(__xludf.DUMMYFUNCTION("""COMPUTED_VALUE"""),0.14979946524064172)</f>
        <v>0.1497994652</v>
      </c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>
      <c r="A190" s="13" t="str">
        <f>IFERROR(__xludf.DUMMYFUNCTION("""COMPUTED_VALUE"""),"GMM Pfaudler Ltd.")</f>
        <v>GMM Pfaudler Ltd.</v>
      </c>
      <c r="B190" s="30">
        <f>IFERROR(__xludf.DUMMYFUNCTION("""COMPUTED_VALUE"""),505255.0)</f>
        <v>505255</v>
      </c>
      <c r="C190" s="13" t="str">
        <f>IFERROR(__xludf.DUMMYFUNCTION("""COMPUTED_VALUE"""),"GMMPFAUDLR")</f>
        <v>GMMPFAUDLR</v>
      </c>
      <c r="D190" s="13" t="str">
        <f>IFERROR(__xludf.DUMMYFUNCTION("""COMPUTED_VALUE"""),"INE541A01023")</f>
        <v>INE541A01023</v>
      </c>
      <c r="E190" s="13" t="str">
        <f>IFERROR(__xludf.DUMMYFUNCTION("""COMPUTED_VALUE"""),"Capital Goods")</f>
        <v>Capital Goods</v>
      </c>
      <c r="F190" s="13" t="str">
        <f>IFERROR(__xludf.DUMMYFUNCTION("""COMPUTED_VALUE"""),"Chemical Machinery")</f>
        <v>Chemical Machinery</v>
      </c>
      <c r="G190" s="31">
        <f>IFERROR(__xludf.DUMMYFUNCTION("""COMPUTED_VALUE"""),44809.0)</f>
        <v>44809</v>
      </c>
      <c r="H190" s="32">
        <f>IFERROR(__xludf.DUMMYFUNCTION("""COMPUTED_VALUE"""),1899.55)</f>
        <v>1899.55</v>
      </c>
      <c r="I190" s="32">
        <f>IFERROR(__xludf.DUMMYFUNCTION("""COMPUTED_VALUE"""),4.039325)</f>
        <v>4.039325</v>
      </c>
      <c r="J190" s="32">
        <f>IFERROR(__xludf.DUMMYFUNCTION("""COMPUTED_VALUE"""),1335.25)</f>
        <v>1335.25</v>
      </c>
      <c r="K190" s="32">
        <f>IFERROR(__xludf.DUMMYFUNCTION("""COMPUTED_VALUE"""),5295.0)</f>
        <v>5295</v>
      </c>
      <c r="L190" s="32">
        <f>IFERROR(__xludf.DUMMYFUNCTION("""COMPUTED_VALUE"""),1316.2)</f>
        <v>1316.2</v>
      </c>
      <c r="M190" s="32">
        <f>IFERROR(__xludf.DUMMYFUNCTION("""COMPUTED_VALUE"""),6913.85)</f>
        <v>6913.85</v>
      </c>
      <c r="N190" s="32">
        <f>IFERROR(__xludf.DUMMYFUNCTION("""COMPUTED_VALUE"""),552.0)</f>
        <v>552</v>
      </c>
      <c r="O190" s="32">
        <f>IFERROR(__xludf.DUMMYFUNCTION("""COMPUTED_VALUE"""),6913.85)</f>
        <v>6913.85</v>
      </c>
      <c r="P190" s="32">
        <f>IFERROR(__xludf.DUMMYFUNCTION("""COMPUTED_VALUE"""),35.65)</f>
        <v>35.65</v>
      </c>
      <c r="Q190" s="32">
        <f>IFERROR(__xludf.DUMMYFUNCTION("""COMPUTED_VALUE"""),6913.85)</f>
        <v>6913.85</v>
      </c>
      <c r="R190" s="32">
        <f>IFERROR(__xludf.DUMMYFUNCTION("""COMPUTED_VALUE"""),8330.0016375)</f>
        <v>8330.001638</v>
      </c>
      <c r="S190" s="32">
        <f>IFERROR(__xludf.DUMMYFUNCTION("""COMPUTED_VALUE"""),8186.9983875)</f>
        <v>8186.998388</v>
      </c>
      <c r="T190" s="32">
        <f>IFERROR(__xludf.DUMMYFUNCTION("""COMPUTED_VALUE"""),12.850141)</f>
        <v>12.850141</v>
      </c>
      <c r="U190" s="32">
        <f>IFERROR(__xludf.DUMMYFUNCTION("""COMPUTED_VALUE"""),18.363087)</f>
        <v>18.363087</v>
      </c>
      <c r="V190" s="32">
        <f>IFERROR(__xludf.DUMMYFUNCTION("""COMPUTED_VALUE"""),-54.193494)</f>
        <v>-54.193494</v>
      </c>
      <c r="W190" s="32">
        <f>IFERROR(__xludf.DUMMYFUNCTION("""COMPUTED_VALUE"""),-56.533529)</f>
        <v>-56.533529</v>
      </c>
      <c r="X190" s="32">
        <f>IFERROR(__xludf.DUMMYFUNCTION("""COMPUTED_VALUE"""),10.427478)</f>
        <v>10.427478</v>
      </c>
      <c r="Y190" s="13"/>
      <c r="Z190" s="13"/>
      <c r="AA190" s="32">
        <f>IFERROR(__xludf.DUMMYFUNCTION("""COMPUTED_VALUE"""),65.6344)</f>
        <v>65.6344</v>
      </c>
      <c r="AB190" s="32">
        <f>IFERROR(__xludf.DUMMYFUNCTION("""COMPUTED_VALUE"""),60.0321)</f>
        <v>60.0321</v>
      </c>
      <c r="AC190" s="32">
        <f>IFERROR(__xludf.DUMMYFUNCTION("""COMPUTED_VALUE"""),14.0313)</f>
        <v>14.0313</v>
      </c>
      <c r="AD190" s="32">
        <f>IFERROR(__xludf.DUMMYFUNCTION("""COMPUTED_VALUE"""),11.84705)</f>
        <v>11.84705</v>
      </c>
      <c r="AE190" s="32">
        <f>IFERROR(__xludf.DUMMYFUNCTION("""COMPUTED_VALUE"""),3.43933)</f>
        <v>3.43933</v>
      </c>
      <c r="AF190" s="32">
        <f>IFERROR(__xludf.DUMMYFUNCTION("""COMPUTED_VALUE"""),3.392332)</f>
        <v>3.392332</v>
      </c>
      <c r="AG190" s="32">
        <f>IFERROR(__xludf.DUMMYFUNCTION("""COMPUTED_VALUE"""),0.1052)</f>
        <v>0.1052</v>
      </c>
      <c r="AH190" s="32">
        <f>IFERROR(__xludf.DUMMYFUNCTION("""COMPUTED_VALUE"""),21.558235)</f>
        <v>21.558235</v>
      </c>
      <c r="AI190" s="32">
        <f>IFERROR(__xludf.DUMMYFUNCTION("""COMPUTED_VALUE"""),3.053377514133323)</f>
        <v>3.053377514</v>
      </c>
      <c r="AJ190" s="32">
        <f>IFERROR(__xludf.DUMMYFUNCTION("""COMPUTED_VALUE"""),35.238384185033205)</f>
        <v>35.23838419</v>
      </c>
      <c r="AK190" s="32">
        <f>IFERROR(__xludf.DUMMYFUNCTION("""COMPUTED_VALUE"""),28.9543)</f>
        <v>28.9543</v>
      </c>
      <c r="AL190" s="32">
        <f>IFERROR(__xludf.DUMMYFUNCTION("""COMPUTED_VALUE"""),135.4405)</f>
        <v>135.4405</v>
      </c>
      <c r="AM190" s="32">
        <f>IFERROR(__xludf.DUMMYFUNCTION("""COMPUTED_VALUE"""),161.910959)</f>
        <v>161.910959</v>
      </c>
      <c r="AN190" s="32">
        <f>IFERROR(__xludf.DUMMYFUNCTION("""COMPUTED_VALUE"""),-4.958904)</f>
        <v>-4.958904</v>
      </c>
      <c r="AO190" s="32">
        <f>IFERROR(__xludf.DUMMYFUNCTION("""COMPUTED_VALUE"""),6.0)</f>
        <v>6</v>
      </c>
      <c r="AP190" s="32">
        <f>IFERROR(__xludf.DUMMYFUNCTION("""COMPUTED_VALUE"""),0.6412559017941454)</f>
        <v>0.6412559018</v>
      </c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>
      <c r="A191" s="13" t="str">
        <f>IFERROR(__xludf.DUMMYFUNCTION("""COMPUTED_VALUE"""),"Hatsun Agro Products Ltd.")</f>
        <v>Hatsun Agro Products Ltd.</v>
      </c>
      <c r="B191" s="30">
        <f>IFERROR(__xludf.DUMMYFUNCTION("""COMPUTED_VALUE"""),531531.0)</f>
        <v>531531</v>
      </c>
      <c r="C191" s="13" t="str">
        <f>IFERROR(__xludf.DUMMYFUNCTION("""COMPUTED_VALUE"""),"HATSUN")</f>
        <v>HATSUN</v>
      </c>
      <c r="D191" s="13" t="str">
        <f>IFERROR(__xludf.DUMMYFUNCTION("""COMPUTED_VALUE"""),"INE473B01035")</f>
        <v>INE473B01035</v>
      </c>
      <c r="E191" s="13" t="str">
        <f>IFERROR(__xludf.DUMMYFUNCTION("""COMPUTED_VALUE"""),"Consumer Staples")</f>
        <v>Consumer Staples</v>
      </c>
      <c r="F191" s="13" t="str">
        <f>IFERROR(__xludf.DUMMYFUNCTION("""COMPUTED_VALUE"""),"Dairy products")</f>
        <v>Dairy products</v>
      </c>
      <c r="G191" s="31">
        <f>IFERROR(__xludf.DUMMYFUNCTION("""COMPUTED_VALUE"""),44809.0)</f>
        <v>44809</v>
      </c>
      <c r="H191" s="32">
        <f>IFERROR(__xludf.DUMMYFUNCTION("""COMPUTED_VALUE"""),987.8)</f>
        <v>987.8</v>
      </c>
      <c r="I191" s="32">
        <f>IFERROR(__xludf.DUMMYFUNCTION("""COMPUTED_VALUE"""),-1.745661)</f>
        <v>-1.745661</v>
      </c>
      <c r="J191" s="32">
        <f>IFERROR(__xludf.DUMMYFUNCTION("""COMPUTED_VALUE"""),837.6)</f>
        <v>837.6</v>
      </c>
      <c r="K191" s="32">
        <f>IFERROR(__xludf.DUMMYFUNCTION("""COMPUTED_VALUE"""),1533.65)</f>
        <v>1533.65</v>
      </c>
      <c r="L191" s="32">
        <f>IFERROR(__xludf.DUMMYFUNCTION("""COMPUTED_VALUE"""),281.2875)</f>
        <v>281.2875</v>
      </c>
      <c r="M191" s="32">
        <f>IFERROR(__xludf.DUMMYFUNCTION("""COMPUTED_VALUE"""),1533.65)</f>
        <v>1533.65</v>
      </c>
      <c r="N191" s="32">
        <f>IFERROR(__xludf.DUMMYFUNCTION("""COMPUTED_VALUE"""),281.2875)</f>
        <v>281.2875</v>
      </c>
      <c r="O191" s="32">
        <f>IFERROR(__xludf.DUMMYFUNCTION("""COMPUTED_VALUE"""),1533.65)</f>
        <v>1533.65</v>
      </c>
      <c r="P191" s="32">
        <f>IFERROR(__xludf.DUMMYFUNCTION("""COMPUTED_VALUE"""),1.551794)</f>
        <v>1.551794</v>
      </c>
      <c r="Q191" s="32">
        <f>IFERROR(__xludf.DUMMYFUNCTION("""COMPUTED_VALUE"""),1533.65)</f>
        <v>1533.65</v>
      </c>
      <c r="R191" s="32">
        <f>IFERROR(__xludf.DUMMYFUNCTION("""COMPUTED_VALUE"""),21255.621464415)</f>
        <v>21255.62146</v>
      </c>
      <c r="S191" s="32">
        <f>IFERROR(__xludf.DUMMYFUNCTION("""COMPUTED_VALUE"""),23307.923179355)</f>
        <v>23307.92318</v>
      </c>
      <c r="T191" s="32">
        <f>IFERROR(__xludf.DUMMYFUNCTION("""COMPUTED_VALUE"""),-2.314082)</f>
        <v>-2.314082</v>
      </c>
      <c r="U191" s="32">
        <f>IFERROR(__xludf.DUMMYFUNCTION("""COMPUTED_VALUE"""),-2.164116)</f>
        <v>-2.164116</v>
      </c>
      <c r="V191" s="32">
        <f>IFERROR(__xludf.DUMMYFUNCTION("""COMPUTED_VALUE"""),10.05515)</f>
        <v>10.05515</v>
      </c>
      <c r="W191" s="32">
        <f>IFERROR(__xludf.DUMMYFUNCTION("""COMPUTED_VALUE"""),-6.626335)</f>
        <v>-6.626335</v>
      </c>
      <c r="X191" s="32">
        <f>IFERROR(__xludf.DUMMYFUNCTION("""COMPUTED_VALUE"""),30.249187)</f>
        <v>30.249187</v>
      </c>
      <c r="Y191" s="32">
        <f>IFERROR(__xludf.DUMMYFUNCTION("""COMPUTED_VALUE"""),16.252689)</f>
        <v>16.252689</v>
      </c>
      <c r="Z191" s="13"/>
      <c r="AA191" s="32">
        <f>IFERROR(__xludf.DUMMYFUNCTION("""COMPUTED_VALUE"""),98.0362)</f>
        <v>98.0362</v>
      </c>
      <c r="AB191" s="32">
        <f>IFERROR(__xludf.DUMMYFUNCTION("""COMPUTED_VALUE"""),93.2629)</f>
        <v>93.2629</v>
      </c>
      <c r="AC191" s="32">
        <f>IFERROR(__xludf.DUMMYFUNCTION("""COMPUTED_VALUE"""),18.3125)</f>
        <v>18.3125</v>
      </c>
      <c r="AD191" s="32">
        <f>IFERROR(__xludf.DUMMYFUNCTION("""COMPUTED_VALUE"""),14.4753)</f>
        <v>14.4753</v>
      </c>
      <c r="AE191" s="32">
        <f>IFERROR(__xludf.DUMMYFUNCTION("""COMPUTED_VALUE"""),1.766878)</f>
        <v>1.766878</v>
      </c>
      <c r="AF191" s="32">
        <f>IFERROR(__xludf.DUMMYFUNCTION("""COMPUTED_VALUE"""),11.855861)</f>
        <v>11.855861</v>
      </c>
      <c r="AG191" s="32">
        <f>IFERROR(__xludf.DUMMYFUNCTION("""COMPUTED_VALUE"""),0.6085)</f>
        <v>0.6085</v>
      </c>
      <c r="AH191" s="32">
        <f>IFERROR(__xludf.DUMMYFUNCTION("""COMPUTED_VALUE"""),32.401727)</f>
        <v>32.401727</v>
      </c>
      <c r="AI191" s="32">
        <f>IFERROR(__xludf.DUMMYFUNCTION("""COMPUTED_VALUE"""),3.097906349394997)</f>
        <v>3.097906349</v>
      </c>
      <c r="AJ191" s="32">
        <f>IFERROR(__xludf.DUMMYFUNCTION("""COMPUTED_VALUE"""),36.878105012543045)</f>
        <v>36.87810501</v>
      </c>
      <c r="AK191" s="32">
        <f>IFERROR(__xludf.DUMMYFUNCTION("""COMPUTED_VALUE"""),10.058)</f>
        <v>10.058</v>
      </c>
      <c r="AL191" s="32">
        <f>IFERROR(__xludf.DUMMYFUNCTION("""COMPUTED_VALUE"""),53.8456)</f>
        <v>53.8456</v>
      </c>
      <c r="AM191" s="32">
        <f>IFERROR(__xludf.DUMMYFUNCTION("""COMPUTED_VALUE"""),26.738128)</f>
        <v>26.738128</v>
      </c>
      <c r="AN191" s="32">
        <f>IFERROR(__xludf.DUMMYFUNCTION("""COMPUTED_VALUE"""),-1.905383)</f>
        <v>-1.905383</v>
      </c>
      <c r="AO191" s="32">
        <f>IFERROR(__xludf.DUMMYFUNCTION("""COMPUTED_VALUE"""),6.0)</f>
        <v>6</v>
      </c>
      <c r="AP191" s="32">
        <f>IFERROR(__xludf.DUMMYFUNCTION("""COMPUTED_VALUE"""),0.35591562612069255)</f>
        <v>0.3559156261</v>
      </c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>
      <c r="A192" s="13" t="str">
        <f>IFERROR(__xludf.DUMMYFUNCTION("""COMPUTED_VALUE"""),"MOIL Ltd.")</f>
        <v>MOIL Ltd.</v>
      </c>
      <c r="B192" s="30">
        <f>IFERROR(__xludf.DUMMYFUNCTION("""COMPUTED_VALUE"""),533286.0)</f>
        <v>533286</v>
      </c>
      <c r="C192" s="13" t="str">
        <f>IFERROR(__xludf.DUMMYFUNCTION("""COMPUTED_VALUE"""),"MOIL")</f>
        <v>MOIL</v>
      </c>
      <c r="D192" s="13" t="str">
        <f>IFERROR(__xludf.DUMMYFUNCTION("""COMPUTED_VALUE"""),"INE490G01020")</f>
        <v>INE490G01020</v>
      </c>
      <c r="E192" s="13" t="str">
        <f>IFERROR(__xludf.DUMMYFUNCTION("""COMPUTED_VALUE"""),"Metals &amp; Mining")</f>
        <v>Metals &amp; Mining</v>
      </c>
      <c r="F192" s="13" t="str">
        <f>IFERROR(__xludf.DUMMYFUNCTION("""COMPUTED_VALUE"""),"Minerals")</f>
        <v>Minerals</v>
      </c>
      <c r="G192" s="31">
        <f>IFERROR(__xludf.DUMMYFUNCTION("""COMPUTED_VALUE"""),44809.0)</f>
        <v>44809</v>
      </c>
      <c r="H192" s="32">
        <f>IFERROR(__xludf.DUMMYFUNCTION("""COMPUTED_VALUE"""),168.2)</f>
        <v>168.2</v>
      </c>
      <c r="I192" s="32">
        <f>IFERROR(__xludf.DUMMYFUNCTION("""COMPUTED_VALUE"""),-0.796225)</f>
        <v>-0.796225</v>
      </c>
      <c r="J192" s="32">
        <f>IFERROR(__xludf.DUMMYFUNCTION("""COMPUTED_VALUE"""),137.3)</f>
        <v>137.3</v>
      </c>
      <c r="K192" s="32">
        <f>IFERROR(__xludf.DUMMYFUNCTION("""COMPUTED_VALUE"""),198.95)</f>
        <v>198.95</v>
      </c>
      <c r="L192" s="32">
        <f>IFERROR(__xludf.DUMMYFUNCTION("""COMPUTED_VALUE"""),85.55)</f>
        <v>85.55</v>
      </c>
      <c r="M192" s="32">
        <f>IFERROR(__xludf.DUMMYFUNCTION("""COMPUTED_VALUE"""),208.0)</f>
        <v>208</v>
      </c>
      <c r="N192" s="32">
        <f>IFERROR(__xludf.DUMMYFUNCTION("""COMPUTED_VALUE"""),85.55)</f>
        <v>85.55</v>
      </c>
      <c r="O192" s="32">
        <f>IFERROR(__xludf.DUMMYFUNCTION("""COMPUTED_VALUE"""),285.85)</f>
        <v>285.85</v>
      </c>
      <c r="P192" s="32">
        <f>IFERROR(__xludf.DUMMYFUNCTION("""COMPUTED_VALUE"""),85.55)</f>
        <v>85.55</v>
      </c>
      <c r="Q192" s="32">
        <f>IFERROR(__xludf.DUMMYFUNCTION("""COMPUTED_VALUE"""),295.525)</f>
        <v>295.525</v>
      </c>
      <c r="R192" s="32">
        <f>IFERROR(__xludf.DUMMYFUNCTION("""COMPUTED_VALUE"""),3418.5515448)</f>
        <v>3418.551545</v>
      </c>
      <c r="S192" s="32">
        <f>IFERROR(__xludf.DUMMYFUNCTION("""COMPUTED_VALUE"""),2385.343152505)</f>
        <v>2385.343153</v>
      </c>
      <c r="T192" s="32">
        <f>IFERROR(__xludf.DUMMYFUNCTION("""COMPUTED_VALUE"""),1.939394)</f>
        <v>1.939394</v>
      </c>
      <c r="U192" s="32">
        <f>IFERROR(__xludf.DUMMYFUNCTION("""COMPUTED_VALUE"""),3.032159)</f>
        <v>3.032159</v>
      </c>
      <c r="V192" s="32">
        <f>IFERROR(__xludf.DUMMYFUNCTION("""COMPUTED_VALUE"""),4.895541)</f>
        <v>4.895541</v>
      </c>
      <c r="W192" s="32">
        <f>IFERROR(__xludf.DUMMYFUNCTION("""COMPUTED_VALUE"""),-0.679067)</f>
        <v>-0.679067</v>
      </c>
      <c r="X192" s="32">
        <f>IFERROR(__xludf.DUMMYFUNCTION("""COMPUTED_VALUE"""),11.789197)</f>
        <v>11.789197</v>
      </c>
      <c r="Y192" s="32">
        <f>IFERROR(__xludf.DUMMYFUNCTION("""COMPUTED_VALUE"""),-2.28161)</f>
        <v>-2.28161</v>
      </c>
      <c r="Z192" s="32">
        <f>IFERROR(__xludf.DUMMYFUNCTION("""COMPUTED_VALUE"""),3.417052)</f>
        <v>3.417052</v>
      </c>
      <c r="AA192" s="32">
        <f>IFERROR(__xludf.DUMMYFUNCTION("""COMPUTED_VALUE"""),8.1789)</f>
        <v>8.1789</v>
      </c>
      <c r="AB192" s="32">
        <f>IFERROR(__xludf.DUMMYFUNCTION("""COMPUTED_VALUE"""),10.7637)</f>
        <v>10.7637</v>
      </c>
      <c r="AC192" s="32">
        <f>IFERROR(__xludf.DUMMYFUNCTION("""COMPUTED_VALUE"""),1.5232)</f>
        <v>1.5232</v>
      </c>
      <c r="AD192" s="32">
        <f>IFERROR(__xludf.DUMMYFUNCTION("""COMPUTED_VALUE"""),1.3723)</f>
        <v>1.3723</v>
      </c>
      <c r="AE192" s="32">
        <f>IFERROR(__xludf.DUMMYFUNCTION("""COMPUTED_VALUE"""),27.52278)</f>
        <v>27.52278</v>
      </c>
      <c r="AF192" s="32">
        <f>IFERROR(__xludf.DUMMYFUNCTION("""COMPUTED_VALUE"""),2.526236)</f>
        <v>2.526236</v>
      </c>
      <c r="AG192" s="32">
        <f>IFERROR(__xludf.DUMMYFUNCTION("""COMPUTED_VALUE"""),3.5714)</f>
        <v>3.5714</v>
      </c>
      <c r="AH192" s="32">
        <f>IFERROR(__xludf.DUMMYFUNCTION("""COMPUTED_VALUE"""),3.511524)</f>
        <v>3.511524</v>
      </c>
      <c r="AI192" s="32">
        <f>IFERROR(__xludf.DUMMYFUNCTION("""COMPUTED_VALUE"""),2.251169388509035)</f>
        <v>2.251169389</v>
      </c>
      <c r="AJ192" s="32">
        <f>IFERROR(__xludf.DUMMYFUNCTION("""COMPUTED_VALUE"""),9.488696574461482)</f>
        <v>9.488696574</v>
      </c>
      <c r="AK192" s="32">
        <f>IFERROR(__xludf.DUMMYFUNCTION("""COMPUTED_VALUE"""),20.5406)</f>
        <v>20.5406</v>
      </c>
      <c r="AL192" s="32">
        <f>IFERROR(__xludf.DUMMYFUNCTION("""COMPUTED_VALUE"""),110.2927)</f>
        <v>110.2927</v>
      </c>
      <c r="AM192" s="32">
        <f>IFERROR(__xludf.DUMMYFUNCTION("""COMPUTED_VALUE"""),17.705278)</f>
        <v>17.705278</v>
      </c>
      <c r="AN192" s="32">
        <f>IFERROR(__xludf.DUMMYFUNCTION("""COMPUTED_VALUE"""),9.707192)</f>
        <v>9.707192</v>
      </c>
      <c r="AO192" s="32">
        <f>IFERROR(__xludf.DUMMYFUNCTION("""COMPUTED_VALUE"""),6.0)</f>
        <v>6</v>
      </c>
      <c r="AP192" s="32">
        <f>IFERROR(__xludf.DUMMYFUNCTION("""COMPUTED_VALUE"""),0.15456144759989948)</f>
        <v>0.1545614476</v>
      </c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>
      <c r="A193" s="13" t="str">
        <f>IFERROR(__xludf.DUMMYFUNCTION("""COMPUTED_VALUE"""),"PI Industries Ltd.")</f>
        <v>PI Industries Ltd.</v>
      </c>
      <c r="B193" s="30">
        <f>IFERROR(__xludf.DUMMYFUNCTION("""COMPUTED_VALUE"""),523642.0)</f>
        <v>523642</v>
      </c>
      <c r="C193" s="13" t="str">
        <f>IFERROR(__xludf.DUMMYFUNCTION("""COMPUTED_VALUE"""),"PIIND")</f>
        <v>PIIND</v>
      </c>
      <c r="D193" s="13" t="str">
        <f>IFERROR(__xludf.DUMMYFUNCTION("""COMPUTED_VALUE"""),"INE603J01030")</f>
        <v>INE603J01030</v>
      </c>
      <c r="E193" s="13" t="str">
        <f>IFERROR(__xludf.DUMMYFUNCTION("""COMPUTED_VALUE"""),"Chemicals")</f>
        <v>Chemicals</v>
      </c>
      <c r="F193" s="13" t="str">
        <f>IFERROR(__xludf.DUMMYFUNCTION("""COMPUTED_VALUE"""),"Pesticides")</f>
        <v>Pesticides</v>
      </c>
      <c r="G193" s="31">
        <f>IFERROR(__xludf.DUMMYFUNCTION("""COMPUTED_VALUE"""),44809.0)</f>
        <v>44809</v>
      </c>
      <c r="H193" s="32">
        <f>IFERROR(__xludf.DUMMYFUNCTION("""COMPUTED_VALUE"""),3327.8)</f>
        <v>3327.8</v>
      </c>
      <c r="I193" s="32">
        <f>IFERROR(__xludf.DUMMYFUNCTION("""COMPUTED_VALUE"""),-1.014307)</f>
        <v>-1.014307</v>
      </c>
      <c r="J193" s="32">
        <f>IFERROR(__xludf.DUMMYFUNCTION("""COMPUTED_VALUE"""),2333.55)</f>
        <v>2333.55</v>
      </c>
      <c r="K193" s="32">
        <f>IFERROR(__xludf.DUMMYFUNCTION("""COMPUTED_VALUE"""),3534.9)</f>
        <v>3534.9</v>
      </c>
      <c r="L193" s="32">
        <f>IFERROR(__xludf.DUMMYFUNCTION("""COMPUTED_VALUE"""),970.1)</f>
        <v>970.1</v>
      </c>
      <c r="M193" s="32">
        <f>IFERROR(__xludf.DUMMYFUNCTION("""COMPUTED_VALUE"""),3534.9)</f>
        <v>3534.9</v>
      </c>
      <c r="N193" s="32">
        <f>IFERROR(__xludf.DUMMYFUNCTION("""COMPUTED_VALUE"""),675.6)</f>
        <v>675.6</v>
      </c>
      <c r="O193" s="32">
        <f>IFERROR(__xludf.DUMMYFUNCTION("""COMPUTED_VALUE"""),3534.9)</f>
        <v>3534.9</v>
      </c>
      <c r="P193" s="32">
        <f>IFERROR(__xludf.DUMMYFUNCTION("""COMPUTED_VALUE"""),0.416667)</f>
        <v>0.416667</v>
      </c>
      <c r="Q193" s="32">
        <f>IFERROR(__xludf.DUMMYFUNCTION("""COMPUTED_VALUE"""),3534.9)</f>
        <v>3534.9</v>
      </c>
      <c r="R193" s="32">
        <f>IFERROR(__xludf.DUMMYFUNCTION("""COMPUTED_VALUE"""),50488.75530804)</f>
        <v>50488.75531</v>
      </c>
      <c r="S193" s="32">
        <f>IFERROR(__xludf.DUMMYFUNCTION("""COMPUTED_VALUE"""),49030.25462694)</f>
        <v>49030.25463</v>
      </c>
      <c r="T193" s="32">
        <f>IFERROR(__xludf.DUMMYFUNCTION("""COMPUTED_VALUE"""),-1.439403)</f>
        <v>-1.439403</v>
      </c>
      <c r="U193" s="32">
        <f>IFERROR(__xludf.DUMMYFUNCTION("""COMPUTED_VALUE"""),5.965706)</f>
        <v>5.965706</v>
      </c>
      <c r="V193" s="32">
        <f>IFERROR(__xludf.DUMMYFUNCTION("""COMPUTED_VALUE"""),23.82742)</f>
        <v>23.82742</v>
      </c>
      <c r="W193" s="32">
        <f>IFERROR(__xludf.DUMMYFUNCTION("""COMPUTED_VALUE"""),-2.776926)</f>
        <v>-2.776926</v>
      </c>
      <c r="X193" s="32">
        <f>IFERROR(__xludf.DUMMYFUNCTION("""COMPUTED_VALUE"""),41.261651)</f>
        <v>41.261651</v>
      </c>
      <c r="Y193" s="32">
        <f>IFERROR(__xludf.DUMMYFUNCTION("""COMPUTED_VALUE"""),36.225788)</f>
        <v>36.225788</v>
      </c>
      <c r="Z193" s="32">
        <f>IFERROR(__xludf.DUMMYFUNCTION("""COMPUTED_VALUE"""),41.364875)</f>
        <v>41.364875</v>
      </c>
      <c r="AA193" s="32">
        <f>IFERROR(__xludf.DUMMYFUNCTION("""COMPUTED_VALUE"""),55.0841)</f>
        <v>55.0841</v>
      </c>
      <c r="AB193" s="32">
        <f>IFERROR(__xludf.DUMMYFUNCTION("""COMPUTED_VALUE"""),45.1708)</f>
        <v>45.1708</v>
      </c>
      <c r="AC193" s="32">
        <f>IFERROR(__xludf.DUMMYFUNCTION("""COMPUTED_VALUE"""),7.9318)</f>
        <v>7.9318</v>
      </c>
      <c r="AD193" s="32">
        <f>IFERROR(__xludf.DUMMYFUNCTION("""COMPUTED_VALUE"""),6.86215)</f>
        <v>6.86215</v>
      </c>
      <c r="AE193" s="32">
        <f>IFERROR(__xludf.DUMMYFUNCTION("""COMPUTED_VALUE"""),2.527445)</f>
        <v>2.527445</v>
      </c>
      <c r="AF193" s="32">
        <f>IFERROR(__xludf.DUMMYFUNCTION("""COMPUTED_VALUE"""),4.294385)</f>
        <v>4.294385</v>
      </c>
      <c r="AG193" s="32">
        <f>IFERROR(__xludf.DUMMYFUNCTION("""COMPUTED_VALUE"""),0.1803)</f>
        <v>0.1803</v>
      </c>
      <c r="AH193" s="32">
        <f>IFERROR(__xludf.DUMMYFUNCTION("""COMPUTED_VALUE"""),36.674586)</f>
        <v>36.674586</v>
      </c>
      <c r="AI193" s="32">
        <f>IFERROR(__xludf.DUMMYFUNCTION("""COMPUTED_VALUE"""),8.937802989615678)</f>
        <v>8.93780299</v>
      </c>
      <c r="AJ193" s="32">
        <f>IFERROR(__xludf.DUMMYFUNCTION("""COMPUTED_VALUE"""),95.49603803298658)</f>
        <v>95.49603803</v>
      </c>
      <c r="AK193" s="32">
        <f>IFERROR(__xludf.DUMMYFUNCTION("""COMPUTED_VALUE"""),60.5729)</f>
        <v>60.5729</v>
      </c>
      <c r="AL193" s="32">
        <f>IFERROR(__xludf.DUMMYFUNCTION("""COMPUTED_VALUE"""),420.6598)</f>
        <v>420.6598</v>
      </c>
      <c r="AM193" s="32">
        <f>IFERROR(__xludf.DUMMYFUNCTION("""COMPUTED_VALUE"""),34.782895)</f>
        <v>34.782895</v>
      </c>
      <c r="AN193" s="32">
        <f>IFERROR(__xludf.DUMMYFUNCTION("""COMPUTED_VALUE"""),11.664474)</f>
        <v>11.664474</v>
      </c>
      <c r="AO193" s="32">
        <f>IFERROR(__xludf.DUMMYFUNCTION("""COMPUTED_VALUE"""),6.0)</f>
        <v>6</v>
      </c>
      <c r="AP193" s="32">
        <f>IFERROR(__xludf.DUMMYFUNCTION("""COMPUTED_VALUE"""),0.05858723019038725)</f>
        <v>0.05858723019</v>
      </c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>
      <c r="A194" s="13" t="str">
        <f>IFERROR(__xludf.DUMMYFUNCTION("""COMPUTED_VALUE"""),"TTK Prestige Ltd.")</f>
        <v>TTK Prestige Ltd.</v>
      </c>
      <c r="B194" s="30">
        <f>IFERROR(__xludf.DUMMYFUNCTION("""COMPUTED_VALUE"""),517506.0)</f>
        <v>517506</v>
      </c>
      <c r="C194" s="13" t="str">
        <f>IFERROR(__xludf.DUMMYFUNCTION("""COMPUTED_VALUE"""),"TTKPRESTIG")</f>
        <v>TTKPRESTIG</v>
      </c>
      <c r="D194" s="13" t="str">
        <f>IFERROR(__xludf.DUMMYFUNCTION("""COMPUTED_VALUE"""),"INE690A01028")</f>
        <v>INE690A01028</v>
      </c>
      <c r="E194" s="13" t="str">
        <f>IFERROR(__xludf.DUMMYFUNCTION("""COMPUTED_VALUE"""),"Consumer Discretionary")</f>
        <v>Consumer Discretionary</v>
      </c>
      <c r="F194" s="13" t="str">
        <f>IFERROR(__xludf.DUMMYFUNCTION("""COMPUTED_VALUE"""),"Kitchenware &amp; Appliances")</f>
        <v>Kitchenware &amp; Appliances</v>
      </c>
      <c r="G194" s="31">
        <f>IFERROR(__xludf.DUMMYFUNCTION("""COMPUTED_VALUE"""),44809.0)</f>
        <v>44809</v>
      </c>
      <c r="H194" s="32">
        <f>IFERROR(__xludf.DUMMYFUNCTION("""COMPUTED_VALUE"""),983.3)</f>
        <v>983.3</v>
      </c>
      <c r="I194" s="32">
        <f>IFERROR(__xludf.DUMMYFUNCTION("""COMPUTED_VALUE"""),2.807256)</f>
        <v>2.807256</v>
      </c>
      <c r="J194" s="32">
        <f>IFERROR(__xludf.DUMMYFUNCTION("""COMPUTED_VALUE"""),744.7)</f>
        <v>744.7</v>
      </c>
      <c r="K194" s="32">
        <f>IFERROR(__xludf.DUMMYFUNCTION("""COMPUTED_VALUE"""),1269.6)</f>
        <v>1269.6</v>
      </c>
      <c r="L194" s="32">
        <f>IFERROR(__xludf.DUMMYFUNCTION("""COMPUTED_VALUE"""),390.11)</f>
        <v>390.11</v>
      </c>
      <c r="M194" s="32">
        <f>IFERROR(__xludf.DUMMYFUNCTION("""COMPUTED_VALUE"""),1269.6)</f>
        <v>1269.6</v>
      </c>
      <c r="N194" s="32">
        <f>IFERROR(__xludf.DUMMYFUNCTION("""COMPUTED_VALUE"""),390.11)</f>
        <v>390.11</v>
      </c>
      <c r="O194" s="32">
        <f>IFERROR(__xludf.DUMMYFUNCTION("""COMPUTED_VALUE"""),1269.6)</f>
        <v>1269.6</v>
      </c>
      <c r="P194" s="32">
        <f>IFERROR(__xludf.DUMMYFUNCTION("""COMPUTED_VALUE"""),0.0)</f>
        <v>0</v>
      </c>
      <c r="Q194" s="32">
        <f>IFERROR(__xludf.DUMMYFUNCTION("""COMPUTED_VALUE"""),1269.6)</f>
        <v>1269.6</v>
      </c>
      <c r="R194" s="32">
        <f>IFERROR(__xludf.DUMMYFUNCTION("""COMPUTED_VALUE"""),13629.9165866)</f>
        <v>13629.91659</v>
      </c>
      <c r="S194" s="32">
        <f>IFERROR(__xludf.DUMMYFUNCTION("""COMPUTED_VALUE"""),12551.3233821)</f>
        <v>12551.32338</v>
      </c>
      <c r="T194" s="32">
        <f>IFERROR(__xludf.DUMMYFUNCTION("""COMPUTED_VALUE"""),7.329586)</f>
        <v>7.329586</v>
      </c>
      <c r="U194" s="32">
        <f>IFERROR(__xludf.DUMMYFUNCTION("""COMPUTED_VALUE"""),10.825585)</f>
        <v>10.825585</v>
      </c>
      <c r="V194" s="32">
        <f>IFERROR(__xludf.DUMMYFUNCTION("""COMPUTED_VALUE"""),17.415965)</f>
        <v>17.415965</v>
      </c>
      <c r="W194" s="32">
        <f>IFERROR(__xludf.DUMMYFUNCTION("""COMPUTED_VALUE"""),12.620403)</f>
        <v>12.620403</v>
      </c>
      <c r="X194" s="32">
        <f>IFERROR(__xludf.DUMMYFUNCTION("""COMPUTED_VALUE"""),20.945347)</f>
        <v>20.945347</v>
      </c>
      <c r="Y194" s="32">
        <f>IFERROR(__xludf.DUMMYFUNCTION("""COMPUTED_VALUE"""),13.235964)</f>
        <v>13.235964</v>
      </c>
      <c r="Z194" s="32">
        <f>IFERROR(__xludf.DUMMYFUNCTION("""COMPUTED_VALUE"""),13.445698)</f>
        <v>13.445698</v>
      </c>
      <c r="AA194" s="32">
        <f>IFERROR(__xludf.DUMMYFUNCTION("""COMPUTED_VALUE"""),41.8965)</f>
        <v>41.8965</v>
      </c>
      <c r="AB194" s="32">
        <f>IFERROR(__xludf.DUMMYFUNCTION("""COMPUTED_VALUE"""),44.81475)</f>
        <v>44.81475</v>
      </c>
      <c r="AC194" s="32">
        <f>IFERROR(__xludf.DUMMYFUNCTION("""COMPUTED_VALUE"""),7.703)</f>
        <v>7.703</v>
      </c>
      <c r="AD194" s="32">
        <f>IFERROR(__xludf.DUMMYFUNCTION("""COMPUTED_VALUE"""),7.116)</f>
        <v>7.116</v>
      </c>
      <c r="AE194" s="32">
        <f>IFERROR(__xludf.DUMMYFUNCTION("""COMPUTED_VALUE"""),3.737863)</f>
        <v>3.737863</v>
      </c>
      <c r="AF194" s="32">
        <f>IFERROR(__xludf.DUMMYFUNCTION("""COMPUTED_VALUE"""),9.410192)</f>
        <v>9.410192</v>
      </c>
      <c r="AG194" s="32">
        <f>IFERROR(__xludf.DUMMYFUNCTION("""COMPUTED_VALUE"""),0.6092)</f>
        <v>0.6092</v>
      </c>
      <c r="AH194" s="32">
        <f>IFERROR(__xludf.DUMMYFUNCTION("""COMPUTED_VALUE"""),25.338804)</f>
        <v>25.338804</v>
      </c>
      <c r="AI194" s="32">
        <f>IFERROR(__xludf.DUMMYFUNCTION("""COMPUTED_VALUE"""),4.619637336456042)</f>
        <v>4.619637336</v>
      </c>
      <c r="AJ194" s="32">
        <f>IFERROR(__xludf.DUMMYFUNCTION("""COMPUTED_VALUE"""),46.328744346023115)</f>
        <v>46.32874435</v>
      </c>
      <c r="AK194" s="32">
        <f>IFERROR(__xludf.DUMMYFUNCTION("""COMPUTED_VALUE"""),23.6296)</f>
        <v>23.6296</v>
      </c>
      <c r="AL194" s="32">
        <f>IFERROR(__xludf.DUMMYFUNCTION("""COMPUTED_VALUE"""),128.521)</f>
        <v>128.521</v>
      </c>
      <c r="AM194" s="32">
        <f>IFERROR(__xludf.DUMMYFUNCTION("""COMPUTED_VALUE"""),21.226551)</f>
        <v>21.226551</v>
      </c>
      <c r="AN194" s="32">
        <f>IFERROR(__xludf.DUMMYFUNCTION("""COMPUTED_VALUE"""),16.369408)</f>
        <v>16.369408</v>
      </c>
      <c r="AO194" s="32">
        <f>IFERROR(__xludf.DUMMYFUNCTION("""COMPUTED_VALUE"""),6.0)</f>
        <v>6</v>
      </c>
      <c r="AP194" s="32">
        <f>IFERROR(__xludf.DUMMYFUNCTION("""COMPUTED_VALUE"""),0.22550409577819783)</f>
        <v>0.2255040958</v>
      </c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>
      <c r="A195" s="13" t="str">
        <f>IFERROR(__xludf.DUMMYFUNCTION("""COMPUTED_VALUE"""),"Vaibhav Global Ltd.")</f>
        <v>Vaibhav Global Ltd.</v>
      </c>
      <c r="B195" s="30">
        <f>IFERROR(__xludf.DUMMYFUNCTION("""COMPUTED_VALUE"""),532156.0)</f>
        <v>532156</v>
      </c>
      <c r="C195" s="13" t="str">
        <f>IFERROR(__xludf.DUMMYFUNCTION("""COMPUTED_VALUE"""),"VAIBHAVGBL")</f>
        <v>VAIBHAVGBL</v>
      </c>
      <c r="D195" s="13" t="str">
        <f>IFERROR(__xludf.DUMMYFUNCTION("""COMPUTED_VALUE"""),"INE884A01027")</f>
        <v>INE884A01027</v>
      </c>
      <c r="E195" s="13" t="str">
        <f>IFERROR(__xludf.DUMMYFUNCTION("""COMPUTED_VALUE"""),"Consumer Discretionary")</f>
        <v>Consumer Discretionary</v>
      </c>
      <c r="F195" s="13" t="str">
        <f>IFERROR(__xludf.DUMMYFUNCTION("""COMPUTED_VALUE"""),"Gems, Jewellery &amp; Accessories")</f>
        <v>Gems, Jewellery &amp; Accessories</v>
      </c>
      <c r="G195" s="31">
        <f>IFERROR(__xludf.DUMMYFUNCTION("""COMPUTED_VALUE"""),44809.0)</f>
        <v>44809</v>
      </c>
      <c r="H195" s="32">
        <f>IFERROR(__xludf.DUMMYFUNCTION("""COMPUTED_VALUE"""),357.25)</f>
        <v>357.25</v>
      </c>
      <c r="I195" s="32">
        <f>IFERROR(__xludf.DUMMYFUNCTION("""COMPUTED_VALUE"""),4.489617)</f>
        <v>4.489617</v>
      </c>
      <c r="J195" s="32">
        <f>IFERROR(__xludf.DUMMYFUNCTION("""COMPUTED_VALUE"""),287.9)</f>
        <v>287.9</v>
      </c>
      <c r="K195" s="32">
        <f>IFERROR(__xludf.DUMMYFUNCTION("""COMPUTED_VALUE"""),805.0)</f>
        <v>805</v>
      </c>
      <c r="L195" s="32">
        <f>IFERROR(__xludf.DUMMYFUNCTION("""COMPUTED_VALUE"""),98.0)</f>
        <v>98</v>
      </c>
      <c r="M195" s="32">
        <f>IFERROR(__xludf.DUMMYFUNCTION("""COMPUTED_VALUE"""),1057.7)</f>
        <v>1057.7</v>
      </c>
      <c r="N195" s="32">
        <f>IFERROR(__xludf.DUMMYFUNCTION("""COMPUTED_VALUE"""),98.0)</f>
        <v>98</v>
      </c>
      <c r="O195" s="32">
        <f>IFERROR(__xludf.DUMMYFUNCTION("""COMPUTED_VALUE"""),1057.7)</f>
        <v>1057.7</v>
      </c>
      <c r="P195" s="32">
        <f>IFERROR(__xludf.DUMMYFUNCTION("""COMPUTED_VALUE"""),1.5)</f>
        <v>1.5</v>
      </c>
      <c r="Q195" s="32">
        <f>IFERROR(__xludf.DUMMYFUNCTION("""COMPUTED_VALUE"""),1057.7)</f>
        <v>1057.7</v>
      </c>
      <c r="R195" s="32">
        <f>IFERROR(__xludf.DUMMYFUNCTION("""COMPUTED_VALUE"""),5898.6603026)</f>
        <v>5898.660303</v>
      </c>
      <c r="S195" s="32">
        <f>IFERROR(__xludf.DUMMYFUNCTION("""COMPUTED_VALUE"""),5549.23767)</f>
        <v>5549.23767</v>
      </c>
      <c r="T195" s="32">
        <f>IFERROR(__xludf.DUMMYFUNCTION("""COMPUTED_VALUE"""),15.596182)</f>
        <v>15.596182</v>
      </c>
      <c r="U195" s="32">
        <f>IFERROR(__xludf.DUMMYFUNCTION("""COMPUTED_VALUE"""),17.246472)</f>
        <v>17.246472</v>
      </c>
      <c r="V195" s="32">
        <f>IFERROR(__xludf.DUMMYFUNCTION("""COMPUTED_VALUE"""),5.632762)</f>
        <v>5.632762</v>
      </c>
      <c r="W195" s="32">
        <f>IFERROR(__xludf.DUMMYFUNCTION("""COMPUTED_VALUE"""),-53.22116)</f>
        <v>-53.22116</v>
      </c>
      <c r="X195" s="32">
        <f>IFERROR(__xludf.DUMMYFUNCTION("""COMPUTED_VALUE"""),29.160357)</f>
        <v>29.160357</v>
      </c>
      <c r="Y195" s="32">
        <f>IFERROR(__xludf.DUMMYFUNCTION("""COMPUTED_VALUE"""),27.101685)</f>
        <v>27.101685</v>
      </c>
      <c r="Z195" s="32">
        <f>IFERROR(__xludf.DUMMYFUNCTION("""COMPUTED_VALUE"""),43.247178)</f>
        <v>43.247178</v>
      </c>
      <c r="AA195" s="32">
        <f>IFERROR(__xludf.DUMMYFUNCTION("""COMPUTED_VALUE"""),37.2005)</f>
        <v>37.2005</v>
      </c>
      <c r="AB195" s="32">
        <f>IFERROR(__xludf.DUMMYFUNCTION("""COMPUTED_VALUE"""),22.45435)</f>
        <v>22.45435</v>
      </c>
      <c r="AC195" s="32">
        <f>IFERROR(__xludf.DUMMYFUNCTION("""COMPUTED_VALUE"""),5.1974)</f>
        <v>5.1974</v>
      </c>
      <c r="AD195" s="32">
        <f>IFERROR(__xludf.DUMMYFUNCTION("""COMPUTED_VALUE"""),4.56175)</f>
        <v>4.56175</v>
      </c>
      <c r="AE195" s="32">
        <f>IFERROR(__xludf.DUMMYFUNCTION("""COMPUTED_VALUE"""),3.53307)</f>
        <v>3.53307</v>
      </c>
      <c r="AF195" s="32">
        <f>IFERROR(__xludf.DUMMYFUNCTION("""COMPUTED_VALUE"""),2.051777)</f>
        <v>2.051777</v>
      </c>
      <c r="AG195" s="32">
        <f>IFERROR(__xludf.DUMMYFUNCTION("""COMPUTED_VALUE"""),1.6753)</f>
        <v>1.6753</v>
      </c>
      <c r="AH195" s="32">
        <f>IFERROR(__xludf.DUMMYFUNCTION("""COMPUTED_VALUE"""),22.25883)</f>
        <v>22.25883</v>
      </c>
      <c r="AI195" s="32">
        <f>IFERROR(__xludf.DUMMYFUNCTION("""COMPUTED_VALUE"""),2.1857770321967678)</f>
        <v>2.185777032</v>
      </c>
      <c r="AJ195" s="32">
        <f>IFERROR(__xludf.DUMMYFUNCTION("""COMPUTED_VALUE"""),67.0748202225343)</f>
        <v>67.07482022</v>
      </c>
      <c r="AK195" s="32">
        <f>IFERROR(__xludf.DUMMYFUNCTION("""COMPUTED_VALUE"""),9.6276)</f>
        <v>9.6276</v>
      </c>
      <c r="AL195" s="32">
        <f>IFERROR(__xludf.DUMMYFUNCTION("""COMPUTED_VALUE"""),68.9098)</f>
        <v>68.9098</v>
      </c>
      <c r="AM195" s="32">
        <f>IFERROR(__xludf.DUMMYFUNCTION("""COMPUTED_VALUE"""),5.368899)</f>
        <v>5.368899</v>
      </c>
      <c r="AN195" s="32">
        <f>IFERROR(__xludf.DUMMYFUNCTION("""COMPUTED_VALUE"""),-10.771994)</f>
        <v>-10.771994</v>
      </c>
      <c r="AO195" s="32">
        <f>IFERROR(__xludf.DUMMYFUNCTION("""COMPUTED_VALUE"""),6.0)</f>
        <v>6</v>
      </c>
      <c r="AP195" s="32">
        <f>IFERROR(__xludf.DUMMYFUNCTION("""COMPUTED_VALUE"""),0.5562111801242235)</f>
        <v>0.5562111801</v>
      </c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>
      <c r="A196" s="13" t="str">
        <f>IFERROR(__xludf.DUMMYFUNCTION("""COMPUTED_VALUE"""),"Wipro Ltd.")</f>
        <v>Wipro Ltd.</v>
      </c>
      <c r="B196" s="30">
        <f>IFERROR(__xludf.DUMMYFUNCTION("""COMPUTED_VALUE"""),507685.0)</f>
        <v>507685</v>
      </c>
      <c r="C196" s="13" t="str">
        <f>IFERROR(__xludf.DUMMYFUNCTION("""COMPUTED_VALUE"""),"WIPRO")</f>
        <v>WIPRO</v>
      </c>
      <c r="D196" s="13" t="str">
        <f>IFERROR(__xludf.DUMMYFUNCTION("""COMPUTED_VALUE"""),"INE075A01022")</f>
        <v>INE075A01022</v>
      </c>
      <c r="E196" s="13" t="str">
        <f>IFERROR(__xludf.DUMMYFUNCTION("""COMPUTED_VALUE"""),"Technology")</f>
        <v>Technology</v>
      </c>
      <c r="F196" s="13" t="str">
        <f>IFERROR(__xludf.DUMMYFUNCTION("""COMPUTED_VALUE"""),"Software")</f>
        <v>Software</v>
      </c>
      <c r="G196" s="31">
        <f>IFERROR(__xludf.DUMMYFUNCTION("""COMPUTED_VALUE"""),44809.0)</f>
        <v>44809</v>
      </c>
      <c r="H196" s="32">
        <f>IFERROR(__xludf.DUMMYFUNCTION("""COMPUTED_VALUE"""),405.5)</f>
        <v>405.5</v>
      </c>
      <c r="I196" s="32">
        <f>IFERROR(__xludf.DUMMYFUNCTION("""COMPUTED_VALUE"""),-0.539612)</f>
        <v>-0.539612</v>
      </c>
      <c r="J196" s="32">
        <f>IFERROR(__xludf.DUMMYFUNCTION("""COMPUTED_VALUE"""),391.0)</f>
        <v>391</v>
      </c>
      <c r="K196" s="32">
        <f>IFERROR(__xludf.DUMMYFUNCTION("""COMPUTED_VALUE"""),739.85)</f>
        <v>739.85</v>
      </c>
      <c r="L196" s="32">
        <f>IFERROR(__xludf.DUMMYFUNCTION("""COMPUTED_VALUE"""),159.4)</f>
        <v>159.4</v>
      </c>
      <c r="M196" s="32">
        <f>IFERROR(__xludf.DUMMYFUNCTION("""COMPUTED_VALUE"""),739.85)</f>
        <v>739.85</v>
      </c>
      <c r="N196" s="32">
        <f>IFERROR(__xludf.DUMMYFUNCTION("""COMPUTED_VALUE"""),159.4)</f>
        <v>159.4</v>
      </c>
      <c r="O196" s="32">
        <f>IFERROR(__xludf.DUMMYFUNCTION("""COMPUTED_VALUE"""),739.85)</f>
        <v>739.85</v>
      </c>
      <c r="P196" s="32">
        <f>IFERROR(__xludf.DUMMYFUNCTION("""COMPUTED_VALUE"""),28.468125)</f>
        <v>28.468125</v>
      </c>
      <c r="Q196" s="32">
        <f>IFERROR(__xludf.DUMMYFUNCTION("""COMPUTED_VALUE"""),739.85)</f>
        <v>739.85</v>
      </c>
      <c r="R196" s="32">
        <f>IFERROR(__xludf.DUMMYFUNCTION("""COMPUTED_VALUE"""),222410.91140825)</f>
        <v>222410.9114</v>
      </c>
      <c r="S196" s="32">
        <f>IFERROR(__xludf.DUMMYFUNCTION("""COMPUTED_VALUE"""),204292.9282917)</f>
        <v>204292.9283</v>
      </c>
      <c r="T196" s="32">
        <f>IFERROR(__xludf.DUMMYFUNCTION("""COMPUTED_VALUE"""),-2.816058)</f>
        <v>-2.816058</v>
      </c>
      <c r="U196" s="32">
        <f>IFERROR(__xludf.DUMMYFUNCTION("""COMPUTED_VALUE"""),-6.888634)</f>
        <v>-6.888634</v>
      </c>
      <c r="V196" s="32">
        <f>IFERROR(__xludf.DUMMYFUNCTION("""COMPUTED_VALUE"""),-14.721346)</f>
        <v>-14.721346</v>
      </c>
      <c r="W196" s="32">
        <f>IFERROR(__xludf.DUMMYFUNCTION("""COMPUTED_VALUE"""),-38.101053)</f>
        <v>-38.101053</v>
      </c>
      <c r="X196" s="32">
        <f>IFERROR(__xludf.DUMMYFUNCTION("""COMPUTED_VALUE"""),16.561562)</f>
        <v>16.561562</v>
      </c>
      <c r="Y196" s="32">
        <f>IFERROR(__xludf.DUMMYFUNCTION("""COMPUTED_VALUE"""),12.705974)</f>
        <v>12.705974</v>
      </c>
      <c r="Z196" s="32">
        <f>IFERROR(__xludf.DUMMYFUNCTION("""COMPUTED_VALUE"""),11.531955)</f>
        <v>11.531955</v>
      </c>
      <c r="AA196" s="32">
        <f>IFERROR(__xludf.DUMMYFUNCTION("""COMPUTED_VALUE"""),19.2601)</f>
        <v>19.2601</v>
      </c>
      <c r="AB196" s="32">
        <f>IFERROR(__xludf.DUMMYFUNCTION("""COMPUTED_VALUE"""),18.9477)</f>
        <v>18.9477</v>
      </c>
      <c r="AC196" s="32">
        <f>IFERROR(__xludf.DUMMYFUNCTION("""COMPUTED_VALUE"""),3.2988)</f>
        <v>3.2988</v>
      </c>
      <c r="AD196" s="32">
        <f>IFERROR(__xludf.DUMMYFUNCTION("""COMPUTED_VALUE"""),3.0221)</f>
        <v>3.0221</v>
      </c>
      <c r="AE196" s="32">
        <f>IFERROR(__xludf.DUMMYFUNCTION("""COMPUTED_VALUE"""),8.488391)</f>
        <v>8.488391</v>
      </c>
      <c r="AF196" s="32">
        <f>IFERROR(__xludf.DUMMYFUNCTION("""COMPUTED_VALUE"""),3.095472)</f>
        <v>3.095472</v>
      </c>
      <c r="AG196" s="32">
        <f>IFERROR(__xludf.DUMMYFUNCTION("""COMPUTED_VALUE"""),1.4793)</f>
        <v>1.4793</v>
      </c>
      <c r="AH196" s="32">
        <f>IFERROR(__xludf.DUMMYFUNCTION("""COMPUTED_VALUE"""),11.160925)</f>
        <v>11.160925</v>
      </c>
      <c r="AI196" s="32">
        <f>IFERROR(__xludf.DUMMYFUNCTION("""COMPUTED_VALUE"""),2.7001577209097776)</f>
        <v>2.700157721</v>
      </c>
      <c r="AJ196" s="32">
        <f>IFERROR(__xludf.DUMMYFUNCTION("""COMPUTED_VALUE"""),20.073730462760725)</f>
        <v>20.07373046</v>
      </c>
      <c r="AK196" s="32">
        <f>IFERROR(__xludf.DUMMYFUNCTION("""COMPUTED_VALUE"""),21.0591)</f>
        <v>21.0591</v>
      </c>
      <c r="AL196" s="32">
        <f>IFERROR(__xludf.DUMMYFUNCTION("""COMPUTED_VALUE"""),122.9534)</f>
        <v>122.9534</v>
      </c>
      <c r="AM196" s="32">
        <f>IFERROR(__xludf.DUMMYFUNCTION("""COMPUTED_VALUE"""),20.211054)</f>
        <v>20.211054</v>
      </c>
      <c r="AN196" s="32">
        <f>IFERROR(__xludf.DUMMYFUNCTION("""COMPUTED_VALUE"""),17.605618)</f>
        <v>17.605618</v>
      </c>
      <c r="AO196" s="32">
        <f>IFERROR(__xludf.DUMMYFUNCTION("""COMPUTED_VALUE"""),6.0)</f>
        <v>6</v>
      </c>
      <c r="AP196" s="32">
        <f>IFERROR(__xludf.DUMMYFUNCTION("""COMPUTED_VALUE"""),0.4519159289045077)</f>
        <v>0.4519159289</v>
      </c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>
      <c r="A197" s="13" t="str">
        <f>IFERROR(__xludf.DUMMYFUNCTION("""COMPUTED_VALUE"""),"Castrol India Ltd.")</f>
        <v>Castrol India Ltd.</v>
      </c>
      <c r="B197" s="30">
        <f>IFERROR(__xludf.DUMMYFUNCTION("""COMPUTED_VALUE"""),500870.0)</f>
        <v>500870</v>
      </c>
      <c r="C197" s="13" t="str">
        <f>IFERROR(__xludf.DUMMYFUNCTION("""COMPUTED_VALUE"""),"CASTROLIND")</f>
        <v>CASTROLIND</v>
      </c>
      <c r="D197" s="13" t="str">
        <f>IFERROR(__xludf.DUMMYFUNCTION("""COMPUTED_VALUE"""),"INE172A01027")</f>
        <v>INE172A01027</v>
      </c>
      <c r="E197" s="13" t="str">
        <f>IFERROR(__xludf.DUMMYFUNCTION("""COMPUTED_VALUE"""),"Chemicals")</f>
        <v>Chemicals</v>
      </c>
      <c r="F197" s="13" t="str">
        <f>IFERROR(__xludf.DUMMYFUNCTION("""COMPUTED_VALUE"""),"Lubricants &amp; Grease")</f>
        <v>Lubricants &amp; Grease</v>
      </c>
      <c r="G197" s="31">
        <f>IFERROR(__xludf.DUMMYFUNCTION("""COMPUTED_VALUE"""),44809.0)</f>
        <v>44809</v>
      </c>
      <c r="H197" s="32">
        <f>IFERROR(__xludf.DUMMYFUNCTION("""COMPUTED_VALUE"""),113.55)</f>
        <v>113.55</v>
      </c>
      <c r="I197" s="32">
        <f>IFERROR(__xludf.DUMMYFUNCTION("""COMPUTED_VALUE"""),-0.394737)</f>
        <v>-0.394737</v>
      </c>
      <c r="J197" s="32">
        <f>IFERROR(__xludf.DUMMYFUNCTION("""COMPUTED_VALUE"""),99.05)</f>
        <v>99.05</v>
      </c>
      <c r="K197" s="32">
        <f>IFERROR(__xludf.DUMMYFUNCTION("""COMPUTED_VALUE"""),149.6)</f>
        <v>149.6</v>
      </c>
      <c r="L197" s="32">
        <f>IFERROR(__xludf.DUMMYFUNCTION("""COMPUTED_VALUE"""),89.55)</f>
        <v>89.55</v>
      </c>
      <c r="M197" s="32">
        <f>IFERROR(__xludf.DUMMYFUNCTION("""COMPUTED_VALUE"""),162.2)</f>
        <v>162.2</v>
      </c>
      <c r="N197" s="32">
        <f>IFERROR(__xludf.DUMMYFUNCTION("""COMPUTED_VALUE"""),89.55)</f>
        <v>89.55</v>
      </c>
      <c r="O197" s="32">
        <f>IFERROR(__xludf.DUMMYFUNCTION("""COMPUTED_VALUE"""),214.475)</f>
        <v>214.475</v>
      </c>
      <c r="P197" s="32">
        <f>IFERROR(__xludf.DUMMYFUNCTION("""COMPUTED_VALUE"""),19.31875)</f>
        <v>19.31875</v>
      </c>
      <c r="Q197" s="32">
        <f>IFERROR(__xludf.DUMMYFUNCTION("""COMPUTED_VALUE"""),272.0)</f>
        <v>272</v>
      </c>
      <c r="R197" s="32">
        <f>IFERROR(__xludf.DUMMYFUNCTION("""COMPUTED_VALUE"""),11231.48467032)</f>
        <v>11231.48467</v>
      </c>
      <c r="S197" s="32">
        <f>IFERROR(__xludf.DUMMYFUNCTION("""COMPUTED_VALUE"""),9975.7851776)</f>
        <v>9975.785178</v>
      </c>
      <c r="T197" s="32">
        <f>IFERROR(__xludf.DUMMYFUNCTION("""COMPUTED_VALUE"""),-0.91623)</f>
        <v>-0.91623</v>
      </c>
      <c r="U197" s="32">
        <f>IFERROR(__xludf.DUMMYFUNCTION("""COMPUTED_VALUE"""),-1.303781)</f>
        <v>-1.303781</v>
      </c>
      <c r="V197" s="32">
        <f>IFERROR(__xludf.DUMMYFUNCTION("""COMPUTED_VALUE"""),4.944547)</f>
        <v>4.944547</v>
      </c>
      <c r="W197" s="32">
        <f>IFERROR(__xludf.DUMMYFUNCTION("""COMPUTED_VALUE"""),-16.538037)</f>
        <v>-16.538037</v>
      </c>
      <c r="X197" s="32">
        <f>IFERROR(__xludf.DUMMYFUNCTION("""COMPUTED_VALUE"""),-1.879243)</f>
        <v>-1.879243</v>
      </c>
      <c r="Y197" s="32">
        <f>IFERROR(__xludf.DUMMYFUNCTION("""COMPUTED_VALUE"""),-10.616799)</f>
        <v>-10.616799</v>
      </c>
      <c r="Z197" s="32">
        <f>IFERROR(__xludf.DUMMYFUNCTION("""COMPUTED_VALUE"""),-2.211028)</f>
        <v>-2.211028</v>
      </c>
      <c r="AA197" s="32">
        <f>IFERROR(__xludf.DUMMYFUNCTION("""COMPUTED_VALUE"""),13.8804)</f>
        <v>13.8804</v>
      </c>
      <c r="AB197" s="32">
        <f>IFERROR(__xludf.DUMMYFUNCTION("""COMPUTED_VALUE"""),18.3849)</f>
        <v>18.3849</v>
      </c>
      <c r="AC197" s="32">
        <f>IFERROR(__xludf.DUMMYFUNCTION("""COMPUTED_VALUE"""),6.2593)</f>
        <v>6.2593</v>
      </c>
      <c r="AD197" s="32">
        <f>IFERROR(__xludf.DUMMYFUNCTION("""COMPUTED_VALUE"""),9.21575)</f>
        <v>9.21575</v>
      </c>
      <c r="AE197" s="32">
        <f>IFERROR(__xludf.DUMMYFUNCTION("""COMPUTED_VALUE"""),11.575453)</f>
        <v>11.575453</v>
      </c>
      <c r="AF197" s="32">
        <f>IFERROR(__xludf.DUMMYFUNCTION("""COMPUTED_VALUE"""),2.359416)</f>
        <v>2.359416</v>
      </c>
      <c r="AG197" s="32">
        <f>IFERROR(__xludf.DUMMYFUNCTION("""COMPUTED_VALUE"""),4.8437)</f>
        <v>4.8437</v>
      </c>
      <c r="AH197" s="32">
        <f>IFERROR(__xludf.DUMMYFUNCTION("""COMPUTED_VALUE"""),8.445538)</f>
        <v>8.445538</v>
      </c>
      <c r="AI197" s="32">
        <f>IFERROR(__xludf.DUMMYFUNCTION("""COMPUTED_VALUE"""),2.4199475288383847)</f>
        <v>2.419947529</v>
      </c>
      <c r="AJ197" s="32">
        <f>IFERROR(__xludf.DUMMYFUNCTION("""COMPUTED_VALUE"""),17.821812840672155)</f>
        <v>17.82181284</v>
      </c>
      <c r="AK197" s="32">
        <f>IFERROR(__xludf.DUMMYFUNCTION("""COMPUTED_VALUE"""),8.1806)</f>
        <v>8.1806</v>
      </c>
      <c r="AL197" s="32">
        <f>IFERROR(__xludf.DUMMYFUNCTION("""COMPUTED_VALUE"""),18.1409)</f>
        <v>18.1409</v>
      </c>
      <c r="AM197" s="32">
        <f>IFERROR(__xludf.DUMMYFUNCTION("""COMPUTED_VALUE"""),6.371421)</f>
        <v>6.371421</v>
      </c>
      <c r="AN197" s="32">
        <f>IFERROR(__xludf.DUMMYFUNCTION("""COMPUTED_VALUE"""),5.812439)</f>
        <v>5.812439</v>
      </c>
      <c r="AO197" s="32">
        <f>IFERROR(__xludf.DUMMYFUNCTION("""COMPUTED_VALUE"""),5.5)</f>
        <v>5.5</v>
      </c>
      <c r="AP197" s="32">
        <f>IFERROR(__xludf.DUMMYFUNCTION("""COMPUTED_VALUE"""),0.240975935828877)</f>
        <v>0.2409759358</v>
      </c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>
      <c r="A198" s="13" t="str">
        <f>IFERROR(__xludf.DUMMYFUNCTION("""COMPUTED_VALUE"""),"Finolex Cables Ltd.")</f>
        <v>Finolex Cables Ltd.</v>
      </c>
      <c r="B198" s="30">
        <f>IFERROR(__xludf.DUMMYFUNCTION("""COMPUTED_VALUE"""),500144.0)</f>
        <v>500144</v>
      </c>
      <c r="C198" s="13" t="str">
        <f>IFERROR(__xludf.DUMMYFUNCTION("""COMPUTED_VALUE"""),"FINCABLES")</f>
        <v>FINCABLES</v>
      </c>
      <c r="D198" s="13" t="str">
        <f>IFERROR(__xludf.DUMMYFUNCTION("""COMPUTED_VALUE"""),"INE235A01022")</f>
        <v>INE235A01022</v>
      </c>
      <c r="E198" s="13" t="str">
        <f>IFERROR(__xludf.DUMMYFUNCTION("""COMPUTED_VALUE"""),"Capital Goods")</f>
        <v>Capital Goods</v>
      </c>
      <c r="F198" s="13" t="str">
        <f>IFERROR(__xludf.DUMMYFUNCTION("""COMPUTED_VALUE"""),"Wires &amp; cables")</f>
        <v>Wires &amp; cables</v>
      </c>
      <c r="G198" s="31">
        <f>IFERROR(__xludf.DUMMYFUNCTION("""COMPUTED_VALUE"""),44809.0)</f>
        <v>44809</v>
      </c>
      <c r="H198" s="32">
        <f>IFERROR(__xludf.DUMMYFUNCTION("""COMPUTED_VALUE"""),462.2)</f>
        <v>462.2</v>
      </c>
      <c r="I198" s="32">
        <f>IFERROR(__xludf.DUMMYFUNCTION("""COMPUTED_VALUE"""),0.795987)</f>
        <v>0.795987</v>
      </c>
      <c r="J198" s="32">
        <f>IFERROR(__xludf.DUMMYFUNCTION("""COMPUTED_VALUE"""),343.5)</f>
        <v>343.5</v>
      </c>
      <c r="K198" s="32">
        <f>IFERROR(__xludf.DUMMYFUNCTION("""COMPUTED_VALUE"""),608.65)</f>
        <v>608.65</v>
      </c>
      <c r="L198" s="32">
        <f>IFERROR(__xludf.DUMMYFUNCTION("""COMPUTED_VALUE"""),162.4)</f>
        <v>162.4</v>
      </c>
      <c r="M198" s="32">
        <f>IFERROR(__xludf.DUMMYFUNCTION("""COMPUTED_VALUE"""),608.65)</f>
        <v>608.65</v>
      </c>
      <c r="N198" s="32">
        <f>IFERROR(__xludf.DUMMYFUNCTION("""COMPUTED_VALUE"""),162.4)</f>
        <v>162.4</v>
      </c>
      <c r="O198" s="32">
        <f>IFERROR(__xludf.DUMMYFUNCTION("""COMPUTED_VALUE"""),757.9)</f>
        <v>757.9</v>
      </c>
      <c r="P198" s="32">
        <f>IFERROR(__xludf.DUMMYFUNCTION("""COMPUTED_VALUE"""),15.2)</f>
        <v>15.2</v>
      </c>
      <c r="Q198" s="32">
        <f>IFERROR(__xludf.DUMMYFUNCTION("""COMPUTED_VALUE"""),757.9)</f>
        <v>757.9</v>
      </c>
      <c r="R198" s="32">
        <f>IFERROR(__xludf.DUMMYFUNCTION("""COMPUTED_VALUE"""),7068.8565259)</f>
        <v>7068.856526</v>
      </c>
      <c r="S198" s="32">
        <f>IFERROR(__xludf.DUMMYFUNCTION("""COMPUTED_VALUE"""),6446.83018135)</f>
        <v>6446.830181</v>
      </c>
      <c r="T198" s="32">
        <f>IFERROR(__xludf.DUMMYFUNCTION("""COMPUTED_VALUE"""),3.504647)</f>
        <v>3.504647</v>
      </c>
      <c r="U198" s="32">
        <f>IFERROR(__xludf.DUMMYFUNCTION("""COMPUTED_VALUE"""),8.599624)</f>
        <v>8.599624</v>
      </c>
      <c r="V198" s="32">
        <f>IFERROR(__xludf.DUMMYFUNCTION("""COMPUTED_VALUE"""),16.687705)</f>
        <v>16.687705</v>
      </c>
      <c r="W198" s="32">
        <f>IFERROR(__xludf.DUMMYFUNCTION("""COMPUTED_VALUE"""),-2.334918)</f>
        <v>-2.334918</v>
      </c>
      <c r="X198" s="32">
        <f>IFERROR(__xludf.DUMMYFUNCTION("""COMPUTED_VALUE"""),8.21764)</f>
        <v>8.21764</v>
      </c>
      <c r="Y198" s="32">
        <f>IFERROR(__xludf.DUMMYFUNCTION("""COMPUTED_VALUE"""),-3.288137)</f>
        <v>-3.288137</v>
      </c>
      <c r="Z198" s="32">
        <f>IFERROR(__xludf.DUMMYFUNCTION("""COMPUTED_VALUE"""),29.078153)</f>
        <v>29.078153</v>
      </c>
      <c r="AA198" s="32">
        <f>IFERROR(__xludf.DUMMYFUNCTION("""COMPUTED_VALUE"""),11.2555)</f>
        <v>11.2555</v>
      </c>
      <c r="AB198" s="32">
        <f>IFERROR(__xludf.DUMMYFUNCTION("""COMPUTED_VALUE"""),16.39015)</f>
        <v>16.39015</v>
      </c>
      <c r="AC198" s="32">
        <f>IFERROR(__xludf.DUMMYFUNCTION("""COMPUTED_VALUE"""),1.7713)</f>
        <v>1.7713</v>
      </c>
      <c r="AD198" s="32">
        <f>IFERROR(__xludf.DUMMYFUNCTION("""COMPUTED_VALUE"""),2.20235)</f>
        <v>2.20235</v>
      </c>
      <c r="AE198" s="32">
        <f>IFERROR(__xludf.DUMMYFUNCTION("""COMPUTED_VALUE"""),8.99181)</f>
        <v>8.99181</v>
      </c>
      <c r="AF198" s="32">
        <f>IFERROR(__xludf.DUMMYFUNCTION("""COMPUTED_VALUE"""),-6.434008)</f>
        <v>-6.434008</v>
      </c>
      <c r="AG198" s="32">
        <f>IFERROR(__xludf.DUMMYFUNCTION("""COMPUTED_VALUE"""),1.2959)</f>
        <v>1.2959</v>
      </c>
      <c r="AH198" s="32">
        <f>IFERROR(__xludf.DUMMYFUNCTION("""COMPUTED_VALUE"""),11.714055)</f>
        <v>11.714055</v>
      </c>
      <c r="AI198" s="32">
        <f>IFERROR(__xludf.DUMMYFUNCTION("""COMPUTED_VALUE"""),1.7205736804326714)</f>
        <v>1.72057368</v>
      </c>
      <c r="AJ198" s="32">
        <f>IFERROR(__xludf.DUMMYFUNCTION("""COMPUTED_VALUE"""),61.80691200402203)</f>
        <v>61.806912</v>
      </c>
      <c r="AK198" s="32">
        <f>IFERROR(__xludf.DUMMYFUNCTION("""COMPUTED_VALUE"""),41.3131)</f>
        <v>41.3131</v>
      </c>
      <c r="AL198" s="32">
        <f>IFERROR(__xludf.DUMMYFUNCTION("""COMPUTED_VALUE"""),262.5222)</f>
        <v>262.5222</v>
      </c>
      <c r="AM198" s="32">
        <f>IFERROR(__xludf.DUMMYFUNCTION("""COMPUTED_VALUE"""),7.477607)</f>
        <v>7.477607</v>
      </c>
      <c r="AN198" s="32">
        <f>IFERROR(__xludf.DUMMYFUNCTION("""COMPUTED_VALUE"""),4.330173)</f>
        <v>4.330173</v>
      </c>
      <c r="AO198" s="32">
        <f>IFERROR(__xludf.DUMMYFUNCTION("""COMPUTED_VALUE"""),5.5)</f>
        <v>5.5</v>
      </c>
      <c r="AP198" s="32">
        <f>IFERROR(__xludf.DUMMYFUNCTION("""COMPUTED_VALUE"""),0.24061447465702784)</f>
        <v>0.2406144747</v>
      </c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>
      <c r="A199" s="13" t="str">
        <f>IFERROR(__xludf.DUMMYFUNCTION("""COMPUTED_VALUE"""),"JK Paper Ltd.")</f>
        <v>JK Paper Ltd.</v>
      </c>
      <c r="B199" s="30">
        <f>IFERROR(__xludf.DUMMYFUNCTION("""COMPUTED_VALUE"""),532162.0)</f>
        <v>532162</v>
      </c>
      <c r="C199" s="13" t="str">
        <f>IFERROR(__xludf.DUMMYFUNCTION("""COMPUTED_VALUE"""),"JKPAPER")</f>
        <v>JKPAPER</v>
      </c>
      <c r="D199" s="13" t="str">
        <f>IFERROR(__xludf.DUMMYFUNCTION("""COMPUTED_VALUE"""),"INE789E01012")</f>
        <v>INE789E01012</v>
      </c>
      <c r="E199" s="13" t="str">
        <f>IFERROR(__xludf.DUMMYFUNCTION("""COMPUTED_VALUE"""),"Consumer Staples")</f>
        <v>Consumer Staples</v>
      </c>
      <c r="F199" s="13" t="str">
        <f>IFERROR(__xludf.DUMMYFUNCTION("""COMPUTED_VALUE"""),"Paper")</f>
        <v>Paper</v>
      </c>
      <c r="G199" s="31">
        <f>IFERROR(__xludf.DUMMYFUNCTION("""COMPUTED_VALUE"""),44809.0)</f>
        <v>44809</v>
      </c>
      <c r="H199" s="32">
        <f>IFERROR(__xludf.DUMMYFUNCTION("""COMPUTED_VALUE"""),420.3)</f>
        <v>420.3</v>
      </c>
      <c r="I199" s="32">
        <f>IFERROR(__xludf.DUMMYFUNCTION("""COMPUTED_VALUE"""),-0.497159)</f>
        <v>-0.497159</v>
      </c>
      <c r="J199" s="32">
        <f>IFERROR(__xludf.DUMMYFUNCTION("""COMPUTED_VALUE"""),192.0)</f>
        <v>192</v>
      </c>
      <c r="K199" s="32">
        <f>IFERROR(__xludf.DUMMYFUNCTION("""COMPUTED_VALUE"""),449.95)</f>
        <v>449.95</v>
      </c>
      <c r="L199" s="32">
        <f>IFERROR(__xludf.DUMMYFUNCTION("""COMPUTED_VALUE"""),62.0)</f>
        <v>62</v>
      </c>
      <c r="M199" s="32">
        <f>IFERROR(__xludf.DUMMYFUNCTION("""COMPUTED_VALUE"""),449.95)</f>
        <v>449.95</v>
      </c>
      <c r="N199" s="32">
        <f>IFERROR(__xludf.DUMMYFUNCTION("""COMPUTED_VALUE"""),62.0)</f>
        <v>62</v>
      </c>
      <c r="O199" s="32">
        <f>IFERROR(__xludf.DUMMYFUNCTION("""COMPUTED_VALUE"""),449.95)</f>
        <v>449.95</v>
      </c>
      <c r="P199" s="32">
        <f>IFERROR(__xludf.DUMMYFUNCTION("""COMPUTED_VALUE"""),13.401929)</f>
        <v>13.401929</v>
      </c>
      <c r="Q199" s="32">
        <f>IFERROR(__xludf.DUMMYFUNCTION("""COMPUTED_VALUE"""),449.95)</f>
        <v>449.95</v>
      </c>
      <c r="R199" s="32">
        <f>IFERROR(__xludf.DUMMYFUNCTION("""COMPUTED_VALUE"""),7120.82753004)</f>
        <v>7120.82753</v>
      </c>
      <c r="S199" s="32">
        <f>IFERROR(__xludf.DUMMYFUNCTION("""COMPUTED_VALUE"""),9598.78708088)</f>
        <v>9598.787081</v>
      </c>
      <c r="T199" s="32">
        <f>IFERROR(__xludf.DUMMYFUNCTION("""COMPUTED_VALUE"""),1.350374)</f>
        <v>1.350374</v>
      </c>
      <c r="U199" s="32">
        <f>IFERROR(__xludf.DUMMYFUNCTION("""COMPUTED_VALUE"""),7.824525)</f>
        <v>7.824525</v>
      </c>
      <c r="V199" s="32">
        <f>IFERROR(__xludf.DUMMYFUNCTION("""COMPUTED_VALUE"""),24.551785)</f>
        <v>24.551785</v>
      </c>
      <c r="W199" s="32">
        <f>IFERROR(__xludf.DUMMYFUNCTION("""COMPUTED_VALUE"""),71.972177)</f>
        <v>71.972177</v>
      </c>
      <c r="X199" s="32">
        <f>IFERROR(__xludf.DUMMYFUNCTION("""COMPUTED_VALUE"""),60.371947)</f>
        <v>60.371947</v>
      </c>
      <c r="Y199" s="32">
        <f>IFERROR(__xludf.DUMMYFUNCTION("""COMPUTED_VALUE"""),32.919895)</f>
        <v>32.919895</v>
      </c>
      <c r="Z199" s="32">
        <f>IFERROR(__xludf.DUMMYFUNCTION("""COMPUTED_VALUE"""),28.273121)</f>
        <v>28.273121</v>
      </c>
      <c r="AA199" s="32">
        <f>IFERROR(__xludf.DUMMYFUNCTION("""COMPUTED_VALUE"""),10.1643)</f>
        <v>10.1643</v>
      </c>
      <c r="AB199" s="32">
        <f>IFERROR(__xludf.DUMMYFUNCTION("""COMPUTED_VALUE"""),8.1944)</f>
        <v>8.1944</v>
      </c>
      <c r="AC199" s="32">
        <f>IFERROR(__xludf.DUMMYFUNCTION("""COMPUTED_VALUE"""),2.1841)</f>
        <v>2.1841</v>
      </c>
      <c r="AD199" s="32">
        <f>IFERROR(__xludf.DUMMYFUNCTION("""COMPUTED_VALUE"""),1.288)</f>
        <v>1.288</v>
      </c>
      <c r="AE199" s="32">
        <f>IFERROR(__xludf.DUMMYFUNCTION("""COMPUTED_VALUE"""),13.237294)</f>
        <v>13.237294</v>
      </c>
      <c r="AF199" s="32">
        <f>IFERROR(__xludf.DUMMYFUNCTION("""COMPUTED_VALUE"""),0.398179)</f>
        <v>0.398179</v>
      </c>
      <c r="AG199" s="32">
        <f>IFERROR(__xludf.DUMMYFUNCTION("""COMPUTED_VALUE"""),1.3084)</f>
        <v>1.3084</v>
      </c>
      <c r="AH199" s="32">
        <f>IFERROR(__xludf.DUMMYFUNCTION("""COMPUTED_VALUE"""),7.082878)</f>
        <v>7.082878</v>
      </c>
      <c r="AI199" s="32">
        <f>IFERROR(__xludf.DUMMYFUNCTION("""COMPUTED_VALUE"""),1.502905743733696)</f>
        <v>1.502905744</v>
      </c>
      <c r="AJ199" s="32">
        <f>IFERROR(__xludf.DUMMYFUNCTION("""COMPUTED_VALUE"""),9.204911555268295)</f>
        <v>9.204911555</v>
      </c>
      <c r="AK199" s="32">
        <f>IFERROR(__xludf.DUMMYFUNCTION("""COMPUTED_VALUE"""),41.3554)</f>
        <v>41.3554</v>
      </c>
      <c r="AL199" s="32">
        <f>IFERROR(__xludf.DUMMYFUNCTION("""COMPUTED_VALUE"""),192.4573)</f>
        <v>192.4573</v>
      </c>
      <c r="AM199" s="32">
        <f>IFERROR(__xludf.DUMMYFUNCTION("""COMPUTED_VALUE"""),45.66647)</f>
        <v>45.66647</v>
      </c>
      <c r="AN199" s="32">
        <f>IFERROR(__xludf.DUMMYFUNCTION("""COMPUTED_VALUE"""),-13.557261)</f>
        <v>-13.557261</v>
      </c>
      <c r="AO199" s="32">
        <f>IFERROR(__xludf.DUMMYFUNCTION("""COMPUTED_VALUE"""),5.5)</f>
        <v>5.5</v>
      </c>
      <c r="AP199" s="32">
        <f>IFERROR(__xludf.DUMMYFUNCTION("""COMPUTED_VALUE"""),0.06589621069007663)</f>
        <v>0.06589621069</v>
      </c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>
      <c r="A200" s="13" t="str">
        <f>IFERROR(__xludf.DUMMYFUNCTION("""COMPUTED_VALUE"""),"Voltas Ltd.")</f>
        <v>Voltas Ltd.</v>
      </c>
      <c r="B200" s="30">
        <f>IFERROR(__xludf.DUMMYFUNCTION("""COMPUTED_VALUE"""),500575.0)</f>
        <v>500575</v>
      </c>
      <c r="C200" s="13" t="str">
        <f>IFERROR(__xludf.DUMMYFUNCTION("""COMPUTED_VALUE"""),"VOLTAS")</f>
        <v>VOLTAS</v>
      </c>
      <c r="D200" s="13" t="str">
        <f>IFERROR(__xludf.DUMMYFUNCTION("""COMPUTED_VALUE"""),"INE226A01021")</f>
        <v>INE226A01021</v>
      </c>
      <c r="E200" s="13" t="str">
        <f>IFERROR(__xludf.DUMMYFUNCTION("""COMPUTED_VALUE"""),"Consumer Discretionary")</f>
        <v>Consumer Discretionary</v>
      </c>
      <c r="F200" s="13" t="str">
        <f>IFERROR(__xludf.DUMMYFUNCTION("""COMPUTED_VALUE"""),"ACs &amp; Refrigerators")</f>
        <v>ACs &amp; Refrigerators</v>
      </c>
      <c r="G200" s="31">
        <f>IFERROR(__xludf.DUMMYFUNCTION("""COMPUTED_VALUE"""),44809.0)</f>
        <v>44809</v>
      </c>
      <c r="H200" s="32">
        <f>IFERROR(__xludf.DUMMYFUNCTION("""COMPUTED_VALUE"""),987.25)</f>
        <v>987.25</v>
      </c>
      <c r="I200" s="32">
        <f>IFERROR(__xludf.DUMMYFUNCTION("""COMPUTED_VALUE"""),1.621204)</f>
        <v>1.621204</v>
      </c>
      <c r="J200" s="32">
        <f>IFERROR(__xludf.DUMMYFUNCTION("""COMPUTED_VALUE"""),922.55)</f>
        <v>922.55</v>
      </c>
      <c r="K200" s="32">
        <f>IFERROR(__xludf.DUMMYFUNCTION("""COMPUTED_VALUE"""),1356.9)</f>
        <v>1356.9</v>
      </c>
      <c r="L200" s="32">
        <f>IFERROR(__xludf.DUMMYFUNCTION("""COMPUTED_VALUE"""),427.45)</f>
        <v>427.45</v>
      </c>
      <c r="M200" s="32">
        <f>IFERROR(__xludf.DUMMYFUNCTION("""COMPUTED_VALUE"""),1356.9)</f>
        <v>1356.9</v>
      </c>
      <c r="N200" s="32">
        <f>IFERROR(__xludf.DUMMYFUNCTION("""COMPUTED_VALUE"""),427.45)</f>
        <v>427.45</v>
      </c>
      <c r="O200" s="32">
        <f>IFERROR(__xludf.DUMMYFUNCTION("""COMPUTED_VALUE"""),1356.9)</f>
        <v>1356.9</v>
      </c>
      <c r="P200" s="32">
        <f>IFERROR(__xludf.DUMMYFUNCTION("""COMPUTED_VALUE"""),2.6)</f>
        <v>2.6</v>
      </c>
      <c r="Q200" s="32">
        <f>IFERROR(__xludf.DUMMYFUNCTION("""COMPUTED_VALUE"""),1356.9)</f>
        <v>1356.9</v>
      </c>
      <c r="R200" s="32">
        <f>IFERROR(__xludf.DUMMYFUNCTION("""COMPUTED_VALUE"""),32666.5959565)</f>
        <v>32666.59596</v>
      </c>
      <c r="S200" s="32">
        <f>IFERROR(__xludf.DUMMYFUNCTION("""COMPUTED_VALUE"""),31511.9234569)</f>
        <v>31511.92346</v>
      </c>
      <c r="T200" s="32">
        <f>IFERROR(__xludf.DUMMYFUNCTION("""COMPUTED_VALUE"""),-1.975873)</f>
        <v>-1.975873</v>
      </c>
      <c r="U200" s="32">
        <f>IFERROR(__xludf.DUMMYFUNCTION("""COMPUTED_VALUE"""),-1.289807)</f>
        <v>-1.289807</v>
      </c>
      <c r="V200" s="32">
        <f>IFERROR(__xludf.DUMMYFUNCTION("""COMPUTED_VALUE"""),-2.963436)</f>
        <v>-2.963436</v>
      </c>
      <c r="W200" s="32">
        <f>IFERROR(__xludf.DUMMYFUNCTION("""COMPUTED_VALUE"""),-9.339272)</f>
        <v>-9.339272</v>
      </c>
      <c r="X200" s="32">
        <f>IFERROR(__xludf.DUMMYFUNCTION("""COMPUTED_VALUE"""),16.673451)</f>
        <v>16.673451</v>
      </c>
      <c r="Y200" s="32">
        <f>IFERROR(__xludf.DUMMYFUNCTION("""COMPUTED_VALUE"""),13.708623)</f>
        <v>13.708623</v>
      </c>
      <c r="Z200" s="32">
        <f>IFERROR(__xludf.DUMMYFUNCTION("""COMPUTED_VALUE"""),24.572463)</f>
        <v>24.572463</v>
      </c>
      <c r="AA200" s="32">
        <f>IFERROR(__xludf.DUMMYFUNCTION("""COMPUTED_VALUE"""),66.501)</f>
        <v>66.501</v>
      </c>
      <c r="AB200" s="32">
        <f>IFERROR(__xludf.DUMMYFUNCTION("""COMPUTED_VALUE"""),45.66355)</f>
        <v>45.66355</v>
      </c>
      <c r="AC200" s="32">
        <f>IFERROR(__xludf.DUMMYFUNCTION("""COMPUTED_VALUE"""),5.7913)</f>
        <v>5.7913</v>
      </c>
      <c r="AD200" s="32">
        <f>IFERROR(__xludf.DUMMYFUNCTION("""COMPUTED_VALUE"""),5.55465)</f>
        <v>5.55465</v>
      </c>
      <c r="AE200" s="32">
        <f>IFERROR(__xludf.DUMMYFUNCTION("""COMPUTED_VALUE"""),3.021596)</f>
        <v>3.021596</v>
      </c>
      <c r="AF200" s="32">
        <f>IFERROR(__xludf.DUMMYFUNCTION("""COMPUTED_VALUE"""),51.580192)</f>
        <v>51.580192</v>
      </c>
      <c r="AG200" s="32">
        <f>IFERROR(__xludf.DUMMYFUNCTION("""COMPUTED_VALUE"""),0.5572)</f>
        <v>0.5572</v>
      </c>
      <c r="AH200" s="32">
        <f>IFERROR(__xludf.DUMMYFUNCTION("""COMPUTED_VALUE"""),36.483535)</f>
        <v>36.483535</v>
      </c>
      <c r="AI200" s="32">
        <f>IFERROR(__xludf.DUMMYFUNCTION("""COMPUTED_VALUE"""),3.705502224043468)</f>
        <v>3.705502224</v>
      </c>
      <c r="AJ200" s="32">
        <f>IFERROR(__xludf.DUMMYFUNCTION("""COMPUTED_VALUE"""),55.913931082792736)</f>
        <v>55.91393108</v>
      </c>
      <c r="AK200" s="32">
        <f>IFERROR(__xludf.DUMMYFUNCTION("""COMPUTED_VALUE"""),14.8441)</f>
        <v>14.8441</v>
      </c>
      <c r="AL200" s="32">
        <f>IFERROR(__xludf.DUMMYFUNCTION("""COMPUTED_VALUE"""),170.4533)</f>
        <v>170.4533</v>
      </c>
      <c r="AM200" s="32">
        <f>IFERROR(__xludf.DUMMYFUNCTION("""COMPUTED_VALUE"""),17.661125)</f>
        <v>17.661125</v>
      </c>
      <c r="AN200" s="32">
        <f>IFERROR(__xludf.DUMMYFUNCTION("""COMPUTED_VALUE"""),13.641778)</f>
        <v>13.641778</v>
      </c>
      <c r="AO200" s="32">
        <f>IFERROR(__xludf.DUMMYFUNCTION("""COMPUTED_VALUE"""),5.5)</f>
        <v>5.5</v>
      </c>
      <c r="AP200" s="32">
        <f>IFERROR(__xludf.DUMMYFUNCTION("""COMPUTED_VALUE"""),0.2724224334880979)</f>
        <v>0.2724224335</v>
      </c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>
      <c r="A201" s="13" t="str">
        <f>IFERROR(__xludf.DUMMYFUNCTION("""COMPUTED_VALUE"""),"Natco Pharma Ltd.")</f>
        <v>Natco Pharma Ltd.</v>
      </c>
      <c r="B201" s="30">
        <f>IFERROR(__xludf.DUMMYFUNCTION("""COMPUTED_VALUE"""),524816.0)</f>
        <v>524816</v>
      </c>
      <c r="C201" s="13" t="str">
        <f>IFERROR(__xludf.DUMMYFUNCTION("""COMPUTED_VALUE"""),"NATCOPHARM")</f>
        <v>NATCOPHARM</v>
      </c>
      <c r="D201" s="13" t="str">
        <f>IFERROR(__xludf.DUMMYFUNCTION("""COMPUTED_VALUE"""),"INE987B01026")</f>
        <v>INE987B01026</v>
      </c>
      <c r="E201" s="13" t="str">
        <f>IFERROR(__xludf.DUMMYFUNCTION("""COMPUTED_VALUE"""),"Healthcare")</f>
        <v>Healthcare</v>
      </c>
      <c r="F201" s="13" t="str">
        <f>IFERROR(__xludf.DUMMYFUNCTION("""COMPUTED_VALUE"""),"Drugs &amp; Pharma")</f>
        <v>Drugs &amp; Pharma</v>
      </c>
      <c r="G201" s="31">
        <f>IFERROR(__xludf.DUMMYFUNCTION("""COMPUTED_VALUE"""),44809.0)</f>
        <v>44809</v>
      </c>
      <c r="H201" s="32">
        <f>IFERROR(__xludf.DUMMYFUNCTION("""COMPUTED_VALUE"""),616.5)</f>
        <v>616.5</v>
      </c>
      <c r="I201" s="32">
        <f>IFERROR(__xludf.DUMMYFUNCTION("""COMPUTED_VALUE"""),1.264783)</f>
        <v>1.264783</v>
      </c>
      <c r="J201" s="32">
        <f>IFERROR(__xludf.DUMMYFUNCTION("""COMPUTED_VALUE"""),607.0)</f>
        <v>607</v>
      </c>
      <c r="K201" s="32">
        <f>IFERROR(__xludf.DUMMYFUNCTION("""COMPUTED_VALUE"""),993.45)</f>
        <v>993.45</v>
      </c>
      <c r="L201" s="32">
        <f>IFERROR(__xludf.DUMMYFUNCTION("""COMPUTED_VALUE"""),402.55)</f>
        <v>402.55</v>
      </c>
      <c r="M201" s="32">
        <f>IFERROR(__xludf.DUMMYFUNCTION("""COMPUTED_VALUE"""),1189.0)</f>
        <v>1189</v>
      </c>
      <c r="N201" s="32">
        <f>IFERROR(__xludf.DUMMYFUNCTION("""COMPUTED_VALUE"""),402.55)</f>
        <v>402.55</v>
      </c>
      <c r="O201" s="32">
        <f>IFERROR(__xludf.DUMMYFUNCTION("""COMPUTED_VALUE"""),1189.0)</f>
        <v>1189</v>
      </c>
      <c r="P201" s="32">
        <f>IFERROR(__xludf.DUMMYFUNCTION("""COMPUTED_VALUE"""),1.6)</f>
        <v>1.6</v>
      </c>
      <c r="Q201" s="32">
        <f>IFERROR(__xludf.DUMMYFUNCTION("""COMPUTED_VALUE"""),1189.0)</f>
        <v>1189</v>
      </c>
      <c r="R201" s="32">
        <f>IFERROR(__xludf.DUMMYFUNCTION("""COMPUTED_VALUE"""),11254.64922225)</f>
        <v>11254.64922</v>
      </c>
      <c r="S201" s="32">
        <f>IFERROR(__xludf.DUMMYFUNCTION("""COMPUTED_VALUE"""),10961.1824918)</f>
        <v>10961.18249</v>
      </c>
      <c r="T201" s="32">
        <f>IFERROR(__xludf.DUMMYFUNCTION("""COMPUTED_VALUE"""),-1.257308)</f>
        <v>-1.257308</v>
      </c>
      <c r="U201" s="32">
        <f>IFERROR(__xludf.DUMMYFUNCTION("""COMPUTED_VALUE"""),-17.854763)</f>
        <v>-17.854763</v>
      </c>
      <c r="V201" s="32">
        <f>IFERROR(__xludf.DUMMYFUNCTION("""COMPUTED_VALUE"""),-11.903401)</f>
        <v>-11.903401</v>
      </c>
      <c r="W201" s="32">
        <f>IFERROR(__xludf.DUMMYFUNCTION("""COMPUTED_VALUE"""),-37.566459)</f>
        <v>-37.566459</v>
      </c>
      <c r="X201" s="32">
        <f>IFERROR(__xludf.DUMMYFUNCTION("""COMPUTED_VALUE"""),4.344867)</f>
        <v>4.344867</v>
      </c>
      <c r="Y201" s="32">
        <f>IFERROR(__xludf.DUMMYFUNCTION("""COMPUTED_VALUE"""),-2.607027)</f>
        <v>-2.607027</v>
      </c>
      <c r="Z201" s="32">
        <f>IFERROR(__xludf.DUMMYFUNCTION("""COMPUTED_VALUE"""),24.383735)</f>
        <v>24.383735</v>
      </c>
      <c r="AA201" s="32">
        <f>IFERROR(__xludf.DUMMYFUNCTION("""COMPUTED_VALUE"""),27.0847)</f>
        <v>27.0847</v>
      </c>
      <c r="AB201" s="32">
        <f>IFERROR(__xludf.DUMMYFUNCTION("""COMPUTED_VALUE"""),26.5822)</f>
        <v>26.5822</v>
      </c>
      <c r="AC201" s="32">
        <f>IFERROR(__xludf.DUMMYFUNCTION("""COMPUTED_VALUE"""),2.4544)</f>
        <v>2.4544</v>
      </c>
      <c r="AD201" s="32">
        <f>IFERROR(__xludf.DUMMYFUNCTION("""COMPUTED_VALUE"""),3.73795)</f>
        <v>3.73795</v>
      </c>
      <c r="AE201" s="32">
        <f>IFERROR(__xludf.DUMMYFUNCTION("""COMPUTED_VALUE"""),5.707359)</f>
        <v>5.707359</v>
      </c>
      <c r="AF201" s="32">
        <f>IFERROR(__xludf.DUMMYFUNCTION("""COMPUTED_VALUE"""),-5.643866)</f>
        <v>-5.643866</v>
      </c>
      <c r="AG201" s="32">
        <f>IFERROR(__xludf.DUMMYFUNCTION("""COMPUTED_VALUE"""),0.8519)</f>
        <v>0.8519</v>
      </c>
      <c r="AH201" s="32">
        <f>IFERROR(__xludf.DUMMYFUNCTION("""COMPUTED_VALUE"""),16.475549)</f>
        <v>16.475549</v>
      </c>
      <c r="AI201" s="32">
        <f>IFERROR(__xludf.DUMMYFUNCTION("""COMPUTED_VALUE"""),4.65241173256583)</f>
        <v>4.652411733</v>
      </c>
      <c r="AJ201" s="32">
        <f>IFERROR(__xludf.DUMMYFUNCTION("""COMPUTED_VALUE"""),37.66616205572289)</f>
        <v>37.66616206</v>
      </c>
      <c r="AK201" s="32">
        <f>IFERROR(__xludf.DUMMYFUNCTION("""COMPUTED_VALUE"""),22.7545)</f>
        <v>22.7545</v>
      </c>
      <c r="AL201" s="32">
        <f>IFERROR(__xludf.DUMMYFUNCTION("""COMPUTED_VALUE"""),251.1001)</f>
        <v>251.1001</v>
      </c>
      <c r="AM201" s="32">
        <f>IFERROR(__xludf.DUMMYFUNCTION("""COMPUTED_VALUE"""),16.372603)</f>
        <v>16.372603</v>
      </c>
      <c r="AN201" s="32">
        <f>IFERROR(__xludf.DUMMYFUNCTION("""COMPUTED_VALUE"""),5.156164)</f>
        <v>5.156164</v>
      </c>
      <c r="AO201" s="32">
        <f>IFERROR(__xludf.DUMMYFUNCTION("""COMPUTED_VALUE"""),5.25)</f>
        <v>5.25</v>
      </c>
      <c r="AP201" s="32">
        <f>IFERROR(__xludf.DUMMYFUNCTION("""COMPUTED_VALUE"""),0.3794353012230107)</f>
        <v>0.3794353012</v>
      </c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>
      <c r="A202" s="13" t="str">
        <f>IFERROR(__xludf.DUMMYFUNCTION("""COMPUTED_VALUE"""),"ABB India Ltd.")</f>
        <v>ABB India Ltd.</v>
      </c>
      <c r="B202" s="30">
        <f>IFERROR(__xludf.DUMMYFUNCTION("""COMPUTED_VALUE"""),500002.0)</f>
        <v>500002</v>
      </c>
      <c r="C202" s="13" t="str">
        <f>IFERROR(__xludf.DUMMYFUNCTION("""COMPUTED_VALUE"""),"ABB")</f>
        <v>ABB</v>
      </c>
      <c r="D202" s="13" t="str">
        <f>IFERROR(__xludf.DUMMYFUNCTION("""COMPUTED_VALUE"""),"INE117A01022")</f>
        <v>INE117A01022</v>
      </c>
      <c r="E202" s="13" t="str">
        <f>IFERROR(__xludf.DUMMYFUNCTION("""COMPUTED_VALUE"""),"Capital Goods")</f>
        <v>Capital Goods</v>
      </c>
      <c r="F202" s="13" t="str">
        <f>IFERROR(__xludf.DUMMYFUNCTION("""COMPUTED_VALUE"""),"Switching Equipment")</f>
        <v>Switching Equipment</v>
      </c>
      <c r="G202" s="31">
        <f>IFERROR(__xludf.DUMMYFUNCTION("""COMPUTED_VALUE"""),44809.0)</f>
        <v>44809</v>
      </c>
      <c r="H202" s="32">
        <f>IFERROR(__xludf.DUMMYFUNCTION("""COMPUTED_VALUE"""),3289.2)</f>
        <v>3289.2</v>
      </c>
      <c r="I202" s="32">
        <f>IFERROR(__xludf.DUMMYFUNCTION("""COMPUTED_VALUE"""),-2.365757)</f>
        <v>-2.365757</v>
      </c>
      <c r="J202" s="32">
        <f>IFERROR(__xludf.DUMMYFUNCTION("""COMPUTED_VALUE"""),1790.0)</f>
        <v>1790</v>
      </c>
      <c r="K202" s="32">
        <f>IFERROR(__xludf.DUMMYFUNCTION("""COMPUTED_VALUE"""),3446.3)</f>
        <v>3446.3</v>
      </c>
      <c r="L202" s="32">
        <f>IFERROR(__xludf.DUMMYFUNCTION("""COMPUTED_VALUE"""),722.0)</f>
        <v>722</v>
      </c>
      <c r="M202" s="32">
        <f>IFERROR(__xludf.DUMMYFUNCTION("""COMPUTED_VALUE"""),3446.3)</f>
        <v>3446.3</v>
      </c>
      <c r="N202" s="32">
        <f>IFERROR(__xludf.DUMMYFUNCTION("""COMPUTED_VALUE"""),722.0)</f>
        <v>722</v>
      </c>
      <c r="O202" s="32">
        <f>IFERROR(__xludf.DUMMYFUNCTION("""COMPUTED_VALUE"""),3446.3)</f>
        <v>3446.3</v>
      </c>
      <c r="P202" s="32">
        <f>IFERROR(__xludf.DUMMYFUNCTION("""COMPUTED_VALUE"""),29.27)</f>
        <v>29.27</v>
      </c>
      <c r="Q202" s="32">
        <f>IFERROR(__xludf.DUMMYFUNCTION("""COMPUTED_VALUE"""),3446.3)</f>
        <v>3446.3</v>
      </c>
      <c r="R202" s="32">
        <f>IFERROR(__xludf.DUMMYFUNCTION("""COMPUTED_VALUE"""),69715.73629125)</f>
        <v>69715.73629</v>
      </c>
      <c r="S202" s="32">
        <f>IFERROR(__xludf.DUMMYFUNCTION("""COMPUTED_VALUE"""),68657.571695)</f>
        <v>68657.5717</v>
      </c>
      <c r="T202" s="32">
        <f>IFERROR(__xludf.DUMMYFUNCTION("""COMPUTED_VALUE"""),3.738981)</f>
        <v>3.738981</v>
      </c>
      <c r="U202" s="32">
        <f>IFERROR(__xludf.DUMMYFUNCTION("""COMPUTED_VALUE"""),23.267188)</f>
        <v>23.267188</v>
      </c>
      <c r="V202" s="32">
        <f>IFERROR(__xludf.DUMMYFUNCTION("""COMPUTED_VALUE"""),42.036057)</f>
        <v>42.036057</v>
      </c>
      <c r="W202" s="32">
        <f>IFERROR(__xludf.DUMMYFUNCTION("""COMPUTED_VALUE"""),77.919619)</f>
        <v>77.919619</v>
      </c>
      <c r="X202" s="32">
        <f>IFERROR(__xludf.DUMMYFUNCTION("""COMPUTED_VALUE"""),35.586357)</f>
        <v>35.586357</v>
      </c>
      <c r="Y202" s="32">
        <f>IFERROR(__xludf.DUMMYFUNCTION("""COMPUTED_VALUE"""),20.066485)</f>
        <v>20.066485</v>
      </c>
      <c r="Z202" s="32">
        <f>IFERROR(__xludf.DUMMYFUNCTION("""COMPUTED_VALUE"""),16.356914)</f>
        <v>16.356914</v>
      </c>
      <c r="AA202" s="32">
        <f>IFERROR(__xludf.DUMMYFUNCTION("""COMPUTED_VALUE"""),83.919)</f>
        <v>83.919</v>
      </c>
      <c r="AB202" s="32">
        <f>IFERROR(__xludf.DUMMYFUNCTION("""COMPUTED_VALUE"""),77.78605)</f>
        <v>77.78605</v>
      </c>
      <c r="AC202" s="32">
        <f>IFERROR(__xludf.DUMMYFUNCTION("""COMPUTED_VALUE"""),15.6327)</f>
        <v>15.6327</v>
      </c>
      <c r="AD202" s="32">
        <f>IFERROR(__xludf.DUMMYFUNCTION("""COMPUTED_VALUE"""),7.59425)</f>
        <v>7.59425</v>
      </c>
      <c r="AE202" s="32">
        <f>IFERROR(__xludf.DUMMYFUNCTION("""COMPUTED_VALUE"""),1.395447)</f>
        <v>1.395447</v>
      </c>
      <c r="AF202" s="32">
        <f>IFERROR(__xludf.DUMMYFUNCTION("""COMPUTED_VALUE"""),11.503866)</f>
        <v>11.503866</v>
      </c>
      <c r="AG202" s="32">
        <f>IFERROR(__xludf.DUMMYFUNCTION("""COMPUTED_VALUE"""),0.1581)</f>
        <v>0.1581</v>
      </c>
      <c r="AH202" s="32">
        <f>IFERROR(__xludf.DUMMYFUNCTION("""COMPUTED_VALUE"""),77.31012)</f>
        <v>77.31012</v>
      </c>
      <c r="AI202" s="32">
        <f>IFERROR(__xludf.DUMMYFUNCTION("""COMPUTED_VALUE"""),8.911466134645252)</f>
        <v>8.911466135</v>
      </c>
      <c r="AJ202" s="32">
        <f>IFERROR(__xludf.DUMMYFUNCTION("""COMPUTED_VALUE"""),107.3805315310979)</f>
        <v>107.3805315</v>
      </c>
      <c r="AK202" s="32">
        <f>IFERROR(__xludf.DUMMYFUNCTION("""COMPUTED_VALUE"""),39.2033)</f>
        <v>39.2033</v>
      </c>
      <c r="AL202" s="32">
        <f>IFERROR(__xludf.DUMMYFUNCTION("""COMPUTED_VALUE"""),210.45)</f>
        <v>210.45</v>
      </c>
      <c r="AM202" s="32">
        <f>IFERROR(__xludf.DUMMYFUNCTION("""COMPUTED_VALUE"""),30.638981)</f>
        <v>30.638981</v>
      </c>
      <c r="AN202" s="32">
        <f>IFERROR(__xludf.DUMMYFUNCTION("""COMPUTED_VALUE"""),26.637093)</f>
        <v>26.637093</v>
      </c>
      <c r="AO202" s="32">
        <f>IFERROR(__xludf.DUMMYFUNCTION("""COMPUTED_VALUE"""),5.2)</f>
        <v>5.2</v>
      </c>
      <c r="AP202" s="32">
        <f>IFERROR(__xludf.DUMMYFUNCTION("""COMPUTED_VALUE"""),0.045585120273917056)</f>
        <v>0.04558512027</v>
      </c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>
      <c r="A203" s="13" t="str">
        <f>IFERROR(__xludf.DUMMYFUNCTION("""COMPUTED_VALUE"""),"Dabur India Ltd.")</f>
        <v>Dabur India Ltd.</v>
      </c>
      <c r="B203" s="30">
        <f>IFERROR(__xludf.DUMMYFUNCTION("""COMPUTED_VALUE"""),500096.0)</f>
        <v>500096</v>
      </c>
      <c r="C203" s="13" t="str">
        <f>IFERROR(__xludf.DUMMYFUNCTION("""COMPUTED_VALUE"""),"DABUR")</f>
        <v>DABUR</v>
      </c>
      <c r="D203" s="13" t="str">
        <f>IFERROR(__xludf.DUMMYFUNCTION("""COMPUTED_VALUE"""),"INE016A01026")</f>
        <v>INE016A01026</v>
      </c>
      <c r="E203" s="13" t="str">
        <f>IFERROR(__xludf.DUMMYFUNCTION("""COMPUTED_VALUE"""),"Consumer Staples")</f>
        <v>Consumer Staples</v>
      </c>
      <c r="F203" s="13" t="str">
        <f>IFERROR(__xludf.DUMMYFUNCTION("""COMPUTED_VALUE"""),"Household &amp; Personal Products")</f>
        <v>Household &amp; Personal Products</v>
      </c>
      <c r="G203" s="31">
        <f>IFERROR(__xludf.DUMMYFUNCTION("""COMPUTED_VALUE"""),44809.0)</f>
        <v>44809</v>
      </c>
      <c r="H203" s="32">
        <f>IFERROR(__xludf.DUMMYFUNCTION("""COMPUTED_VALUE"""),570.1)</f>
        <v>570.1</v>
      </c>
      <c r="I203" s="32">
        <f>IFERROR(__xludf.DUMMYFUNCTION("""COMPUTED_VALUE"""),-0.105134)</f>
        <v>-0.105134</v>
      </c>
      <c r="J203" s="32">
        <f>IFERROR(__xludf.DUMMYFUNCTION("""COMPUTED_VALUE"""),482.25)</f>
        <v>482.25</v>
      </c>
      <c r="K203" s="32">
        <f>IFERROR(__xludf.DUMMYFUNCTION("""COMPUTED_VALUE"""),658.95)</f>
        <v>658.95</v>
      </c>
      <c r="L203" s="32">
        <f>IFERROR(__xludf.DUMMYFUNCTION("""COMPUTED_VALUE"""),385.05)</f>
        <v>385.05</v>
      </c>
      <c r="M203" s="32">
        <f>IFERROR(__xludf.DUMMYFUNCTION("""COMPUTED_VALUE"""),658.95)</f>
        <v>658.95</v>
      </c>
      <c r="N203" s="32">
        <f>IFERROR(__xludf.DUMMYFUNCTION("""COMPUTED_VALUE"""),298.7)</f>
        <v>298.7</v>
      </c>
      <c r="O203" s="32">
        <f>IFERROR(__xludf.DUMMYFUNCTION("""COMPUTED_VALUE"""),658.95)</f>
        <v>658.95</v>
      </c>
      <c r="P203" s="32">
        <f>IFERROR(__xludf.DUMMYFUNCTION("""COMPUTED_VALUE"""),5.166667)</f>
        <v>5.166667</v>
      </c>
      <c r="Q203" s="32">
        <f>IFERROR(__xludf.DUMMYFUNCTION("""COMPUTED_VALUE"""),658.95)</f>
        <v>658.95</v>
      </c>
      <c r="R203" s="32">
        <f>IFERROR(__xludf.DUMMYFUNCTION("""COMPUTED_VALUE"""),101008.23508264)</f>
        <v>101008.2351</v>
      </c>
      <c r="S203" s="32">
        <f>IFERROR(__xludf.DUMMYFUNCTION("""COMPUTED_VALUE"""),100575.20852512)</f>
        <v>100575.2085</v>
      </c>
      <c r="T203" s="32">
        <f>IFERROR(__xludf.DUMMYFUNCTION("""COMPUTED_VALUE"""),-0.332168)</f>
        <v>-0.332168</v>
      </c>
      <c r="U203" s="32">
        <f>IFERROR(__xludf.DUMMYFUNCTION("""COMPUTED_VALUE"""),-0.662136)</f>
        <v>-0.662136</v>
      </c>
      <c r="V203" s="32">
        <f>IFERROR(__xludf.DUMMYFUNCTION("""COMPUTED_VALUE"""),10.925187)</f>
        <v>10.925187</v>
      </c>
      <c r="W203" s="32">
        <f>IFERROR(__xludf.DUMMYFUNCTION("""COMPUTED_VALUE"""),-11.095517)</f>
        <v>-11.095517</v>
      </c>
      <c r="X203" s="32">
        <f>IFERROR(__xludf.DUMMYFUNCTION("""COMPUTED_VALUE"""),8.837219)</f>
        <v>8.837219</v>
      </c>
      <c r="Y203" s="32">
        <f>IFERROR(__xludf.DUMMYFUNCTION("""COMPUTED_VALUE"""),12.90365)</f>
        <v>12.90365</v>
      </c>
      <c r="Z203" s="32">
        <f>IFERROR(__xludf.DUMMYFUNCTION("""COMPUTED_VALUE"""),16.115735)</f>
        <v>16.115735</v>
      </c>
      <c r="AA203" s="32">
        <f>IFERROR(__xludf.DUMMYFUNCTION("""COMPUTED_VALUE"""),58.0686)</f>
        <v>58.0686</v>
      </c>
      <c r="AB203" s="32">
        <f>IFERROR(__xludf.DUMMYFUNCTION("""COMPUTED_VALUE"""),54.4881)</f>
        <v>54.4881</v>
      </c>
      <c r="AC203" s="32">
        <f>IFERROR(__xludf.DUMMYFUNCTION("""COMPUTED_VALUE"""),11.6621)</f>
        <v>11.6621</v>
      </c>
      <c r="AD203" s="32">
        <f>IFERROR(__xludf.DUMMYFUNCTION("""COMPUTED_VALUE"""),12.75275)</f>
        <v>12.75275</v>
      </c>
      <c r="AE203" s="32">
        <f>IFERROR(__xludf.DUMMYFUNCTION("""COMPUTED_VALUE"""),2.791406)</f>
        <v>2.791406</v>
      </c>
      <c r="AF203" s="32">
        <f>IFERROR(__xludf.DUMMYFUNCTION("""COMPUTED_VALUE"""),8.402694)</f>
        <v>8.402694</v>
      </c>
      <c r="AG203" s="32">
        <f>IFERROR(__xludf.DUMMYFUNCTION("""COMPUTED_VALUE"""),0.9119)</f>
        <v>0.9119</v>
      </c>
      <c r="AH203" s="32">
        <f>IFERROR(__xludf.DUMMYFUNCTION("""COMPUTED_VALUE"""),37.891282)</f>
        <v>37.891282</v>
      </c>
      <c r="AI203" s="32">
        <f>IFERROR(__xludf.DUMMYFUNCTION("""COMPUTED_VALUE"""),9.100193528455607)</f>
        <v>9.100193528</v>
      </c>
      <c r="AJ203" s="32">
        <f>IFERROR(__xludf.DUMMYFUNCTION("""COMPUTED_VALUE"""),56.04314142395677)</f>
        <v>56.04314142</v>
      </c>
      <c r="AK203" s="32">
        <f>IFERROR(__xludf.DUMMYFUNCTION("""COMPUTED_VALUE"""),9.8332)</f>
        <v>9.8332</v>
      </c>
      <c r="AL203" s="32">
        <f>IFERROR(__xludf.DUMMYFUNCTION("""COMPUTED_VALUE"""),48.9618)</f>
        <v>48.9618</v>
      </c>
      <c r="AM203" s="32">
        <f>IFERROR(__xludf.DUMMYFUNCTION("""COMPUTED_VALUE"""),10.194751)</f>
        <v>10.194751</v>
      </c>
      <c r="AN203" s="32">
        <f>IFERROR(__xludf.DUMMYFUNCTION("""COMPUTED_VALUE"""),8.632162)</f>
        <v>8.632162</v>
      </c>
      <c r="AO203" s="32">
        <f>IFERROR(__xludf.DUMMYFUNCTION("""COMPUTED_VALUE"""),5.2)</f>
        <v>5.2</v>
      </c>
      <c r="AP203" s="32">
        <f>IFERROR(__xludf.DUMMYFUNCTION("""COMPUTED_VALUE"""),0.13483572349950682)</f>
        <v>0.1348357235</v>
      </c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>
      <c r="A204" s="13" t="str">
        <f>IFERROR(__xludf.DUMMYFUNCTION("""COMPUTED_VALUE"""),"Tata Steel Ltd.")</f>
        <v>Tata Steel Ltd.</v>
      </c>
      <c r="B204" s="30">
        <f>IFERROR(__xludf.DUMMYFUNCTION("""COMPUTED_VALUE"""),500470.0)</f>
        <v>500470</v>
      </c>
      <c r="C204" s="13" t="str">
        <f>IFERROR(__xludf.DUMMYFUNCTION("""COMPUTED_VALUE"""),"TATASTEEL")</f>
        <v>TATASTEEL</v>
      </c>
      <c r="D204" s="13" t="str">
        <f>IFERROR(__xludf.DUMMYFUNCTION("""COMPUTED_VALUE"""),"INE081A01012")</f>
        <v>INE081A01012</v>
      </c>
      <c r="E204" s="13" t="str">
        <f>IFERROR(__xludf.DUMMYFUNCTION("""COMPUTED_VALUE"""),"Metals &amp; Mining")</f>
        <v>Metals &amp; Mining</v>
      </c>
      <c r="F204" s="13" t="str">
        <f>IFERROR(__xludf.DUMMYFUNCTION("""COMPUTED_VALUE"""),"Finished Steel")</f>
        <v>Finished Steel</v>
      </c>
      <c r="G204" s="31">
        <f>IFERROR(__xludf.DUMMYFUNCTION("""COMPUTED_VALUE"""),44809.0)</f>
        <v>44809</v>
      </c>
      <c r="H204" s="32">
        <f>IFERROR(__xludf.DUMMYFUNCTION("""COMPUTED_VALUE"""),106.9)</f>
        <v>106.9</v>
      </c>
      <c r="I204" s="32">
        <f>IFERROR(__xludf.DUMMYFUNCTION("""COMPUTED_VALUE"""),1.327014)</f>
        <v>1.327014</v>
      </c>
      <c r="J204" s="32">
        <f>IFERROR(__xludf.DUMMYFUNCTION("""COMPUTED_VALUE"""),82.7)</f>
        <v>82.7</v>
      </c>
      <c r="K204" s="32">
        <f>IFERROR(__xludf.DUMMYFUNCTION("""COMPUTED_VALUE"""),147.665)</f>
        <v>147.665</v>
      </c>
      <c r="L204" s="32">
        <f>IFERROR(__xludf.DUMMYFUNCTION("""COMPUTED_VALUE"""),25.085)</f>
        <v>25.085</v>
      </c>
      <c r="M204" s="32">
        <f>IFERROR(__xludf.DUMMYFUNCTION("""COMPUTED_VALUE"""),153.46)</f>
        <v>153.46</v>
      </c>
      <c r="N204" s="32">
        <f>IFERROR(__xludf.DUMMYFUNCTION("""COMPUTED_VALUE"""),25.085)</f>
        <v>25.085</v>
      </c>
      <c r="O204" s="32">
        <f>IFERROR(__xludf.DUMMYFUNCTION("""COMPUTED_VALUE"""),153.46)</f>
        <v>153.46</v>
      </c>
      <c r="P204" s="32">
        <f>IFERROR(__xludf.DUMMYFUNCTION("""COMPUTED_VALUE"""),3.705571)</f>
        <v>3.705571</v>
      </c>
      <c r="Q204" s="32">
        <f>IFERROR(__xludf.DUMMYFUNCTION("""COMPUTED_VALUE"""),153.46)</f>
        <v>153.46</v>
      </c>
      <c r="R204" s="32">
        <f>IFERROR(__xludf.DUMMYFUNCTION("""COMPUTED_VALUE"""),130667.9077199)</f>
        <v>130667.9077</v>
      </c>
      <c r="S204" s="32">
        <f>IFERROR(__xludf.DUMMYFUNCTION("""COMPUTED_VALUE"""),173423.08172905)</f>
        <v>173423.0817</v>
      </c>
      <c r="T204" s="32">
        <f>IFERROR(__xludf.DUMMYFUNCTION("""COMPUTED_VALUE"""),-0.41919)</f>
        <v>-0.41919</v>
      </c>
      <c r="U204" s="32">
        <f>IFERROR(__xludf.DUMMYFUNCTION("""COMPUTED_VALUE"""),-0.742804)</f>
        <v>-0.742804</v>
      </c>
      <c r="V204" s="32">
        <f>IFERROR(__xludf.DUMMYFUNCTION("""COMPUTED_VALUE"""),0.15928)</f>
        <v>0.15928</v>
      </c>
      <c r="W204" s="32">
        <f>IFERROR(__xludf.DUMMYFUNCTION("""COMPUTED_VALUE"""),-25.951581)</f>
        <v>-25.951581</v>
      </c>
      <c r="X204" s="32">
        <f>IFERROR(__xludf.DUMMYFUNCTION("""COMPUTED_VALUE"""),46.606294)</f>
        <v>46.606294</v>
      </c>
      <c r="Y204" s="32">
        <f>IFERROR(__xludf.DUMMYFUNCTION("""COMPUTED_VALUE"""),11.655599)</f>
        <v>11.655599</v>
      </c>
      <c r="Z204" s="32">
        <f>IFERROR(__xludf.DUMMYFUNCTION("""COMPUTED_VALUE"""),11.924751)</f>
        <v>11.924751</v>
      </c>
      <c r="AA204" s="32">
        <f>IFERROR(__xludf.DUMMYFUNCTION("""COMPUTED_VALUE"""),3.3494)</f>
        <v>3.3494</v>
      </c>
      <c r="AB204" s="32">
        <f>IFERROR(__xludf.DUMMYFUNCTION("""COMPUTED_VALUE"""),6.01355)</f>
        <v>6.01355</v>
      </c>
      <c r="AC204" s="32">
        <f>IFERROR(__xludf.DUMMYFUNCTION("""COMPUTED_VALUE"""),1.079)</f>
        <v>1.079</v>
      </c>
      <c r="AD204" s="32">
        <f>IFERROR(__xludf.DUMMYFUNCTION("""COMPUTED_VALUE"""),1.107)</f>
        <v>1.107</v>
      </c>
      <c r="AE204" s="32">
        <f>IFERROR(__xludf.DUMMYFUNCTION("""COMPUTED_VALUE"""),31.484287)</f>
        <v>31.484287</v>
      </c>
      <c r="AF204" s="32">
        <f>IFERROR(__xludf.DUMMYFUNCTION("""COMPUTED_VALUE"""),0.012829)</f>
        <v>0.012829</v>
      </c>
      <c r="AG204" s="32">
        <f>IFERROR(__xludf.DUMMYFUNCTION("""COMPUTED_VALUE"""),0.4771)</f>
        <v>0.4771</v>
      </c>
      <c r="AH204" s="32">
        <f>IFERROR(__xludf.DUMMYFUNCTION("""COMPUTED_VALUE"""),2.742173)</f>
        <v>2.742173</v>
      </c>
      <c r="AI204" s="32">
        <f>IFERROR(__xludf.DUMMYFUNCTION("""COMPUTED_VALUE"""),0.519021827864312)</f>
        <v>0.5190218279</v>
      </c>
      <c r="AJ204" s="32">
        <f>IFERROR(__xludf.DUMMYFUNCTION("""COMPUTED_VALUE"""),2.944231476582654)</f>
        <v>2.944231477</v>
      </c>
      <c r="AK204" s="32">
        <f>IFERROR(__xludf.DUMMYFUNCTION("""COMPUTED_VALUE"""),31.9158)</f>
        <v>31.9158</v>
      </c>
      <c r="AL204" s="32">
        <f>IFERROR(__xludf.DUMMYFUNCTION("""COMPUTED_VALUE"""),99.074)</f>
        <v>99.074</v>
      </c>
      <c r="AM204" s="32">
        <f>IFERROR(__xludf.DUMMYFUNCTION("""COMPUTED_VALUE"""),363.477695)</f>
        <v>363.477695</v>
      </c>
      <c r="AN204" s="32">
        <f>IFERROR(__xludf.DUMMYFUNCTION("""COMPUTED_VALUE"""),246.198885)</f>
        <v>246.198885</v>
      </c>
      <c r="AO204" s="32">
        <f>IFERROR(__xludf.DUMMYFUNCTION("""COMPUTED_VALUE"""),5.1)</f>
        <v>5.1</v>
      </c>
      <c r="AP204" s="32">
        <f>IFERROR(__xludf.DUMMYFUNCTION("""COMPUTED_VALUE"""),0.2760885758786482)</f>
        <v>0.2760885759</v>
      </c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>
      <c r="A205" s="13" t="str">
        <f>IFERROR(__xludf.DUMMYFUNCTION("""COMPUTED_VALUE"""),"Adani Ports and Special Economic Zone Ltd.")</f>
        <v>Adani Ports and Special Economic Zone Ltd.</v>
      </c>
      <c r="B205" s="30">
        <f>IFERROR(__xludf.DUMMYFUNCTION("""COMPUTED_VALUE"""),532921.0)</f>
        <v>532921</v>
      </c>
      <c r="C205" s="13" t="str">
        <f>IFERROR(__xludf.DUMMYFUNCTION("""COMPUTED_VALUE"""),"ADANIPORTS")</f>
        <v>ADANIPORTS</v>
      </c>
      <c r="D205" s="13" t="str">
        <f>IFERROR(__xludf.DUMMYFUNCTION("""COMPUTED_VALUE"""),"INE742F01042")</f>
        <v>INE742F01042</v>
      </c>
      <c r="E205" s="13" t="str">
        <f>IFERROR(__xludf.DUMMYFUNCTION("""COMPUTED_VALUE"""),"Services")</f>
        <v>Services</v>
      </c>
      <c r="F205" s="13" t="str">
        <f>IFERROR(__xludf.DUMMYFUNCTION("""COMPUTED_VALUE"""),"Marine Port Services")</f>
        <v>Marine Port Services</v>
      </c>
      <c r="G205" s="31">
        <f>IFERROR(__xludf.DUMMYFUNCTION("""COMPUTED_VALUE"""),44809.0)</f>
        <v>44809</v>
      </c>
      <c r="H205" s="32">
        <f>IFERROR(__xludf.DUMMYFUNCTION("""COMPUTED_VALUE"""),850.9)</f>
        <v>850.9</v>
      </c>
      <c r="I205" s="32">
        <f>IFERROR(__xludf.DUMMYFUNCTION("""COMPUTED_VALUE"""),-0.123247)</f>
        <v>-0.123247</v>
      </c>
      <c r="J205" s="32">
        <f>IFERROR(__xludf.DUMMYFUNCTION("""COMPUTED_VALUE"""),651.95)</f>
        <v>651.95</v>
      </c>
      <c r="K205" s="32">
        <f>IFERROR(__xludf.DUMMYFUNCTION("""COMPUTED_VALUE"""),924.65)</f>
        <v>924.65</v>
      </c>
      <c r="L205" s="32">
        <f>IFERROR(__xludf.DUMMYFUNCTION("""COMPUTED_VALUE"""),203.0)</f>
        <v>203</v>
      </c>
      <c r="M205" s="32">
        <f>IFERROR(__xludf.DUMMYFUNCTION("""COMPUTED_VALUE"""),924.65)</f>
        <v>924.65</v>
      </c>
      <c r="N205" s="32">
        <f>IFERROR(__xludf.DUMMYFUNCTION("""COMPUTED_VALUE"""),203.0)</f>
        <v>203</v>
      </c>
      <c r="O205" s="32">
        <f>IFERROR(__xludf.DUMMYFUNCTION("""COMPUTED_VALUE"""),924.65)</f>
        <v>924.65</v>
      </c>
      <c r="P205" s="32">
        <f>IFERROR(__xludf.DUMMYFUNCTION("""COMPUTED_VALUE"""),50.0)</f>
        <v>50</v>
      </c>
      <c r="Q205" s="32">
        <f>IFERROR(__xludf.DUMMYFUNCTION("""COMPUTED_VALUE"""),924.65)</f>
        <v>924.65</v>
      </c>
      <c r="R205" s="32">
        <f>IFERROR(__xludf.DUMMYFUNCTION("""COMPUTED_VALUE"""),179530.6008177)</f>
        <v>179530.6008</v>
      </c>
      <c r="S205" s="32">
        <f>IFERROR(__xludf.DUMMYFUNCTION("""COMPUTED_VALUE"""),215091.54240065)</f>
        <v>215091.5424</v>
      </c>
      <c r="T205" s="32">
        <f>IFERROR(__xludf.DUMMYFUNCTION("""COMPUTED_VALUE"""),1.575743)</f>
        <v>1.575743</v>
      </c>
      <c r="U205" s="32">
        <f>IFERROR(__xludf.DUMMYFUNCTION("""COMPUTED_VALUE"""),5.407247)</f>
        <v>5.407247</v>
      </c>
      <c r="V205" s="32">
        <f>IFERROR(__xludf.DUMMYFUNCTION("""COMPUTED_VALUE"""),15.002027)</f>
        <v>15.002027</v>
      </c>
      <c r="W205" s="32">
        <f>IFERROR(__xludf.DUMMYFUNCTION("""COMPUTED_VALUE"""),12.716916)</f>
        <v>12.716916</v>
      </c>
      <c r="X205" s="32">
        <f>IFERROR(__xludf.DUMMYFUNCTION("""COMPUTED_VALUE"""),32.674232)</f>
        <v>32.674232</v>
      </c>
      <c r="Y205" s="32">
        <f>IFERROR(__xludf.DUMMYFUNCTION("""COMPUTED_VALUE"""),17.197246)</f>
        <v>17.197246</v>
      </c>
      <c r="Z205" s="32">
        <f>IFERROR(__xludf.DUMMYFUNCTION("""COMPUTED_VALUE"""),21.988249)</f>
        <v>21.988249</v>
      </c>
      <c r="AA205" s="32">
        <f>IFERROR(__xludf.DUMMYFUNCTION("""COMPUTED_VALUE"""),39.7161)</f>
        <v>39.7161</v>
      </c>
      <c r="AB205" s="32">
        <f>IFERROR(__xludf.DUMMYFUNCTION("""COMPUTED_VALUE"""),21.9118)</f>
        <v>21.9118</v>
      </c>
      <c r="AC205" s="32">
        <f>IFERROR(__xludf.DUMMYFUNCTION("""COMPUTED_VALUE"""),4.5756)</f>
        <v>4.5756</v>
      </c>
      <c r="AD205" s="32">
        <f>IFERROR(__xludf.DUMMYFUNCTION("""COMPUTED_VALUE"""),3.63235)</f>
        <v>3.63235</v>
      </c>
      <c r="AE205" s="32">
        <f>IFERROR(__xludf.DUMMYFUNCTION("""COMPUTED_VALUE"""),4.689047)</f>
        <v>4.689047</v>
      </c>
      <c r="AF205" s="32">
        <f>IFERROR(__xludf.DUMMYFUNCTION("""COMPUTED_VALUE"""),16.811951)</f>
        <v>16.811951</v>
      </c>
      <c r="AG205" s="32">
        <f>IFERROR(__xludf.DUMMYFUNCTION("""COMPUTED_VALUE"""),0.5883)</f>
        <v>0.5883</v>
      </c>
      <c r="AH205" s="32">
        <f>IFERROR(__xludf.DUMMYFUNCTION("""COMPUTED_VALUE"""),20.416639)</f>
        <v>20.416639</v>
      </c>
      <c r="AI205" s="32">
        <f>IFERROR(__xludf.DUMMYFUNCTION("""COMPUTED_VALUE"""),11.353713885704348)</f>
        <v>11.35371389</v>
      </c>
      <c r="AJ205" s="32">
        <f>IFERROR(__xludf.DUMMYFUNCTION("""COMPUTED_VALUE"""),18.319037819324464)</f>
        <v>18.31903782</v>
      </c>
      <c r="AK205" s="32">
        <f>IFERROR(__xludf.DUMMYFUNCTION("""COMPUTED_VALUE"""),21.3994)</f>
        <v>21.3994</v>
      </c>
      <c r="AL205" s="32">
        <f>IFERROR(__xludf.DUMMYFUNCTION("""COMPUTED_VALUE"""),185.7443)</f>
        <v>185.7443</v>
      </c>
      <c r="AM205" s="32">
        <f>IFERROR(__xludf.DUMMYFUNCTION("""COMPUTED_VALUE"""),46.394868)</f>
        <v>46.394868</v>
      </c>
      <c r="AN205" s="32">
        <f>IFERROR(__xludf.DUMMYFUNCTION("""COMPUTED_VALUE"""),20.197174)</f>
        <v>20.197174</v>
      </c>
      <c r="AO205" s="32">
        <f>IFERROR(__xludf.DUMMYFUNCTION("""COMPUTED_VALUE"""),5.0)</f>
        <v>5</v>
      </c>
      <c r="AP205" s="32">
        <f>IFERROR(__xludf.DUMMYFUNCTION("""COMPUTED_VALUE"""),0.07975990915481533)</f>
        <v>0.07975990915</v>
      </c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>
      <c r="A206" s="13" t="str">
        <f>IFERROR(__xludf.DUMMYFUNCTION("""COMPUTED_VALUE"""),"CCL Products (India) Ltd.")</f>
        <v>CCL Products (India) Ltd.</v>
      </c>
      <c r="B206" s="30">
        <f>IFERROR(__xludf.DUMMYFUNCTION("""COMPUTED_VALUE"""),519600.0)</f>
        <v>519600</v>
      </c>
      <c r="C206" s="13" t="str">
        <f>IFERROR(__xludf.DUMMYFUNCTION("""COMPUTED_VALUE"""),"CCL")</f>
        <v>CCL</v>
      </c>
      <c r="D206" s="13" t="str">
        <f>IFERROR(__xludf.DUMMYFUNCTION("""COMPUTED_VALUE"""),"INE421D01022")</f>
        <v>INE421D01022</v>
      </c>
      <c r="E206" s="13" t="str">
        <f>IFERROR(__xludf.DUMMYFUNCTION("""COMPUTED_VALUE"""),"Consumer Staples")</f>
        <v>Consumer Staples</v>
      </c>
      <c r="F206" s="13" t="str">
        <f>IFERROR(__xludf.DUMMYFUNCTION("""COMPUTED_VALUE"""),"Tea &amp; Coffee")</f>
        <v>Tea &amp; Coffee</v>
      </c>
      <c r="G206" s="31">
        <f>IFERROR(__xludf.DUMMYFUNCTION("""COMPUTED_VALUE"""),44809.0)</f>
        <v>44809</v>
      </c>
      <c r="H206" s="32">
        <f>IFERROR(__xludf.DUMMYFUNCTION("""COMPUTED_VALUE"""),499.4)</f>
        <v>499.4</v>
      </c>
      <c r="I206" s="32">
        <f>IFERROR(__xludf.DUMMYFUNCTION("""COMPUTED_VALUE"""),2.336066)</f>
        <v>2.336066</v>
      </c>
      <c r="J206" s="32">
        <f>IFERROR(__xludf.DUMMYFUNCTION("""COMPUTED_VALUE"""),310.0)</f>
        <v>310</v>
      </c>
      <c r="K206" s="32">
        <f>IFERROR(__xludf.DUMMYFUNCTION("""COMPUTED_VALUE"""),514.95)</f>
        <v>514.95</v>
      </c>
      <c r="L206" s="32">
        <f>IFERROR(__xludf.DUMMYFUNCTION("""COMPUTED_VALUE"""),137.0)</f>
        <v>137</v>
      </c>
      <c r="M206" s="32">
        <f>IFERROR(__xludf.DUMMYFUNCTION("""COMPUTED_VALUE"""),514.95)</f>
        <v>514.95</v>
      </c>
      <c r="N206" s="32">
        <f>IFERROR(__xludf.DUMMYFUNCTION("""COMPUTED_VALUE"""),137.0)</f>
        <v>137</v>
      </c>
      <c r="O206" s="32">
        <f>IFERROR(__xludf.DUMMYFUNCTION("""COMPUTED_VALUE"""),514.95)</f>
        <v>514.95</v>
      </c>
      <c r="P206" s="32">
        <f>IFERROR(__xludf.DUMMYFUNCTION("""COMPUTED_VALUE"""),0.34)</f>
        <v>0.34</v>
      </c>
      <c r="Q206" s="32">
        <f>IFERROR(__xludf.DUMMYFUNCTION("""COMPUTED_VALUE"""),514.95)</f>
        <v>514.95</v>
      </c>
      <c r="R206" s="32">
        <f>IFERROR(__xludf.DUMMYFUNCTION("""COMPUTED_VALUE"""),6643.4143248)</f>
        <v>6643.414325</v>
      </c>
      <c r="S206" s="32">
        <f>IFERROR(__xludf.DUMMYFUNCTION("""COMPUTED_VALUE"""),7080.2624396)</f>
        <v>7080.26244</v>
      </c>
      <c r="T206" s="32">
        <f>IFERROR(__xludf.DUMMYFUNCTION("""COMPUTED_VALUE"""),4.59734)</f>
        <v>4.59734</v>
      </c>
      <c r="U206" s="32">
        <f>IFERROR(__xludf.DUMMYFUNCTION("""COMPUTED_VALUE"""),13.940224)</f>
        <v>13.940224</v>
      </c>
      <c r="V206" s="32">
        <f>IFERROR(__xludf.DUMMYFUNCTION("""COMPUTED_VALUE"""),38.472203)</f>
        <v>38.472203</v>
      </c>
      <c r="W206" s="32">
        <f>IFERROR(__xludf.DUMMYFUNCTION("""COMPUTED_VALUE"""),23.400049)</f>
        <v>23.400049</v>
      </c>
      <c r="X206" s="32">
        <f>IFERROR(__xludf.DUMMYFUNCTION("""COMPUTED_VALUE"""),28.850138)</f>
        <v>28.850138</v>
      </c>
      <c r="Y206" s="32">
        <f>IFERROR(__xludf.DUMMYFUNCTION("""COMPUTED_VALUE"""),12.037425)</f>
        <v>12.037425</v>
      </c>
      <c r="Z206" s="32">
        <f>IFERROR(__xludf.DUMMYFUNCTION("""COMPUTED_VALUE"""),34.587243)</f>
        <v>34.587243</v>
      </c>
      <c r="AA206" s="32">
        <f>IFERROR(__xludf.DUMMYFUNCTION("""COMPUTED_VALUE"""),31.0039)</f>
        <v>31.0039</v>
      </c>
      <c r="AB206" s="32">
        <f>IFERROR(__xludf.DUMMYFUNCTION("""COMPUTED_VALUE"""),21.8845)</f>
        <v>21.8845</v>
      </c>
      <c r="AC206" s="32">
        <f>IFERROR(__xludf.DUMMYFUNCTION("""COMPUTED_VALUE"""),5.0988)</f>
        <v>5.0988</v>
      </c>
      <c r="AD206" s="32">
        <f>IFERROR(__xludf.DUMMYFUNCTION("""COMPUTED_VALUE"""),4.1971)</f>
        <v>4.1971</v>
      </c>
      <c r="AE206" s="32">
        <f>IFERROR(__xludf.DUMMYFUNCTION("""COMPUTED_VALUE"""),4.077412)</f>
        <v>4.077412</v>
      </c>
      <c r="AF206" s="32">
        <f>IFERROR(__xludf.DUMMYFUNCTION("""COMPUTED_VALUE"""),2.595427)</f>
        <v>2.595427</v>
      </c>
      <c r="AG206" s="32">
        <f>IFERROR(__xludf.DUMMYFUNCTION("""COMPUTED_VALUE"""),1.0012)</f>
        <v>1.0012</v>
      </c>
      <c r="AH206" s="32">
        <f>IFERROR(__xludf.DUMMYFUNCTION("""COMPUTED_VALUE"""),20.124101)</f>
        <v>20.124101</v>
      </c>
      <c r="AI206" s="32">
        <f>IFERROR(__xludf.DUMMYFUNCTION("""COMPUTED_VALUE"""),4.038095609186809)</f>
        <v>4.038095609</v>
      </c>
      <c r="AJ206" s="32">
        <f>IFERROR(__xludf.DUMMYFUNCTION("""COMPUTED_VALUE"""),65.94430892133235)</f>
        <v>65.94430892</v>
      </c>
      <c r="AK206" s="32">
        <f>IFERROR(__xludf.DUMMYFUNCTION("""COMPUTED_VALUE"""),16.0302)</f>
        <v>16.0302</v>
      </c>
      <c r="AL206" s="32">
        <f>IFERROR(__xludf.DUMMYFUNCTION("""COMPUTED_VALUE"""),97.4739)</f>
        <v>97.4739</v>
      </c>
      <c r="AM206" s="32">
        <f>IFERROR(__xludf.DUMMYFUNCTION("""COMPUTED_VALUE"""),7.573052)</f>
        <v>7.573052</v>
      </c>
      <c r="AN206" s="32">
        <f>IFERROR(__xludf.DUMMYFUNCTION("""COMPUTED_VALUE"""),-10.088057)</f>
        <v>-10.088057</v>
      </c>
      <c r="AO206" s="32">
        <f>IFERROR(__xludf.DUMMYFUNCTION("""COMPUTED_VALUE"""),5.0)</f>
        <v>5</v>
      </c>
      <c r="AP206" s="32">
        <f>IFERROR(__xludf.DUMMYFUNCTION("""COMPUTED_VALUE"""),0.03019710651519578)</f>
        <v>0.03019710652</v>
      </c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>
      <c r="A207" s="13" t="str">
        <f>IFERROR(__xludf.DUMMYFUNCTION("""COMPUTED_VALUE"""),"Cipla Ltd.")</f>
        <v>Cipla Ltd.</v>
      </c>
      <c r="B207" s="30">
        <f>IFERROR(__xludf.DUMMYFUNCTION("""COMPUTED_VALUE"""),500087.0)</f>
        <v>500087</v>
      </c>
      <c r="C207" s="13" t="str">
        <f>IFERROR(__xludf.DUMMYFUNCTION("""COMPUTED_VALUE"""),"CIPLA")</f>
        <v>CIPLA</v>
      </c>
      <c r="D207" s="13" t="str">
        <f>IFERROR(__xludf.DUMMYFUNCTION("""COMPUTED_VALUE"""),"INE059A01026")</f>
        <v>INE059A01026</v>
      </c>
      <c r="E207" s="13" t="str">
        <f>IFERROR(__xludf.DUMMYFUNCTION("""COMPUTED_VALUE"""),"Healthcare")</f>
        <v>Healthcare</v>
      </c>
      <c r="F207" s="13" t="str">
        <f>IFERROR(__xludf.DUMMYFUNCTION("""COMPUTED_VALUE"""),"Drugs &amp; Pharma")</f>
        <v>Drugs &amp; Pharma</v>
      </c>
      <c r="G207" s="31">
        <f>IFERROR(__xludf.DUMMYFUNCTION("""COMPUTED_VALUE"""),44809.0)</f>
        <v>44809</v>
      </c>
      <c r="H207" s="32">
        <f>IFERROR(__xludf.DUMMYFUNCTION("""COMPUTED_VALUE"""),1025.65)</f>
        <v>1025.65</v>
      </c>
      <c r="I207" s="32">
        <f>IFERROR(__xludf.DUMMYFUNCTION("""COMPUTED_VALUE"""),0.989563)</f>
        <v>0.989563</v>
      </c>
      <c r="J207" s="32">
        <f>IFERROR(__xludf.DUMMYFUNCTION("""COMPUTED_VALUE"""),850.0)</f>
        <v>850</v>
      </c>
      <c r="K207" s="32">
        <f>IFERROR(__xludf.DUMMYFUNCTION("""COMPUTED_VALUE"""),1083.15)</f>
        <v>1083.15</v>
      </c>
      <c r="L207" s="32">
        <f>IFERROR(__xludf.DUMMYFUNCTION("""COMPUTED_VALUE"""),355.3)</f>
        <v>355.3</v>
      </c>
      <c r="M207" s="32">
        <f>IFERROR(__xludf.DUMMYFUNCTION("""COMPUTED_VALUE"""),1083.15)</f>
        <v>1083.15</v>
      </c>
      <c r="N207" s="32">
        <f>IFERROR(__xludf.DUMMYFUNCTION("""COMPUTED_VALUE"""),355.3)</f>
        <v>355.3</v>
      </c>
      <c r="O207" s="32">
        <f>IFERROR(__xludf.DUMMYFUNCTION("""COMPUTED_VALUE"""),1083.15)</f>
        <v>1083.15</v>
      </c>
      <c r="P207" s="32">
        <f>IFERROR(__xludf.DUMMYFUNCTION("""COMPUTED_VALUE"""),44.888)</f>
        <v>44.888</v>
      </c>
      <c r="Q207" s="32">
        <f>IFERROR(__xludf.DUMMYFUNCTION("""COMPUTED_VALUE"""),1083.15)</f>
        <v>1083.15</v>
      </c>
      <c r="R207" s="32">
        <f>IFERROR(__xludf.DUMMYFUNCTION("""COMPUTED_VALUE"""),82769.5365348)</f>
        <v>82769.53653</v>
      </c>
      <c r="S207" s="32">
        <f>IFERROR(__xludf.DUMMYFUNCTION("""COMPUTED_VALUE"""),78655.1606556)</f>
        <v>78655.16066</v>
      </c>
      <c r="T207" s="32">
        <f>IFERROR(__xludf.DUMMYFUNCTION("""COMPUTED_VALUE"""),0.475118)</f>
        <v>0.475118</v>
      </c>
      <c r="U207" s="32">
        <f>IFERROR(__xludf.DUMMYFUNCTION("""COMPUTED_VALUE"""),-1.804691)</f>
        <v>-1.804691</v>
      </c>
      <c r="V207" s="32">
        <f>IFERROR(__xludf.DUMMYFUNCTION("""COMPUTED_VALUE"""),6.732921)</f>
        <v>6.732921</v>
      </c>
      <c r="W207" s="32">
        <f>IFERROR(__xludf.DUMMYFUNCTION("""COMPUTED_VALUE"""),8.984167)</f>
        <v>8.984167</v>
      </c>
      <c r="X207" s="32">
        <f>IFERROR(__xludf.DUMMYFUNCTION("""COMPUTED_VALUE"""),29.57957)</f>
        <v>29.57957</v>
      </c>
      <c r="Y207" s="32">
        <f>IFERROR(__xludf.DUMMYFUNCTION("""COMPUTED_VALUE"""),12.797364)</f>
        <v>12.797364</v>
      </c>
      <c r="Z207" s="32">
        <f>IFERROR(__xludf.DUMMYFUNCTION("""COMPUTED_VALUE"""),10.446038)</f>
        <v>10.446038</v>
      </c>
      <c r="AA207" s="32">
        <f>IFERROR(__xludf.DUMMYFUNCTION("""COMPUTED_VALUE"""),33.2034)</f>
        <v>33.2034</v>
      </c>
      <c r="AB207" s="32">
        <f>IFERROR(__xludf.DUMMYFUNCTION("""COMPUTED_VALUE"""),31.2976)</f>
        <v>31.2976</v>
      </c>
      <c r="AC207" s="32">
        <f>IFERROR(__xludf.DUMMYFUNCTION("""COMPUTED_VALUE"""),3.8422)</f>
        <v>3.8422</v>
      </c>
      <c r="AD207" s="32">
        <f>IFERROR(__xludf.DUMMYFUNCTION("""COMPUTED_VALUE"""),3.5657)</f>
        <v>3.5657</v>
      </c>
      <c r="AE207" s="32">
        <f>IFERROR(__xludf.DUMMYFUNCTION("""COMPUTED_VALUE"""),4.962626)</f>
        <v>4.962626</v>
      </c>
      <c r="AF207" s="32">
        <f>IFERROR(__xludf.DUMMYFUNCTION("""COMPUTED_VALUE"""),1.857533)</f>
        <v>1.857533</v>
      </c>
      <c r="AG207" s="32">
        <f>IFERROR(__xludf.DUMMYFUNCTION("""COMPUTED_VALUE"""),0.4875)</f>
        <v>0.4875</v>
      </c>
      <c r="AH207" s="32">
        <f>IFERROR(__xludf.DUMMYFUNCTION("""COMPUTED_VALUE"""),16.843909)</f>
        <v>16.843909</v>
      </c>
      <c r="AI207" s="32">
        <f>IFERROR(__xludf.DUMMYFUNCTION("""COMPUTED_VALUE"""),3.8550335569485776)</f>
        <v>3.855033557</v>
      </c>
      <c r="AJ207" s="32">
        <f>IFERROR(__xludf.DUMMYFUNCTION("""COMPUTED_VALUE"""),24.886357537749184)</f>
        <v>24.88635754</v>
      </c>
      <c r="AK207" s="32">
        <f>IFERROR(__xludf.DUMMYFUNCTION("""COMPUTED_VALUE"""),30.8357)</f>
        <v>30.8357</v>
      </c>
      <c r="AL207" s="32">
        <f>IFERROR(__xludf.DUMMYFUNCTION("""COMPUTED_VALUE"""),266.4736)</f>
        <v>266.4736</v>
      </c>
      <c r="AM207" s="32">
        <f>IFERROR(__xludf.DUMMYFUNCTION("""COMPUTED_VALUE"""),41.223352)</f>
        <v>41.223352</v>
      </c>
      <c r="AN207" s="32">
        <f>IFERROR(__xludf.DUMMYFUNCTION("""COMPUTED_VALUE"""),33.872211)</f>
        <v>33.872211</v>
      </c>
      <c r="AO207" s="32">
        <f>IFERROR(__xludf.DUMMYFUNCTION("""COMPUTED_VALUE"""),5.0)</f>
        <v>5</v>
      </c>
      <c r="AP207" s="32">
        <f>IFERROR(__xludf.DUMMYFUNCTION("""COMPUTED_VALUE"""),0.0530859068457739)</f>
        <v>0.05308590685</v>
      </c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>
      <c r="A208" s="13" t="str">
        <f>IFERROR(__xludf.DUMMYFUNCTION("""COMPUTED_VALUE"""),"Container Corporation Of India Ltd.")</f>
        <v>Container Corporation Of India Ltd.</v>
      </c>
      <c r="B208" s="30">
        <f>IFERROR(__xludf.DUMMYFUNCTION("""COMPUTED_VALUE"""),531344.0)</f>
        <v>531344</v>
      </c>
      <c r="C208" s="13" t="str">
        <f>IFERROR(__xludf.DUMMYFUNCTION("""COMPUTED_VALUE"""),"CONCOR")</f>
        <v>CONCOR</v>
      </c>
      <c r="D208" s="13" t="str">
        <f>IFERROR(__xludf.DUMMYFUNCTION("""COMPUTED_VALUE"""),"INE111A01025")</f>
        <v>INE111A01025</v>
      </c>
      <c r="E208" s="13" t="str">
        <f>IFERROR(__xludf.DUMMYFUNCTION("""COMPUTED_VALUE"""),"Services")</f>
        <v>Services</v>
      </c>
      <c r="F208" s="13" t="str">
        <f>IFERROR(__xludf.DUMMYFUNCTION("""COMPUTED_VALUE"""),"Logistics")</f>
        <v>Logistics</v>
      </c>
      <c r="G208" s="31">
        <f>IFERROR(__xludf.DUMMYFUNCTION("""COMPUTED_VALUE"""),44809.0)</f>
        <v>44809</v>
      </c>
      <c r="H208" s="32">
        <f>IFERROR(__xludf.DUMMYFUNCTION("""COMPUTED_VALUE"""),669.15)</f>
        <v>669.15</v>
      </c>
      <c r="I208" s="32">
        <f>IFERROR(__xludf.DUMMYFUNCTION("""COMPUTED_VALUE"""),-0.771113)</f>
        <v>-0.771113</v>
      </c>
      <c r="J208" s="32">
        <f>IFERROR(__xludf.DUMMYFUNCTION("""COMPUTED_VALUE"""),554.0)</f>
        <v>554</v>
      </c>
      <c r="K208" s="32">
        <f>IFERROR(__xludf.DUMMYFUNCTION("""COMPUTED_VALUE"""),754.4)</f>
        <v>754.4</v>
      </c>
      <c r="L208" s="32">
        <f>IFERROR(__xludf.DUMMYFUNCTION("""COMPUTED_VALUE"""),263.2)</f>
        <v>263.2</v>
      </c>
      <c r="M208" s="32">
        <f>IFERROR(__xludf.DUMMYFUNCTION("""COMPUTED_VALUE"""),754.4)</f>
        <v>754.4</v>
      </c>
      <c r="N208" s="32">
        <f>IFERROR(__xludf.DUMMYFUNCTION("""COMPUTED_VALUE"""),263.2)</f>
        <v>263.2</v>
      </c>
      <c r="O208" s="32">
        <f>IFERROR(__xludf.DUMMYFUNCTION("""COMPUTED_VALUE"""),754.4)</f>
        <v>754.4</v>
      </c>
      <c r="P208" s="32">
        <f>IFERROR(__xludf.DUMMYFUNCTION("""COMPUTED_VALUE"""),11.306667)</f>
        <v>11.306667</v>
      </c>
      <c r="Q208" s="32">
        <f>IFERROR(__xludf.DUMMYFUNCTION("""COMPUTED_VALUE"""),754.4)</f>
        <v>754.4</v>
      </c>
      <c r="R208" s="32">
        <f>IFERROR(__xludf.DUMMYFUNCTION("""COMPUTED_VALUE"""),40792.2565986)</f>
        <v>40792.2566</v>
      </c>
      <c r="S208" s="32">
        <f>IFERROR(__xludf.DUMMYFUNCTION("""COMPUTED_VALUE"""),38597.88199868)</f>
        <v>38597.882</v>
      </c>
      <c r="T208" s="32">
        <f>IFERROR(__xludf.DUMMYFUNCTION("""COMPUTED_VALUE"""),-6.103978)</f>
        <v>-6.103978</v>
      </c>
      <c r="U208" s="32">
        <f>IFERROR(__xludf.DUMMYFUNCTION("""COMPUTED_VALUE"""),-1.515932)</f>
        <v>-1.515932</v>
      </c>
      <c r="V208" s="32">
        <f>IFERROR(__xludf.DUMMYFUNCTION("""COMPUTED_VALUE"""),4.131653)</f>
        <v>4.131653</v>
      </c>
      <c r="W208" s="32">
        <f>IFERROR(__xludf.DUMMYFUNCTION("""COMPUTED_VALUE"""),-7.989)</f>
        <v>-7.989</v>
      </c>
      <c r="X208" s="32">
        <f>IFERROR(__xludf.DUMMYFUNCTION("""COMPUTED_VALUE"""),9.988501)</f>
        <v>9.988501</v>
      </c>
      <c r="Y208" s="32">
        <f>IFERROR(__xludf.DUMMYFUNCTION("""COMPUTED_VALUE"""),4.907183)</f>
        <v>4.907183</v>
      </c>
      <c r="Z208" s="32">
        <f>IFERROR(__xludf.DUMMYFUNCTION("""COMPUTED_VALUE"""),12.96786)</f>
        <v>12.96786</v>
      </c>
      <c r="AA208" s="32">
        <f>IFERROR(__xludf.DUMMYFUNCTION("""COMPUTED_VALUE"""),37.3224)</f>
        <v>37.3224</v>
      </c>
      <c r="AB208" s="32">
        <f>IFERROR(__xludf.DUMMYFUNCTION("""COMPUTED_VALUE"""),38.7196)</f>
        <v>38.7196</v>
      </c>
      <c r="AC208" s="32">
        <f>IFERROR(__xludf.DUMMYFUNCTION("""COMPUTED_VALUE"""),3.6917)</f>
        <v>3.6917</v>
      </c>
      <c r="AD208" s="32">
        <f>IFERROR(__xludf.DUMMYFUNCTION("""COMPUTED_VALUE"""),3.34145)</f>
        <v>3.34145</v>
      </c>
      <c r="AE208" s="32">
        <f>IFERROR(__xludf.DUMMYFUNCTION("""COMPUTED_VALUE"""),4.553677)</f>
        <v>4.553677</v>
      </c>
      <c r="AF208" s="32">
        <f>IFERROR(__xludf.DUMMYFUNCTION("""COMPUTED_VALUE"""),-2.908562)</f>
        <v>-2.908562</v>
      </c>
      <c r="AG208" s="32">
        <f>IFERROR(__xludf.DUMMYFUNCTION("""COMPUTED_VALUE"""),1.345)</f>
        <v>1.345</v>
      </c>
      <c r="AH208" s="32">
        <f>IFERROR(__xludf.DUMMYFUNCTION("""COMPUTED_VALUE"""),18.859791)</f>
        <v>18.859791</v>
      </c>
      <c r="AI208" s="32">
        <f>IFERROR(__xludf.DUMMYFUNCTION("""COMPUTED_VALUE"""),5.211882357572335)</f>
        <v>5.211882358</v>
      </c>
      <c r="AJ208" s="32">
        <f>IFERROR(__xludf.DUMMYFUNCTION("""COMPUTED_VALUE"""),39.64030921287389)</f>
        <v>39.64030921</v>
      </c>
      <c r="AK208" s="32">
        <f>IFERROR(__xludf.DUMMYFUNCTION("""COMPUTED_VALUE"""),17.9383)</f>
        <v>17.9383</v>
      </c>
      <c r="AL208" s="32">
        <f>IFERROR(__xludf.DUMMYFUNCTION("""COMPUTED_VALUE"""),181.3504)</f>
        <v>181.3504</v>
      </c>
      <c r="AM208" s="32">
        <f>IFERROR(__xludf.DUMMYFUNCTION("""COMPUTED_VALUE"""),16.889217)</f>
        <v>16.889217</v>
      </c>
      <c r="AN208" s="32">
        <f>IFERROR(__xludf.DUMMYFUNCTION("""COMPUTED_VALUE"""),9.669457)</f>
        <v>9.669457</v>
      </c>
      <c r="AO208" s="32">
        <f>IFERROR(__xludf.DUMMYFUNCTION("""COMPUTED_VALUE"""),5.0)</f>
        <v>5</v>
      </c>
      <c r="AP208" s="32">
        <f>IFERROR(__xludf.DUMMYFUNCTION("""COMPUTED_VALUE"""),0.11300371155885472)</f>
        <v>0.1130037116</v>
      </c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>
      <c r="A209" s="13" t="str">
        <f>IFERROR(__xludf.DUMMYFUNCTION("""COMPUTED_VALUE"""),"HLE Glascoat Ltd.")</f>
        <v>HLE Glascoat Ltd.</v>
      </c>
      <c r="B209" s="30">
        <f>IFERROR(__xludf.DUMMYFUNCTION("""COMPUTED_VALUE"""),522215.0)</f>
        <v>522215</v>
      </c>
      <c r="C209" s="13" t="str">
        <f>IFERROR(__xludf.DUMMYFUNCTION("""COMPUTED_VALUE"""),"HLEGLAS")</f>
        <v>HLEGLAS</v>
      </c>
      <c r="D209" s="13" t="str">
        <f>IFERROR(__xludf.DUMMYFUNCTION("""COMPUTED_VALUE"""),"INE461D01010")</f>
        <v>INE461D01010</v>
      </c>
      <c r="E209" s="13" t="str">
        <f>IFERROR(__xludf.DUMMYFUNCTION("""COMPUTED_VALUE"""),"Capital Goods")</f>
        <v>Capital Goods</v>
      </c>
      <c r="F209" s="13" t="str">
        <f>IFERROR(__xludf.DUMMYFUNCTION("""COMPUTED_VALUE"""),"Chemical Machinery")</f>
        <v>Chemical Machinery</v>
      </c>
      <c r="G209" s="31">
        <f>IFERROR(__xludf.DUMMYFUNCTION("""COMPUTED_VALUE"""),44809.0)</f>
        <v>44809</v>
      </c>
      <c r="H209" s="32">
        <f>IFERROR(__xludf.DUMMYFUNCTION("""COMPUTED_VALUE"""),3889.55)</f>
        <v>3889.55</v>
      </c>
      <c r="I209" s="32">
        <f>IFERROR(__xludf.DUMMYFUNCTION("""COMPUTED_VALUE"""),-1.456784)</f>
        <v>-1.456784</v>
      </c>
      <c r="J209" s="32">
        <f>IFERROR(__xludf.DUMMYFUNCTION("""COMPUTED_VALUE"""),3000.0)</f>
        <v>3000</v>
      </c>
      <c r="K209" s="32">
        <f>IFERROR(__xludf.DUMMYFUNCTION("""COMPUTED_VALUE"""),7550.0)</f>
        <v>7550</v>
      </c>
      <c r="L209" s="32">
        <f>IFERROR(__xludf.DUMMYFUNCTION("""COMPUTED_VALUE"""),180.0)</f>
        <v>180</v>
      </c>
      <c r="M209" s="32">
        <f>IFERROR(__xludf.DUMMYFUNCTION("""COMPUTED_VALUE"""),7549.0)</f>
        <v>7549</v>
      </c>
      <c r="N209" s="32">
        <f>IFERROR(__xludf.DUMMYFUNCTION("""COMPUTED_VALUE"""),145.2)</f>
        <v>145.2</v>
      </c>
      <c r="O209" s="32">
        <f>IFERROR(__xludf.DUMMYFUNCTION("""COMPUTED_VALUE"""),7549.0)</f>
        <v>7549</v>
      </c>
      <c r="P209" s="32">
        <f>IFERROR(__xludf.DUMMYFUNCTION("""COMPUTED_VALUE"""),7.87)</f>
        <v>7.87</v>
      </c>
      <c r="Q209" s="32">
        <f>IFERROR(__xludf.DUMMYFUNCTION("""COMPUTED_VALUE"""),7550.0)</f>
        <v>7550</v>
      </c>
      <c r="R209" s="32">
        <f>IFERROR(__xludf.DUMMYFUNCTION("""COMPUTED_VALUE"""),5310.43995468)</f>
        <v>5310.439955</v>
      </c>
      <c r="S209" s="32">
        <f>IFERROR(__xludf.DUMMYFUNCTION("""COMPUTED_VALUE"""),5554.81058872)</f>
        <v>5554.810589</v>
      </c>
      <c r="T209" s="32">
        <f>IFERROR(__xludf.DUMMYFUNCTION("""COMPUTED_VALUE"""),11.749411)</f>
        <v>11.749411</v>
      </c>
      <c r="U209" s="32">
        <f>IFERROR(__xludf.DUMMYFUNCTION("""COMPUTED_VALUE"""),11.287392)</f>
        <v>11.287392</v>
      </c>
      <c r="V209" s="32">
        <f>IFERROR(__xludf.DUMMYFUNCTION("""COMPUTED_VALUE"""),12.432612)</f>
        <v>12.432612</v>
      </c>
      <c r="W209" s="32">
        <f>IFERROR(__xludf.DUMMYFUNCTION("""COMPUTED_VALUE"""),-19.067188)</f>
        <v>-19.067188</v>
      </c>
      <c r="X209" s="13"/>
      <c r="Y209" s="13"/>
      <c r="Z209" s="13"/>
      <c r="AA209" s="32">
        <f>IFERROR(__xludf.DUMMYFUNCTION("""COMPUTED_VALUE"""),89.4288)</f>
        <v>89.4288</v>
      </c>
      <c r="AB209" s="32">
        <f>IFERROR(__xludf.DUMMYFUNCTION("""COMPUTED_VALUE"""),47.4678)</f>
        <v>47.4678</v>
      </c>
      <c r="AC209" s="32">
        <f>IFERROR(__xludf.DUMMYFUNCTION("""COMPUTED_VALUE"""),19.8503)</f>
        <v>19.8503</v>
      </c>
      <c r="AD209" s="32">
        <f>IFERROR(__xludf.DUMMYFUNCTION("""COMPUTED_VALUE"""),12.4237)</f>
        <v>12.4237</v>
      </c>
      <c r="AE209" s="32">
        <f>IFERROR(__xludf.DUMMYFUNCTION("""COMPUTED_VALUE"""),2.190521)</f>
        <v>2.190521</v>
      </c>
      <c r="AF209" s="32">
        <f>IFERROR(__xludf.DUMMYFUNCTION("""COMPUTED_VALUE"""),1.094873)</f>
        <v>1.094873</v>
      </c>
      <c r="AG209" s="32">
        <f>IFERROR(__xludf.DUMMYFUNCTION("""COMPUTED_VALUE"""),0.1284)</f>
        <v>0.1284</v>
      </c>
      <c r="AH209" s="32">
        <f>IFERROR(__xludf.DUMMYFUNCTION("""COMPUTED_VALUE"""),44.654254)</f>
        <v>44.654254</v>
      </c>
      <c r="AI209" s="32">
        <f>IFERROR(__xludf.DUMMYFUNCTION("""COMPUTED_VALUE"""),7.250667941021863)</f>
        <v>7.250667941</v>
      </c>
      <c r="AJ209" s="32">
        <f>IFERROR(__xludf.DUMMYFUNCTION("""COMPUTED_VALUE"""),515.5766946291262)</f>
        <v>515.5766946</v>
      </c>
      <c r="AK209" s="32">
        <f>IFERROR(__xludf.DUMMYFUNCTION("""COMPUTED_VALUE"""),43.5352)</f>
        <v>43.5352</v>
      </c>
      <c r="AL209" s="32">
        <f>IFERROR(__xludf.DUMMYFUNCTION("""COMPUTED_VALUE"""),196.1329)</f>
        <v>196.1329</v>
      </c>
      <c r="AM209" s="32">
        <f>IFERROR(__xludf.DUMMYFUNCTION("""COMPUTED_VALUE"""),7.544074)</f>
        <v>7.544074</v>
      </c>
      <c r="AN209" s="32">
        <f>IFERROR(__xludf.DUMMYFUNCTION("""COMPUTED_VALUE"""),-52.863379)</f>
        <v>-52.863379</v>
      </c>
      <c r="AO209" s="32">
        <f>IFERROR(__xludf.DUMMYFUNCTION("""COMPUTED_VALUE"""),5.0)</f>
        <v>5</v>
      </c>
      <c r="AP209" s="32">
        <f>IFERROR(__xludf.DUMMYFUNCTION("""COMPUTED_VALUE"""),0.4848278145695364)</f>
        <v>0.4848278146</v>
      </c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>
      <c r="A210" s="13" t="str">
        <f>IFERROR(__xludf.DUMMYFUNCTION("""COMPUTED_VALUE"""),"ICICI Bank Ltd.")</f>
        <v>ICICI Bank Ltd.</v>
      </c>
      <c r="B210" s="30">
        <f>IFERROR(__xludf.DUMMYFUNCTION("""COMPUTED_VALUE"""),532174.0)</f>
        <v>532174</v>
      </c>
      <c r="C210" s="13" t="str">
        <f>IFERROR(__xludf.DUMMYFUNCTION("""COMPUTED_VALUE"""),"ICICIBANK")</f>
        <v>ICICIBANK</v>
      </c>
      <c r="D210" s="13" t="str">
        <f>IFERROR(__xludf.DUMMYFUNCTION("""COMPUTED_VALUE"""),"INE090A01021")</f>
        <v>INE090A01021</v>
      </c>
      <c r="E210" s="13" t="str">
        <f>IFERROR(__xludf.DUMMYFUNCTION("""COMPUTED_VALUE"""),"Financial")</f>
        <v>Financial</v>
      </c>
      <c r="F210" s="13" t="str">
        <f>IFERROR(__xludf.DUMMYFUNCTION("""COMPUTED_VALUE"""),"Banking")</f>
        <v>Banking</v>
      </c>
      <c r="G210" s="31">
        <f>IFERROR(__xludf.DUMMYFUNCTION("""COMPUTED_VALUE"""),44809.0)</f>
        <v>44809</v>
      </c>
      <c r="H210" s="32">
        <f>IFERROR(__xludf.DUMMYFUNCTION("""COMPUTED_VALUE"""),882.45)</f>
        <v>882.45</v>
      </c>
      <c r="I210" s="32">
        <f>IFERROR(__xludf.DUMMYFUNCTION("""COMPUTED_VALUE"""),1.151994)</f>
        <v>1.151994</v>
      </c>
      <c r="J210" s="32">
        <f>IFERROR(__xludf.DUMMYFUNCTION("""COMPUTED_VALUE"""),643.0)</f>
        <v>643</v>
      </c>
      <c r="K210" s="32">
        <f>IFERROR(__xludf.DUMMYFUNCTION("""COMPUTED_VALUE"""),890.75)</f>
        <v>890.75</v>
      </c>
      <c r="L210" s="32">
        <f>IFERROR(__xludf.DUMMYFUNCTION("""COMPUTED_VALUE"""),268.3)</f>
        <v>268.3</v>
      </c>
      <c r="M210" s="32">
        <f>IFERROR(__xludf.DUMMYFUNCTION("""COMPUTED_VALUE"""),890.75)</f>
        <v>890.75</v>
      </c>
      <c r="N210" s="32">
        <f>IFERROR(__xludf.DUMMYFUNCTION("""COMPUTED_VALUE"""),255.0)</f>
        <v>255</v>
      </c>
      <c r="O210" s="32">
        <f>IFERROR(__xludf.DUMMYFUNCTION("""COMPUTED_VALUE"""),890.75)</f>
        <v>890.75</v>
      </c>
      <c r="P210" s="32">
        <f>IFERROR(__xludf.DUMMYFUNCTION("""COMPUTED_VALUE"""),11.818182)</f>
        <v>11.818182</v>
      </c>
      <c r="Q210" s="32">
        <f>IFERROR(__xludf.DUMMYFUNCTION("""COMPUTED_VALUE"""),890.75)</f>
        <v>890.75</v>
      </c>
      <c r="R210" s="32">
        <f>IFERROR(__xludf.DUMMYFUNCTION("""COMPUTED_VALUE"""),614335.116059975)</f>
        <v>614335.1161</v>
      </c>
      <c r="S210" s="32">
        <f>IFERROR(__xludf.DUMMYFUNCTION("""COMPUTED_VALUE"""),585848.538628975)</f>
        <v>585848.5386</v>
      </c>
      <c r="T210" s="32">
        <f>IFERROR(__xludf.DUMMYFUNCTION("""COMPUTED_VALUE"""),1.332032)</f>
        <v>1.332032</v>
      </c>
      <c r="U210" s="32">
        <f>IFERROR(__xludf.DUMMYFUNCTION("""COMPUTED_VALUE"""),7.583054)</f>
        <v>7.583054</v>
      </c>
      <c r="V210" s="32">
        <f>IFERROR(__xludf.DUMMYFUNCTION("""COMPUTED_VALUE"""),18.561064)</f>
        <v>18.561064</v>
      </c>
      <c r="W210" s="32">
        <f>IFERROR(__xludf.DUMMYFUNCTION("""COMPUTED_VALUE"""),21.834875)</f>
        <v>21.834875</v>
      </c>
      <c r="X210" s="32">
        <f>IFERROR(__xludf.DUMMYFUNCTION("""COMPUTED_VALUE"""),30.452075)</f>
        <v>30.452075</v>
      </c>
      <c r="Y210" s="32">
        <f>IFERROR(__xludf.DUMMYFUNCTION("""COMPUTED_VALUE"""),24.32472)</f>
        <v>24.32472</v>
      </c>
      <c r="Z210" s="32">
        <f>IFERROR(__xludf.DUMMYFUNCTION("""COMPUTED_VALUE"""),18.1884)</f>
        <v>18.1884</v>
      </c>
      <c r="AA210" s="32">
        <f>IFERROR(__xludf.DUMMYFUNCTION("""COMPUTED_VALUE"""),22.1527)</f>
        <v>22.1527</v>
      </c>
      <c r="AB210" s="32">
        <f>IFERROR(__xludf.DUMMYFUNCTION("""COMPUTED_VALUE"""),25.3)</f>
        <v>25.3</v>
      </c>
      <c r="AC210" s="32">
        <f>IFERROR(__xludf.DUMMYFUNCTION("""COMPUTED_VALUE"""),3.3014)</f>
        <v>3.3014</v>
      </c>
      <c r="AD210" s="32">
        <f>IFERROR(__xludf.DUMMYFUNCTION("""COMPUTED_VALUE"""),2.4708)</f>
        <v>2.4708</v>
      </c>
      <c r="AE210" s="32">
        <f>IFERROR(__xludf.DUMMYFUNCTION("""COMPUTED_VALUE"""),17.651519)</f>
        <v>17.651519</v>
      </c>
      <c r="AF210" s="32">
        <f>IFERROR(__xludf.DUMMYFUNCTION("""COMPUTED_VALUE"""),1.406489)</f>
        <v>1.406489</v>
      </c>
      <c r="AG210" s="32">
        <f>IFERROR(__xludf.DUMMYFUNCTION("""COMPUTED_VALUE"""),0.5667)</f>
        <v>0.5667</v>
      </c>
      <c r="AH210" s="32">
        <f>IFERROR(__xludf.DUMMYFUNCTION("""COMPUTED_VALUE"""),13.039958)</f>
        <v>13.039958</v>
      </c>
      <c r="AI210" s="32">
        <f>IFERROR(__xludf.DUMMYFUNCTION("""COMPUTED_VALUE"""),6.208521388765482)</f>
        <v>6.208521389</v>
      </c>
      <c r="AJ210" s="32">
        <f>IFERROR(__xludf.DUMMYFUNCTION("""COMPUTED_VALUE"""),10.571674367724345)</f>
        <v>10.57167437</v>
      </c>
      <c r="AK210" s="32">
        <f>IFERROR(__xludf.DUMMYFUNCTION("""COMPUTED_VALUE"""),39.8259)</f>
        <v>39.8259</v>
      </c>
      <c r="AL210" s="32">
        <f>IFERROR(__xludf.DUMMYFUNCTION("""COMPUTED_VALUE"""),267.2365)</f>
        <v>267.2365</v>
      </c>
      <c r="AM210" s="32">
        <f>IFERROR(__xludf.DUMMYFUNCTION("""COMPUTED_VALUE"""),83.628351)</f>
        <v>83.628351</v>
      </c>
      <c r="AN210" s="32">
        <f>IFERROR(__xludf.DUMMYFUNCTION("""COMPUTED_VALUE"""),61.767412)</f>
        <v>61.767412</v>
      </c>
      <c r="AO210" s="32">
        <f>IFERROR(__xludf.DUMMYFUNCTION("""COMPUTED_VALUE"""),5.0)</f>
        <v>5</v>
      </c>
      <c r="AP210" s="32">
        <f>IFERROR(__xludf.DUMMYFUNCTION("""COMPUTED_VALUE"""),0.009317990457479601)</f>
        <v>0.009317990457</v>
      </c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>
      <c r="A211" s="13" t="str">
        <f>IFERROR(__xludf.DUMMYFUNCTION("""COMPUTED_VALUE"""),"JK Lakshmi Cement Ltd.")</f>
        <v>JK Lakshmi Cement Ltd.</v>
      </c>
      <c r="B211" s="30">
        <f>IFERROR(__xludf.DUMMYFUNCTION("""COMPUTED_VALUE"""),500380.0)</f>
        <v>500380</v>
      </c>
      <c r="C211" s="13" t="str">
        <f>IFERROR(__xludf.DUMMYFUNCTION("""COMPUTED_VALUE"""),"JKLAKSHMI")</f>
        <v>JKLAKSHMI</v>
      </c>
      <c r="D211" s="13" t="str">
        <f>IFERROR(__xludf.DUMMYFUNCTION("""COMPUTED_VALUE"""),"INE786A01032")</f>
        <v>INE786A01032</v>
      </c>
      <c r="E211" s="13" t="str">
        <f>IFERROR(__xludf.DUMMYFUNCTION("""COMPUTED_VALUE"""),"Materials")</f>
        <v>Materials</v>
      </c>
      <c r="F211" s="13" t="str">
        <f>IFERROR(__xludf.DUMMYFUNCTION("""COMPUTED_VALUE"""),"Cement")</f>
        <v>Cement</v>
      </c>
      <c r="G211" s="31">
        <f>IFERROR(__xludf.DUMMYFUNCTION("""COMPUTED_VALUE"""),44809.0)</f>
        <v>44809</v>
      </c>
      <c r="H211" s="32">
        <f>IFERROR(__xludf.DUMMYFUNCTION("""COMPUTED_VALUE"""),468.05)</f>
        <v>468.05</v>
      </c>
      <c r="I211" s="32">
        <f>IFERROR(__xludf.DUMMYFUNCTION("""COMPUTED_VALUE"""),-0.573553)</f>
        <v>-0.573553</v>
      </c>
      <c r="J211" s="32">
        <f>IFERROR(__xludf.DUMMYFUNCTION("""COMPUTED_VALUE"""),366.25)</f>
        <v>366.25</v>
      </c>
      <c r="K211" s="32">
        <f>IFERROR(__xludf.DUMMYFUNCTION("""COMPUTED_VALUE"""),747.6)</f>
        <v>747.6</v>
      </c>
      <c r="L211" s="32">
        <f>IFERROR(__xludf.DUMMYFUNCTION("""COMPUTED_VALUE"""),179.75)</f>
        <v>179.75</v>
      </c>
      <c r="M211" s="32">
        <f>IFERROR(__xludf.DUMMYFUNCTION("""COMPUTED_VALUE"""),816.0)</f>
        <v>816</v>
      </c>
      <c r="N211" s="32">
        <f>IFERROR(__xludf.DUMMYFUNCTION("""COMPUTED_VALUE"""),179.75)</f>
        <v>179.75</v>
      </c>
      <c r="O211" s="32">
        <f>IFERROR(__xludf.DUMMYFUNCTION("""COMPUTED_VALUE"""),816.0)</f>
        <v>816</v>
      </c>
      <c r="P211" s="32">
        <f>IFERROR(__xludf.DUMMYFUNCTION("""COMPUTED_VALUE"""),4.333333)</f>
        <v>4.333333</v>
      </c>
      <c r="Q211" s="32">
        <f>IFERROR(__xludf.DUMMYFUNCTION("""COMPUTED_VALUE"""),816.0)</f>
        <v>816</v>
      </c>
      <c r="R211" s="32">
        <f>IFERROR(__xludf.DUMMYFUNCTION("""COMPUTED_VALUE"""),5507.54743913)</f>
        <v>5507.547439</v>
      </c>
      <c r="S211" s="32">
        <f>IFERROR(__xludf.DUMMYFUNCTION("""COMPUTED_VALUE"""),6183.0366053)</f>
        <v>6183.036605</v>
      </c>
      <c r="T211" s="32">
        <f>IFERROR(__xludf.DUMMYFUNCTION("""COMPUTED_VALUE"""),-2.813538)</f>
        <v>-2.813538</v>
      </c>
      <c r="U211" s="32">
        <f>IFERROR(__xludf.DUMMYFUNCTION("""COMPUTED_VALUE"""),2.016129)</f>
        <v>2.016129</v>
      </c>
      <c r="V211" s="32">
        <f>IFERROR(__xludf.DUMMYFUNCTION("""COMPUTED_VALUE"""),10.038792)</f>
        <v>10.038792</v>
      </c>
      <c r="W211" s="32">
        <f>IFERROR(__xludf.DUMMYFUNCTION("""COMPUTED_VALUE"""),-33.877234)</f>
        <v>-33.877234</v>
      </c>
      <c r="X211" s="32">
        <f>IFERROR(__xludf.DUMMYFUNCTION("""COMPUTED_VALUE"""),13.266246)</f>
        <v>13.266246</v>
      </c>
      <c r="Y211" s="32">
        <f>IFERROR(__xludf.DUMMYFUNCTION("""COMPUTED_VALUE"""),1.71499)</f>
        <v>1.71499</v>
      </c>
      <c r="Z211" s="32">
        <f>IFERROR(__xludf.DUMMYFUNCTION("""COMPUTED_VALUE"""),17.332186)</f>
        <v>17.332186</v>
      </c>
      <c r="AA211" s="32">
        <f>IFERROR(__xludf.DUMMYFUNCTION("""COMPUTED_VALUE"""),12.4074)</f>
        <v>12.4074</v>
      </c>
      <c r="AB211" s="32">
        <f>IFERROR(__xludf.DUMMYFUNCTION("""COMPUTED_VALUE"""),17.08865)</f>
        <v>17.08865</v>
      </c>
      <c r="AC211" s="32">
        <f>IFERROR(__xludf.DUMMYFUNCTION("""COMPUTED_VALUE"""),2.1011)</f>
        <v>2.1011</v>
      </c>
      <c r="AD211" s="32">
        <f>IFERROR(__xludf.DUMMYFUNCTION("""COMPUTED_VALUE"""),2.45615)</f>
        <v>2.45615</v>
      </c>
      <c r="AE211" s="32">
        <f>IFERROR(__xludf.DUMMYFUNCTION("""COMPUTED_VALUE"""),13.658136)</f>
        <v>13.658136</v>
      </c>
      <c r="AF211" s="32">
        <f>IFERROR(__xludf.DUMMYFUNCTION("""COMPUTED_VALUE"""),0.306509)</f>
        <v>0.306509</v>
      </c>
      <c r="AG211" s="32">
        <f>IFERROR(__xludf.DUMMYFUNCTION("""COMPUTED_VALUE"""),1.0684)</f>
        <v>1.0684</v>
      </c>
      <c r="AH211" s="32">
        <f>IFERROR(__xludf.DUMMYFUNCTION("""COMPUTED_VALUE"""),6.135669)</f>
        <v>6.135669</v>
      </c>
      <c r="AI211" s="32">
        <f>IFERROR(__xludf.DUMMYFUNCTION("""COMPUTED_VALUE"""),0.9580926056815315)</f>
        <v>0.9580926057</v>
      </c>
      <c r="AJ211" s="32">
        <f>IFERROR(__xludf.DUMMYFUNCTION("""COMPUTED_VALUE"""),8.099810928775222)</f>
        <v>8.099810929</v>
      </c>
      <c r="AK211" s="32">
        <f>IFERROR(__xludf.DUMMYFUNCTION("""COMPUTED_VALUE"""),37.6791)</f>
        <v>37.6791</v>
      </c>
      <c r="AL211" s="32">
        <f>IFERROR(__xludf.DUMMYFUNCTION("""COMPUTED_VALUE"""),222.5056)</f>
        <v>222.5056</v>
      </c>
      <c r="AM211" s="32">
        <f>IFERROR(__xludf.DUMMYFUNCTION("""COMPUTED_VALUE"""),57.780421)</f>
        <v>57.780421</v>
      </c>
      <c r="AN211" s="32">
        <f>IFERROR(__xludf.DUMMYFUNCTION("""COMPUTED_VALUE"""),14.590415)</f>
        <v>14.590415</v>
      </c>
      <c r="AO211" s="32">
        <f>IFERROR(__xludf.DUMMYFUNCTION("""COMPUTED_VALUE"""),5.0)</f>
        <v>5</v>
      </c>
      <c r="AP211" s="32">
        <f>IFERROR(__xludf.DUMMYFUNCTION("""COMPUTED_VALUE"""),0.3739299090422686)</f>
        <v>0.373929909</v>
      </c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>
      <c r="A212" s="13" t="str">
        <f>IFERROR(__xludf.DUMMYFUNCTION("""COMPUTED_VALUE"""),"Jubilant Pharmova Ltd.")</f>
        <v>Jubilant Pharmova Ltd.</v>
      </c>
      <c r="B212" s="30">
        <f>IFERROR(__xludf.DUMMYFUNCTION("""COMPUTED_VALUE"""),530019.0)</f>
        <v>530019</v>
      </c>
      <c r="C212" s="13" t="str">
        <f>IFERROR(__xludf.DUMMYFUNCTION("""COMPUTED_VALUE"""),"JUBLPHARMA")</f>
        <v>JUBLPHARMA</v>
      </c>
      <c r="D212" s="13" t="str">
        <f>IFERROR(__xludf.DUMMYFUNCTION("""COMPUTED_VALUE"""),"INE700A01033")</f>
        <v>INE700A01033</v>
      </c>
      <c r="E212" s="13" t="str">
        <f>IFERROR(__xludf.DUMMYFUNCTION("""COMPUTED_VALUE"""),"Healthcare")</f>
        <v>Healthcare</v>
      </c>
      <c r="F212" s="13" t="str">
        <f>IFERROR(__xludf.DUMMYFUNCTION("""COMPUTED_VALUE"""),"Drugs &amp; Pharma")</f>
        <v>Drugs &amp; Pharma</v>
      </c>
      <c r="G212" s="31">
        <f>IFERROR(__xludf.DUMMYFUNCTION("""COMPUTED_VALUE"""),44809.0)</f>
        <v>44809</v>
      </c>
      <c r="H212" s="32">
        <f>IFERROR(__xludf.DUMMYFUNCTION("""COMPUTED_VALUE"""),328.3)</f>
        <v>328.3</v>
      </c>
      <c r="I212" s="32">
        <f>IFERROR(__xludf.DUMMYFUNCTION("""COMPUTED_VALUE"""),-1.218595)</f>
        <v>-1.218595</v>
      </c>
      <c r="J212" s="32">
        <f>IFERROR(__xludf.DUMMYFUNCTION("""COMPUTED_VALUE"""),281.8)</f>
        <v>281.8</v>
      </c>
      <c r="K212" s="32">
        <f>IFERROR(__xludf.DUMMYFUNCTION("""COMPUTED_VALUE"""),655.5)</f>
        <v>655.5</v>
      </c>
      <c r="L212" s="32">
        <f>IFERROR(__xludf.DUMMYFUNCTION("""COMPUTED_VALUE"""),230.0)</f>
        <v>230</v>
      </c>
      <c r="M212" s="32">
        <f>IFERROR(__xludf.DUMMYFUNCTION("""COMPUTED_VALUE"""),1046.95)</f>
        <v>1046.95</v>
      </c>
      <c r="N212" s="32">
        <f>IFERROR(__xludf.DUMMYFUNCTION("""COMPUTED_VALUE"""),230.0)</f>
        <v>230</v>
      </c>
      <c r="O212" s="32">
        <f>IFERROR(__xludf.DUMMYFUNCTION("""COMPUTED_VALUE"""),1046.95)</f>
        <v>1046.95</v>
      </c>
      <c r="P212" s="32">
        <f>IFERROR(__xludf.DUMMYFUNCTION("""COMPUTED_VALUE"""),3.45625)</f>
        <v>3.45625</v>
      </c>
      <c r="Q212" s="32">
        <f>IFERROR(__xludf.DUMMYFUNCTION("""COMPUTED_VALUE"""),1046.95)</f>
        <v>1046.95</v>
      </c>
      <c r="R212" s="32">
        <f>IFERROR(__xludf.DUMMYFUNCTION("""COMPUTED_VALUE"""),5256.277587)</f>
        <v>5256.277587</v>
      </c>
      <c r="S212" s="32">
        <f>IFERROR(__xludf.DUMMYFUNCTION("""COMPUTED_VALUE"""),7207.16106036)</f>
        <v>7207.16106</v>
      </c>
      <c r="T212" s="32">
        <f>IFERROR(__xludf.DUMMYFUNCTION("""COMPUTED_VALUE"""),-2.596054)</f>
        <v>-2.596054</v>
      </c>
      <c r="U212" s="32">
        <f>IFERROR(__xludf.DUMMYFUNCTION("""COMPUTED_VALUE"""),-7.351489)</f>
        <v>-7.351489</v>
      </c>
      <c r="V212" s="32">
        <f>IFERROR(__xludf.DUMMYFUNCTION("""COMPUTED_VALUE"""),-16.388641)</f>
        <v>-16.388641</v>
      </c>
      <c r="W212" s="32">
        <f>IFERROR(__xludf.DUMMYFUNCTION("""COMPUTED_VALUE"""),-49.207086)</f>
        <v>-49.207086</v>
      </c>
      <c r="X212" s="32">
        <f>IFERROR(__xludf.DUMMYFUNCTION("""COMPUTED_VALUE"""),-9.570053)</f>
        <v>-9.570053</v>
      </c>
      <c r="Y212" s="32">
        <f>IFERROR(__xludf.DUMMYFUNCTION("""COMPUTED_VALUE"""),-13.890484)</f>
        <v>-13.890484</v>
      </c>
      <c r="Z212" s="32">
        <f>IFERROR(__xludf.DUMMYFUNCTION("""COMPUTED_VALUE"""),6.22055)</f>
        <v>6.22055</v>
      </c>
      <c r="AA212" s="32">
        <f>IFERROR(__xludf.DUMMYFUNCTION("""COMPUTED_VALUE"""),17.4964)</f>
        <v>17.4964</v>
      </c>
      <c r="AB212" s="32">
        <f>IFERROR(__xludf.DUMMYFUNCTION("""COMPUTED_VALUE"""),14.2326)</f>
        <v>14.2326</v>
      </c>
      <c r="AC212" s="32">
        <f>IFERROR(__xludf.DUMMYFUNCTION("""COMPUTED_VALUE"""),0.9796)</f>
        <v>0.9796</v>
      </c>
      <c r="AD212" s="32">
        <f>IFERROR(__xludf.DUMMYFUNCTION("""COMPUTED_VALUE"""),2.01915)</f>
        <v>2.01915</v>
      </c>
      <c r="AE212" s="32">
        <f>IFERROR(__xludf.DUMMYFUNCTION("""COMPUTED_VALUE"""),8.685811)</f>
        <v>8.685811</v>
      </c>
      <c r="AF212" s="32">
        <f>IFERROR(__xludf.DUMMYFUNCTION("""COMPUTED_VALUE"""),-1.509539)</f>
        <v>-1.509539</v>
      </c>
      <c r="AG212" s="32">
        <f>IFERROR(__xludf.DUMMYFUNCTION("""COMPUTED_VALUE"""),1.5277)</f>
        <v>1.5277</v>
      </c>
      <c r="AH212" s="32">
        <f>IFERROR(__xludf.DUMMYFUNCTION("""COMPUTED_VALUE"""),7.263819)</f>
        <v>7.263819</v>
      </c>
      <c r="AI212" s="32">
        <f>IFERROR(__xludf.DUMMYFUNCTION("""COMPUTED_VALUE"""),0.8929846958728821)</f>
        <v>0.8929846959</v>
      </c>
      <c r="AJ212" s="32">
        <f>IFERROR(__xludf.DUMMYFUNCTION("""COMPUTED_VALUE"""),2.945906346310666)</f>
        <v>2.945906346</v>
      </c>
      <c r="AK212" s="32">
        <f>IFERROR(__xludf.DUMMYFUNCTION("""COMPUTED_VALUE"""),18.861)</f>
        <v>18.861</v>
      </c>
      <c r="AL212" s="32">
        <f>IFERROR(__xludf.DUMMYFUNCTION("""COMPUTED_VALUE"""),336.8552)</f>
        <v>336.8552</v>
      </c>
      <c r="AM212" s="32">
        <f>IFERROR(__xludf.DUMMYFUNCTION("""COMPUTED_VALUE"""),112.098071)</f>
        <v>112.098071</v>
      </c>
      <c r="AN212" s="32">
        <f>IFERROR(__xludf.DUMMYFUNCTION("""COMPUTED_VALUE"""),46.281334)</f>
        <v>46.281334</v>
      </c>
      <c r="AO212" s="32">
        <f>IFERROR(__xludf.DUMMYFUNCTION("""COMPUTED_VALUE"""),5.0)</f>
        <v>5</v>
      </c>
      <c r="AP212" s="32">
        <f>IFERROR(__xludf.DUMMYFUNCTION("""COMPUTED_VALUE"""),0.499160945842868)</f>
        <v>0.4991609458</v>
      </c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>
      <c r="A213" s="13" t="str">
        <f>IFERROR(__xludf.DUMMYFUNCTION("""COMPUTED_VALUE"""),"PCBL Ltd.")</f>
        <v>PCBL Ltd.</v>
      </c>
      <c r="B213" s="30">
        <f>IFERROR(__xludf.DUMMYFUNCTION("""COMPUTED_VALUE"""),506590.0)</f>
        <v>506590</v>
      </c>
      <c r="C213" s="13" t="str">
        <f>IFERROR(__xludf.DUMMYFUNCTION("""COMPUTED_VALUE"""),"PCBL")</f>
        <v>PCBL</v>
      </c>
      <c r="D213" s="13" t="str">
        <f>IFERROR(__xludf.DUMMYFUNCTION("""COMPUTED_VALUE"""),"INE602A01031")</f>
        <v>INE602A01031</v>
      </c>
      <c r="E213" s="13" t="str">
        <f>IFERROR(__xludf.DUMMYFUNCTION("""COMPUTED_VALUE"""),"Chemicals")</f>
        <v>Chemicals</v>
      </c>
      <c r="F213" s="13" t="str">
        <f>IFERROR(__xludf.DUMMYFUNCTION("""COMPUTED_VALUE"""),"Carbon Black")</f>
        <v>Carbon Black</v>
      </c>
      <c r="G213" s="31">
        <f>IFERROR(__xludf.DUMMYFUNCTION("""COMPUTED_VALUE"""),44809.0)</f>
        <v>44809</v>
      </c>
      <c r="H213" s="32">
        <f>IFERROR(__xludf.DUMMYFUNCTION("""COMPUTED_VALUE"""),144.45)</f>
        <v>144.45</v>
      </c>
      <c r="I213" s="32">
        <f>IFERROR(__xludf.DUMMYFUNCTION("""COMPUTED_VALUE"""),1.79704)</f>
        <v>1.79704</v>
      </c>
      <c r="J213" s="32">
        <f>IFERROR(__xludf.DUMMYFUNCTION("""COMPUTED_VALUE"""),89.0)</f>
        <v>89</v>
      </c>
      <c r="K213" s="32">
        <f>IFERROR(__xludf.DUMMYFUNCTION("""COMPUTED_VALUE"""),147.0)</f>
        <v>147</v>
      </c>
      <c r="L213" s="32">
        <f>IFERROR(__xludf.DUMMYFUNCTION("""COMPUTED_VALUE"""),27.05)</f>
        <v>27.05</v>
      </c>
      <c r="M213" s="32">
        <f>IFERROR(__xludf.DUMMYFUNCTION("""COMPUTED_VALUE"""),147.0)</f>
        <v>147</v>
      </c>
      <c r="N213" s="32">
        <f>IFERROR(__xludf.DUMMYFUNCTION("""COMPUTED_VALUE"""),27.05)</f>
        <v>27.05</v>
      </c>
      <c r="O213" s="32">
        <f>IFERROR(__xludf.DUMMYFUNCTION("""COMPUTED_VALUE"""),159.49)</f>
        <v>159.49</v>
      </c>
      <c r="P213" s="32">
        <f>IFERROR(__xludf.DUMMYFUNCTION("""COMPUTED_VALUE"""),0.0)</f>
        <v>0</v>
      </c>
      <c r="Q213" s="32">
        <f>IFERROR(__xludf.DUMMYFUNCTION("""COMPUTED_VALUE"""),159.49)</f>
        <v>159.49</v>
      </c>
      <c r="R213" s="32">
        <f>IFERROR(__xludf.DUMMYFUNCTION("""COMPUTED_VALUE"""),5452.44731478)</f>
        <v>5452.447315</v>
      </c>
      <c r="S213" s="32">
        <f>IFERROR(__xludf.DUMMYFUNCTION("""COMPUTED_VALUE"""),5549.20703774)</f>
        <v>5549.207038</v>
      </c>
      <c r="T213" s="32">
        <f>IFERROR(__xludf.DUMMYFUNCTION("""COMPUTED_VALUE"""),14.642857)</f>
        <v>14.642857</v>
      </c>
      <c r="U213" s="32">
        <f>IFERROR(__xludf.DUMMYFUNCTION("""COMPUTED_VALUE"""),17.918367)</f>
        <v>17.918367</v>
      </c>
      <c r="V213" s="32">
        <f>IFERROR(__xludf.DUMMYFUNCTION("""COMPUTED_VALUE"""),35.443038)</f>
        <v>35.443038</v>
      </c>
      <c r="W213" s="32">
        <f>IFERROR(__xludf.DUMMYFUNCTION("""COMPUTED_VALUE"""),19.035847)</f>
        <v>19.035847</v>
      </c>
      <c r="X213" s="32">
        <f>IFERROR(__xludf.DUMMYFUNCTION("""COMPUTED_VALUE"""),37.928308)</f>
        <v>37.928308</v>
      </c>
      <c r="Y213" s="32">
        <f>IFERROR(__xludf.DUMMYFUNCTION("""COMPUTED_VALUE"""),15.195446)</f>
        <v>15.195446</v>
      </c>
      <c r="Z213" s="32">
        <f>IFERROR(__xludf.DUMMYFUNCTION("""COMPUTED_VALUE"""),32.117279)</f>
        <v>32.117279</v>
      </c>
      <c r="AA213" s="32">
        <f>IFERROR(__xludf.DUMMYFUNCTION("""COMPUTED_VALUE"""),12.1581)</f>
        <v>12.1581</v>
      </c>
      <c r="AB213" s="32">
        <f>IFERROR(__xludf.DUMMYFUNCTION("""COMPUTED_VALUE"""),9.89295)</f>
        <v>9.89295</v>
      </c>
      <c r="AC213" s="32">
        <f>IFERROR(__xludf.DUMMYFUNCTION("""COMPUTED_VALUE"""),1.987)</f>
        <v>1.987</v>
      </c>
      <c r="AD213" s="32">
        <f>IFERROR(__xludf.DUMMYFUNCTION("""COMPUTED_VALUE"""),1.66255)</f>
        <v>1.66255</v>
      </c>
      <c r="AE213" s="32">
        <f>IFERROR(__xludf.DUMMYFUNCTION("""COMPUTED_VALUE"""),11.132306)</f>
        <v>11.132306</v>
      </c>
      <c r="AF213" s="32">
        <f>IFERROR(__xludf.DUMMYFUNCTION("""COMPUTED_VALUE"""),0.27588)</f>
        <v>0.27588</v>
      </c>
      <c r="AG213" s="32">
        <f>IFERROR(__xludf.DUMMYFUNCTION("""COMPUTED_VALUE"""),1.7331)</f>
        <v>1.7331</v>
      </c>
      <c r="AH213" s="32">
        <f>IFERROR(__xludf.DUMMYFUNCTION("""COMPUTED_VALUE"""),7.692915)</f>
        <v>7.692915</v>
      </c>
      <c r="AI213" s="32">
        <f>IFERROR(__xludf.DUMMYFUNCTION("""COMPUTED_VALUE"""),1.1238359224468426)</f>
        <v>1.123835922</v>
      </c>
      <c r="AJ213" s="32">
        <f>IFERROR(__xludf.DUMMYFUNCTION("""COMPUTED_VALUE"""),18.774352023896427)</f>
        <v>18.77435202</v>
      </c>
      <c r="AK213" s="32">
        <f>IFERROR(__xludf.DUMMYFUNCTION("""COMPUTED_VALUE"""),11.8645)</f>
        <v>11.8645</v>
      </c>
      <c r="AL213" s="32">
        <f>IFERROR(__xludf.DUMMYFUNCTION("""COMPUTED_VALUE"""),72.5973)</f>
        <v>72.5973</v>
      </c>
      <c r="AM213" s="32">
        <f>IFERROR(__xludf.DUMMYFUNCTION("""COMPUTED_VALUE"""),15.38649)</f>
        <v>15.38649</v>
      </c>
      <c r="AN213" s="32">
        <f>IFERROR(__xludf.DUMMYFUNCTION("""COMPUTED_VALUE"""),-1.238146)</f>
        <v>-1.238146</v>
      </c>
      <c r="AO213" s="32">
        <f>IFERROR(__xludf.DUMMYFUNCTION("""COMPUTED_VALUE"""),5.0)</f>
        <v>5</v>
      </c>
      <c r="AP213" s="32">
        <f>IFERROR(__xludf.DUMMYFUNCTION("""COMPUTED_VALUE"""),0.01734693877551028)</f>
        <v>0.01734693878</v>
      </c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>
      <c r="A214" s="13" t="str">
        <f>IFERROR(__xludf.DUMMYFUNCTION("""COMPUTED_VALUE"""),"Route Mobile Ltd.")</f>
        <v>Route Mobile Ltd.</v>
      </c>
      <c r="B214" s="30">
        <f>IFERROR(__xludf.DUMMYFUNCTION("""COMPUTED_VALUE"""),543228.0)</f>
        <v>543228</v>
      </c>
      <c r="C214" s="13" t="str">
        <f>IFERROR(__xludf.DUMMYFUNCTION("""COMPUTED_VALUE"""),"ROUTE")</f>
        <v>ROUTE</v>
      </c>
      <c r="D214" s="13" t="str">
        <f>IFERROR(__xludf.DUMMYFUNCTION("""COMPUTED_VALUE"""),"INE450U01017")</f>
        <v>INE450U01017</v>
      </c>
      <c r="E214" s="13" t="str">
        <f>IFERROR(__xludf.DUMMYFUNCTION("""COMPUTED_VALUE"""),"Technology")</f>
        <v>Technology</v>
      </c>
      <c r="F214" s="13" t="str">
        <f>IFERROR(__xludf.DUMMYFUNCTION("""COMPUTED_VALUE"""),"Software")</f>
        <v>Software</v>
      </c>
      <c r="G214" s="31">
        <f>IFERROR(__xludf.DUMMYFUNCTION("""COMPUTED_VALUE"""),44809.0)</f>
        <v>44809</v>
      </c>
      <c r="H214" s="32">
        <f>IFERROR(__xludf.DUMMYFUNCTION("""COMPUTED_VALUE"""),1444.2)</f>
        <v>1444.2</v>
      </c>
      <c r="I214" s="32">
        <f>IFERROR(__xludf.DUMMYFUNCTION("""COMPUTED_VALUE"""),0.511536)</f>
        <v>0.511536</v>
      </c>
      <c r="J214" s="32">
        <f>IFERROR(__xludf.DUMMYFUNCTION("""COMPUTED_VALUE"""),1052.0)</f>
        <v>1052</v>
      </c>
      <c r="K214" s="32">
        <f>IFERROR(__xludf.DUMMYFUNCTION("""COMPUTED_VALUE"""),2389.0)</f>
        <v>2389</v>
      </c>
      <c r="L214" s="13"/>
      <c r="M214" s="13"/>
      <c r="N214" s="13"/>
      <c r="O214" s="13"/>
      <c r="P214" s="32">
        <f>IFERROR(__xludf.DUMMYFUNCTION("""COMPUTED_VALUE"""),625.0)</f>
        <v>625</v>
      </c>
      <c r="Q214" s="32">
        <f>IFERROR(__xludf.DUMMYFUNCTION("""COMPUTED_VALUE"""),2389.0)</f>
        <v>2389</v>
      </c>
      <c r="R214" s="32">
        <f>IFERROR(__xludf.DUMMYFUNCTION("""COMPUTED_VALUE"""),8969.678261925)</f>
        <v>8969.678262</v>
      </c>
      <c r="S214" s="32">
        <f>IFERROR(__xludf.DUMMYFUNCTION("""COMPUTED_VALUE"""),7898.460712075)</f>
        <v>7898.460712</v>
      </c>
      <c r="T214" s="32">
        <f>IFERROR(__xludf.DUMMYFUNCTION("""COMPUTED_VALUE"""),-7.721798)</f>
        <v>-7.721798</v>
      </c>
      <c r="U214" s="32">
        <f>IFERROR(__xludf.DUMMYFUNCTION("""COMPUTED_VALUE"""),-0.110665)</f>
        <v>-0.110665</v>
      </c>
      <c r="V214" s="32">
        <f>IFERROR(__xludf.DUMMYFUNCTION("""COMPUTED_VALUE"""),2.852259)</f>
        <v>2.852259</v>
      </c>
      <c r="W214" s="32">
        <f>IFERROR(__xludf.DUMMYFUNCTION("""COMPUTED_VALUE"""),-27.694195)</f>
        <v>-27.694195</v>
      </c>
      <c r="X214" s="13"/>
      <c r="Y214" s="13"/>
      <c r="Z214" s="13"/>
      <c r="AA214" s="32">
        <f>IFERROR(__xludf.DUMMYFUNCTION("""COMPUTED_VALUE"""),44.0186)</f>
        <v>44.0186</v>
      </c>
      <c r="AB214" s="32">
        <f>IFERROR(__xludf.DUMMYFUNCTION("""COMPUTED_VALUE"""),63.8566)</f>
        <v>63.8566</v>
      </c>
      <c r="AC214" s="32">
        <f>IFERROR(__xludf.DUMMYFUNCTION("""COMPUTED_VALUE"""),5.2029)</f>
        <v>5.2029</v>
      </c>
      <c r="AD214" s="32">
        <f>IFERROR(__xludf.DUMMYFUNCTION("""COMPUTED_VALUE"""),6.1321)</f>
        <v>6.1321</v>
      </c>
      <c r="AE214" s="32">
        <f>IFERROR(__xludf.DUMMYFUNCTION("""COMPUTED_VALUE"""),3.406187)</f>
        <v>3.406187</v>
      </c>
      <c r="AF214" s="32">
        <f>IFERROR(__xludf.DUMMYFUNCTION("""COMPUTED_VALUE"""),0.897708)</f>
        <v>0.897708</v>
      </c>
      <c r="AG214" s="32">
        <f>IFERROR(__xludf.DUMMYFUNCTION("""COMPUTED_VALUE"""),0.3461)</f>
        <v>0.3461</v>
      </c>
      <c r="AH214" s="32">
        <f>IFERROR(__xludf.DUMMYFUNCTION("""COMPUTED_VALUE"""),27.403611)</f>
        <v>27.403611</v>
      </c>
      <c r="AI214" s="32">
        <f>IFERROR(__xludf.DUMMYFUNCTION("""COMPUTED_VALUE"""),3.811174092742321)</f>
        <v>3.811174093</v>
      </c>
      <c r="AJ214" s="32">
        <f>IFERROR(__xludf.DUMMYFUNCTION("""COMPUTED_VALUE"""),66.65932120931183)</f>
        <v>66.65932121</v>
      </c>
      <c r="AK214" s="32">
        <f>IFERROR(__xludf.DUMMYFUNCTION("""COMPUTED_VALUE"""),32.8168)</f>
        <v>32.8168</v>
      </c>
      <c r="AL214" s="32">
        <f>IFERROR(__xludf.DUMMYFUNCTION("""COMPUTED_VALUE"""),277.6443)</f>
        <v>277.6443</v>
      </c>
      <c r="AM214" s="32">
        <f>IFERROR(__xludf.DUMMYFUNCTION("""COMPUTED_VALUE"""),21.402895)</f>
        <v>21.402895</v>
      </c>
      <c r="AN214" s="32">
        <f>IFERROR(__xludf.DUMMYFUNCTION("""COMPUTED_VALUE"""),19.963417)</f>
        <v>19.963417</v>
      </c>
      <c r="AO214" s="32">
        <f>IFERROR(__xludf.DUMMYFUNCTION("""COMPUTED_VALUE"""),5.0)</f>
        <v>5</v>
      </c>
      <c r="AP214" s="32">
        <f>IFERROR(__xludf.DUMMYFUNCTION("""COMPUTED_VALUE"""),0.3954792800334868)</f>
        <v>0.39547928</v>
      </c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>
      <c r="A215" s="13" t="str">
        <f>IFERROR(__xludf.DUMMYFUNCTION("""COMPUTED_VALUE"""),"Sudarshan Chemical Industries Ltd.")</f>
        <v>Sudarshan Chemical Industries Ltd.</v>
      </c>
      <c r="B215" s="30">
        <f>IFERROR(__xludf.DUMMYFUNCTION("""COMPUTED_VALUE"""),506655.0)</f>
        <v>506655</v>
      </c>
      <c r="C215" s="13" t="str">
        <f>IFERROR(__xludf.DUMMYFUNCTION("""COMPUTED_VALUE"""),"SUDARSCHEM")</f>
        <v>SUDARSCHEM</v>
      </c>
      <c r="D215" s="13" t="str">
        <f>IFERROR(__xludf.DUMMYFUNCTION("""COMPUTED_VALUE"""),"INE659A01023")</f>
        <v>INE659A01023</v>
      </c>
      <c r="E215" s="13" t="str">
        <f>IFERROR(__xludf.DUMMYFUNCTION("""COMPUTED_VALUE"""),"Chemicals")</f>
        <v>Chemicals</v>
      </c>
      <c r="F215" s="13" t="str">
        <f>IFERROR(__xludf.DUMMYFUNCTION("""COMPUTED_VALUE"""),"Dyes &amp; Pigments")</f>
        <v>Dyes &amp; Pigments</v>
      </c>
      <c r="G215" s="31">
        <f>IFERROR(__xludf.DUMMYFUNCTION("""COMPUTED_VALUE"""),44809.0)</f>
        <v>44809</v>
      </c>
      <c r="H215" s="32">
        <f>IFERROR(__xludf.DUMMYFUNCTION("""COMPUTED_VALUE"""),462.85)</f>
        <v>462.85</v>
      </c>
      <c r="I215" s="32">
        <f>IFERROR(__xludf.DUMMYFUNCTION("""COMPUTED_VALUE"""),-0.60131)</f>
        <v>-0.60131</v>
      </c>
      <c r="J215" s="32">
        <f>IFERROR(__xludf.DUMMYFUNCTION("""COMPUTED_VALUE"""),402.0)</f>
        <v>402</v>
      </c>
      <c r="K215" s="32">
        <f>IFERROR(__xludf.DUMMYFUNCTION("""COMPUTED_VALUE"""),714.9)</f>
        <v>714.9</v>
      </c>
      <c r="L215" s="32">
        <f>IFERROR(__xludf.DUMMYFUNCTION("""COMPUTED_VALUE"""),286.25)</f>
        <v>286.25</v>
      </c>
      <c r="M215" s="32">
        <f>IFERROR(__xludf.DUMMYFUNCTION("""COMPUTED_VALUE"""),794.0)</f>
        <v>794</v>
      </c>
      <c r="N215" s="32">
        <f>IFERROR(__xludf.DUMMYFUNCTION("""COMPUTED_VALUE"""),286.25)</f>
        <v>286.25</v>
      </c>
      <c r="O215" s="32">
        <f>IFERROR(__xludf.DUMMYFUNCTION("""COMPUTED_VALUE"""),794.0)</f>
        <v>794</v>
      </c>
      <c r="P215" s="32">
        <f>IFERROR(__xludf.DUMMYFUNCTION("""COMPUTED_VALUE"""),0.0)</f>
        <v>0</v>
      </c>
      <c r="Q215" s="32">
        <f>IFERROR(__xludf.DUMMYFUNCTION("""COMPUTED_VALUE"""),794.0)</f>
        <v>794</v>
      </c>
      <c r="R215" s="32">
        <f>IFERROR(__xludf.DUMMYFUNCTION("""COMPUTED_VALUE"""),3204.18326625)</f>
        <v>3204.183266</v>
      </c>
      <c r="S215" s="32">
        <f>IFERROR(__xludf.DUMMYFUNCTION("""COMPUTED_VALUE"""),4005.62835125)</f>
        <v>4005.628351</v>
      </c>
      <c r="T215" s="32">
        <f>IFERROR(__xludf.DUMMYFUNCTION("""COMPUTED_VALUE"""),2.039242)</f>
        <v>2.039242</v>
      </c>
      <c r="U215" s="32">
        <f>IFERROR(__xludf.DUMMYFUNCTION("""COMPUTED_VALUE"""),-3.037603)</f>
        <v>-3.037603</v>
      </c>
      <c r="V215" s="32">
        <f>IFERROR(__xludf.DUMMYFUNCTION("""COMPUTED_VALUE"""),0.543065)</f>
        <v>0.543065</v>
      </c>
      <c r="W215" s="32">
        <f>IFERROR(__xludf.DUMMYFUNCTION("""COMPUTED_VALUE"""),-30.030234)</f>
        <v>-30.030234</v>
      </c>
      <c r="X215" s="32">
        <f>IFERROR(__xludf.DUMMYFUNCTION("""COMPUTED_VALUE"""),13.686764)</f>
        <v>13.686764</v>
      </c>
      <c r="Y215" s="32">
        <f>IFERROR(__xludf.DUMMYFUNCTION("""COMPUTED_VALUE"""),4.346744)</f>
        <v>4.346744</v>
      </c>
      <c r="Z215" s="32">
        <f>IFERROR(__xludf.DUMMYFUNCTION("""COMPUTED_VALUE"""),25.760034)</f>
        <v>25.760034</v>
      </c>
      <c r="AA215" s="32">
        <f>IFERROR(__xludf.DUMMYFUNCTION("""COMPUTED_VALUE"""),28.9074)</f>
        <v>28.9074</v>
      </c>
      <c r="AB215" s="32">
        <f>IFERROR(__xludf.DUMMYFUNCTION("""COMPUTED_VALUE"""),26.69285)</f>
        <v>26.69285</v>
      </c>
      <c r="AC215" s="32">
        <f>IFERROR(__xludf.DUMMYFUNCTION("""COMPUTED_VALUE"""),3.8249)</f>
        <v>3.8249</v>
      </c>
      <c r="AD215" s="32">
        <f>IFERROR(__xludf.DUMMYFUNCTION("""COMPUTED_VALUE"""),4.9346)</f>
        <v>4.9346</v>
      </c>
      <c r="AE215" s="32">
        <f>IFERROR(__xludf.DUMMYFUNCTION("""COMPUTED_VALUE"""),4.311083)</f>
        <v>4.311083</v>
      </c>
      <c r="AF215" s="32">
        <f>IFERROR(__xludf.DUMMYFUNCTION("""COMPUTED_VALUE"""),5.669678)</f>
        <v>5.669678</v>
      </c>
      <c r="AG215" s="32">
        <f>IFERROR(__xludf.DUMMYFUNCTION("""COMPUTED_VALUE"""),1.0779)</f>
        <v>1.0779</v>
      </c>
      <c r="AH215" s="32">
        <f>IFERROR(__xludf.DUMMYFUNCTION("""COMPUTED_VALUE"""),15.443208)</f>
        <v>15.443208</v>
      </c>
      <c r="AI215" s="32">
        <f>IFERROR(__xludf.DUMMYFUNCTION("""COMPUTED_VALUE"""),1.4165704801872736)</f>
        <v>1.41657048</v>
      </c>
      <c r="AJ215" s="32">
        <f>IFERROR(__xludf.DUMMYFUNCTION("""COMPUTED_VALUE"""),17.986680660652738)</f>
        <v>17.98668066</v>
      </c>
      <c r="AK215" s="32">
        <f>IFERROR(__xludf.DUMMYFUNCTION("""COMPUTED_VALUE"""),16.0167)</f>
        <v>16.0167</v>
      </c>
      <c r="AL215" s="32">
        <f>IFERROR(__xludf.DUMMYFUNCTION("""COMPUTED_VALUE"""),121.0476)</f>
        <v>121.0476</v>
      </c>
      <c r="AM215" s="32">
        <f>IFERROR(__xludf.DUMMYFUNCTION("""COMPUTED_VALUE"""),25.733767)</f>
        <v>25.733767</v>
      </c>
      <c r="AN215" s="32">
        <f>IFERROR(__xludf.DUMMYFUNCTION("""COMPUTED_VALUE"""),-21.849043)</f>
        <v>-21.849043</v>
      </c>
      <c r="AO215" s="32">
        <f>IFERROR(__xludf.DUMMYFUNCTION("""COMPUTED_VALUE"""),5.0)</f>
        <v>5</v>
      </c>
      <c r="AP215" s="32">
        <f>IFERROR(__xludf.DUMMYFUNCTION("""COMPUTED_VALUE"""),0.35256679255839973)</f>
        <v>0.3525667926</v>
      </c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>
      <c r="A216" s="13" t="str">
        <f>IFERROR(__xludf.DUMMYFUNCTION("""COMPUTED_VALUE"""),"Sun TV Network Ltd.")</f>
        <v>Sun TV Network Ltd.</v>
      </c>
      <c r="B216" s="30">
        <f>IFERROR(__xludf.DUMMYFUNCTION("""COMPUTED_VALUE"""),532733.0)</f>
        <v>532733</v>
      </c>
      <c r="C216" s="13" t="str">
        <f>IFERROR(__xludf.DUMMYFUNCTION("""COMPUTED_VALUE"""),"SUNTV")</f>
        <v>SUNTV</v>
      </c>
      <c r="D216" s="13" t="str">
        <f>IFERROR(__xludf.DUMMYFUNCTION("""COMPUTED_VALUE"""),"INE424H01027")</f>
        <v>INE424H01027</v>
      </c>
      <c r="E216" s="13" t="str">
        <f>IFERROR(__xludf.DUMMYFUNCTION("""COMPUTED_VALUE"""),"Services")</f>
        <v>Services</v>
      </c>
      <c r="F216" s="13" t="str">
        <f>IFERROR(__xludf.DUMMYFUNCTION("""COMPUTED_VALUE"""),"Media &amp; Entertainment")</f>
        <v>Media &amp; Entertainment</v>
      </c>
      <c r="G216" s="31">
        <f>IFERROR(__xludf.DUMMYFUNCTION("""COMPUTED_VALUE"""),44809.0)</f>
        <v>44809</v>
      </c>
      <c r="H216" s="32">
        <f>IFERROR(__xludf.DUMMYFUNCTION("""COMPUTED_VALUE"""),510.6)</f>
        <v>510.6</v>
      </c>
      <c r="I216" s="32">
        <f>IFERROR(__xludf.DUMMYFUNCTION("""COMPUTED_VALUE"""),-1.552106)</f>
        <v>-1.552106</v>
      </c>
      <c r="J216" s="32">
        <f>IFERROR(__xludf.DUMMYFUNCTION("""COMPUTED_VALUE"""),402.55)</f>
        <v>402.55</v>
      </c>
      <c r="K216" s="32">
        <f>IFERROR(__xludf.DUMMYFUNCTION("""COMPUTED_VALUE"""),612.0)</f>
        <v>612</v>
      </c>
      <c r="L216" s="32">
        <f>IFERROR(__xludf.DUMMYFUNCTION("""COMPUTED_VALUE"""),259.55)</f>
        <v>259.55</v>
      </c>
      <c r="M216" s="32">
        <f>IFERROR(__xludf.DUMMYFUNCTION("""COMPUTED_VALUE"""),612.0)</f>
        <v>612</v>
      </c>
      <c r="N216" s="32">
        <f>IFERROR(__xludf.DUMMYFUNCTION("""COMPUTED_VALUE"""),259.55)</f>
        <v>259.55</v>
      </c>
      <c r="O216" s="32">
        <f>IFERROR(__xludf.DUMMYFUNCTION("""COMPUTED_VALUE"""),1097.8)</f>
        <v>1097.8</v>
      </c>
      <c r="P216" s="32">
        <f>IFERROR(__xludf.DUMMYFUNCTION("""COMPUTED_VALUE"""),122.15)</f>
        <v>122.15</v>
      </c>
      <c r="Q216" s="32">
        <f>IFERROR(__xludf.DUMMYFUNCTION("""COMPUTED_VALUE"""),1849.0)</f>
        <v>1849</v>
      </c>
      <c r="R216" s="32">
        <f>IFERROR(__xludf.DUMMYFUNCTION("""COMPUTED_VALUE"""),20155.4578899)</f>
        <v>20155.45789</v>
      </c>
      <c r="S216" s="32">
        <f>IFERROR(__xludf.DUMMYFUNCTION("""COMPUTED_VALUE"""),16951.8479701)</f>
        <v>16951.84797</v>
      </c>
      <c r="T216" s="32">
        <f>IFERROR(__xludf.DUMMYFUNCTION("""COMPUTED_VALUE"""),0.700128)</f>
        <v>0.700128</v>
      </c>
      <c r="U216" s="32">
        <f>IFERROR(__xludf.DUMMYFUNCTION("""COMPUTED_VALUE"""),8.580542)</f>
        <v>8.580542</v>
      </c>
      <c r="V216" s="32">
        <f>IFERROR(__xludf.DUMMYFUNCTION("""COMPUTED_VALUE"""),18.372551)</f>
        <v>18.372551</v>
      </c>
      <c r="W216" s="32">
        <f>IFERROR(__xludf.DUMMYFUNCTION("""COMPUTED_VALUE"""),4.076641)</f>
        <v>4.076641</v>
      </c>
      <c r="X216" s="32">
        <f>IFERROR(__xludf.DUMMYFUNCTION("""COMPUTED_VALUE"""),5.939048)</f>
        <v>5.939048</v>
      </c>
      <c r="Y216" s="32">
        <f>IFERROR(__xludf.DUMMYFUNCTION("""COMPUTED_VALUE"""),-8.75724)</f>
        <v>-8.75724</v>
      </c>
      <c r="Z216" s="32">
        <f>IFERROR(__xludf.DUMMYFUNCTION("""COMPUTED_VALUE"""),5.628652)</f>
        <v>5.628652</v>
      </c>
      <c r="AA216" s="32">
        <f>IFERROR(__xludf.DUMMYFUNCTION("""COMPUTED_VALUE"""),11.384)</f>
        <v>11.384</v>
      </c>
      <c r="AB216" s="32">
        <f>IFERROR(__xludf.DUMMYFUNCTION("""COMPUTED_VALUE"""),14.06705)</f>
        <v>14.06705</v>
      </c>
      <c r="AC216" s="32">
        <f>IFERROR(__xludf.DUMMYFUNCTION("""COMPUTED_VALUE"""),2.3293)</f>
        <v>2.3293</v>
      </c>
      <c r="AD216" s="32">
        <f>IFERROR(__xludf.DUMMYFUNCTION("""COMPUTED_VALUE"""),3.05405)</f>
        <v>3.05405</v>
      </c>
      <c r="AE216" s="32">
        <f>IFERROR(__xludf.DUMMYFUNCTION("""COMPUTED_VALUE"""),16.002473)</f>
        <v>16.002473</v>
      </c>
      <c r="AF216" s="32">
        <f>IFERROR(__xludf.DUMMYFUNCTION("""COMPUTED_VALUE"""),0.995535)</f>
        <v>0.995535</v>
      </c>
      <c r="AG216" s="32">
        <f>IFERROR(__xludf.DUMMYFUNCTION("""COMPUTED_VALUE"""),2.6916)</f>
        <v>2.6916</v>
      </c>
      <c r="AH216" s="32">
        <f>IFERROR(__xludf.DUMMYFUNCTION("""COMPUTED_VALUE"""),5.897074)</f>
        <v>5.897074</v>
      </c>
      <c r="AI216" s="32">
        <f>IFERROR(__xludf.DUMMYFUNCTION("""COMPUTED_VALUE"""),5.057717113013759)</f>
        <v>5.057717113</v>
      </c>
      <c r="AJ216" s="32">
        <f>IFERROR(__xludf.DUMMYFUNCTION("""COMPUTED_VALUE"""),13.765320709934299)</f>
        <v>13.76532071</v>
      </c>
      <c r="AK216" s="32">
        <f>IFERROR(__xludf.DUMMYFUNCTION("""COMPUTED_VALUE"""),44.9269)</f>
        <v>44.9269</v>
      </c>
      <c r="AL216" s="32">
        <f>IFERROR(__xludf.DUMMYFUNCTION("""COMPUTED_VALUE"""),219.5704)</f>
        <v>219.5704</v>
      </c>
      <c r="AM216" s="32">
        <f>IFERROR(__xludf.DUMMYFUNCTION("""COMPUTED_VALUE"""),37.1554)</f>
        <v>37.1554</v>
      </c>
      <c r="AN216" s="32">
        <f>IFERROR(__xludf.DUMMYFUNCTION("""COMPUTED_VALUE"""),39.601857)</f>
        <v>39.601857</v>
      </c>
      <c r="AO216" s="32">
        <f>IFERROR(__xludf.DUMMYFUNCTION("""COMPUTED_VALUE"""),5.0)</f>
        <v>5</v>
      </c>
      <c r="AP216" s="32">
        <f>IFERROR(__xludf.DUMMYFUNCTION("""COMPUTED_VALUE"""),0.1656862745098039)</f>
        <v>0.1656862745</v>
      </c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>
      <c r="A217" s="13" t="str">
        <f>IFERROR(__xludf.DUMMYFUNCTION("""COMPUTED_VALUE"""),"Suven Pharmaceuticals Ltd.")</f>
        <v>Suven Pharmaceuticals Ltd.</v>
      </c>
      <c r="B217" s="30">
        <f>IFERROR(__xludf.DUMMYFUNCTION("""COMPUTED_VALUE"""),543064.0)</f>
        <v>543064</v>
      </c>
      <c r="C217" s="13" t="str">
        <f>IFERROR(__xludf.DUMMYFUNCTION("""COMPUTED_VALUE"""),"SUVENPHAR")</f>
        <v>SUVENPHAR</v>
      </c>
      <c r="D217" s="13" t="str">
        <f>IFERROR(__xludf.DUMMYFUNCTION("""COMPUTED_VALUE"""),"INE03QK01018")</f>
        <v>INE03QK01018</v>
      </c>
      <c r="E217" s="13" t="str">
        <f>IFERROR(__xludf.DUMMYFUNCTION("""COMPUTED_VALUE"""),"Healthcare")</f>
        <v>Healthcare</v>
      </c>
      <c r="F217" s="13" t="str">
        <f>IFERROR(__xludf.DUMMYFUNCTION("""COMPUTED_VALUE"""),"Drugs &amp; Pharma")</f>
        <v>Drugs &amp; Pharma</v>
      </c>
      <c r="G217" s="31">
        <f>IFERROR(__xludf.DUMMYFUNCTION("""COMPUTED_VALUE"""),44809.0)</f>
        <v>44809</v>
      </c>
      <c r="H217" s="32">
        <f>IFERROR(__xludf.DUMMYFUNCTION("""COMPUTED_VALUE"""),493.25)</f>
        <v>493.25</v>
      </c>
      <c r="I217" s="32">
        <f>IFERROR(__xludf.DUMMYFUNCTION("""COMPUTED_VALUE"""),0.407125)</f>
        <v>0.407125</v>
      </c>
      <c r="J217" s="32">
        <f>IFERROR(__xludf.DUMMYFUNCTION("""COMPUTED_VALUE"""),425.7)</f>
        <v>425.7</v>
      </c>
      <c r="K217" s="32">
        <f>IFERROR(__xludf.DUMMYFUNCTION("""COMPUTED_VALUE"""),631.75)</f>
        <v>631.75</v>
      </c>
      <c r="L217" s="13"/>
      <c r="M217" s="13"/>
      <c r="N217" s="13"/>
      <c r="O217" s="13"/>
      <c r="P217" s="32">
        <f>IFERROR(__xludf.DUMMYFUNCTION("""COMPUTED_VALUE"""),87.05)</f>
        <v>87.05</v>
      </c>
      <c r="Q217" s="32">
        <f>IFERROR(__xludf.DUMMYFUNCTION("""COMPUTED_VALUE"""),631.75)</f>
        <v>631.75</v>
      </c>
      <c r="R217" s="32">
        <f>IFERROR(__xludf.DUMMYFUNCTION("""COMPUTED_VALUE"""),12600.965322)</f>
        <v>12600.96532</v>
      </c>
      <c r="S217" s="32">
        <f>IFERROR(__xludf.DUMMYFUNCTION("""COMPUTED_VALUE"""),12058.54759092)</f>
        <v>12058.54759</v>
      </c>
      <c r="T217" s="32">
        <f>IFERROR(__xludf.DUMMYFUNCTION("""COMPUTED_VALUE"""),10.457955)</f>
        <v>10.457955</v>
      </c>
      <c r="U217" s="32">
        <f>IFERROR(__xludf.DUMMYFUNCTION("""COMPUTED_VALUE"""),5.440359)</f>
        <v>5.440359</v>
      </c>
      <c r="V217" s="32">
        <f>IFERROR(__xludf.DUMMYFUNCTION("""COMPUTED_VALUE"""),0.345845)</f>
        <v>0.345845</v>
      </c>
      <c r="W217" s="32">
        <f>IFERROR(__xludf.DUMMYFUNCTION("""COMPUTED_VALUE"""),-5.904235)</f>
        <v>-5.904235</v>
      </c>
      <c r="X217" s="13"/>
      <c r="Y217" s="13"/>
      <c r="Z217" s="13"/>
      <c r="AA217" s="32">
        <f>IFERROR(__xludf.DUMMYFUNCTION("""COMPUTED_VALUE"""),27.6177)</f>
        <v>27.6177</v>
      </c>
      <c r="AB217" s="32">
        <f>IFERROR(__xludf.DUMMYFUNCTION("""COMPUTED_VALUE"""),31.322)</f>
        <v>31.322</v>
      </c>
      <c r="AC217" s="32">
        <f>IFERROR(__xludf.DUMMYFUNCTION("""COMPUTED_VALUE"""),7.7083)</f>
        <v>7.7083</v>
      </c>
      <c r="AD217" s="32">
        <f>IFERROR(__xludf.DUMMYFUNCTION("""COMPUTED_VALUE"""),9.2055)</f>
        <v>9.2055</v>
      </c>
      <c r="AE217" s="32">
        <f>IFERROR(__xludf.DUMMYFUNCTION("""COMPUTED_VALUE"""),6.322702)</f>
        <v>6.322702</v>
      </c>
      <c r="AF217" s="32">
        <f>IFERROR(__xludf.DUMMYFUNCTION("""COMPUTED_VALUE"""),0.656286)</f>
        <v>0.656286</v>
      </c>
      <c r="AG217" s="32">
        <f>IFERROR(__xludf.DUMMYFUNCTION("""COMPUTED_VALUE"""),1.0141)</f>
        <v>1.0141</v>
      </c>
      <c r="AH217" s="32">
        <f>IFERROR(__xludf.DUMMYFUNCTION("""COMPUTED_VALUE"""),16.90468)</f>
        <v>16.90468</v>
      </c>
      <c r="AI217" s="32">
        <f>IFERROR(__xludf.DUMMYFUNCTION("""COMPUTED_VALUE"""),9.031532198171039)</f>
        <v>9.031532198</v>
      </c>
      <c r="AJ217" s="32">
        <f>IFERROR(__xludf.DUMMYFUNCTION("""COMPUTED_VALUE"""),38.1847202577453)</f>
        <v>38.18472026</v>
      </c>
      <c r="AK217" s="32">
        <f>IFERROR(__xludf.DUMMYFUNCTION("""COMPUTED_VALUE"""),17.9233)</f>
        <v>17.9233</v>
      </c>
      <c r="AL217" s="32">
        <f>IFERROR(__xludf.DUMMYFUNCTION("""COMPUTED_VALUE"""),64.2163)</f>
        <v>64.2163</v>
      </c>
      <c r="AM217" s="32">
        <f>IFERROR(__xludf.DUMMYFUNCTION("""COMPUTED_VALUE"""),12.963298)</f>
        <v>12.963298</v>
      </c>
      <c r="AN217" s="32">
        <f>IFERROR(__xludf.DUMMYFUNCTION("""COMPUTED_VALUE"""),7.14139)</f>
        <v>7.14139</v>
      </c>
      <c r="AO217" s="32">
        <f>IFERROR(__xludf.DUMMYFUNCTION("""COMPUTED_VALUE"""),5.0)</f>
        <v>5</v>
      </c>
      <c r="AP217" s="32">
        <f>IFERROR(__xludf.DUMMYFUNCTION("""COMPUTED_VALUE"""),0.21923229125445193)</f>
        <v>0.2192322913</v>
      </c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>
      <c r="A218" s="13" t="str">
        <f>IFERROR(__xludf.DUMMYFUNCTION("""COMPUTED_VALUE"""),"Welspun Corp Ltd.")</f>
        <v>Welspun Corp Ltd.</v>
      </c>
      <c r="B218" s="30">
        <f>IFERROR(__xludf.DUMMYFUNCTION("""COMPUTED_VALUE"""),532144.0)</f>
        <v>532144</v>
      </c>
      <c r="C218" s="13" t="str">
        <f>IFERROR(__xludf.DUMMYFUNCTION("""COMPUTED_VALUE"""),"WELCORP")</f>
        <v>WELCORP</v>
      </c>
      <c r="D218" s="13" t="str">
        <f>IFERROR(__xludf.DUMMYFUNCTION("""COMPUTED_VALUE"""),"INE191B01025")</f>
        <v>INE191B01025</v>
      </c>
      <c r="E218" s="13" t="str">
        <f>IFERROR(__xludf.DUMMYFUNCTION("""COMPUTED_VALUE"""),"Metals &amp; Mining")</f>
        <v>Metals &amp; Mining</v>
      </c>
      <c r="F218" s="13" t="str">
        <f>IFERROR(__xludf.DUMMYFUNCTION("""COMPUTED_VALUE"""),"Steel Tubes &amp; Pipes")</f>
        <v>Steel Tubes &amp; Pipes</v>
      </c>
      <c r="G218" s="31">
        <f>IFERROR(__xludf.DUMMYFUNCTION("""COMPUTED_VALUE"""),44809.0)</f>
        <v>44809</v>
      </c>
      <c r="H218" s="32">
        <f>IFERROR(__xludf.DUMMYFUNCTION("""COMPUTED_VALUE"""),254.1)</f>
        <v>254.1</v>
      </c>
      <c r="I218" s="32">
        <f>IFERROR(__xludf.DUMMYFUNCTION("""COMPUTED_VALUE"""),5.3046)</f>
        <v>5.3046</v>
      </c>
      <c r="J218" s="32">
        <f>IFERROR(__xludf.DUMMYFUNCTION("""COMPUTED_VALUE"""),116.55)</f>
        <v>116.55</v>
      </c>
      <c r="K218" s="32">
        <f>IFERROR(__xludf.DUMMYFUNCTION("""COMPUTED_VALUE"""),255.5)</f>
        <v>255.5</v>
      </c>
      <c r="L218" s="32">
        <f>IFERROR(__xludf.DUMMYFUNCTION("""COMPUTED_VALUE"""),55.0)</f>
        <v>55</v>
      </c>
      <c r="M218" s="32">
        <f>IFERROR(__xludf.DUMMYFUNCTION("""COMPUTED_VALUE"""),255.5)</f>
        <v>255.5</v>
      </c>
      <c r="N218" s="32">
        <f>IFERROR(__xludf.DUMMYFUNCTION("""COMPUTED_VALUE"""),55.0)</f>
        <v>55</v>
      </c>
      <c r="O218" s="32">
        <f>IFERROR(__xludf.DUMMYFUNCTION("""COMPUTED_VALUE"""),255.5)</f>
        <v>255.5</v>
      </c>
      <c r="P218" s="32">
        <f>IFERROR(__xludf.DUMMYFUNCTION("""COMPUTED_VALUE"""),4.357143)</f>
        <v>4.357143</v>
      </c>
      <c r="Q218" s="32">
        <f>IFERROR(__xludf.DUMMYFUNCTION("""COMPUTED_VALUE"""),539.0)</f>
        <v>539</v>
      </c>
      <c r="R218" s="32">
        <f>IFERROR(__xludf.DUMMYFUNCTION("""COMPUTED_VALUE"""),6649.003492875)</f>
        <v>6649.003493</v>
      </c>
      <c r="S218" s="32">
        <f>IFERROR(__xludf.DUMMYFUNCTION("""COMPUTED_VALUE"""),6144.9587832)</f>
        <v>6144.958783</v>
      </c>
      <c r="T218" s="32">
        <f>IFERROR(__xludf.DUMMYFUNCTION("""COMPUTED_VALUE"""),11.033428)</f>
        <v>11.033428</v>
      </c>
      <c r="U218" s="32">
        <f>IFERROR(__xludf.DUMMYFUNCTION("""COMPUTED_VALUE"""),15.133666)</f>
        <v>15.133666</v>
      </c>
      <c r="V218" s="32">
        <f>IFERROR(__xludf.DUMMYFUNCTION("""COMPUTED_VALUE"""),13.008672)</f>
        <v>13.008672</v>
      </c>
      <c r="W218" s="32">
        <f>IFERROR(__xludf.DUMMYFUNCTION("""COMPUTED_VALUE"""),116.808874)</f>
        <v>116.808874</v>
      </c>
      <c r="X218" s="32">
        <f>IFERROR(__xludf.DUMMYFUNCTION("""COMPUTED_VALUE"""),27.794422)</f>
        <v>27.794422</v>
      </c>
      <c r="Y218" s="32">
        <f>IFERROR(__xludf.DUMMYFUNCTION("""COMPUTED_VALUE"""),12.806859)</f>
        <v>12.806859</v>
      </c>
      <c r="Z218" s="32">
        <f>IFERROR(__xludf.DUMMYFUNCTION("""COMPUTED_VALUE"""),10.461462)</f>
        <v>10.461462</v>
      </c>
      <c r="AA218" s="32">
        <f>IFERROR(__xludf.DUMMYFUNCTION("""COMPUTED_VALUE"""),17.1238)</f>
        <v>17.1238</v>
      </c>
      <c r="AB218" s="32">
        <f>IFERROR(__xludf.DUMMYFUNCTION("""COMPUTED_VALUE"""),12.4587)</f>
        <v>12.4587</v>
      </c>
      <c r="AC218" s="32">
        <f>IFERROR(__xludf.DUMMYFUNCTION("""COMPUTED_VALUE"""),1.5063)</f>
        <v>1.5063</v>
      </c>
      <c r="AD218" s="32">
        <f>IFERROR(__xludf.DUMMYFUNCTION("""COMPUTED_VALUE"""),1.1463)</f>
        <v>1.1463</v>
      </c>
      <c r="AE218" s="32">
        <f>IFERROR(__xludf.DUMMYFUNCTION("""COMPUTED_VALUE"""),20.065399)</f>
        <v>20.065399</v>
      </c>
      <c r="AF218" s="32">
        <f>IFERROR(__xludf.DUMMYFUNCTION("""COMPUTED_VALUE"""),0.837015)</f>
        <v>0.837015</v>
      </c>
      <c r="AG218" s="32">
        <f>IFERROR(__xludf.DUMMYFUNCTION("""COMPUTED_VALUE"""),1.9666)</f>
        <v>1.9666</v>
      </c>
      <c r="AH218" s="32">
        <f>IFERROR(__xludf.DUMMYFUNCTION("""COMPUTED_VALUE"""),6.466063)</f>
        <v>6.466063</v>
      </c>
      <c r="AI218" s="32">
        <f>IFERROR(__xludf.DUMMYFUNCTION("""COMPUTED_VALUE"""),1.1501376900173843)</f>
        <v>1.15013769</v>
      </c>
      <c r="AJ218" s="32">
        <f>IFERROR(__xludf.DUMMYFUNCTION("""COMPUTED_VALUE"""),30.42813304750246)</f>
        <v>30.42813305</v>
      </c>
      <c r="AK218" s="32">
        <f>IFERROR(__xludf.DUMMYFUNCTION("""COMPUTED_VALUE"""),14.8477)</f>
        <v>14.8477</v>
      </c>
      <c r="AL218" s="32">
        <f>IFERROR(__xludf.DUMMYFUNCTION("""COMPUTED_VALUE"""),168.7855)</f>
        <v>168.7855</v>
      </c>
      <c r="AM218" s="32">
        <f>IFERROR(__xludf.DUMMYFUNCTION("""COMPUTED_VALUE"""),8.373826)</f>
        <v>8.373826</v>
      </c>
      <c r="AN218" s="32">
        <f>IFERROR(__xludf.DUMMYFUNCTION("""COMPUTED_VALUE"""),-15.320483)</f>
        <v>-15.320483</v>
      </c>
      <c r="AO218" s="32">
        <f>IFERROR(__xludf.DUMMYFUNCTION("""COMPUTED_VALUE"""),5.0)</f>
        <v>5</v>
      </c>
      <c r="AP218" s="32">
        <f>IFERROR(__xludf.DUMMYFUNCTION("""COMPUTED_VALUE"""),0.005479452054794543)</f>
        <v>0.005479452055</v>
      </c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>
      <c r="A219" s="13" t="str">
        <f>IFERROR(__xludf.DUMMYFUNCTION("""COMPUTED_VALUE"""),"Whirlpool Of India Ltd.")</f>
        <v>Whirlpool Of India Ltd.</v>
      </c>
      <c r="B219" s="30">
        <f>IFERROR(__xludf.DUMMYFUNCTION("""COMPUTED_VALUE"""),500238.0)</f>
        <v>500238</v>
      </c>
      <c r="C219" s="13" t="str">
        <f>IFERROR(__xludf.DUMMYFUNCTION("""COMPUTED_VALUE"""),"WHIRLPOOL")</f>
        <v>WHIRLPOOL</v>
      </c>
      <c r="D219" s="13" t="str">
        <f>IFERROR(__xludf.DUMMYFUNCTION("""COMPUTED_VALUE"""),"INE716A01013")</f>
        <v>INE716A01013</v>
      </c>
      <c r="E219" s="13" t="str">
        <f>IFERROR(__xludf.DUMMYFUNCTION("""COMPUTED_VALUE"""),"Consumer Discretionary")</f>
        <v>Consumer Discretionary</v>
      </c>
      <c r="F219" s="13" t="str">
        <f>IFERROR(__xludf.DUMMYFUNCTION("""COMPUTED_VALUE"""),"ACs &amp; Refrigerators")</f>
        <v>ACs &amp; Refrigerators</v>
      </c>
      <c r="G219" s="31">
        <f>IFERROR(__xludf.DUMMYFUNCTION("""COMPUTED_VALUE"""),44809.0)</f>
        <v>44809</v>
      </c>
      <c r="H219" s="32">
        <f>IFERROR(__xludf.DUMMYFUNCTION("""COMPUTED_VALUE"""),1790.95)</f>
        <v>1790.95</v>
      </c>
      <c r="I219" s="32">
        <f>IFERROR(__xludf.DUMMYFUNCTION("""COMPUTED_VALUE"""),-0.136612)</f>
        <v>-0.136612</v>
      </c>
      <c r="J219" s="32">
        <f>IFERROR(__xludf.DUMMYFUNCTION("""COMPUTED_VALUE"""),1365.1)</f>
        <v>1365.1</v>
      </c>
      <c r="K219" s="32">
        <f>IFERROR(__xludf.DUMMYFUNCTION("""COMPUTED_VALUE"""),2550.0)</f>
        <v>2550</v>
      </c>
      <c r="L219" s="32">
        <f>IFERROR(__xludf.DUMMYFUNCTION("""COMPUTED_VALUE"""),1343.0)</f>
        <v>1343</v>
      </c>
      <c r="M219" s="32">
        <f>IFERROR(__xludf.DUMMYFUNCTION("""COMPUTED_VALUE"""),2787.0)</f>
        <v>2787</v>
      </c>
      <c r="N219" s="32">
        <f>IFERROR(__xludf.DUMMYFUNCTION("""COMPUTED_VALUE"""),1172.65)</f>
        <v>1172.65</v>
      </c>
      <c r="O219" s="32">
        <f>IFERROR(__xludf.DUMMYFUNCTION("""COMPUTED_VALUE"""),2787.0)</f>
        <v>2787</v>
      </c>
      <c r="P219" s="32">
        <f>IFERROR(__xludf.DUMMYFUNCTION("""COMPUTED_VALUE"""),10.1)</f>
        <v>10.1</v>
      </c>
      <c r="Q219" s="32">
        <f>IFERROR(__xludf.DUMMYFUNCTION("""COMPUTED_VALUE"""),2787.0)</f>
        <v>2787</v>
      </c>
      <c r="R219" s="32">
        <f>IFERROR(__xludf.DUMMYFUNCTION("""COMPUTED_VALUE"""),22722.11039385)</f>
        <v>22722.11039</v>
      </c>
      <c r="S219" s="32">
        <f>IFERROR(__xludf.DUMMYFUNCTION("""COMPUTED_VALUE"""),21148.76681605)</f>
        <v>21148.76682</v>
      </c>
      <c r="T219" s="32">
        <f>IFERROR(__xludf.DUMMYFUNCTION("""COMPUTED_VALUE"""),-1.406551)</f>
        <v>-1.406551</v>
      </c>
      <c r="U219" s="32">
        <f>IFERROR(__xludf.DUMMYFUNCTION("""COMPUTED_VALUE"""),0.081028)</f>
        <v>0.081028</v>
      </c>
      <c r="V219" s="32">
        <f>IFERROR(__xludf.DUMMYFUNCTION("""COMPUTED_VALUE"""),9.528178)</f>
        <v>9.528178</v>
      </c>
      <c r="W219" s="32">
        <f>IFERROR(__xludf.DUMMYFUNCTION("""COMPUTED_VALUE"""),-17.99304)</f>
        <v>-17.99304</v>
      </c>
      <c r="X219" s="32">
        <f>IFERROR(__xludf.DUMMYFUNCTION("""COMPUTED_VALUE"""),3.273201)</f>
        <v>3.273201</v>
      </c>
      <c r="Y219" s="32">
        <f>IFERROR(__xludf.DUMMYFUNCTION("""COMPUTED_VALUE"""),8.674155)</f>
        <v>8.674155</v>
      </c>
      <c r="Z219" s="32">
        <f>IFERROR(__xludf.DUMMYFUNCTION("""COMPUTED_VALUE"""),21.353943)</f>
        <v>21.353943</v>
      </c>
      <c r="AA219" s="32">
        <f>IFERROR(__xludf.DUMMYFUNCTION("""COMPUTED_VALUE"""),36.2746)</f>
        <v>36.2746</v>
      </c>
      <c r="AB219" s="32">
        <f>IFERROR(__xludf.DUMMYFUNCTION("""COMPUTED_VALUE"""),55.4935)</f>
        <v>55.4935</v>
      </c>
      <c r="AC219" s="32">
        <f>IFERROR(__xludf.DUMMYFUNCTION("""COMPUTED_VALUE"""),6.6989)</f>
        <v>6.6989</v>
      </c>
      <c r="AD219" s="32">
        <f>IFERROR(__xludf.DUMMYFUNCTION("""COMPUTED_VALUE"""),10.04205)</f>
        <v>10.04205</v>
      </c>
      <c r="AE219" s="32">
        <f>IFERROR(__xludf.DUMMYFUNCTION("""COMPUTED_VALUE"""),2.335633)</f>
        <v>2.335633</v>
      </c>
      <c r="AF219" s="32">
        <f>IFERROR(__xludf.DUMMYFUNCTION("""COMPUTED_VALUE"""),-5.652139)</f>
        <v>-5.652139</v>
      </c>
      <c r="AG219" s="32">
        <f>IFERROR(__xludf.DUMMYFUNCTION("""COMPUTED_VALUE"""),0.2793)</f>
        <v>0.2793</v>
      </c>
      <c r="AH219" s="32">
        <f>IFERROR(__xludf.DUMMYFUNCTION("""COMPUTED_VALUE"""),36.910131)</f>
        <v>36.910131</v>
      </c>
      <c r="AI219" s="32">
        <f>IFERROR(__xludf.DUMMYFUNCTION("""COMPUTED_VALUE"""),3.275514114806774)</f>
        <v>3.275514115</v>
      </c>
      <c r="AJ219" s="32">
        <f>IFERROR(__xludf.DUMMYFUNCTION("""COMPUTED_VALUE"""),232.40370659558147)</f>
        <v>232.4037066</v>
      </c>
      <c r="AK219" s="32">
        <f>IFERROR(__xludf.DUMMYFUNCTION("""COMPUTED_VALUE"""),49.23)</f>
        <v>49.23</v>
      </c>
      <c r="AL219" s="32">
        <f>IFERROR(__xludf.DUMMYFUNCTION("""COMPUTED_VALUE"""),266.5826)</f>
        <v>266.5826</v>
      </c>
      <c r="AM219" s="32">
        <f>IFERROR(__xludf.DUMMYFUNCTION("""COMPUTED_VALUE"""),7.706314)</f>
        <v>7.706314</v>
      </c>
      <c r="AN219" s="32">
        <f>IFERROR(__xludf.DUMMYFUNCTION("""COMPUTED_VALUE"""),23.671475)</f>
        <v>23.671475</v>
      </c>
      <c r="AO219" s="32">
        <f>IFERROR(__xludf.DUMMYFUNCTION("""COMPUTED_VALUE"""),5.0)</f>
        <v>5</v>
      </c>
      <c r="AP219" s="32">
        <f>IFERROR(__xludf.DUMMYFUNCTION("""COMPUTED_VALUE"""),0.29766666666666663)</f>
        <v>0.2976666667</v>
      </c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>
      <c r="A220" s="13" t="str">
        <f>IFERROR(__xludf.DUMMYFUNCTION("""COMPUTED_VALUE"""),"Zensar Technologies Ltd.")</f>
        <v>Zensar Technologies Ltd.</v>
      </c>
      <c r="B220" s="30">
        <f>IFERROR(__xludf.DUMMYFUNCTION("""COMPUTED_VALUE"""),504067.0)</f>
        <v>504067</v>
      </c>
      <c r="C220" s="13" t="str">
        <f>IFERROR(__xludf.DUMMYFUNCTION("""COMPUTED_VALUE"""),"ZENSARTECH")</f>
        <v>ZENSARTECH</v>
      </c>
      <c r="D220" s="13" t="str">
        <f>IFERROR(__xludf.DUMMYFUNCTION("""COMPUTED_VALUE"""),"INE520A01027")</f>
        <v>INE520A01027</v>
      </c>
      <c r="E220" s="13" t="str">
        <f>IFERROR(__xludf.DUMMYFUNCTION("""COMPUTED_VALUE"""),"Technology")</f>
        <v>Technology</v>
      </c>
      <c r="F220" s="13" t="str">
        <f>IFERROR(__xludf.DUMMYFUNCTION("""COMPUTED_VALUE"""),"Software")</f>
        <v>Software</v>
      </c>
      <c r="G220" s="31">
        <f>IFERROR(__xludf.DUMMYFUNCTION("""COMPUTED_VALUE"""),44809.0)</f>
        <v>44809</v>
      </c>
      <c r="H220" s="32">
        <f>IFERROR(__xludf.DUMMYFUNCTION("""COMPUTED_VALUE"""),230.75)</f>
        <v>230.75</v>
      </c>
      <c r="I220" s="32">
        <f>IFERROR(__xludf.DUMMYFUNCTION("""COMPUTED_VALUE"""),0.195397)</f>
        <v>0.195397</v>
      </c>
      <c r="J220" s="32">
        <f>IFERROR(__xludf.DUMMYFUNCTION("""COMPUTED_VALUE"""),221.75)</f>
        <v>221.75</v>
      </c>
      <c r="K220" s="32">
        <f>IFERROR(__xludf.DUMMYFUNCTION("""COMPUTED_VALUE"""),587.0)</f>
        <v>587</v>
      </c>
      <c r="L220" s="32">
        <f>IFERROR(__xludf.DUMMYFUNCTION("""COMPUTED_VALUE"""),63.7)</f>
        <v>63.7</v>
      </c>
      <c r="M220" s="32">
        <f>IFERROR(__xludf.DUMMYFUNCTION("""COMPUTED_VALUE"""),587.0)</f>
        <v>587</v>
      </c>
      <c r="N220" s="32">
        <f>IFERROR(__xludf.DUMMYFUNCTION("""COMPUTED_VALUE"""),63.7)</f>
        <v>63.7</v>
      </c>
      <c r="O220" s="32">
        <f>IFERROR(__xludf.DUMMYFUNCTION("""COMPUTED_VALUE"""),587.0)</f>
        <v>587</v>
      </c>
      <c r="P220" s="32">
        <f>IFERROR(__xludf.DUMMYFUNCTION("""COMPUTED_VALUE"""),3.35)</f>
        <v>3.35</v>
      </c>
      <c r="Q220" s="32">
        <f>IFERROR(__xludf.DUMMYFUNCTION("""COMPUTED_VALUE"""),587.0)</f>
        <v>587</v>
      </c>
      <c r="R220" s="32">
        <f>IFERROR(__xludf.DUMMYFUNCTION("""COMPUTED_VALUE"""),5223.3392393)</f>
        <v>5223.339239</v>
      </c>
      <c r="S220" s="32">
        <f>IFERROR(__xludf.DUMMYFUNCTION("""COMPUTED_VALUE"""),4193.65287892)</f>
        <v>4193.652879</v>
      </c>
      <c r="T220" s="32">
        <f>IFERROR(__xludf.DUMMYFUNCTION("""COMPUTED_VALUE"""),-0.923143)</f>
        <v>-0.923143</v>
      </c>
      <c r="U220" s="32">
        <f>IFERROR(__xludf.DUMMYFUNCTION("""COMPUTED_VALUE"""),-6.465343)</f>
        <v>-6.465343</v>
      </c>
      <c r="V220" s="32">
        <f>IFERROR(__xludf.DUMMYFUNCTION("""COMPUTED_VALUE"""),-25.129786)</f>
        <v>-25.129786</v>
      </c>
      <c r="W220" s="32">
        <f>IFERROR(__xludf.DUMMYFUNCTION("""COMPUTED_VALUE"""),-47.953084)</f>
        <v>-47.953084</v>
      </c>
      <c r="X220" s="32">
        <f>IFERROR(__xludf.DUMMYFUNCTION("""COMPUTED_VALUE"""),1.572186)</f>
        <v>1.572186</v>
      </c>
      <c r="Y220" s="32">
        <f>IFERROR(__xludf.DUMMYFUNCTION("""COMPUTED_VALUE"""),8.014389)</f>
        <v>8.014389</v>
      </c>
      <c r="Z220" s="32">
        <f>IFERROR(__xludf.DUMMYFUNCTION("""COMPUTED_VALUE"""),16.328218)</f>
        <v>16.328218</v>
      </c>
      <c r="AA220" s="32">
        <f>IFERROR(__xludf.DUMMYFUNCTION("""COMPUTED_VALUE"""),13.3853)</f>
        <v>13.3853</v>
      </c>
      <c r="AB220" s="32">
        <f>IFERROR(__xludf.DUMMYFUNCTION("""COMPUTED_VALUE"""),18.55245)</f>
        <v>18.55245</v>
      </c>
      <c r="AC220" s="32">
        <f>IFERROR(__xludf.DUMMYFUNCTION("""COMPUTED_VALUE"""),1.9075)</f>
        <v>1.9075</v>
      </c>
      <c r="AD220" s="32">
        <f>IFERROR(__xludf.DUMMYFUNCTION("""COMPUTED_VALUE"""),2.6229)</f>
        <v>2.6229</v>
      </c>
      <c r="AE220" s="32">
        <f>IFERROR(__xludf.DUMMYFUNCTION("""COMPUTED_VALUE"""),16.889323)</f>
        <v>16.889323</v>
      </c>
      <c r="AF220" s="32">
        <f>IFERROR(__xludf.DUMMYFUNCTION("""COMPUTED_VALUE"""),1.011918)</f>
        <v>1.011918</v>
      </c>
      <c r="AG220" s="32">
        <f>IFERROR(__xludf.DUMMYFUNCTION("""COMPUTED_VALUE"""),2.1659)</f>
        <v>2.1659</v>
      </c>
      <c r="AH220" s="32">
        <f>IFERROR(__xludf.DUMMYFUNCTION("""COMPUTED_VALUE"""),5.512887)</f>
        <v>5.512887</v>
      </c>
      <c r="AI220" s="32">
        <f>IFERROR(__xludf.DUMMYFUNCTION("""COMPUTED_VALUE"""),1.158091310844068)</f>
        <v>1.158091311</v>
      </c>
      <c r="AJ220" s="32">
        <f>IFERROR(__xludf.DUMMYFUNCTION("""COMPUTED_VALUE"""),15.60603298267105)</f>
        <v>15.60603298</v>
      </c>
      <c r="AK220" s="32">
        <f>IFERROR(__xludf.DUMMYFUNCTION("""COMPUTED_VALUE"""),17.2466)</f>
        <v>17.2466</v>
      </c>
      <c r="AL220" s="32">
        <f>IFERROR(__xludf.DUMMYFUNCTION("""COMPUTED_VALUE"""),121.0209)</f>
        <v>121.0209</v>
      </c>
      <c r="AM220" s="32">
        <f>IFERROR(__xludf.DUMMYFUNCTION("""COMPUTED_VALUE"""),14.809735)</f>
        <v>14.809735</v>
      </c>
      <c r="AN220" s="32">
        <f>IFERROR(__xludf.DUMMYFUNCTION("""COMPUTED_VALUE"""),13.584071)</f>
        <v>13.584071</v>
      </c>
      <c r="AO220" s="32">
        <f>IFERROR(__xludf.DUMMYFUNCTION("""COMPUTED_VALUE"""),5.0)</f>
        <v>5</v>
      </c>
      <c r="AP220" s="32">
        <f>IFERROR(__xludf.DUMMYFUNCTION("""COMPUTED_VALUE"""),0.6068994889267462)</f>
        <v>0.6068994889</v>
      </c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>
      <c r="A221" s="13" t="str">
        <f>IFERROR(__xludf.DUMMYFUNCTION("""COMPUTED_VALUE"""),"Zydus Wellness Ltd.")</f>
        <v>Zydus Wellness Ltd.</v>
      </c>
      <c r="B221" s="30">
        <f>IFERROR(__xludf.DUMMYFUNCTION("""COMPUTED_VALUE"""),531335.0)</f>
        <v>531335</v>
      </c>
      <c r="C221" s="13" t="str">
        <f>IFERROR(__xludf.DUMMYFUNCTION("""COMPUTED_VALUE"""),"ZYDUSWELL")</f>
        <v>ZYDUSWELL</v>
      </c>
      <c r="D221" s="13" t="str">
        <f>IFERROR(__xludf.DUMMYFUNCTION("""COMPUTED_VALUE"""),"INE768C01010")</f>
        <v>INE768C01010</v>
      </c>
      <c r="E221" s="13" t="str">
        <f>IFERROR(__xludf.DUMMYFUNCTION("""COMPUTED_VALUE"""),"Consumer Staples")</f>
        <v>Consumer Staples</v>
      </c>
      <c r="F221" s="13" t="str">
        <f>IFERROR(__xludf.DUMMYFUNCTION("""COMPUTED_VALUE"""),"Food Processing")</f>
        <v>Food Processing</v>
      </c>
      <c r="G221" s="31">
        <f>IFERROR(__xludf.DUMMYFUNCTION("""COMPUTED_VALUE"""),44809.0)</f>
        <v>44809</v>
      </c>
      <c r="H221" s="32">
        <f>IFERROR(__xludf.DUMMYFUNCTION("""COMPUTED_VALUE"""),1634.0)</f>
        <v>1634</v>
      </c>
      <c r="I221" s="32">
        <f>IFERROR(__xludf.DUMMYFUNCTION("""COMPUTED_VALUE"""),0.643651)</f>
        <v>0.643651</v>
      </c>
      <c r="J221" s="32">
        <f>IFERROR(__xludf.DUMMYFUNCTION("""COMPUTED_VALUE"""),1430.0)</f>
        <v>1430</v>
      </c>
      <c r="K221" s="32">
        <f>IFERROR(__xludf.DUMMYFUNCTION("""COMPUTED_VALUE"""),2476.85)</f>
        <v>2476.85</v>
      </c>
      <c r="L221" s="32">
        <f>IFERROR(__xludf.DUMMYFUNCTION("""COMPUTED_VALUE"""),1070.0)</f>
        <v>1070</v>
      </c>
      <c r="M221" s="32">
        <f>IFERROR(__xludf.DUMMYFUNCTION("""COMPUTED_VALUE"""),2476.85)</f>
        <v>2476.85</v>
      </c>
      <c r="N221" s="32">
        <f>IFERROR(__xludf.DUMMYFUNCTION("""COMPUTED_VALUE"""),863.0)</f>
        <v>863</v>
      </c>
      <c r="O221" s="32">
        <f>IFERROR(__xludf.DUMMYFUNCTION("""COMPUTED_VALUE"""),2476.85)</f>
        <v>2476.85</v>
      </c>
      <c r="P221" s="32">
        <f>IFERROR(__xludf.DUMMYFUNCTION("""COMPUTED_VALUE"""),2.92)</f>
        <v>2.92</v>
      </c>
      <c r="Q221" s="32">
        <f>IFERROR(__xludf.DUMMYFUNCTION("""COMPUTED_VALUE"""),2476.85)</f>
        <v>2476.85</v>
      </c>
      <c r="R221" s="32">
        <f>IFERROR(__xludf.DUMMYFUNCTION("""COMPUTED_VALUE"""),10518.3934032)</f>
        <v>10518.3934</v>
      </c>
      <c r="S221" s="32">
        <f>IFERROR(__xludf.DUMMYFUNCTION("""COMPUTED_VALUE"""),10523.94891784)</f>
        <v>10523.94892</v>
      </c>
      <c r="T221" s="32">
        <f>IFERROR(__xludf.DUMMYFUNCTION("""COMPUTED_VALUE"""),1.756134)</f>
        <v>1.756134</v>
      </c>
      <c r="U221" s="32">
        <f>IFERROR(__xludf.DUMMYFUNCTION("""COMPUTED_VALUE"""),1.396215)</f>
        <v>1.396215</v>
      </c>
      <c r="V221" s="32">
        <f>IFERROR(__xludf.DUMMYFUNCTION("""COMPUTED_VALUE"""),4.619522)</f>
        <v>4.619522</v>
      </c>
      <c r="W221" s="32">
        <f>IFERROR(__xludf.DUMMYFUNCTION("""COMPUTED_VALUE"""),-28.98894)</f>
        <v>-28.98894</v>
      </c>
      <c r="X221" s="32">
        <f>IFERROR(__xludf.DUMMYFUNCTION("""COMPUTED_VALUE"""),-0.687103)</f>
        <v>-0.687103</v>
      </c>
      <c r="Y221" s="32">
        <f>IFERROR(__xludf.DUMMYFUNCTION("""COMPUTED_VALUE"""),13.577522)</f>
        <v>13.577522</v>
      </c>
      <c r="Z221" s="32">
        <f>IFERROR(__xludf.DUMMYFUNCTION("""COMPUTED_VALUE"""),15.279887)</f>
        <v>15.279887</v>
      </c>
      <c r="AA221" s="32">
        <f>IFERROR(__xludf.DUMMYFUNCTION("""COMPUTED_VALUE"""),33.3832)</f>
        <v>33.3832</v>
      </c>
      <c r="AB221" s="32">
        <f>IFERROR(__xludf.DUMMYFUNCTION("""COMPUTED_VALUE"""),46.82895)</f>
        <v>46.82895</v>
      </c>
      <c r="AC221" s="32">
        <f>IFERROR(__xludf.DUMMYFUNCTION("""COMPUTED_VALUE"""),2.1117)</f>
        <v>2.1117</v>
      </c>
      <c r="AD221" s="32">
        <f>IFERROR(__xludf.DUMMYFUNCTION("""COMPUTED_VALUE"""),2.69075)</f>
        <v>2.69075</v>
      </c>
      <c r="AE221" s="32">
        <f>IFERROR(__xludf.DUMMYFUNCTION("""COMPUTED_VALUE"""),3.254205)</f>
        <v>3.254205</v>
      </c>
      <c r="AF221" s="32">
        <f>IFERROR(__xludf.DUMMYFUNCTION("""COMPUTED_VALUE"""),1.48994)</f>
        <v>1.48994</v>
      </c>
      <c r="AG221" s="32">
        <f>IFERROR(__xludf.DUMMYFUNCTION("""COMPUTED_VALUE"""),0.3056)</f>
        <v>0.3056</v>
      </c>
      <c r="AH221" s="32">
        <f>IFERROR(__xludf.DUMMYFUNCTION("""COMPUTED_VALUE"""),29.038793)</f>
        <v>29.038793</v>
      </c>
      <c r="AI221" s="32">
        <f>IFERROR(__xludf.DUMMYFUNCTION("""COMPUTED_VALUE"""),5.024958271761823)</f>
        <v>5.024958272</v>
      </c>
      <c r="AJ221" s="32">
        <f>IFERROR(__xludf.DUMMYFUNCTION("""COMPUTED_VALUE"""),44.4095140519316)</f>
        <v>44.40951405</v>
      </c>
      <c r="AK221" s="32">
        <f>IFERROR(__xludf.DUMMYFUNCTION("""COMPUTED_VALUE"""),49.5159)</f>
        <v>49.5159</v>
      </c>
      <c r="AL221" s="32">
        <f>IFERROR(__xludf.DUMMYFUNCTION("""COMPUTED_VALUE"""),782.7871)</f>
        <v>782.7871</v>
      </c>
      <c r="AM221" s="32">
        <f>IFERROR(__xludf.DUMMYFUNCTION("""COMPUTED_VALUE"""),37.223008)</f>
        <v>37.223008</v>
      </c>
      <c r="AN221" s="32">
        <f>IFERROR(__xludf.DUMMYFUNCTION("""COMPUTED_VALUE"""),23.688512)</f>
        <v>23.688512</v>
      </c>
      <c r="AO221" s="32">
        <f>IFERROR(__xludf.DUMMYFUNCTION("""COMPUTED_VALUE"""),5.0)</f>
        <v>5</v>
      </c>
      <c r="AP221" s="32">
        <f>IFERROR(__xludf.DUMMYFUNCTION("""COMPUTED_VALUE"""),0.3402910955447443)</f>
        <v>0.3402910955</v>
      </c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>
      <c r="A222" s="13" t="str">
        <f>IFERROR(__xludf.DUMMYFUNCTION("""COMPUTED_VALUE"""),"Shyam Metalics and Energy Ltd,")</f>
        <v>Shyam Metalics and Energy Ltd,</v>
      </c>
      <c r="B222" s="30">
        <f>IFERROR(__xludf.DUMMYFUNCTION("""COMPUTED_VALUE"""),543299.0)</f>
        <v>543299</v>
      </c>
      <c r="C222" s="13" t="str">
        <f>IFERROR(__xludf.DUMMYFUNCTION("""COMPUTED_VALUE"""),"SHYAMMETL")</f>
        <v>SHYAMMETL</v>
      </c>
      <c r="D222" s="13" t="str">
        <f>IFERROR(__xludf.DUMMYFUNCTION("""COMPUTED_VALUE"""),"INE810G01011")</f>
        <v>INE810G01011</v>
      </c>
      <c r="E222" s="13" t="str">
        <f>IFERROR(__xludf.DUMMYFUNCTION("""COMPUTED_VALUE"""),"Metals &amp; Mining")</f>
        <v>Metals &amp; Mining</v>
      </c>
      <c r="F222" s="13" t="str">
        <f>IFERROR(__xludf.DUMMYFUNCTION("""COMPUTED_VALUE"""),"Other Metal Products")</f>
        <v>Other Metal Products</v>
      </c>
      <c r="G222" s="31">
        <f>IFERROR(__xludf.DUMMYFUNCTION("""COMPUTED_VALUE"""),44809.0)</f>
        <v>44809</v>
      </c>
      <c r="H222" s="32">
        <f>IFERROR(__xludf.DUMMYFUNCTION("""COMPUTED_VALUE"""),298.85)</f>
        <v>298.85</v>
      </c>
      <c r="I222" s="32">
        <f>IFERROR(__xludf.DUMMYFUNCTION("""COMPUTED_VALUE"""),1.322258)</f>
        <v>1.322258</v>
      </c>
      <c r="J222" s="32">
        <f>IFERROR(__xludf.DUMMYFUNCTION("""COMPUTED_VALUE"""),273.1)</f>
        <v>273.1</v>
      </c>
      <c r="K222" s="32">
        <f>IFERROR(__xludf.DUMMYFUNCTION("""COMPUTED_VALUE"""),417.75)</f>
        <v>417.75</v>
      </c>
      <c r="L222" s="13"/>
      <c r="M222" s="13"/>
      <c r="N222" s="13"/>
      <c r="O222" s="13"/>
      <c r="P222" s="32">
        <f>IFERROR(__xludf.DUMMYFUNCTION("""COMPUTED_VALUE"""),273.0)</f>
        <v>273</v>
      </c>
      <c r="Q222" s="32">
        <f>IFERROR(__xludf.DUMMYFUNCTION("""COMPUTED_VALUE"""),461.15)</f>
        <v>461.15</v>
      </c>
      <c r="R222" s="32">
        <f>IFERROR(__xludf.DUMMYFUNCTION("""COMPUTED_VALUE"""),7601.4045024)</f>
        <v>7601.404502</v>
      </c>
      <c r="S222" s="32">
        <f>IFERROR(__xludf.DUMMYFUNCTION("""COMPUTED_VALUE"""),7052.09190976)</f>
        <v>7052.09191</v>
      </c>
      <c r="T222" s="32">
        <f>IFERROR(__xludf.DUMMYFUNCTION("""COMPUTED_VALUE"""),-0.74726)</f>
        <v>-0.74726</v>
      </c>
      <c r="U222" s="32">
        <f>IFERROR(__xludf.DUMMYFUNCTION("""COMPUTED_VALUE"""),-0.681289)</f>
        <v>-0.681289</v>
      </c>
      <c r="V222" s="32">
        <f>IFERROR(__xludf.DUMMYFUNCTION("""COMPUTED_VALUE"""),-2.73393)</f>
        <v>-2.73393</v>
      </c>
      <c r="W222" s="32">
        <f>IFERROR(__xludf.DUMMYFUNCTION("""COMPUTED_VALUE"""),-24.360921)</f>
        <v>-24.360921</v>
      </c>
      <c r="X222" s="13"/>
      <c r="Y222" s="13"/>
      <c r="Z222" s="13"/>
      <c r="AA222" s="32">
        <f>IFERROR(__xludf.DUMMYFUNCTION("""COMPUTED_VALUE"""),4.5209)</f>
        <v>4.5209</v>
      </c>
      <c r="AB222" s="32">
        <f>IFERROR(__xludf.DUMMYFUNCTION("""COMPUTED_VALUE"""),5.4623)</f>
        <v>5.4623</v>
      </c>
      <c r="AC222" s="32">
        <f>IFERROR(__xludf.DUMMYFUNCTION("""COMPUTED_VALUE"""),1.2165)</f>
        <v>1.2165</v>
      </c>
      <c r="AD222" s="32">
        <f>IFERROR(__xludf.DUMMYFUNCTION("""COMPUTED_VALUE"""),1.5518)</f>
        <v>1.5518</v>
      </c>
      <c r="AE222" s="32">
        <f>IFERROR(__xludf.DUMMYFUNCTION("""COMPUTED_VALUE"""),33.147121)</f>
        <v>33.147121</v>
      </c>
      <c r="AF222" s="32">
        <f>IFERROR(__xludf.DUMMYFUNCTION("""COMPUTED_VALUE"""),0.120459)</f>
        <v>0.120459</v>
      </c>
      <c r="AG222" s="32">
        <f>IFERROR(__xludf.DUMMYFUNCTION("""COMPUTED_VALUE"""),1.6575)</f>
        <v>1.6575</v>
      </c>
      <c r="AH222" s="32">
        <f>IFERROR(__xludf.DUMMYFUNCTION("""COMPUTED_VALUE"""),2.719802)</f>
        <v>2.719802</v>
      </c>
      <c r="AI222" s="32">
        <f>IFERROR(__xludf.DUMMYFUNCTION("""COMPUTED_VALUE"""),0.6816101051906676)</f>
        <v>0.6816101052</v>
      </c>
      <c r="AJ222" s="32">
        <f>IFERROR(__xludf.DUMMYFUNCTION("""COMPUTED_VALUE"""),4.499070463969696)</f>
        <v>4.499070464</v>
      </c>
      <c r="AK222" s="32">
        <f>IFERROR(__xludf.DUMMYFUNCTION("""COMPUTED_VALUE"""),65.9156)</f>
        <v>65.9156</v>
      </c>
      <c r="AL222" s="32">
        <f>IFERROR(__xludf.DUMMYFUNCTION("""COMPUTED_VALUE"""),244.9606)</f>
        <v>244.9606</v>
      </c>
      <c r="AM222" s="32">
        <f>IFERROR(__xludf.DUMMYFUNCTION("""COMPUTED_VALUE"""),66.236083)</f>
        <v>66.236083</v>
      </c>
      <c r="AN222" s="32">
        <f>IFERROR(__xludf.DUMMYFUNCTION("""COMPUTED_VALUE"""),23.547122)</f>
        <v>23.547122</v>
      </c>
      <c r="AO222" s="32">
        <f>IFERROR(__xludf.DUMMYFUNCTION("""COMPUTED_VALUE"""),4.95)</f>
        <v>4.95</v>
      </c>
      <c r="AP222" s="32">
        <f>IFERROR(__xludf.DUMMYFUNCTION("""COMPUTED_VALUE"""),0.28461998803111904)</f>
        <v>0.284619988</v>
      </c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>
      <c r="A223" s="13" t="str">
        <f>IFERROR(__xludf.DUMMYFUNCTION("""COMPUTED_VALUE"""),"Amara Raja Batteries Ltd.")</f>
        <v>Amara Raja Batteries Ltd.</v>
      </c>
      <c r="B223" s="30">
        <f>IFERROR(__xludf.DUMMYFUNCTION("""COMPUTED_VALUE"""),500008.0)</f>
        <v>500008</v>
      </c>
      <c r="C223" s="13" t="str">
        <f>IFERROR(__xludf.DUMMYFUNCTION("""COMPUTED_VALUE"""),"AMARAJABAT")</f>
        <v>AMARAJABAT</v>
      </c>
      <c r="D223" s="13" t="str">
        <f>IFERROR(__xludf.DUMMYFUNCTION("""COMPUTED_VALUE"""),"INE885A01032")</f>
        <v>INE885A01032</v>
      </c>
      <c r="E223" s="13" t="str">
        <f>IFERROR(__xludf.DUMMYFUNCTION("""COMPUTED_VALUE"""),"Capital Goods")</f>
        <v>Capital Goods</v>
      </c>
      <c r="F223" s="13" t="str">
        <f>IFERROR(__xludf.DUMMYFUNCTION("""COMPUTED_VALUE"""),"Storage Batteries")</f>
        <v>Storage Batteries</v>
      </c>
      <c r="G223" s="31">
        <f>IFERROR(__xludf.DUMMYFUNCTION("""COMPUTED_VALUE"""),44809.0)</f>
        <v>44809</v>
      </c>
      <c r="H223" s="32">
        <f>IFERROR(__xludf.DUMMYFUNCTION("""COMPUTED_VALUE"""),539.5)</f>
        <v>539.5</v>
      </c>
      <c r="I223" s="32">
        <f>IFERROR(__xludf.DUMMYFUNCTION("""COMPUTED_VALUE"""),5.773944)</f>
        <v>5.773944</v>
      </c>
      <c r="J223" s="32">
        <f>IFERROR(__xludf.DUMMYFUNCTION("""COMPUTED_VALUE"""),438.05)</f>
        <v>438.05</v>
      </c>
      <c r="K223" s="32">
        <f>IFERROR(__xludf.DUMMYFUNCTION("""COMPUTED_VALUE"""),781.6)</f>
        <v>781.6</v>
      </c>
      <c r="L223" s="32">
        <f>IFERROR(__xludf.DUMMYFUNCTION("""COMPUTED_VALUE"""),348.55)</f>
        <v>348.55</v>
      </c>
      <c r="M223" s="32">
        <f>IFERROR(__xludf.DUMMYFUNCTION("""COMPUTED_VALUE"""),1025.55)</f>
        <v>1025.55</v>
      </c>
      <c r="N223" s="32">
        <f>IFERROR(__xludf.DUMMYFUNCTION("""COMPUTED_VALUE"""),348.55)</f>
        <v>348.55</v>
      </c>
      <c r="O223" s="32">
        <f>IFERROR(__xludf.DUMMYFUNCTION("""COMPUTED_VALUE"""),1025.55)</f>
        <v>1025.55</v>
      </c>
      <c r="P223" s="32">
        <f>IFERROR(__xludf.DUMMYFUNCTION("""COMPUTED_VALUE"""),3.066667)</f>
        <v>3.066667</v>
      </c>
      <c r="Q223" s="32">
        <f>IFERROR(__xludf.DUMMYFUNCTION("""COMPUTED_VALUE"""),1132.0)</f>
        <v>1132</v>
      </c>
      <c r="R223" s="32">
        <f>IFERROR(__xludf.DUMMYFUNCTION("""COMPUTED_VALUE"""),9215.334375)</f>
        <v>9215.334375</v>
      </c>
      <c r="S223" s="32">
        <f>IFERROR(__xludf.DUMMYFUNCTION("""COMPUTED_VALUE"""),8646.8315625)</f>
        <v>8646.831563</v>
      </c>
      <c r="T223" s="32">
        <f>IFERROR(__xludf.DUMMYFUNCTION("""COMPUTED_VALUE"""),4.372219)</f>
        <v>4.372219</v>
      </c>
      <c r="U223" s="32">
        <f>IFERROR(__xludf.DUMMYFUNCTION("""COMPUTED_VALUE"""),6.757693)</f>
        <v>6.757693</v>
      </c>
      <c r="V223" s="32">
        <f>IFERROR(__xludf.DUMMYFUNCTION("""COMPUTED_VALUE"""),7.706129)</f>
        <v>7.706129</v>
      </c>
      <c r="W223" s="32">
        <f>IFERROR(__xludf.DUMMYFUNCTION("""COMPUTED_VALUE"""),-25.240768)</f>
        <v>-25.240768</v>
      </c>
      <c r="X223" s="32">
        <f>IFERROR(__xludf.DUMMYFUNCTION("""COMPUTED_VALUE"""),-4.668258)</f>
        <v>-4.668258</v>
      </c>
      <c r="Y223" s="32">
        <f>IFERROR(__xludf.DUMMYFUNCTION("""COMPUTED_VALUE"""),-7.291275)</f>
        <v>-7.291275</v>
      </c>
      <c r="Z223" s="32">
        <f>IFERROR(__xludf.DUMMYFUNCTION("""COMPUTED_VALUE"""),11.177009)</f>
        <v>11.177009</v>
      </c>
      <c r="AA223" s="32">
        <f>IFERROR(__xludf.DUMMYFUNCTION("""COMPUTED_VALUE"""),17.7071)</f>
        <v>17.7071</v>
      </c>
      <c r="AB223" s="32">
        <f>IFERROR(__xludf.DUMMYFUNCTION("""COMPUTED_VALUE"""),21.8999)</f>
        <v>21.8999</v>
      </c>
      <c r="AC223" s="32">
        <f>IFERROR(__xludf.DUMMYFUNCTION("""COMPUTED_VALUE"""),1.9674)</f>
        <v>1.9674</v>
      </c>
      <c r="AD223" s="32">
        <f>IFERROR(__xludf.DUMMYFUNCTION("""COMPUTED_VALUE"""),3.3696)</f>
        <v>3.3696</v>
      </c>
      <c r="AE223" s="32">
        <f>IFERROR(__xludf.DUMMYFUNCTION("""COMPUTED_VALUE"""),8.70307)</f>
        <v>8.70307</v>
      </c>
      <c r="AF223" s="32">
        <f>IFERROR(__xludf.DUMMYFUNCTION("""COMPUTED_VALUE"""),13.280876)</f>
        <v>13.280876</v>
      </c>
      <c r="AG223" s="32">
        <f>IFERROR(__xludf.DUMMYFUNCTION("""COMPUTED_VALUE"""),0.834)</f>
        <v>0.834</v>
      </c>
      <c r="AH223" s="32">
        <f>IFERROR(__xludf.DUMMYFUNCTION("""COMPUTED_VALUE"""),7.763779)</f>
        <v>7.763779</v>
      </c>
      <c r="AI223" s="32">
        <f>IFERROR(__xludf.DUMMYFUNCTION("""COMPUTED_VALUE"""),0.9770794257759362)</f>
        <v>0.9770794258</v>
      </c>
      <c r="AJ223" s="32">
        <f>IFERROR(__xludf.DUMMYFUNCTION("""COMPUTED_VALUE"""),14.552212953605155)</f>
        <v>14.55221295</v>
      </c>
      <c r="AK223" s="32">
        <f>IFERROR(__xludf.DUMMYFUNCTION("""COMPUTED_VALUE"""),30.4708)</f>
        <v>30.4708</v>
      </c>
      <c r="AL223" s="32">
        <f>IFERROR(__xludf.DUMMYFUNCTION("""COMPUTED_VALUE"""),274.2476)</f>
        <v>274.2476</v>
      </c>
      <c r="AM223" s="32">
        <f>IFERROR(__xludf.DUMMYFUNCTION("""COMPUTED_VALUE"""),37.076112)</f>
        <v>37.076112</v>
      </c>
      <c r="AN223" s="32">
        <f>IFERROR(__xludf.DUMMYFUNCTION("""COMPUTED_VALUE"""),-5.517564)</f>
        <v>-5.517564</v>
      </c>
      <c r="AO223" s="32">
        <f>IFERROR(__xludf.DUMMYFUNCTION("""COMPUTED_VALUE"""),4.5)</f>
        <v>4.5</v>
      </c>
      <c r="AP223" s="32">
        <f>IFERROR(__xludf.DUMMYFUNCTION("""COMPUTED_VALUE"""),0.30974923234390994)</f>
        <v>0.3097492323</v>
      </c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>
      <c r="A224" s="13" t="str">
        <f>IFERROR(__xludf.DUMMYFUNCTION("""COMPUTED_VALUE"""),"Bharat Electronics Ltd.")</f>
        <v>Bharat Electronics Ltd.</v>
      </c>
      <c r="B224" s="30">
        <f>IFERROR(__xludf.DUMMYFUNCTION("""COMPUTED_VALUE"""),500049.0)</f>
        <v>500049</v>
      </c>
      <c r="C224" s="13" t="str">
        <f>IFERROR(__xludf.DUMMYFUNCTION("""COMPUTED_VALUE"""),"BEL")</f>
        <v>BEL</v>
      </c>
      <c r="D224" s="13" t="str">
        <f>IFERROR(__xludf.DUMMYFUNCTION("""COMPUTED_VALUE"""),"INE263A01024")</f>
        <v>INE263A01024</v>
      </c>
      <c r="E224" s="13" t="str">
        <f>IFERROR(__xludf.DUMMYFUNCTION("""COMPUTED_VALUE"""),"Capital Goods")</f>
        <v>Capital Goods</v>
      </c>
      <c r="F224" s="13" t="str">
        <f>IFERROR(__xludf.DUMMYFUNCTION("""COMPUTED_VALUE"""),"Electronic Equipment")</f>
        <v>Electronic Equipment</v>
      </c>
      <c r="G224" s="31">
        <f>IFERROR(__xludf.DUMMYFUNCTION("""COMPUTED_VALUE"""),44809.0)</f>
        <v>44809</v>
      </c>
      <c r="H224" s="32">
        <f>IFERROR(__xludf.DUMMYFUNCTION("""COMPUTED_VALUE"""),327.9)</f>
        <v>327.9</v>
      </c>
      <c r="I224" s="32">
        <f>IFERROR(__xludf.DUMMYFUNCTION("""COMPUTED_VALUE"""),1.032198)</f>
        <v>1.032198</v>
      </c>
      <c r="J224" s="32">
        <f>IFERROR(__xludf.DUMMYFUNCTION("""COMPUTED_VALUE"""),183.45)</f>
        <v>183.45</v>
      </c>
      <c r="K224" s="32">
        <f>IFERROR(__xludf.DUMMYFUNCTION("""COMPUTED_VALUE"""),329.7)</f>
        <v>329.7</v>
      </c>
      <c r="L224" s="32">
        <f>IFERROR(__xludf.DUMMYFUNCTION("""COMPUTED_VALUE"""),56.0)</f>
        <v>56</v>
      </c>
      <c r="M224" s="32">
        <f>IFERROR(__xludf.DUMMYFUNCTION("""COMPUTED_VALUE"""),329.7)</f>
        <v>329.7</v>
      </c>
      <c r="N224" s="32">
        <f>IFERROR(__xludf.DUMMYFUNCTION("""COMPUTED_VALUE"""),56.0)</f>
        <v>56</v>
      </c>
      <c r="O224" s="32">
        <f>IFERROR(__xludf.DUMMYFUNCTION("""COMPUTED_VALUE"""),329.7)</f>
        <v>329.7</v>
      </c>
      <c r="P224" s="32">
        <f>IFERROR(__xludf.DUMMYFUNCTION("""COMPUTED_VALUE"""),1.272727)</f>
        <v>1.272727</v>
      </c>
      <c r="Q224" s="32">
        <f>IFERROR(__xludf.DUMMYFUNCTION("""COMPUTED_VALUE"""),329.7)</f>
        <v>329.7</v>
      </c>
      <c r="R224" s="32">
        <f>IFERROR(__xludf.DUMMYFUNCTION("""COMPUTED_VALUE"""),79895.88260097)</f>
        <v>79895.8826</v>
      </c>
      <c r="S224" s="32">
        <f>IFERROR(__xludf.DUMMYFUNCTION("""COMPUTED_VALUE"""),71515.883965065)</f>
        <v>71515.88397</v>
      </c>
      <c r="T224" s="32">
        <f>IFERROR(__xludf.DUMMYFUNCTION("""COMPUTED_VALUE"""),7.384968)</f>
        <v>7.384968</v>
      </c>
      <c r="U224" s="32">
        <f>IFERROR(__xludf.DUMMYFUNCTION("""COMPUTED_VALUE"""),15.396797)</f>
        <v>15.396797</v>
      </c>
      <c r="V224" s="32">
        <f>IFERROR(__xludf.DUMMYFUNCTION("""COMPUTED_VALUE"""),35.356037)</f>
        <v>35.356037</v>
      </c>
      <c r="W224" s="32">
        <f>IFERROR(__xludf.DUMMYFUNCTION("""COMPUTED_VALUE"""),65.10574)</f>
        <v>65.10574</v>
      </c>
      <c r="X224" s="32">
        <f>IFERROR(__xludf.DUMMYFUNCTION("""COMPUTED_VALUE"""),45.477983)</f>
        <v>45.477983</v>
      </c>
      <c r="Y224" s="32">
        <f>IFERROR(__xludf.DUMMYFUNCTION("""COMPUTED_VALUE"""),13.475577)</f>
        <v>13.475577</v>
      </c>
      <c r="Z224" s="32">
        <f>IFERROR(__xludf.DUMMYFUNCTION("""COMPUTED_VALUE"""),24.179057)</f>
        <v>24.179057</v>
      </c>
      <c r="AA224" s="32">
        <f>IFERROR(__xludf.DUMMYFUNCTION("""COMPUTED_VALUE"""),29.1528)</f>
        <v>29.1528</v>
      </c>
      <c r="AB224" s="32">
        <f>IFERROR(__xludf.DUMMYFUNCTION("""COMPUTED_VALUE"""),17.28155)</f>
        <v>17.28155</v>
      </c>
      <c r="AC224" s="32">
        <f>IFERROR(__xludf.DUMMYFUNCTION("""COMPUTED_VALUE"""),6.3189)</f>
        <v>6.3189</v>
      </c>
      <c r="AD224" s="32">
        <f>IFERROR(__xludf.DUMMYFUNCTION("""COMPUTED_VALUE"""),3.0504)</f>
        <v>3.0504</v>
      </c>
      <c r="AE224" s="32">
        <f>IFERROR(__xludf.DUMMYFUNCTION("""COMPUTED_VALUE"""),5.42926)</f>
        <v>5.42926</v>
      </c>
      <c r="AF224" s="32">
        <f>IFERROR(__xludf.DUMMYFUNCTION("""COMPUTED_VALUE"""),3.075405)</f>
        <v>3.075405</v>
      </c>
      <c r="AG224" s="32">
        <f>IFERROR(__xludf.DUMMYFUNCTION("""COMPUTED_VALUE"""),1.3726)</f>
        <v>1.3726</v>
      </c>
      <c r="AH224" s="32">
        <f>IFERROR(__xludf.DUMMYFUNCTION("""COMPUTED_VALUE"""),17.607551)</f>
        <v>17.607551</v>
      </c>
      <c r="AI224" s="32">
        <f>IFERROR(__xludf.DUMMYFUNCTION("""COMPUTED_VALUE"""),4.813909759001089)</f>
        <v>4.813909759</v>
      </c>
      <c r="AJ224" s="32">
        <f>IFERROR(__xludf.DUMMYFUNCTION("""COMPUTED_VALUE"""),18.990184159841892)</f>
        <v>18.99018416</v>
      </c>
      <c r="AK224" s="32">
        <f>IFERROR(__xludf.DUMMYFUNCTION("""COMPUTED_VALUE"""),11.2459)</f>
        <v>11.2459</v>
      </c>
      <c r="AL224" s="32">
        <f>IFERROR(__xludf.DUMMYFUNCTION("""COMPUTED_VALUE"""),51.8842)</f>
        <v>51.8842</v>
      </c>
      <c r="AM224" s="32">
        <f>IFERROR(__xludf.DUMMYFUNCTION("""COMPUTED_VALUE"""),17.266765)</f>
        <v>17.266765</v>
      </c>
      <c r="AN224" s="32">
        <f>IFERROR(__xludf.DUMMYFUNCTION("""COMPUTED_VALUE"""),15.328367)</f>
        <v>15.328367</v>
      </c>
      <c r="AO224" s="32">
        <f>IFERROR(__xludf.DUMMYFUNCTION("""COMPUTED_VALUE"""),4.5)</f>
        <v>4.5</v>
      </c>
      <c r="AP224" s="32">
        <f>IFERROR(__xludf.DUMMYFUNCTION("""COMPUTED_VALUE"""),0.005459508644222055)</f>
        <v>0.005459508644</v>
      </c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>
      <c r="A225" s="13" t="str">
        <f>IFERROR(__xludf.DUMMYFUNCTION("""COMPUTED_VALUE"""),"Birlasoft Ltd.")</f>
        <v>Birlasoft Ltd.</v>
      </c>
      <c r="B225" s="30">
        <f>IFERROR(__xludf.DUMMYFUNCTION("""COMPUTED_VALUE"""),532400.0)</f>
        <v>532400</v>
      </c>
      <c r="C225" s="13" t="str">
        <f>IFERROR(__xludf.DUMMYFUNCTION("""COMPUTED_VALUE"""),"BSOFT")</f>
        <v>BSOFT</v>
      </c>
      <c r="D225" s="13" t="str">
        <f>IFERROR(__xludf.DUMMYFUNCTION("""COMPUTED_VALUE"""),"INE836A01035")</f>
        <v>INE836A01035</v>
      </c>
      <c r="E225" s="13" t="str">
        <f>IFERROR(__xludf.DUMMYFUNCTION("""COMPUTED_VALUE"""),"Technology")</f>
        <v>Technology</v>
      </c>
      <c r="F225" s="13" t="str">
        <f>IFERROR(__xludf.DUMMYFUNCTION("""COMPUTED_VALUE"""),"Software")</f>
        <v>Software</v>
      </c>
      <c r="G225" s="31">
        <f>IFERROR(__xludf.DUMMYFUNCTION("""COMPUTED_VALUE"""),44809.0)</f>
        <v>44809</v>
      </c>
      <c r="H225" s="32">
        <f>IFERROR(__xludf.DUMMYFUNCTION("""COMPUTED_VALUE"""),322.5)</f>
        <v>322.5</v>
      </c>
      <c r="I225" s="32">
        <f>IFERROR(__xludf.DUMMYFUNCTION("""COMPUTED_VALUE"""),0.482941)</f>
        <v>0.482941</v>
      </c>
      <c r="J225" s="32">
        <f>IFERROR(__xludf.DUMMYFUNCTION("""COMPUTED_VALUE"""),306.15)</f>
        <v>306.15</v>
      </c>
      <c r="K225" s="32">
        <f>IFERROR(__xludf.DUMMYFUNCTION("""COMPUTED_VALUE"""),585.85)</f>
        <v>585.85</v>
      </c>
      <c r="L225" s="32">
        <f>IFERROR(__xludf.DUMMYFUNCTION("""COMPUTED_VALUE"""),46.7)</f>
        <v>46.7</v>
      </c>
      <c r="M225" s="32">
        <f>IFERROR(__xludf.DUMMYFUNCTION("""COMPUTED_VALUE"""),585.85)</f>
        <v>585.85</v>
      </c>
      <c r="N225" s="32">
        <f>IFERROR(__xludf.DUMMYFUNCTION("""COMPUTED_VALUE"""),46.7)</f>
        <v>46.7</v>
      </c>
      <c r="O225" s="32">
        <f>IFERROR(__xludf.DUMMYFUNCTION("""COMPUTED_VALUE"""),585.85)</f>
        <v>585.85</v>
      </c>
      <c r="P225" s="32">
        <f>IFERROR(__xludf.DUMMYFUNCTION("""COMPUTED_VALUE"""),0.65)</f>
        <v>0.65</v>
      </c>
      <c r="Q225" s="32">
        <f>IFERROR(__xludf.DUMMYFUNCTION("""COMPUTED_VALUE"""),585.85)</f>
        <v>585.85</v>
      </c>
      <c r="R225" s="32">
        <f>IFERROR(__xludf.DUMMYFUNCTION("""COMPUTED_VALUE"""),9027.37480528)</f>
        <v>9027.374805</v>
      </c>
      <c r="S225" s="32">
        <f>IFERROR(__xludf.DUMMYFUNCTION("""COMPUTED_VALUE"""),7813.68393776)</f>
        <v>7813.683938</v>
      </c>
      <c r="T225" s="32">
        <f>IFERROR(__xludf.DUMMYFUNCTION("""COMPUTED_VALUE"""),0.264262)</f>
        <v>0.264262</v>
      </c>
      <c r="U225" s="32">
        <f>IFERROR(__xludf.DUMMYFUNCTION("""COMPUTED_VALUE"""),-7.896616)</f>
        <v>-7.896616</v>
      </c>
      <c r="V225" s="32">
        <f>IFERROR(__xludf.DUMMYFUNCTION("""COMPUTED_VALUE"""),-15.454188)</f>
        <v>-15.454188</v>
      </c>
      <c r="W225" s="32">
        <f>IFERROR(__xludf.DUMMYFUNCTION("""COMPUTED_VALUE"""),-22.232939)</f>
        <v>-22.232939</v>
      </c>
      <c r="X225" s="32">
        <f>IFERROR(__xludf.DUMMYFUNCTION("""COMPUTED_VALUE"""),71.041803)</f>
        <v>71.041803</v>
      </c>
      <c r="Y225" s="32">
        <f>IFERROR(__xludf.DUMMYFUNCTION("""COMPUTED_VALUE"""),22.428738)</f>
        <v>22.428738</v>
      </c>
      <c r="Z225" s="32">
        <f>IFERROR(__xludf.DUMMYFUNCTION("""COMPUTED_VALUE"""),9.494391)</f>
        <v>9.494391</v>
      </c>
      <c r="AA225" s="32">
        <f>IFERROR(__xludf.DUMMYFUNCTION("""COMPUTED_VALUE"""),19.1779)</f>
        <v>19.1779</v>
      </c>
      <c r="AB225" s="32">
        <f>IFERROR(__xludf.DUMMYFUNCTION("""COMPUTED_VALUE"""),19.52755)</f>
        <v>19.52755</v>
      </c>
      <c r="AC225" s="32">
        <f>IFERROR(__xludf.DUMMYFUNCTION("""COMPUTED_VALUE"""),3.3387)</f>
        <v>3.3387</v>
      </c>
      <c r="AD225" s="32">
        <f>IFERROR(__xludf.DUMMYFUNCTION("""COMPUTED_VALUE"""),2.605)</f>
        <v>2.605</v>
      </c>
      <c r="AE225" s="32">
        <f>IFERROR(__xludf.DUMMYFUNCTION("""COMPUTED_VALUE"""),8.927497)</f>
        <v>8.927497</v>
      </c>
      <c r="AF225" s="32">
        <f>IFERROR(__xludf.DUMMYFUNCTION("""COMPUTED_VALUE"""),1.321159)</f>
        <v>1.321159</v>
      </c>
      <c r="AG225" s="32">
        <f>IFERROR(__xludf.DUMMYFUNCTION("""COMPUTED_VALUE"""),1.3958)</f>
        <v>1.3958</v>
      </c>
      <c r="AH225" s="32">
        <f>IFERROR(__xludf.DUMMYFUNCTION("""COMPUTED_VALUE"""),10.866299)</f>
        <v>10.866299</v>
      </c>
      <c r="AI225" s="32">
        <f>IFERROR(__xludf.DUMMYFUNCTION("""COMPUTED_VALUE"""),2.0803053488797074)</f>
        <v>2.080305349</v>
      </c>
      <c r="AJ225" s="32">
        <f>IFERROR(__xludf.DUMMYFUNCTION("""COMPUTED_VALUE"""),32.161369501157864)</f>
        <v>32.1613695</v>
      </c>
      <c r="AK225" s="32">
        <f>IFERROR(__xludf.DUMMYFUNCTION("""COMPUTED_VALUE"""),16.811)</f>
        <v>16.811</v>
      </c>
      <c r="AL225" s="32">
        <f>IFERROR(__xludf.DUMMYFUNCTION("""COMPUTED_VALUE"""),96.5651)</f>
        <v>96.5651</v>
      </c>
      <c r="AM225" s="32">
        <f>IFERROR(__xludf.DUMMYFUNCTION("""COMPUTED_VALUE"""),10.042756)</f>
        <v>10.042756</v>
      </c>
      <c r="AN225" s="32">
        <f>IFERROR(__xludf.DUMMYFUNCTION("""COMPUTED_VALUE"""),7.873271)</f>
        <v>7.873271</v>
      </c>
      <c r="AO225" s="32">
        <f>IFERROR(__xludf.DUMMYFUNCTION("""COMPUTED_VALUE"""),4.5)</f>
        <v>4.5</v>
      </c>
      <c r="AP225" s="32">
        <f>IFERROR(__xludf.DUMMYFUNCTION("""COMPUTED_VALUE"""),0.4495177946573355)</f>
        <v>0.4495177947</v>
      </c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>
      <c r="A226" s="13" t="str">
        <f>IFERROR(__xludf.DUMMYFUNCTION("""COMPUTED_VALUE"""),"CESC Ltd.")</f>
        <v>CESC Ltd.</v>
      </c>
      <c r="B226" s="30">
        <f>IFERROR(__xludf.DUMMYFUNCTION("""COMPUTED_VALUE"""),500084.0)</f>
        <v>500084</v>
      </c>
      <c r="C226" s="13" t="str">
        <f>IFERROR(__xludf.DUMMYFUNCTION("""COMPUTED_VALUE"""),"CESC")</f>
        <v>CESC</v>
      </c>
      <c r="D226" s="13" t="str">
        <f>IFERROR(__xludf.DUMMYFUNCTION("""COMPUTED_VALUE"""),"INE486A01021")</f>
        <v>INE486A01021</v>
      </c>
      <c r="E226" s="13" t="str">
        <f>IFERROR(__xludf.DUMMYFUNCTION("""COMPUTED_VALUE"""),"Energy")</f>
        <v>Energy</v>
      </c>
      <c r="F226" s="13" t="str">
        <f>IFERROR(__xludf.DUMMYFUNCTION("""COMPUTED_VALUE"""),"Electricity Generation")</f>
        <v>Electricity Generation</v>
      </c>
      <c r="G226" s="31">
        <f>IFERROR(__xludf.DUMMYFUNCTION("""COMPUTED_VALUE"""),44809.0)</f>
        <v>44809</v>
      </c>
      <c r="H226" s="32">
        <f>IFERROR(__xludf.DUMMYFUNCTION("""COMPUTED_VALUE"""),81.25)</f>
        <v>81.25</v>
      </c>
      <c r="I226" s="32">
        <f>IFERROR(__xludf.DUMMYFUNCTION("""COMPUTED_VALUE"""),1.5625)</f>
        <v>1.5625</v>
      </c>
      <c r="J226" s="32">
        <f>IFERROR(__xludf.DUMMYFUNCTION("""COMPUTED_VALUE"""),68.0)</f>
        <v>68</v>
      </c>
      <c r="K226" s="32">
        <f>IFERROR(__xludf.DUMMYFUNCTION("""COMPUTED_VALUE"""),102.45)</f>
        <v>102.45</v>
      </c>
      <c r="L226" s="32">
        <f>IFERROR(__xludf.DUMMYFUNCTION("""COMPUTED_VALUE"""),36.525)</f>
        <v>36.525</v>
      </c>
      <c r="M226" s="32">
        <f>IFERROR(__xludf.DUMMYFUNCTION("""COMPUTED_VALUE"""),102.45)</f>
        <v>102.45</v>
      </c>
      <c r="N226" s="32">
        <f>IFERROR(__xludf.DUMMYFUNCTION("""COMPUTED_VALUE"""),36.525)</f>
        <v>36.525</v>
      </c>
      <c r="O226" s="32">
        <f>IFERROR(__xludf.DUMMYFUNCTION("""COMPUTED_VALUE"""),119.0)</f>
        <v>119</v>
      </c>
      <c r="P226" s="32">
        <f>IFERROR(__xludf.DUMMYFUNCTION("""COMPUTED_VALUE"""),0.899733)</f>
        <v>0.899733</v>
      </c>
      <c r="Q226" s="32">
        <f>IFERROR(__xludf.DUMMYFUNCTION("""COMPUTED_VALUE"""),119.0)</f>
        <v>119</v>
      </c>
      <c r="R226" s="32">
        <f>IFERROR(__xludf.DUMMYFUNCTION("""COMPUTED_VALUE"""),10770.25974375)</f>
        <v>10770.25974</v>
      </c>
      <c r="S226" s="32">
        <f>IFERROR(__xludf.DUMMYFUNCTION("""COMPUTED_VALUE"""),21742.20558785)</f>
        <v>21742.20559</v>
      </c>
      <c r="T226" s="32">
        <f>IFERROR(__xludf.DUMMYFUNCTION("""COMPUTED_VALUE"""),1.626016)</f>
        <v>1.626016</v>
      </c>
      <c r="U226" s="32">
        <f>IFERROR(__xludf.DUMMYFUNCTION("""COMPUTED_VALUE"""),1.689612)</f>
        <v>1.689612</v>
      </c>
      <c r="V226" s="32">
        <f>IFERROR(__xludf.DUMMYFUNCTION("""COMPUTED_VALUE"""),2.523659)</f>
        <v>2.523659</v>
      </c>
      <c r="W226" s="32">
        <f>IFERROR(__xludf.DUMMYFUNCTION("""COMPUTED_VALUE"""),-2.037618)</f>
        <v>-2.037618</v>
      </c>
      <c r="X226" s="32">
        <f>IFERROR(__xludf.DUMMYFUNCTION("""COMPUTED_VALUE"""),2.517532)</f>
        <v>2.517532</v>
      </c>
      <c r="Y226" s="32">
        <f>IFERROR(__xludf.DUMMYFUNCTION("""COMPUTED_VALUE"""),-4.735639)</f>
        <v>-4.735639</v>
      </c>
      <c r="Z226" s="32">
        <f>IFERROR(__xludf.DUMMYFUNCTION("""COMPUTED_VALUE"""),10.379461)</f>
        <v>10.379461</v>
      </c>
      <c r="AA226" s="32">
        <f>IFERROR(__xludf.DUMMYFUNCTION("""COMPUTED_VALUE"""),7.829)</f>
        <v>7.829</v>
      </c>
      <c r="AB226" s="32">
        <f>IFERROR(__xludf.DUMMYFUNCTION("""COMPUTED_VALUE"""),8.46715)</f>
        <v>8.46715</v>
      </c>
      <c r="AC226" s="32">
        <f>IFERROR(__xludf.DUMMYFUNCTION("""COMPUTED_VALUE"""),1.006)</f>
        <v>1.006</v>
      </c>
      <c r="AD226" s="32">
        <f>IFERROR(__xludf.DUMMYFUNCTION("""COMPUTED_VALUE"""),0.9605)</f>
        <v>0.9605</v>
      </c>
      <c r="AE226" s="32">
        <f>IFERROR(__xludf.DUMMYFUNCTION("""COMPUTED_VALUE"""),14.999181)</f>
        <v>14.999181</v>
      </c>
      <c r="AF226" s="32">
        <f>IFERROR(__xludf.DUMMYFUNCTION("""COMPUTED_VALUE"""),0.601849)</f>
        <v>0.601849</v>
      </c>
      <c r="AG226" s="32">
        <f>IFERROR(__xludf.DUMMYFUNCTION("""COMPUTED_VALUE"""),5.5453)</f>
        <v>5.5453</v>
      </c>
      <c r="AH226" s="32">
        <f>IFERROR(__xludf.DUMMYFUNCTION("""COMPUTED_VALUE"""),5.605106)</f>
        <v>5.605106</v>
      </c>
      <c r="AI226" s="32">
        <f>IFERROR(__xludf.DUMMYFUNCTION("""COMPUTED_VALUE"""),0.8017762036588997)</f>
        <v>0.8017762037</v>
      </c>
      <c r="AJ226" s="32">
        <f>IFERROR(__xludf.DUMMYFUNCTION("""COMPUTED_VALUE"""),4.309707108544378)</f>
        <v>4.309707109</v>
      </c>
      <c r="AK226" s="32">
        <f>IFERROR(__xludf.DUMMYFUNCTION("""COMPUTED_VALUE"""),10.3653)</f>
        <v>10.3653</v>
      </c>
      <c r="AL226" s="32">
        <f>IFERROR(__xludf.DUMMYFUNCTION("""COMPUTED_VALUE"""),80.6654)</f>
        <v>80.6654</v>
      </c>
      <c r="AM226" s="32">
        <f>IFERROR(__xludf.DUMMYFUNCTION("""COMPUTED_VALUE"""),18.852369)</f>
        <v>18.852369</v>
      </c>
      <c r="AN226" s="32">
        <f>IFERROR(__xludf.DUMMYFUNCTION("""COMPUTED_VALUE"""),4.300015)</f>
        <v>4.300015</v>
      </c>
      <c r="AO226" s="32">
        <f>IFERROR(__xludf.DUMMYFUNCTION("""COMPUTED_VALUE"""),4.5)</f>
        <v>4.5</v>
      </c>
      <c r="AP226" s="32">
        <f>IFERROR(__xludf.DUMMYFUNCTION("""COMPUTED_VALUE"""),0.20693020985846758)</f>
        <v>0.2069302099</v>
      </c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>
      <c r="A227" s="13" t="str">
        <f>IFERROR(__xludf.DUMMYFUNCTION("""COMPUTED_VALUE"""),"EPL Ltd.")</f>
        <v>EPL Ltd.</v>
      </c>
      <c r="B227" s="30">
        <f>IFERROR(__xludf.DUMMYFUNCTION("""COMPUTED_VALUE"""),500135.0)</f>
        <v>500135</v>
      </c>
      <c r="C227" s="13" t="str">
        <f>IFERROR(__xludf.DUMMYFUNCTION("""COMPUTED_VALUE"""),"EPL")</f>
        <v>EPL</v>
      </c>
      <c r="D227" s="13" t="str">
        <f>IFERROR(__xludf.DUMMYFUNCTION("""COMPUTED_VALUE"""),"INE255A01020")</f>
        <v>INE255A01020</v>
      </c>
      <c r="E227" s="13" t="str">
        <f>IFERROR(__xludf.DUMMYFUNCTION("""COMPUTED_VALUE"""),"Materials")</f>
        <v>Materials</v>
      </c>
      <c r="F227" s="13" t="str">
        <f>IFERROR(__xludf.DUMMYFUNCTION("""COMPUTED_VALUE"""),"Packaging &amp; Containers")</f>
        <v>Packaging &amp; Containers</v>
      </c>
      <c r="G227" s="31">
        <f>IFERROR(__xludf.DUMMYFUNCTION("""COMPUTED_VALUE"""),44809.0)</f>
        <v>44809</v>
      </c>
      <c r="H227" s="32">
        <f>IFERROR(__xludf.DUMMYFUNCTION("""COMPUTED_VALUE"""),171.5)</f>
        <v>171.5</v>
      </c>
      <c r="I227" s="32">
        <f>IFERROR(__xludf.DUMMYFUNCTION("""COMPUTED_VALUE"""),0.882353)</f>
        <v>0.882353</v>
      </c>
      <c r="J227" s="32">
        <f>IFERROR(__xludf.DUMMYFUNCTION("""COMPUTED_VALUE"""),147.15)</f>
        <v>147.15</v>
      </c>
      <c r="K227" s="32">
        <f>IFERROR(__xludf.DUMMYFUNCTION("""COMPUTED_VALUE"""),259.2)</f>
        <v>259.2</v>
      </c>
      <c r="L227" s="32">
        <f>IFERROR(__xludf.DUMMYFUNCTION("""COMPUTED_VALUE"""),100.95)</f>
        <v>100.95</v>
      </c>
      <c r="M227" s="32">
        <f>IFERROR(__xludf.DUMMYFUNCTION("""COMPUTED_VALUE"""),318.75)</f>
        <v>318.75</v>
      </c>
      <c r="N227" s="32">
        <f>IFERROR(__xludf.DUMMYFUNCTION("""COMPUTED_VALUE"""),78.75)</f>
        <v>78.75</v>
      </c>
      <c r="O227" s="32">
        <f>IFERROR(__xludf.DUMMYFUNCTION("""COMPUTED_VALUE"""),318.75)</f>
        <v>318.75</v>
      </c>
      <c r="P227" s="32">
        <f>IFERROR(__xludf.DUMMYFUNCTION("""COMPUTED_VALUE"""),4.75)</f>
        <v>4.75</v>
      </c>
      <c r="Q227" s="32">
        <f>IFERROR(__xludf.DUMMYFUNCTION("""COMPUTED_VALUE"""),318.75)</f>
        <v>318.75</v>
      </c>
      <c r="R227" s="32">
        <f>IFERROR(__xludf.DUMMYFUNCTION("""COMPUTED_VALUE"""),5417.18214485)</f>
        <v>5417.182145</v>
      </c>
      <c r="S227" s="32">
        <f>IFERROR(__xludf.DUMMYFUNCTION("""COMPUTED_VALUE"""),5831.14283621)</f>
        <v>5831.142836</v>
      </c>
      <c r="T227" s="32">
        <f>IFERROR(__xludf.DUMMYFUNCTION("""COMPUTED_VALUE"""),3.313253)</f>
        <v>3.313253</v>
      </c>
      <c r="U227" s="32">
        <f>IFERROR(__xludf.DUMMYFUNCTION("""COMPUTED_VALUE"""),3.406693)</f>
        <v>3.406693</v>
      </c>
      <c r="V227" s="32">
        <f>IFERROR(__xludf.DUMMYFUNCTION("""COMPUTED_VALUE"""),1.030928)</f>
        <v>1.030928</v>
      </c>
      <c r="W227" s="32">
        <f>IFERROR(__xludf.DUMMYFUNCTION("""COMPUTED_VALUE"""),-28.452232)</f>
        <v>-28.452232</v>
      </c>
      <c r="X227" s="32">
        <f>IFERROR(__xludf.DUMMYFUNCTION("""COMPUTED_VALUE"""),17.78606)</f>
        <v>17.78606</v>
      </c>
      <c r="Y227" s="32">
        <f>IFERROR(__xludf.DUMMYFUNCTION("""COMPUTED_VALUE"""),5.375109)</f>
        <v>5.375109</v>
      </c>
      <c r="Z227" s="32">
        <f>IFERROR(__xludf.DUMMYFUNCTION("""COMPUTED_VALUE"""),26.989364)</f>
        <v>26.989364</v>
      </c>
      <c r="AA227" s="32">
        <f>IFERROR(__xludf.DUMMYFUNCTION("""COMPUTED_VALUE"""),28.6097)</f>
        <v>28.6097</v>
      </c>
      <c r="AB227" s="32">
        <f>IFERROR(__xludf.DUMMYFUNCTION("""COMPUTED_VALUE"""),25.82)</f>
        <v>25.82</v>
      </c>
      <c r="AC227" s="32">
        <f>IFERROR(__xludf.DUMMYFUNCTION("""COMPUTED_VALUE"""),2.9544)</f>
        <v>2.9544</v>
      </c>
      <c r="AD227" s="32">
        <f>IFERROR(__xludf.DUMMYFUNCTION("""COMPUTED_VALUE"""),3.4332)</f>
        <v>3.4332</v>
      </c>
      <c r="AE227" s="32">
        <f>IFERROR(__xludf.DUMMYFUNCTION("""COMPUTED_VALUE"""),5.506928)</f>
        <v>5.506928</v>
      </c>
      <c r="AF227" s="32">
        <f>IFERROR(__xludf.DUMMYFUNCTION("""COMPUTED_VALUE"""),19.291461)</f>
        <v>19.291461</v>
      </c>
      <c r="AG227" s="32">
        <f>IFERROR(__xludf.DUMMYFUNCTION("""COMPUTED_VALUE"""),2.5294)</f>
        <v>2.5294</v>
      </c>
      <c r="AH227" s="32">
        <f>IFERROR(__xludf.DUMMYFUNCTION("""COMPUTED_VALUE"""),10.271522)</f>
        <v>10.271522</v>
      </c>
      <c r="AI227" s="32">
        <f>IFERROR(__xludf.DUMMYFUNCTION("""COMPUTED_VALUE"""),1.5631747640600202)</f>
        <v>1.563174764</v>
      </c>
      <c r="AJ227" s="32">
        <f>IFERROR(__xludf.DUMMYFUNCTION("""COMPUTED_VALUE"""),17.3794743177735)</f>
        <v>17.37947432</v>
      </c>
      <c r="AK227" s="32">
        <f>IFERROR(__xludf.DUMMYFUNCTION("""COMPUTED_VALUE"""),6.012)</f>
        <v>6.012</v>
      </c>
      <c r="AL227" s="32">
        <f>IFERROR(__xludf.DUMMYFUNCTION("""COMPUTED_VALUE"""),58.2192)</f>
        <v>58.2192</v>
      </c>
      <c r="AM227" s="32">
        <f>IFERROR(__xludf.DUMMYFUNCTION("""COMPUTED_VALUE"""),9.863924)</f>
        <v>9.863924</v>
      </c>
      <c r="AN227" s="32">
        <f>IFERROR(__xludf.DUMMYFUNCTION("""COMPUTED_VALUE"""),-0.53481)</f>
        <v>-0.53481</v>
      </c>
      <c r="AO227" s="32">
        <f>IFERROR(__xludf.DUMMYFUNCTION("""COMPUTED_VALUE"""),4.3)</f>
        <v>4.3</v>
      </c>
      <c r="AP227" s="32">
        <f>IFERROR(__xludf.DUMMYFUNCTION("""COMPUTED_VALUE"""),0.33834876543209874)</f>
        <v>0.3383487654</v>
      </c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>
      <c r="A228" s="13" t="str">
        <f>IFERROR(__xludf.DUMMYFUNCTION("""COMPUTED_VALUE"""),"Praj Industries Ltd.")</f>
        <v>Praj Industries Ltd.</v>
      </c>
      <c r="B228" s="30">
        <f>IFERROR(__xludf.DUMMYFUNCTION("""COMPUTED_VALUE"""),522205.0)</f>
        <v>522205</v>
      </c>
      <c r="C228" s="13" t="str">
        <f>IFERROR(__xludf.DUMMYFUNCTION("""COMPUTED_VALUE"""),"PRAJIND")</f>
        <v>PRAJIND</v>
      </c>
      <c r="D228" s="13" t="str">
        <f>IFERROR(__xludf.DUMMYFUNCTION("""COMPUTED_VALUE"""),"INE074A01025")</f>
        <v>INE074A01025</v>
      </c>
      <c r="E228" s="13" t="str">
        <f>IFERROR(__xludf.DUMMYFUNCTION("""COMPUTED_VALUE"""),"Capital Goods")</f>
        <v>Capital Goods</v>
      </c>
      <c r="F228" s="13" t="str">
        <f>IFERROR(__xludf.DUMMYFUNCTION("""COMPUTED_VALUE"""),"Industrial Machinery")</f>
        <v>Industrial Machinery</v>
      </c>
      <c r="G228" s="31">
        <f>IFERROR(__xludf.DUMMYFUNCTION("""COMPUTED_VALUE"""),44809.0)</f>
        <v>44809</v>
      </c>
      <c r="H228" s="32">
        <f>IFERROR(__xludf.DUMMYFUNCTION("""COMPUTED_VALUE"""),414.4)</f>
        <v>414.4</v>
      </c>
      <c r="I228" s="32">
        <f>IFERROR(__xludf.DUMMYFUNCTION("""COMPUTED_VALUE"""),-1.766031)</f>
        <v>-1.766031</v>
      </c>
      <c r="J228" s="32">
        <f>IFERROR(__xludf.DUMMYFUNCTION("""COMPUTED_VALUE"""),289.05)</f>
        <v>289.05</v>
      </c>
      <c r="K228" s="32">
        <f>IFERROR(__xludf.DUMMYFUNCTION("""COMPUTED_VALUE"""),448.25)</f>
        <v>448.25</v>
      </c>
      <c r="L228" s="32">
        <f>IFERROR(__xludf.DUMMYFUNCTION("""COMPUTED_VALUE"""),43.0)</f>
        <v>43</v>
      </c>
      <c r="M228" s="32">
        <f>IFERROR(__xludf.DUMMYFUNCTION("""COMPUTED_VALUE"""),448.25)</f>
        <v>448.25</v>
      </c>
      <c r="N228" s="32">
        <f>IFERROR(__xludf.DUMMYFUNCTION("""COMPUTED_VALUE"""),43.0)</f>
        <v>43</v>
      </c>
      <c r="O228" s="32">
        <f>IFERROR(__xludf.DUMMYFUNCTION("""COMPUTED_VALUE"""),448.25)</f>
        <v>448.25</v>
      </c>
      <c r="P228" s="32">
        <f>IFERROR(__xludf.DUMMYFUNCTION("""COMPUTED_VALUE"""),0.15)</f>
        <v>0.15</v>
      </c>
      <c r="Q228" s="32">
        <f>IFERROR(__xludf.DUMMYFUNCTION("""COMPUTED_VALUE"""),448.25)</f>
        <v>448.25</v>
      </c>
      <c r="R228" s="32">
        <f>IFERROR(__xludf.DUMMYFUNCTION("""COMPUTED_VALUE"""),7611.41276672)</f>
        <v>7611.412767</v>
      </c>
      <c r="S228" s="32">
        <f>IFERROR(__xludf.DUMMYFUNCTION("""COMPUTED_VALUE"""),7208.14633344)</f>
        <v>7208.146333</v>
      </c>
      <c r="T228" s="32">
        <f>IFERROR(__xludf.DUMMYFUNCTION("""COMPUTED_VALUE"""),6.270035)</f>
        <v>6.270035</v>
      </c>
      <c r="U228" s="32">
        <f>IFERROR(__xludf.DUMMYFUNCTION("""COMPUTED_VALUE"""),6.611783)</f>
        <v>6.611783</v>
      </c>
      <c r="V228" s="32">
        <f>IFERROR(__xludf.DUMMYFUNCTION("""COMPUTED_VALUE"""),24.109015)</f>
        <v>24.109015</v>
      </c>
      <c r="W228" s="32">
        <f>IFERROR(__xludf.DUMMYFUNCTION("""COMPUTED_VALUE"""),22.458629)</f>
        <v>22.458629</v>
      </c>
      <c r="X228" s="32">
        <f>IFERROR(__xludf.DUMMYFUNCTION("""COMPUTED_VALUE"""),56.026488)</f>
        <v>56.026488</v>
      </c>
      <c r="Y228" s="32">
        <f>IFERROR(__xludf.DUMMYFUNCTION("""COMPUTED_VALUE"""),43.926063)</f>
        <v>43.926063</v>
      </c>
      <c r="Z228" s="32">
        <f>IFERROR(__xludf.DUMMYFUNCTION("""COMPUTED_VALUE"""),24.817707)</f>
        <v>24.817707</v>
      </c>
      <c r="AA228" s="32">
        <f>IFERROR(__xludf.DUMMYFUNCTION("""COMPUTED_VALUE"""),44.9391)</f>
        <v>44.9391</v>
      </c>
      <c r="AB228" s="32">
        <f>IFERROR(__xludf.DUMMYFUNCTION("""COMPUTED_VALUE"""),42.18365)</f>
        <v>42.18365</v>
      </c>
      <c r="AC228" s="32">
        <f>IFERROR(__xludf.DUMMYFUNCTION("""COMPUTED_VALUE"""),7.9742)</f>
        <v>7.9742</v>
      </c>
      <c r="AD228" s="32">
        <f>IFERROR(__xludf.DUMMYFUNCTION("""COMPUTED_VALUE"""),2.93935)</f>
        <v>2.93935</v>
      </c>
      <c r="AE228" s="32">
        <f>IFERROR(__xludf.DUMMYFUNCTION("""COMPUTED_VALUE"""),3.839368)</f>
        <v>3.839368</v>
      </c>
      <c r="AF228" s="32">
        <f>IFERROR(__xludf.DUMMYFUNCTION("""COMPUTED_VALUE"""),1.367418)</f>
        <v>1.367418</v>
      </c>
      <c r="AG228" s="32">
        <f>IFERROR(__xludf.DUMMYFUNCTION("""COMPUTED_VALUE"""),1.014)</f>
        <v>1.014</v>
      </c>
      <c r="AH228" s="32">
        <f>IFERROR(__xludf.DUMMYFUNCTION("""COMPUTED_VALUE"""),28.200885)</f>
        <v>28.200885</v>
      </c>
      <c r="AI228" s="32">
        <f>IFERROR(__xludf.DUMMYFUNCTION("""COMPUTED_VALUE"""),2.843336496180326)</f>
        <v>2.843336496</v>
      </c>
      <c r="AJ228" s="32">
        <f>IFERROR(__xludf.DUMMYFUNCTION("""COMPUTED_VALUE"""),43.56049702813451)</f>
        <v>43.56049703</v>
      </c>
      <c r="AK228" s="32">
        <f>IFERROR(__xludf.DUMMYFUNCTION("""COMPUTED_VALUE"""),9.2169)</f>
        <v>9.2169</v>
      </c>
      <c r="AL228" s="32">
        <f>IFERROR(__xludf.DUMMYFUNCTION("""COMPUTED_VALUE"""),51.9424)</f>
        <v>51.9424</v>
      </c>
      <c r="AM228" s="32">
        <f>IFERROR(__xludf.DUMMYFUNCTION("""COMPUTED_VALUE"""),9.513107)</f>
        <v>9.513107</v>
      </c>
      <c r="AN228" s="32">
        <f>IFERROR(__xludf.DUMMYFUNCTION("""COMPUTED_VALUE"""),8.910412)</f>
        <v>8.910412</v>
      </c>
      <c r="AO228" s="32">
        <f>IFERROR(__xludf.DUMMYFUNCTION("""COMPUTED_VALUE"""),4.2)</f>
        <v>4.2</v>
      </c>
      <c r="AP228" s="32">
        <f>IFERROR(__xludf.DUMMYFUNCTION("""COMPUTED_VALUE"""),0.07551589514779704)</f>
        <v>0.07551589515</v>
      </c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>
      <c r="A229" s="13" t="str">
        <f>IFERROR(__xludf.DUMMYFUNCTION("""COMPUTED_VALUE"""),"Bajaj Finserv Ltd.")</f>
        <v>Bajaj Finserv Ltd.</v>
      </c>
      <c r="B229" s="30">
        <f>IFERROR(__xludf.DUMMYFUNCTION("""COMPUTED_VALUE"""),532978.0)</f>
        <v>532978</v>
      </c>
      <c r="C229" s="13" t="str">
        <f>IFERROR(__xludf.DUMMYFUNCTION("""COMPUTED_VALUE"""),"BAJAJFINSV")</f>
        <v>BAJAJFINSV</v>
      </c>
      <c r="D229" s="13" t="str">
        <f>IFERROR(__xludf.DUMMYFUNCTION("""COMPUTED_VALUE"""),"INE918I01018")</f>
        <v>INE918I01018</v>
      </c>
      <c r="E229" s="13" t="str">
        <f>IFERROR(__xludf.DUMMYFUNCTION("""COMPUTED_VALUE"""),"Financial")</f>
        <v>Financial</v>
      </c>
      <c r="F229" s="13" t="str">
        <f>IFERROR(__xludf.DUMMYFUNCTION("""COMPUTED_VALUE"""),"Misc. Fin.services")</f>
        <v>Misc. Fin.services</v>
      </c>
      <c r="G229" s="31">
        <f>IFERROR(__xludf.DUMMYFUNCTION("""COMPUTED_VALUE"""),44809.0)</f>
        <v>44809</v>
      </c>
      <c r="H229" s="32">
        <f>IFERROR(__xludf.DUMMYFUNCTION("""COMPUTED_VALUE"""),17376.1)</f>
        <v>17376.1</v>
      </c>
      <c r="I229" s="32">
        <f>IFERROR(__xludf.DUMMYFUNCTION("""COMPUTED_VALUE"""),0.270352)</f>
        <v>0.270352</v>
      </c>
      <c r="J229" s="32">
        <f>IFERROR(__xludf.DUMMYFUNCTION("""COMPUTED_VALUE"""),10727.2)</f>
        <v>10727.2</v>
      </c>
      <c r="K229" s="32">
        <f>IFERROR(__xludf.DUMMYFUNCTION("""COMPUTED_VALUE"""),19325.0)</f>
        <v>19325</v>
      </c>
      <c r="L229" s="32">
        <f>IFERROR(__xludf.DUMMYFUNCTION("""COMPUTED_VALUE"""),3985.3)</f>
        <v>3985.3</v>
      </c>
      <c r="M229" s="32">
        <f>IFERROR(__xludf.DUMMYFUNCTION("""COMPUTED_VALUE"""),19325.0)</f>
        <v>19325</v>
      </c>
      <c r="N229" s="32">
        <f>IFERROR(__xludf.DUMMYFUNCTION("""COMPUTED_VALUE"""),3985.3)</f>
        <v>3985.3</v>
      </c>
      <c r="O229" s="32">
        <f>IFERROR(__xludf.DUMMYFUNCTION("""COMPUTED_VALUE"""),19325.0)</f>
        <v>19325</v>
      </c>
      <c r="P229" s="32">
        <f>IFERROR(__xludf.DUMMYFUNCTION("""COMPUTED_VALUE"""),86.60419)</f>
        <v>86.60419</v>
      </c>
      <c r="Q229" s="32">
        <f>IFERROR(__xludf.DUMMYFUNCTION("""COMPUTED_VALUE"""),19325.0)</f>
        <v>19325</v>
      </c>
      <c r="R229" s="32">
        <f>IFERROR(__xludf.DUMMYFUNCTION("""COMPUTED_VALUE"""),276760.96392275504)</f>
        <v>276760.9639</v>
      </c>
      <c r="S229" s="32">
        <f>IFERROR(__xludf.DUMMYFUNCTION("""COMPUTED_VALUE"""),424736.213797605)</f>
        <v>424736.2138</v>
      </c>
      <c r="T229" s="32">
        <f>IFERROR(__xludf.DUMMYFUNCTION("""COMPUTED_VALUE"""),6.693479)</f>
        <v>6.693479</v>
      </c>
      <c r="U229" s="32">
        <f>IFERROR(__xludf.DUMMYFUNCTION("""COMPUTED_VALUE"""),14.42711)</f>
        <v>14.42711</v>
      </c>
      <c r="V229" s="32">
        <f>IFERROR(__xludf.DUMMYFUNCTION("""COMPUTED_VALUE"""),36.91024)</f>
        <v>36.91024</v>
      </c>
      <c r="W229" s="32">
        <f>IFERROR(__xludf.DUMMYFUNCTION("""COMPUTED_VALUE"""),3.834926)</f>
        <v>3.834926</v>
      </c>
      <c r="X229" s="32">
        <f>IFERROR(__xludf.DUMMYFUNCTION("""COMPUTED_VALUE"""),35.251208)</f>
        <v>35.251208</v>
      </c>
      <c r="Y229" s="32">
        <f>IFERROR(__xludf.DUMMYFUNCTION("""COMPUTED_VALUE"""),26.438232)</f>
        <v>26.438232</v>
      </c>
      <c r="Z229" s="32">
        <f>IFERROR(__xludf.DUMMYFUNCTION("""COMPUTED_VALUE"""),36.177648)</f>
        <v>36.177648</v>
      </c>
      <c r="AA229" s="32">
        <f>IFERROR(__xludf.DUMMYFUNCTION("""COMPUTED_VALUE"""),54.9851)</f>
        <v>54.9851</v>
      </c>
      <c r="AB229" s="32">
        <f>IFERROR(__xludf.DUMMYFUNCTION("""COMPUTED_VALUE"""),38.24835)</f>
        <v>38.24835</v>
      </c>
      <c r="AC229" s="32">
        <f>IFERROR(__xludf.DUMMYFUNCTION("""COMPUTED_VALUE"""),6.52)</f>
        <v>6.52</v>
      </c>
      <c r="AD229" s="32">
        <f>IFERROR(__xludf.DUMMYFUNCTION("""COMPUTED_VALUE"""),4.72475)</f>
        <v>4.72475</v>
      </c>
      <c r="AE229" s="32">
        <f>IFERROR(__xludf.DUMMYFUNCTION("""COMPUTED_VALUE"""),5.544902)</f>
        <v>5.544902</v>
      </c>
      <c r="AF229" s="32">
        <f>IFERROR(__xludf.DUMMYFUNCTION("""COMPUTED_VALUE"""),2.517439)</f>
        <v>2.517439</v>
      </c>
      <c r="AG229" s="32">
        <f>IFERROR(__xludf.DUMMYFUNCTION("""COMPUTED_VALUE"""),0.023)</f>
        <v>0.023</v>
      </c>
      <c r="AH229" s="32">
        <f>IFERROR(__xludf.DUMMYFUNCTION("""COMPUTED_VALUE"""),18.029774)</f>
        <v>18.029774</v>
      </c>
      <c r="AI229" s="32">
        <f>IFERROR(__xludf.DUMMYFUNCTION("""COMPUTED_VALUE"""),7.747488189509771)</f>
        <v>7.74748819</v>
      </c>
      <c r="AJ229" s="32">
        <f>IFERROR(__xludf.DUMMYFUNCTION("""COMPUTED_VALUE"""),-8.219811289601067)</f>
        <v>-8.21981129</v>
      </c>
      <c r="AK229" s="32">
        <f>IFERROR(__xludf.DUMMYFUNCTION("""COMPUTED_VALUE"""),316.0064)</f>
        <v>316.0064</v>
      </c>
      <c r="AL229" s="32">
        <f>IFERROR(__xludf.DUMMYFUNCTION("""COMPUTED_VALUE"""),2664.9619)</f>
        <v>2664.9619</v>
      </c>
      <c r="AM229" s="32">
        <f>IFERROR(__xludf.DUMMYFUNCTION("""COMPUTED_VALUE"""),-2115.746513)</f>
        <v>-2115.746513</v>
      </c>
      <c r="AN229" s="32">
        <f>IFERROR(__xludf.DUMMYFUNCTION("""COMPUTED_VALUE"""),-2183.609401)</f>
        <v>-2183.609401</v>
      </c>
      <c r="AO229" s="32">
        <f>IFERROR(__xludf.DUMMYFUNCTION("""COMPUTED_VALUE"""),4.0)</f>
        <v>4</v>
      </c>
      <c r="AP229" s="32">
        <f>IFERROR(__xludf.DUMMYFUNCTION("""COMPUTED_VALUE"""),0.10084864165588624)</f>
        <v>0.1008486417</v>
      </c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>
      <c r="A230" s="13" t="str">
        <f>IFERROR(__xludf.DUMMYFUNCTION("""COMPUTED_VALUE"""),"Century Textiles &amp; Industries Ltd.")</f>
        <v>Century Textiles &amp; Industries Ltd.</v>
      </c>
      <c r="B230" s="30">
        <f>IFERROR(__xludf.DUMMYFUNCTION("""COMPUTED_VALUE"""),500040.0)</f>
        <v>500040</v>
      </c>
      <c r="C230" s="13" t="str">
        <f>IFERROR(__xludf.DUMMYFUNCTION("""COMPUTED_VALUE"""),"CENTURYTEX")</f>
        <v>CENTURYTEX</v>
      </c>
      <c r="D230" s="13" t="str">
        <f>IFERROR(__xludf.DUMMYFUNCTION("""COMPUTED_VALUE"""),"INE055A01016")</f>
        <v>INE055A01016</v>
      </c>
      <c r="E230" s="13" t="str">
        <f>IFERROR(__xludf.DUMMYFUNCTION("""COMPUTED_VALUE"""),"Consumer Staples")</f>
        <v>Consumer Staples</v>
      </c>
      <c r="F230" s="13" t="str">
        <f>IFERROR(__xludf.DUMMYFUNCTION("""COMPUTED_VALUE"""),"Paper")</f>
        <v>Paper</v>
      </c>
      <c r="G230" s="31">
        <f>IFERROR(__xludf.DUMMYFUNCTION("""COMPUTED_VALUE"""),44809.0)</f>
        <v>44809</v>
      </c>
      <c r="H230" s="32">
        <f>IFERROR(__xludf.DUMMYFUNCTION("""COMPUTED_VALUE"""),884.1)</f>
        <v>884.1</v>
      </c>
      <c r="I230" s="32">
        <f>IFERROR(__xludf.DUMMYFUNCTION("""COMPUTED_VALUE"""),3.883438)</f>
        <v>3.883438</v>
      </c>
      <c r="J230" s="32">
        <f>IFERROR(__xludf.DUMMYFUNCTION("""COMPUTED_VALUE"""),685.7)</f>
        <v>685.7</v>
      </c>
      <c r="K230" s="32">
        <f>IFERROR(__xludf.DUMMYFUNCTION("""COMPUTED_VALUE"""),1025.0)</f>
        <v>1025</v>
      </c>
      <c r="L230" s="32">
        <f>IFERROR(__xludf.DUMMYFUNCTION("""COMPUTED_VALUE"""),218.6)</f>
        <v>218.6</v>
      </c>
      <c r="M230" s="32">
        <f>IFERROR(__xludf.DUMMYFUNCTION("""COMPUTED_VALUE"""),1025.0)</f>
        <v>1025</v>
      </c>
      <c r="N230" s="32">
        <f>IFERROR(__xludf.DUMMYFUNCTION("""COMPUTED_VALUE"""),218.6)</f>
        <v>218.6</v>
      </c>
      <c r="O230" s="32">
        <f>IFERROR(__xludf.DUMMYFUNCTION("""COMPUTED_VALUE"""),1471.85)</f>
        <v>1471.85</v>
      </c>
      <c r="P230" s="32">
        <f>IFERROR(__xludf.DUMMYFUNCTION("""COMPUTED_VALUE"""),20.55)</f>
        <v>20.55</v>
      </c>
      <c r="Q230" s="32">
        <f>IFERROR(__xludf.DUMMYFUNCTION("""COMPUTED_VALUE"""),1471.85)</f>
        <v>1471.85</v>
      </c>
      <c r="R230" s="32">
        <f>IFERROR(__xludf.DUMMYFUNCTION("""COMPUTED_VALUE"""),9875.0150688)</f>
        <v>9875.015069</v>
      </c>
      <c r="S230" s="32">
        <f>IFERROR(__xludf.DUMMYFUNCTION("""COMPUTED_VALUE"""),10566.6267136)</f>
        <v>10566.62671</v>
      </c>
      <c r="T230" s="32">
        <f>IFERROR(__xludf.DUMMYFUNCTION("""COMPUTED_VALUE"""),3.415604)</f>
        <v>3.415604</v>
      </c>
      <c r="U230" s="32">
        <f>IFERROR(__xludf.DUMMYFUNCTION("""COMPUTED_VALUE"""),4.31243)</f>
        <v>4.31243</v>
      </c>
      <c r="V230" s="32">
        <f>IFERROR(__xludf.DUMMYFUNCTION("""COMPUTED_VALUE"""),-0.562366)</f>
        <v>-0.562366</v>
      </c>
      <c r="W230" s="32">
        <f>IFERROR(__xludf.DUMMYFUNCTION("""COMPUTED_VALUE"""),4.091364)</f>
        <v>4.091364</v>
      </c>
      <c r="X230" s="32">
        <f>IFERROR(__xludf.DUMMYFUNCTION("""COMPUTED_VALUE"""),1.68192)</f>
        <v>1.68192</v>
      </c>
      <c r="Y230" s="32">
        <f>IFERROR(__xludf.DUMMYFUNCTION("""COMPUTED_VALUE"""),-6.591781)</f>
        <v>-6.591781</v>
      </c>
      <c r="Z230" s="32">
        <f>IFERROR(__xludf.DUMMYFUNCTION("""COMPUTED_VALUE"""),10.544047)</f>
        <v>10.544047</v>
      </c>
      <c r="AA230" s="32">
        <f>IFERROR(__xludf.DUMMYFUNCTION("""COMPUTED_VALUE"""),51.7156)</f>
        <v>51.7156</v>
      </c>
      <c r="AB230" s="32">
        <f>IFERROR(__xludf.DUMMYFUNCTION("""COMPUTED_VALUE"""),27.2426)</f>
        <v>27.2426</v>
      </c>
      <c r="AC230" s="32">
        <f>IFERROR(__xludf.DUMMYFUNCTION("""COMPUTED_VALUE"""),2.6274)</f>
        <v>2.6274</v>
      </c>
      <c r="AD230" s="32">
        <f>IFERROR(__xludf.DUMMYFUNCTION("""COMPUTED_VALUE"""),2.54765)</f>
        <v>2.54765</v>
      </c>
      <c r="AE230" s="32">
        <f>IFERROR(__xludf.DUMMYFUNCTION("""COMPUTED_VALUE"""),2.934143)</f>
        <v>2.934143</v>
      </c>
      <c r="AF230" s="32">
        <f>IFERROR(__xludf.DUMMYFUNCTION("""COMPUTED_VALUE"""),11.526859)</f>
        <v>11.526859</v>
      </c>
      <c r="AG230" s="32">
        <f>IFERROR(__xludf.DUMMYFUNCTION("""COMPUTED_VALUE"""),0.4517)</f>
        <v>0.4517</v>
      </c>
      <c r="AH230" s="32">
        <f>IFERROR(__xludf.DUMMYFUNCTION("""COMPUTED_VALUE"""),20.56124)</f>
        <v>20.56124</v>
      </c>
      <c r="AI230" s="32">
        <f>IFERROR(__xludf.DUMMYFUNCTION("""COMPUTED_VALUE"""),2.2402535098310112)</f>
        <v>2.24025351</v>
      </c>
      <c r="AJ230" s="32">
        <f>IFERROR(__xludf.DUMMYFUNCTION("""COMPUTED_VALUE"""),-193.13544042245258)</f>
        <v>-193.1354404</v>
      </c>
      <c r="AK230" s="32">
        <f>IFERROR(__xludf.DUMMYFUNCTION("""COMPUTED_VALUE"""),17.1215)</f>
        <v>17.1215</v>
      </c>
      <c r="AL230" s="32">
        <f>IFERROR(__xludf.DUMMYFUNCTION("""COMPUTED_VALUE"""),337.0082)</f>
        <v>337.0082</v>
      </c>
      <c r="AM230" s="32">
        <f>IFERROR(__xludf.DUMMYFUNCTION("""COMPUTED_VALUE"""),-4.577849)</f>
        <v>-4.577849</v>
      </c>
      <c r="AN230" s="32">
        <f>IFERROR(__xludf.DUMMYFUNCTION("""COMPUTED_VALUE"""),-13.173068)</f>
        <v>-13.173068</v>
      </c>
      <c r="AO230" s="32">
        <f>IFERROR(__xludf.DUMMYFUNCTION("""COMPUTED_VALUE"""),4.0)</f>
        <v>4</v>
      </c>
      <c r="AP230" s="32">
        <f>IFERROR(__xludf.DUMMYFUNCTION("""COMPUTED_VALUE"""),0.13746341463414632)</f>
        <v>0.1374634146</v>
      </c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>
      <c r="A231" s="13" t="str">
        <f>IFERROR(__xludf.DUMMYFUNCTION("""COMPUTED_VALUE"""),"Finolex Industries Ltd.")</f>
        <v>Finolex Industries Ltd.</v>
      </c>
      <c r="B231" s="30">
        <f>IFERROR(__xludf.DUMMYFUNCTION("""COMPUTED_VALUE"""),500940.0)</f>
        <v>500940</v>
      </c>
      <c r="C231" s="13" t="str">
        <f>IFERROR(__xludf.DUMMYFUNCTION("""COMPUTED_VALUE"""),"FINPIPE")</f>
        <v>FINPIPE</v>
      </c>
      <c r="D231" s="13" t="str">
        <f>IFERROR(__xludf.DUMMYFUNCTION("""COMPUTED_VALUE"""),"INE183A01024")</f>
        <v>INE183A01024</v>
      </c>
      <c r="E231" s="13" t="str">
        <f>IFERROR(__xludf.DUMMYFUNCTION("""COMPUTED_VALUE"""),"Materials")</f>
        <v>Materials</v>
      </c>
      <c r="F231" s="13" t="str">
        <f>IFERROR(__xludf.DUMMYFUNCTION("""COMPUTED_VALUE"""),"Plastic Tubes &amp; Pipes")</f>
        <v>Plastic Tubes &amp; Pipes</v>
      </c>
      <c r="G231" s="31">
        <f>IFERROR(__xludf.DUMMYFUNCTION("""COMPUTED_VALUE"""),44809.0)</f>
        <v>44809</v>
      </c>
      <c r="H231" s="32">
        <f>IFERROR(__xludf.DUMMYFUNCTION("""COMPUTED_VALUE"""),151.95)</f>
        <v>151.95</v>
      </c>
      <c r="I231" s="32">
        <f>IFERROR(__xludf.DUMMYFUNCTION("""COMPUTED_VALUE"""),3.226902)</f>
        <v>3.226902</v>
      </c>
      <c r="J231" s="32">
        <f>IFERROR(__xludf.DUMMYFUNCTION("""COMPUTED_VALUE"""),125.0)</f>
        <v>125</v>
      </c>
      <c r="K231" s="32">
        <f>IFERROR(__xludf.DUMMYFUNCTION("""COMPUTED_VALUE"""),268.0)</f>
        <v>268</v>
      </c>
      <c r="L231" s="32">
        <f>IFERROR(__xludf.DUMMYFUNCTION("""COMPUTED_VALUE"""),56.6)</f>
        <v>56.6</v>
      </c>
      <c r="M231" s="32">
        <f>IFERROR(__xludf.DUMMYFUNCTION("""COMPUTED_VALUE"""),268.0)</f>
        <v>268</v>
      </c>
      <c r="N231" s="32">
        <f>IFERROR(__xludf.DUMMYFUNCTION("""COMPUTED_VALUE"""),56.6)</f>
        <v>56.6</v>
      </c>
      <c r="O231" s="32">
        <f>IFERROR(__xludf.DUMMYFUNCTION("""COMPUTED_VALUE"""),268.0)</f>
        <v>268</v>
      </c>
      <c r="P231" s="32">
        <f>IFERROR(__xludf.DUMMYFUNCTION("""COMPUTED_VALUE"""),2.34)</f>
        <v>2.34</v>
      </c>
      <c r="Q231" s="32">
        <f>IFERROR(__xludf.DUMMYFUNCTION("""COMPUTED_VALUE"""),268.0)</f>
        <v>268</v>
      </c>
      <c r="R231" s="32">
        <f>IFERROR(__xludf.DUMMYFUNCTION("""COMPUTED_VALUE"""),9428.146571475)</f>
        <v>9428.146571</v>
      </c>
      <c r="S231" s="32">
        <f>IFERROR(__xludf.DUMMYFUNCTION("""COMPUTED_VALUE"""),7790.2995797)</f>
        <v>7790.29958</v>
      </c>
      <c r="T231" s="32">
        <f>IFERROR(__xludf.DUMMYFUNCTION("""COMPUTED_VALUE"""),4.540764)</f>
        <v>4.540764</v>
      </c>
      <c r="U231" s="32">
        <f>IFERROR(__xludf.DUMMYFUNCTION("""COMPUTED_VALUE"""),11.645849)</f>
        <v>11.645849</v>
      </c>
      <c r="V231" s="32">
        <f>IFERROR(__xludf.DUMMYFUNCTION("""COMPUTED_VALUE"""),-5.591799)</f>
        <v>-5.591799</v>
      </c>
      <c r="W231" s="32">
        <f>IFERROR(__xludf.DUMMYFUNCTION("""COMPUTED_VALUE"""),-11.21823)</f>
        <v>-11.21823</v>
      </c>
      <c r="X231" s="32">
        <f>IFERROR(__xludf.DUMMYFUNCTION("""COMPUTED_VALUE"""),14.84678)</f>
        <v>14.84678</v>
      </c>
      <c r="Y231" s="32">
        <f>IFERROR(__xludf.DUMMYFUNCTION("""COMPUTED_VALUE"""),4.539887)</f>
        <v>4.539887</v>
      </c>
      <c r="Z231" s="32">
        <f>IFERROR(__xludf.DUMMYFUNCTION("""COMPUTED_VALUE"""),29.415752)</f>
        <v>29.415752</v>
      </c>
      <c r="AA231" s="32">
        <f>IFERROR(__xludf.DUMMYFUNCTION("""COMPUTED_VALUE"""),9.3749)</f>
        <v>9.3749</v>
      </c>
      <c r="AB231" s="32">
        <f>IFERROR(__xludf.DUMMYFUNCTION("""COMPUTED_VALUE"""),17.78555)</f>
        <v>17.78555</v>
      </c>
      <c r="AC231" s="32">
        <f>IFERROR(__xludf.DUMMYFUNCTION("""COMPUTED_VALUE"""),2.3389)</f>
        <v>2.3389</v>
      </c>
      <c r="AD231" s="32">
        <f>IFERROR(__xludf.DUMMYFUNCTION("""COMPUTED_VALUE"""),2.90425)</f>
        <v>2.90425</v>
      </c>
      <c r="AE231" s="32">
        <f>IFERROR(__xludf.DUMMYFUNCTION("""COMPUTED_VALUE"""),12.951439)</f>
        <v>12.951439</v>
      </c>
      <c r="AF231" s="32">
        <f>IFERROR(__xludf.DUMMYFUNCTION("""COMPUTED_VALUE"""),0.375585)</f>
        <v>0.375585</v>
      </c>
      <c r="AG231" s="32">
        <f>IFERROR(__xludf.DUMMYFUNCTION("""COMPUTED_VALUE"""),2.6342)</f>
        <v>2.6342</v>
      </c>
      <c r="AH231" s="32">
        <f>IFERROR(__xludf.DUMMYFUNCTION("""COMPUTED_VALUE"""),7.548301)</f>
        <v>7.548301</v>
      </c>
      <c r="AI231" s="32">
        <f>IFERROR(__xludf.DUMMYFUNCTION("""COMPUTED_VALUE"""),1.9349393076101367)</f>
        <v>1.934939308</v>
      </c>
      <c r="AJ231" s="32">
        <f>IFERROR(__xludf.DUMMYFUNCTION("""COMPUTED_VALUE"""),15.158035613876429)</f>
        <v>15.15803561</v>
      </c>
      <c r="AK231" s="32">
        <f>IFERROR(__xludf.DUMMYFUNCTION("""COMPUTED_VALUE"""),16.1975)</f>
        <v>16.1975</v>
      </c>
      <c r="AL231" s="32">
        <f>IFERROR(__xludf.DUMMYFUNCTION("""COMPUTED_VALUE"""),64.9245)</f>
        <v>64.9245</v>
      </c>
      <c r="AM231" s="32">
        <f>IFERROR(__xludf.DUMMYFUNCTION("""COMPUTED_VALUE"""),10.024013)</f>
        <v>10.024013</v>
      </c>
      <c r="AN231" s="32">
        <f>IFERROR(__xludf.DUMMYFUNCTION("""COMPUTED_VALUE"""),15.732635)</f>
        <v>15.732635</v>
      </c>
      <c r="AO231" s="32">
        <f>IFERROR(__xludf.DUMMYFUNCTION("""COMPUTED_VALUE"""),4.0)</f>
        <v>4</v>
      </c>
      <c r="AP231" s="32">
        <f>IFERROR(__xludf.DUMMYFUNCTION("""COMPUTED_VALUE"""),0.43302238805970156)</f>
        <v>0.4330223881</v>
      </c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>
      <c r="A232" s="13" t="str">
        <f>IFERROR(__xludf.DUMMYFUNCTION("""COMPUTED_VALUE"""),"Gujarat Pipavav Port Ltd")</f>
        <v>Gujarat Pipavav Port Ltd</v>
      </c>
      <c r="B232" s="30">
        <f>IFERROR(__xludf.DUMMYFUNCTION("""COMPUTED_VALUE"""),533248.0)</f>
        <v>533248</v>
      </c>
      <c r="C232" s="13" t="str">
        <f>IFERROR(__xludf.DUMMYFUNCTION("""COMPUTED_VALUE"""),"GPPL")</f>
        <v>GPPL</v>
      </c>
      <c r="D232" s="13" t="str">
        <f>IFERROR(__xludf.DUMMYFUNCTION("""COMPUTED_VALUE"""),"INE517F01014")</f>
        <v>INE517F01014</v>
      </c>
      <c r="E232" s="13" t="str">
        <f>IFERROR(__xludf.DUMMYFUNCTION("""COMPUTED_VALUE"""),"Services")</f>
        <v>Services</v>
      </c>
      <c r="F232" s="13" t="str">
        <f>IFERROR(__xludf.DUMMYFUNCTION("""COMPUTED_VALUE"""),"Marine Port Services")</f>
        <v>Marine Port Services</v>
      </c>
      <c r="G232" s="31">
        <f>IFERROR(__xludf.DUMMYFUNCTION("""COMPUTED_VALUE"""),44809.0)</f>
        <v>44809</v>
      </c>
      <c r="H232" s="32">
        <f>IFERROR(__xludf.DUMMYFUNCTION("""COMPUTED_VALUE"""),86.85)</f>
        <v>86.85</v>
      </c>
      <c r="I232" s="32">
        <f>IFERROR(__xludf.DUMMYFUNCTION("""COMPUTED_VALUE"""),-0.057537)</f>
        <v>-0.057537</v>
      </c>
      <c r="J232" s="32">
        <f>IFERROR(__xludf.DUMMYFUNCTION("""COMPUTED_VALUE"""),70.3)</f>
        <v>70.3</v>
      </c>
      <c r="K232" s="32">
        <f>IFERROR(__xludf.DUMMYFUNCTION("""COMPUTED_VALUE"""),119.0)</f>
        <v>119</v>
      </c>
      <c r="L232" s="32">
        <f>IFERROR(__xludf.DUMMYFUNCTION("""COMPUTED_VALUE"""),45.5)</f>
        <v>45.5</v>
      </c>
      <c r="M232" s="32">
        <f>IFERROR(__xludf.DUMMYFUNCTION("""COMPUTED_VALUE"""),124.3)</f>
        <v>124.3</v>
      </c>
      <c r="N232" s="32">
        <f>IFERROR(__xludf.DUMMYFUNCTION("""COMPUTED_VALUE"""),45.5)</f>
        <v>45.5</v>
      </c>
      <c r="O232" s="32">
        <f>IFERROR(__xludf.DUMMYFUNCTION("""COMPUTED_VALUE"""),168.4)</f>
        <v>168.4</v>
      </c>
      <c r="P232" s="32">
        <f>IFERROR(__xludf.DUMMYFUNCTION("""COMPUTED_VALUE"""),41.0)</f>
        <v>41</v>
      </c>
      <c r="Q232" s="32">
        <f>IFERROR(__xludf.DUMMYFUNCTION("""COMPUTED_VALUE"""),262.0)</f>
        <v>262</v>
      </c>
      <c r="R232" s="32">
        <f>IFERROR(__xludf.DUMMYFUNCTION("""COMPUTED_VALUE"""),4201.0928179)</f>
        <v>4201.092818</v>
      </c>
      <c r="S232" s="32">
        <f>IFERROR(__xludf.DUMMYFUNCTION("""COMPUTED_VALUE"""),3342.89261835)</f>
        <v>3342.892618</v>
      </c>
      <c r="T232" s="32">
        <f>IFERROR(__xludf.DUMMYFUNCTION("""COMPUTED_VALUE"""),1.105937)</f>
        <v>1.105937</v>
      </c>
      <c r="U232" s="32">
        <f>IFERROR(__xludf.DUMMYFUNCTION("""COMPUTED_VALUE"""),7.28845)</f>
        <v>7.28845</v>
      </c>
      <c r="V232" s="32">
        <f>IFERROR(__xludf.DUMMYFUNCTION("""COMPUTED_VALUE"""),9.039548)</f>
        <v>9.039548</v>
      </c>
      <c r="W232" s="32">
        <f>IFERROR(__xludf.DUMMYFUNCTION("""COMPUTED_VALUE"""),-14.559764)</f>
        <v>-14.559764</v>
      </c>
      <c r="X232" s="32">
        <f>IFERROR(__xludf.DUMMYFUNCTION("""COMPUTED_VALUE"""),3.056241)</f>
        <v>3.056241</v>
      </c>
      <c r="Y232" s="32">
        <f>IFERROR(__xludf.DUMMYFUNCTION("""COMPUTED_VALUE"""),-7.693355)</f>
        <v>-7.693355</v>
      </c>
      <c r="Z232" s="32">
        <f>IFERROR(__xludf.DUMMYFUNCTION("""COMPUTED_VALUE"""),5.603189)</f>
        <v>5.603189</v>
      </c>
      <c r="AA232" s="32">
        <f>IFERROR(__xludf.DUMMYFUNCTION("""COMPUTED_VALUE"""),18.763)</f>
        <v>18.763</v>
      </c>
      <c r="AB232" s="32">
        <f>IFERROR(__xludf.DUMMYFUNCTION("""COMPUTED_VALUE"""),21.44085)</f>
        <v>21.44085</v>
      </c>
      <c r="AC232" s="32">
        <f>IFERROR(__xludf.DUMMYFUNCTION("""COMPUTED_VALUE"""),1.8258)</f>
        <v>1.8258</v>
      </c>
      <c r="AD232" s="32">
        <f>IFERROR(__xludf.DUMMYFUNCTION("""COMPUTED_VALUE"""),2.0639)</f>
        <v>2.0639</v>
      </c>
      <c r="AE232" s="32">
        <f>IFERROR(__xludf.DUMMYFUNCTION("""COMPUTED_VALUE"""),11.126264)</f>
        <v>11.126264</v>
      </c>
      <c r="AF232" s="32">
        <f>IFERROR(__xludf.DUMMYFUNCTION("""COMPUTED_VALUE"""),-3.973319)</f>
        <v>-3.973319</v>
      </c>
      <c r="AG232" s="32">
        <f>IFERROR(__xludf.DUMMYFUNCTION("""COMPUTED_VALUE"""),4.6003)</f>
        <v>4.6003</v>
      </c>
      <c r="AH232" s="32">
        <f>IFERROR(__xludf.DUMMYFUNCTION("""COMPUTED_VALUE"""),7.143299)</f>
        <v>7.143299</v>
      </c>
      <c r="AI232" s="32">
        <f>IFERROR(__xludf.DUMMYFUNCTION("""COMPUTED_VALUE"""),5.304108753795554)</f>
        <v>5.304108754</v>
      </c>
      <c r="AJ232" s="32">
        <f>IFERROR(__xludf.DUMMYFUNCTION("""COMPUTED_VALUE"""),11.04635057228876)</f>
        <v>11.04635057</v>
      </c>
      <c r="AK232" s="32">
        <f>IFERROR(__xludf.DUMMYFUNCTION("""COMPUTED_VALUE"""),4.6315)</f>
        <v>4.6315</v>
      </c>
      <c r="AL232" s="32">
        <f>IFERROR(__xludf.DUMMYFUNCTION("""COMPUTED_VALUE"""),47.5966)</f>
        <v>47.5966</v>
      </c>
      <c r="AM232" s="32">
        <f>IFERROR(__xludf.DUMMYFUNCTION("""COMPUTED_VALUE"""),7.86685)</f>
        <v>7.86685</v>
      </c>
      <c r="AN232" s="32">
        <f>IFERROR(__xludf.DUMMYFUNCTION("""COMPUTED_VALUE"""),6.29832)</f>
        <v>6.29832</v>
      </c>
      <c r="AO232" s="32">
        <f>IFERROR(__xludf.DUMMYFUNCTION("""COMPUTED_VALUE"""),4.0)</f>
        <v>4</v>
      </c>
      <c r="AP232" s="32">
        <f>IFERROR(__xludf.DUMMYFUNCTION("""COMPUTED_VALUE"""),0.2701680672268908)</f>
        <v>0.2701680672</v>
      </c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>
      <c r="A233" s="13" t="str">
        <f>IFERROR(__xludf.DUMMYFUNCTION("""COMPUTED_VALUE"""),"Hindalco Industries Ltd.")</f>
        <v>Hindalco Industries Ltd.</v>
      </c>
      <c r="B233" s="30">
        <f>IFERROR(__xludf.DUMMYFUNCTION("""COMPUTED_VALUE"""),500440.0)</f>
        <v>500440</v>
      </c>
      <c r="C233" s="13" t="str">
        <f>IFERROR(__xludf.DUMMYFUNCTION("""COMPUTED_VALUE"""),"HINDALCO")</f>
        <v>HINDALCO</v>
      </c>
      <c r="D233" s="13" t="str">
        <f>IFERROR(__xludf.DUMMYFUNCTION("""COMPUTED_VALUE"""),"INE038A01020")</f>
        <v>INE038A01020</v>
      </c>
      <c r="E233" s="13" t="str">
        <f>IFERROR(__xludf.DUMMYFUNCTION("""COMPUTED_VALUE"""),"Metals &amp; Mining")</f>
        <v>Metals &amp; Mining</v>
      </c>
      <c r="F233" s="13" t="str">
        <f>IFERROR(__xludf.DUMMYFUNCTION("""COMPUTED_VALUE"""),"Aluminium")</f>
        <v>Aluminium</v>
      </c>
      <c r="G233" s="31">
        <f>IFERROR(__xludf.DUMMYFUNCTION("""COMPUTED_VALUE"""),44809.0)</f>
        <v>44809</v>
      </c>
      <c r="H233" s="32">
        <f>IFERROR(__xludf.DUMMYFUNCTION("""COMPUTED_VALUE"""),429.3)</f>
        <v>429.3</v>
      </c>
      <c r="I233" s="32">
        <f>IFERROR(__xludf.DUMMYFUNCTION("""COMPUTED_VALUE"""),3.470716)</f>
        <v>3.470716</v>
      </c>
      <c r="J233" s="32">
        <f>IFERROR(__xludf.DUMMYFUNCTION("""COMPUTED_VALUE"""),308.95)</f>
        <v>308.95</v>
      </c>
      <c r="K233" s="32">
        <f>IFERROR(__xludf.DUMMYFUNCTION("""COMPUTED_VALUE"""),636.0)</f>
        <v>636</v>
      </c>
      <c r="L233" s="32">
        <f>IFERROR(__xludf.DUMMYFUNCTION("""COMPUTED_VALUE"""),84.9)</f>
        <v>84.9</v>
      </c>
      <c r="M233" s="32">
        <f>IFERROR(__xludf.DUMMYFUNCTION("""COMPUTED_VALUE"""),636.0)</f>
        <v>636</v>
      </c>
      <c r="N233" s="32">
        <f>IFERROR(__xludf.DUMMYFUNCTION("""COMPUTED_VALUE"""),84.9)</f>
        <v>84.9</v>
      </c>
      <c r="O233" s="32">
        <f>IFERROR(__xludf.DUMMYFUNCTION("""COMPUTED_VALUE"""),636.0)</f>
        <v>636</v>
      </c>
      <c r="P233" s="32">
        <f>IFERROR(__xludf.DUMMYFUNCTION("""COMPUTED_VALUE"""),36.75)</f>
        <v>36.75</v>
      </c>
      <c r="Q233" s="32">
        <f>IFERROR(__xludf.DUMMYFUNCTION("""COMPUTED_VALUE"""),636.0)</f>
        <v>636</v>
      </c>
      <c r="R233" s="32">
        <f>IFERROR(__xludf.DUMMYFUNCTION("""COMPUTED_VALUE"""),96471.22742937)</f>
        <v>96471.22743</v>
      </c>
      <c r="S233" s="32">
        <f>IFERROR(__xludf.DUMMYFUNCTION("""COMPUTED_VALUE"""),136082.29527241)</f>
        <v>136082.2953</v>
      </c>
      <c r="T233" s="32">
        <f>IFERROR(__xludf.DUMMYFUNCTION("""COMPUTED_VALUE"""),-2.442904)</f>
        <v>-2.442904</v>
      </c>
      <c r="U233" s="32">
        <f>IFERROR(__xludf.DUMMYFUNCTION("""COMPUTED_VALUE"""),1.802229)</f>
        <v>1.802229</v>
      </c>
      <c r="V233" s="32">
        <f>IFERROR(__xludf.DUMMYFUNCTION("""COMPUTED_VALUE"""),5.543946)</f>
        <v>5.543946</v>
      </c>
      <c r="W233" s="32">
        <f>IFERROR(__xludf.DUMMYFUNCTION("""COMPUTED_VALUE"""),-6.936917)</f>
        <v>-6.936917</v>
      </c>
      <c r="X233" s="32">
        <f>IFERROR(__xludf.DUMMYFUNCTION("""COMPUTED_VALUE"""),33.20131)</f>
        <v>33.20131</v>
      </c>
      <c r="Y233" s="32">
        <f>IFERROR(__xludf.DUMMYFUNCTION("""COMPUTED_VALUE"""),12.105712)</f>
        <v>12.105712</v>
      </c>
      <c r="Z233" s="32">
        <f>IFERROR(__xludf.DUMMYFUNCTION("""COMPUTED_VALUE"""),15.27076)</f>
        <v>15.27076</v>
      </c>
      <c r="AA233" s="32">
        <f>IFERROR(__xludf.DUMMYFUNCTION("""COMPUTED_VALUE"""),6.4057)</f>
        <v>6.4057</v>
      </c>
      <c r="AB233" s="32">
        <f>IFERROR(__xludf.DUMMYFUNCTION("""COMPUTED_VALUE"""),24.7269)</f>
        <v>24.7269</v>
      </c>
      <c r="AC233" s="32">
        <f>IFERROR(__xludf.DUMMYFUNCTION("""COMPUTED_VALUE"""),1.1704)</f>
        <v>1.1704</v>
      </c>
      <c r="AD233" s="32">
        <f>IFERROR(__xludf.DUMMYFUNCTION("""COMPUTED_VALUE"""),1.02645)</f>
        <v>1.02645</v>
      </c>
      <c r="AE233" s="32">
        <f>IFERROR(__xludf.DUMMYFUNCTION("""COMPUTED_VALUE"""),18.614219)</f>
        <v>18.614219</v>
      </c>
      <c r="AF233" s="32">
        <f>IFERROR(__xludf.DUMMYFUNCTION("""COMPUTED_VALUE"""),0.129682)</f>
        <v>0.129682</v>
      </c>
      <c r="AG233" s="32">
        <f>IFERROR(__xludf.DUMMYFUNCTION("""COMPUTED_VALUE"""),0.9316)</f>
        <v>0.9316</v>
      </c>
      <c r="AH233" s="32">
        <f>IFERROR(__xludf.DUMMYFUNCTION("""COMPUTED_VALUE"""),4.29512)</f>
        <v>4.29512</v>
      </c>
      <c r="AI233" s="32">
        <f>IFERROR(__xludf.DUMMYFUNCTION("""COMPUTED_VALUE"""),0.4556569199239086)</f>
        <v>0.4556569199</v>
      </c>
      <c r="AJ233" s="32">
        <f>IFERROR(__xludf.DUMMYFUNCTION("""COMPUTED_VALUE"""),5.729375663936929)</f>
        <v>5.729375664</v>
      </c>
      <c r="AK233" s="32">
        <f>IFERROR(__xludf.DUMMYFUNCTION("""COMPUTED_VALUE"""),67.0264)</f>
        <v>67.0264</v>
      </c>
      <c r="AL233" s="32">
        <f>IFERROR(__xludf.DUMMYFUNCTION("""COMPUTED_VALUE"""),366.8328)</f>
        <v>366.8328</v>
      </c>
      <c r="AM233" s="32">
        <f>IFERROR(__xludf.DUMMYFUNCTION("""COMPUTED_VALUE"""),75.846847)</f>
        <v>75.846847</v>
      </c>
      <c r="AN233" s="32">
        <f>IFERROR(__xludf.DUMMYFUNCTION("""COMPUTED_VALUE"""),28.675676)</f>
        <v>28.675676</v>
      </c>
      <c r="AO233" s="32">
        <f>IFERROR(__xludf.DUMMYFUNCTION("""COMPUTED_VALUE"""),4.0)</f>
        <v>4</v>
      </c>
      <c r="AP233" s="32">
        <f>IFERROR(__xludf.DUMMYFUNCTION("""COMPUTED_VALUE"""),0.32499999999999996)</f>
        <v>0.325</v>
      </c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>
      <c r="A234" s="13" t="str">
        <f>IFERROR(__xludf.DUMMYFUNCTION("""COMPUTED_VALUE"""),"Ipca Laboratories Ltd.")</f>
        <v>Ipca Laboratories Ltd.</v>
      </c>
      <c r="B234" s="30">
        <f>IFERROR(__xludf.DUMMYFUNCTION("""COMPUTED_VALUE"""),524494.0)</f>
        <v>524494</v>
      </c>
      <c r="C234" s="13" t="str">
        <f>IFERROR(__xludf.DUMMYFUNCTION("""COMPUTED_VALUE"""),"IPCALAB")</f>
        <v>IPCALAB</v>
      </c>
      <c r="D234" s="13" t="str">
        <f>IFERROR(__xludf.DUMMYFUNCTION("""COMPUTED_VALUE"""),"INE571A01038")</f>
        <v>INE571A01038</v>
      </c>
      <c r="E234" s="13" t="str">
        <f>IFERROR(__xludf.DUMMYFUNCTION("""COMPUTED_VALUE"""),"Healthcare")</f>
        <v>Healthcare</v>
      </c>
      <c r="F234" s="13" t="str">
        <f>IFERROR(__xludf.DUMMYFUNCTION("""COMPUTED_VALUE"""),"Drugs &amp; Pharma")</f>
        <v>Drugs &amp; Pharma</v>
      </c>
      <c r="G234" s="31">
        <f>IFERROR(__xludf.DUMMYFUNCTION("""COMPUTED_VALUE"""),44809.0)</f>
        <v>44809</v>
      </c>
      <c r="H234" s="32">
        <f>IFERROR(__xludf.DUMMYFUNCTION("""COMPUTED_VALUE"""),886.35)</f>
        <v>886.35</v>
      </c>
      <c r="I234" s="32">
        <f>IFERROR(__xludf.DUMMYFUNCTION("""COMPUTED_VALUE"""),-0.393325)</f>
        <v>-0.393325</v>
      </c>
      <c r="J234" s="32">
        <f>IFERROR(__xludf.DUMMYFUNCTION("""COMPUTED_VALUE"""),831.05)</f>
        <v>831.05</v>
      </c>
      <c r="K234" s="32">
        <f>IFERROR(__xludf.DUMMYFUNCTION("""COMPUTED_VALUE"""),1383.55)</f>
        <v>1383.55</v>
      </c>
      <c r="L234" s="32">
        <f>IFERROR(__xludf.DUMMYFUNCTION("""COMPUTED_VALUE"""),422.1)</f>
        <v>422.1</v>
      </c>
      <c r="M234" s="32">
        <f>IFERROR(__xludf.DUMMYFUNCTION("""COMPUTED_VALUE"""),1383.55)</f>
        <v>1383.55</v>
      </c>
      <c r="N234" s="32">
        <f>IFERROR(__xludf.DUMMYFUNCTION("""COMPUTED_VALUE"""),207.75)</f>
        <v>207.75</v>
      </c>
      <c r="O234" s="32">
        <f>IFERROR(__xludf.DUMMYFUNCTION("""COMPUTED_VALUE"""),1383.55)</f>
        <v>1383.55</v>
      </c>
      <c r="P234" s="32">
        <f>IFERROR(__xludf.DUMMYFUNCTION("""COMPUTED_VALUE"""),2.75)</f>
        <v>2.75</v>
      </c>
      <c r="Q234" s="32">
        <f>IFERROR(__xludf.DUMMYFUNCTION("""COMPUTED_VALUE"""),1383.55)</f>
        <v>1383.55</v>
      </c>
      <c r="R234" s="32">
        <f>IFERROR(__xludf.DUMMYFUNCTION("""COMPUTED_VALUE"""),22487.07336243)</f>
        <v>22487.07336</v>
      </c>
      <c r="S234" s="32">
        <f>IFERROR(__xludf.DUMMYFUNCTION("""COMPUTED_VALUE"""),21994.45462783)</f>
        <v>21994.45463</v>
      </c>
      <c r="T234" s="32">
        <f>IFERROR(__xludf.DUMMYFUNCTION("""COMPUTED_VALUE"""),-2.588197)</f>
        <v>-2.588197</v>
      </c>
      <c r="U234" s="32">
        <f>IFERROR(__xludf.DUMMYFUNCTION("""COMPUTED_VALUE"""),-13.522611)</f>
        <v>-13.522611</v>
      </c>
      <c r="V234" s="32">
        <f>IFERROR(__xludf.DUMMYFUNCTION("""COMPUTED_VALUE"""),2.926319)</f>
        <v>2.926319</v>
      </c>
      <c r="W234" s="32">
        <f>IFERROR(__xludf.DUMMYFUNCTION("""COMPUTED_VALUE"""),-30.108226)</f>
        <v>-30.108226</v>
      </c>
      <c r="X234" s="32">
        <f>IFERROR(__xludf.DUMMYFUNCTION("""COMPUTED_VALUE"""),22.773609)</f>
        <v>22.773609</v>
      </c>
      <c r="Y234" s="32">
        <f>IFERROR(__xludf.DUMMYFUNCTION("""COMPUTED_VALUE"""),33.602466)</f>
        <v>33.602466</v>
      </c>
      <c r="Z234" s="32">
        <f>IFERROR(__xludf.DUMMYFUNCTION("""COMPUTED_VALUE"""),14.927667)</f>
        <v>14.927667</v>
      </c>
      <c r="AA234" s="32">
        <f>IFERROR(__xludf.DUMMYFUNCTION("""COMPUTED_VALUE"""),31.2165)</f>
        <v>31.2165</v>
      </c>
      <c r="AB234" s="32">
        <f>IFERROR(__xludf.DUMMYFUNCTION("""COMPUTED_VALUE"""),27.99725)</f>
        <v>27.99725</v>
      </c>
      <c r="AC234" s="32">
        <f>IFERROR(__xludf.DUMMYFUNCTION("""COMPUTED_VALUE"""),3.9875)</f>
        <v>3.9875</v>
      </c>
      <c r="AD234" s="32">
        <f>IFERROR(__xludf.DUMMYFUNCTION("""COMPUTED_VALUE"""),4.50165)</f>
        <v>4.50165</v>
      </c>
      <c r="AE234" s="32">
        <f>IFERROR(__xludf.DUMMYFUNCTION("""COMPUTED_VALUE"""),4.831615)</f>
        <v>4.831615</v>
      </c>
      <c r="AF234" s="32">
        <f>IFERROR(__xludf.DUMMYFUNCTION("""COMPUTED_VALUE"""),0.890701)</f>
        <v>0.890701</v>
      </c>
      <c r="AG234" s="32">
        <f>IFERROR(__xludf.DUMMYFUNCTION("""COMPUTED_VALUE"""),0.4511)</f>
        <v>0.4511</v>
      </c>
      <c r="AH234" s="32">
        <f>IFERROR(__xludf.DUMMYFUNCTION("""COMPUTED_VALUE"""),17.887342)</f>
        <v>17.887342</v>
      </c>
      <c r="AI234" s="32">
        <f>IFERROR(__xludf.DUMMYFUNCTION("""COMPUTED_VALUE"""),3.84411501407413)</f>
        <v>3.844115014</v>
      </c>
      <c r="AJ234" s="32">
        <f>IFERROR(__xludf.DUMMYFUNCTION("""COMPUTED_VALUE"""),26.268718006670248)</f>
        <v>26.26871801</v>
      </c>
      <c r="AK234" s="32">
        <f>IFERROR(__xludf.DUMMYFUNCTION("""COMPUTED_VALUE"""),28.3984)</f>
        <v>28.3984</v>
      </c>
      <c r="AL234" s="32">
        <f>IFERROR(__xludf.DUMMYFUNCTION("""COMPUTED_VALUE"""),222.3219)</f>
        <v>222.3219</v>
      </c>
      <c r="AM234" s="32">
        <f>IFERROR(__xludf.DUMMYFUNCTION("""COMPUTED_VALUE"""),33.742215)</f>
        <v>33.742215</v>
      </c>
      <c r="AN234" s="32">
        <f>IFERROR(__xludf.DUMMYFUNCTION("""COMPUTED_VALUE"""),15.438313)</f>
        <v>15.438313</v>
      </c>
      <c r="AO234" s="32">
        <f>IFERROR(__xludf.DUMMYFUNCTION("""COMPUTED_VALUE"""),4.0)</f>
        <v>4</v>
      </c>
      <c r="AP234" s="32">
        <f>IFERROR(__xludf.DUMMYFUNCTION("""COMPUTED_VALUE"""),0.359365400599906)</f>
        <v>0.3593654006</v>
      </c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>
      <c r="A235" s="13" t="str">
        <f>IFERROR(__xludf.DUMMYFUNCTION("""COMPUTED_VALUE"""),"KEC International Ltd.")</f>
        <v>KEC International Ltd.</v>
      </c>
      <c r="B235" s="30">
        <f>IFERROR(__xludf.DUMMYFUNCTION("""COMPUTED_VALUE"""),532714.0)</f>
        <v>532714</v>
      </c>
      <c r="C235" s="13" t="str">
        <f>IFERROR(__xludf.DUMMYFUNCTION("""COMPUTED_VALUE"""),"KEC")</f>
        <v>KEC</v>
      </c>
      <c r="D235" s="13" t="str">
        <f>IFERROR(__xludf.DUMMYFUNCTION("""COMPUTED_VALUE"""),"INE389H01022")</f>
        <v>INE389H01022</v>
      </c>
      <c r="E235" s="13" t="str">
        <f>IFERROR(__xludf.DUMMYFUNCTION("""COMPUTED_VALUE"""),"Capital Goods")</f>
        <v>Capital Goods</v>
      </c>
      <c r="F235" s="13" t="str">
        <f>IFERROR(__xludf.DUMMYFUNCTION("""COMPUTED_VALUE"""),"Power Projects")</f>
        <v>Power Projects</v>
      </c>
      <c r="G235" s="31">
        <f>IFERROR(__xludf.DUMMYFUNCTION("""COMPUTED_VALUE"""),44809.0)</f>
        <v>44809</v>
      </c>
      <c r="H235" s="32">
        <f>IFERROR(__xludf.DUMMYFUNCTION("""COMPUTED_VALUE"""),401.8)</f>
        <v>401.8</v>
      </c>
      <c r="I235" s="32">
        <f>IFERROR(__xludf.DUMMYFUNCTION("""COMPUTED_VALUE"""),-0.235878)</f>
        <v>-0.235878</v>
      </c>
      <c r="J235" s="32">
        <f>IFERROR(__xludf.DUMMYFUNCTION("""COMPUTED_VALUE"""),345.5)</f>
        <v>345.5</v>
      </c>
      <c r="K235" s="32">
        <f>IFERROR(__xludf.DUMMYFUNCTION("""COMPUTED_VALUE"""),550.0)</f>
        <v>550</v>
      </c>
      <c r="L235" s="32">
        <f>IFERROR(__xludf.DUMMYFUNCTION("""COMPUTED_VALUE"""),154.05)</f>
        <v>154.05</v>
      </c>
      <c r="M235" s="32">
        <f>IFERROR(__xludf.DUMMYFUNCTION("""COMPUTED_VALUE"""),550.0)</f>
        <v>550</v>
      </c>
      <c r="N235" s="32">
        <f>IFERROR(__xludf.DUMMYFUNCTION("""COMPUTED_VALUE"""),154.05)</f>
        <v>154.05</v>
      </c>
      <c r="O235" s="32">
        <f>IFERROR(__xludf.DUMMYFUNCTION("""COMPUTED_VALUE"""),550.0)</f>
        <v>550</v>
      </c>
      <c r="P235" s="32">
        <f>IFERROR(__xludf.DUMMYFUNCTION("""COMPUTED_VALUE"""),21.6)</f>
        <v>21.6</v>
      </c>
      <c r="Q235" s="32">
        <f>IFERROR(__xludf.DUMMYFUNCTION("""COMPUTED_VALUE"""),550.0)</f>
        <v>550</v>
      </c>
      <c r="R235" s="32">
        <f>IFERROR(__xludf.DUMMYFUNCTION("""COMPUTED_VALUE"""),10347.8068925)</f>
        <v>10347.80689</v>
      </c>
      <c r="S235" s="32">
        <f>IFERROR(__xludf.DUMMYFUNCTION("""COMPUTED_VALUE"""),12938.5077762)</f>
        <v>12938.50778</v>
      </c>
      <c r="T235" s="32">
        <f>IFERROR(__xludf.DUMMYFUNCTION("""COMPUTED_VALUE"""),-2.119367)</f>
        <v>-2.119367</v>
      </c>
      <c r="U235" s="32">
        <f>IFERROR(__xludf.DUMMYFUNCTION("""COMPUTED_VALUE"""),-9.504505)</f>
        <v>-9.504505</v>
      </c>
      <c r="V235" s="32">
        <f>IFERROR(__xludf.DUMMYFUNCTION("""COMPUTED_VALUE"""),3.436736)</f>
        <v>3.436736</v>
      </c>
      <c r="W235" s="32">
        <f>IFERROR(__xludf.DUMMYFUNCTION("""COMPUTED_VALUE"""),-5.258194)</f>
        <v>-5.258194</v>
      </c>
      <c r="X235" s="32">
        <f>IFERROR(__xludf.DUMMYFUNCTION("""COMPUTED_VALUE"""),18.128612)</f>
        <v>18.128612</v>
      </c>
      <c r="Y235" s="32">
        <f>IFERROR(__xludf.DUMMYFUNCTION("""COMPUTED_VALUE"""),5.608844)</f>
        <v>5.608844</v>
      </c>
      <c r="Z235" s="32">
        <f>IFERROR(__xludf.DUMMYFUNCTION("""COMPUTED_VALUE"""),21.957099)</f>
        <v>21.957099</v>
      </c>
      <c r="AA235" s="32">
        <f>IFERROR(__xludf.DUMMYFUNCTION("""COMPUTED_VALUE"""),32.647)</f>
        <v>32.647</v>
      </c>
      <c r="AB235" s="32">
        <f>IFERROR(__xludf.DUMMYFUNCTION("""COMPUTED_VALUE"""),17.0479)</f>
        <v>17.0479</v>
      </c>
      <c r="AC235" s="32">
        <f>IFERROR(__xludf.DUMMYFUNCTION("""COMPUTED_VALUE"""),2.8343)</f>
        <v>2.8343</v>
      </c>
      <c r="AD235" s="32">
        <f>IFERROR(__xludf.DUMMYFUNCTION("""COMPUTED_VALUE"""),3.23325)</f>
        <v>3.23325</v>
      </c>
      <c r="AE235" s="32">
        <f>IFERROR(__xludf.DUMMYFUNCTION("""COMPUTED_VALUE"""),6.125416)</f>
        <v>6.125416</v>
      </c>
      <c r="AF235" s="32">
        <f>IFERROR(__xludf.DUMMYFUNCTION("""COMPUTED_VALUE"""),-27.947227)</f>
        <v>-27.947227</v>
      </c>
      <c r="AG235" s="32">
        <f>IFERROR(__xludf.DUMMYFUNCTION("""COMPUTED_VALUE"""),0.9959)</f>
        <v>0.9959</v>
      </c>
      <c r="AH235" s="32">
        <f>IFERROR(__xludf.DUMMYFUNCTION("""COMPUTED_VALUE"""),13.886691)</f>
        <v>13.886691</v>
      </c>
      <c r="AI235" s="32">
        <f>IFERROR(__xludf.DUMMYFUNCTION("""COMPUTED_VALUE"""),0.7126421896801315)</f>
        <v>0.7126421897</v>
      </c>
      <c r="AJ235" s="32">
        <f>IFERROR(__xludf.DUMMYFUNCTION("""COMPUTED_VALUE"""),-36.473183506044904)</f>
        <v>-36.47318351</v>
      </c>
      <c r="AK235" s="32">
        <f>IFERROR(__xludf.DUMMYFUNCTION("""COMPUTED_VALUE"""),12.3288)</f>
        <v>12.3288</v>
      </c>
      <c r="AL235" s="32">
        <f>IFERROR(__xludf.DUMMYFUNCTION("""COMPUTED_VALUE"""),142.0114)</f>
        <v>142.0114</v>
      </c>
      <c r="AM235" s="32">
        <f>IFERROR(__xludf.DUMMYFUNCTION("""COMPUTED_VALUE"""),-11.035006)</f>
        <v>-11.035006</v>
      </c>
      <c r="AN235" s="32">
        <f>IFERROR(__xludf.DUMMYFUNCTION("""COMPUTED_VALUE"""),-22.499417)</f>
        <v>-22.499417</v>
      </c>
      <c r="AO235" s="32">
        <f>IFERROR(__xludf.DUMMYFUNCTION("""COMPUTED_VALUE"""),4.0)</f>
        <v>4</v>
      </c>
      <c r="AP235" s="32">
        <f>IFERROR(__xludf.DUMMYFUNCTION("""COMPUTED_VALUE"""),0.26945454545454545)</f>
        <v>0.2694545455</v>
      </c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>
      <c r="A236" s="13" t="str">
        <f>IFERROR(__xludf.DUMMYFUNCTION("""COMPUTED_VALUE"""),"Lupin Ltd.")</f>
        <v>Lupin Ltd.</v>
      </c>
      <c r="B236" s="30">
        <f>IFERROR(__xludf.DUMMYFUNCTION("""COMPUTED_VALUE"""),500257.0)</f>
        <v>500257</v>
      </c>
      <c r="C236" s="13" t="str">
        <f>IFERROR(__xludf.DUMMYFUNCTION("""COMPUTED_VALUE"""),"LUPIN")</f>
        <v>LUPIN</v>
      </c>
      <c r="D236" s="13" t="str">
        <f>IFERROR(__xludf.DUMMYFUNCTION("""COMPUTED_VALUE"""),"INE326A01037")</f>
        <v>INE326A01037</v>
      </c>
      <c r="E236" s="13" t="str">
        <f>IFERROR(__xludf.DUMMYFUNCTION("""COMPUTED_VALUE"""),"Healthcare")</f>
        <v>Healthcare</v>
      </c>
      <c r="F236" s="13" t="str">
        <f>IFERROR(__xludf.DUMMYFUNCTION("""COMPUTED_VALUE"""),"Drugs &amp; Pharma")</f>
        <v>Drugs &amp; Pharma</v>
      </c>
      <c r="G236" s="31">
        <f>IFERROR(__xludf.DUMMYFUNCTION("""COMPUTED_VALUE"""),44809.0)</f>
        <v>44809</v>
      </c>
      <c r="H236" s="32">
        <f>IFERROR(__xludf.DUMMYFUNCTION("""COMPUTED_VALUE"""),653.15)</f>
        <v>653.15</v>
      </c>
      <c r="I236" s="32">
        <f>IFERROR(__xludf.DUMMYFUNCTION("""COMPUTED_VALUE"""),-0.084136)</f>
        <v>-0.084136</v>
      </c>
      <c r="J236" s="32">
        <f>IFERROR(__xludf.DUMMYFUNCTION("""COMPUTED_VALUE"""),583.0)</f>
        <v>583</v>
      </c>
      <c r="K236" s="32">
        <f>IFERROR(__xludf.DUMMYFUNCTION("""COMPUTED_VALUE"""),995.0)</f>
        <v>995</v>
      </c>
      <c r="L236" s="32">
        <f>IFERROR(__xludf.DUMMYFUNCTION("""COMPUTED_VALUE"""),504.75)</f>
        <v>504.75</v>
      </c>
      <c r="M236" s="32">
        <f>IFERROR(__xludf.DUMMYFUNCTION("""COMPUTED_VALUE"""),1267.65)</f>
        <v>1267.65</v>
      </c>
      <c r="N236" s="32">
        <f>IFERROR(__xludf.DUMMYFUNCTION("""COMPUTED_VALUE"""),504.75)</f>
        <v>504.75</v>
      </c>
      <c r="O236" s="32">
        <f>IFERROR(__xludf.DUMMYFUNCTION("""COMPUTED_VALUE"""),1267.65)</f>
        <v>1267.65</v>
      </c>
      <c r="P236" s="32">
        <f>IFERROR(__xludf.DUMMYFUNCTION("""COMPUTED_VALUE"""),0.8)</f>
        <v>0.8</v>
      </c>
      <c r="Q236" s="32">
        <f>IFERROR(__xludf.DUMMYFUNCTION("""COMPUTED_VALUE"""),2129.0)</f>
        <v>2129</v>
      </c>
      <c r="R236" s="32">
        <f>IFERROR(__xludf.DUMMYFUNCTION("""COMPUTED_VALUE"""),29696.79038324)</f>
        <v>29696.79038</v>
      </c>
      <c r="S236" s="32">
        <f>IFERROR(__xludf.DUMMYFUNCTION("""COMPUTED_VALUE"""),31624.9670862)</f>
        <v>31624.96709</v>
      </c>
      <c r="T236" s="32">
        <f>IFERROR(__xludf.DUMMYFUNCTION("""COMPUTED_VALUE"""),0.068944)</f>
        <v>0.068944</v>
      </c>
      <c r="U236" s="32">
        <f>IFERROR(__xludf.DUMMYFUNCTION("""COMPUTED_VALUE"""),-1.030381)</f>
        <v>-1.030381</v>
      </c>
      <c r="V236" s="32">
        <f>IFERROR(__xludf.DUMMYFUNCTION("""COMPUTED_VALUE"""),6.87229)</f>
        <v>6.87229</v>
      </c>
      <c r="W236" s="32">
        <f>IFERROR(__xludf.DUMMYFUNCTION("""COMPUTED_VALUE"""),-32.626747)</f>
        <v>-32.626747</v>
      </c>
      <c r="X236" s="32">
        <f>IFERROR(__xludf.DUMMYFUNCTION("""COMPUTED_VALUE"""),-4.160156)</f>
        <v>-4.160156</v>
      </c>
      <c r="Y236" s="32">
        <f>IFERROR(__xludf.DUMMYFUNCTION("""COMPUTED_VALUE"""),-8.121129)</f>
        <v>-8.121129</v>
      </c>
      <c r="Z236" s="32">
        <f>IFERROR(__xludf.DUMMYFUNCTION("""COMPUTED_VALUE"""),0.93936)</f>
        <v>0.93936</v>
      </c>
      <c r="AA236" s="13"/>
      <c r="AB236" s="32">
        <f>IFERROR(__xludf.DUMMYFUNCTION("""COMPUTED_VALUE"""),46.1871)</f>
        <v>46.1871</v>
      </c>
      <c r="AC236" s="32">
        <f>IFERROR(__xludf.DUMMYFUNCTION("""COMPUTED_VALUE"""),2.4966)</f>
        <v>2.4966</v>
      </c>
      <c r="AD236" s="32">
        <f>IFERROR(__xludf.DUMMYFUNCTION("""COMPUTED_VALUE"""),2.85365)</f>
        <v>2.85365</v>
      </c>
      <c r="AE236" s="32">
        <f>IFERROR(__xludf.DUMMYFUNCTION("""COMPUTED_VALUE"""),-5.47333)</f>
        <v>-5.47333</v>
      </c>
      <c r="AF236" s="13"/>
      <c r="AG236" s="32">
        <f>IFERROR(__xludf.DUMMYFUNCTION("""COMPUTED_VALUE"""),0.6127)</f>
        <v>0.6127</v>
      </c>
      <c r="AH236" s="32">
        <f>IFERROR(__xludf.DUMMYFUNCTION("""COMPUTED_VALUE"""),-97.077592)</f>
        <v>-97.077592</v>
      </c>
      <c r="AI236" s="32">
        <f>IFERROR(__xludf.DUMMYFUNCTION("""COMPUTED_VALUE"""),1.9086125896720687)</f>
        <v>1.90861259</v>
      </c>
      <c r="AJ236" s="32">
        <f>IFERROR(__xludf.DUMMYFUNCTION("""COMPUTED_VALUE"""),80.84939256551687)</f>
        <v>80.84939257</v>
      </c>
      <c r="AK236" s="32">
        <f>IFERROR(__xludf.DUMMYFUNCTION("""COMPUTED_VALUE"""),-47.4977)</f>
        <v>-47.4977</v>
      </c>
      <c r="AL236" s="32">
        <f>IFERROR(__xludf.DUMMYFUNCTION("""COMPUTED_VALUE"""),261.8327)</f>
        <v>261.8327</v>
      </c>
      <c r="AM236" s="32">
        <f>IFERROR(__xludf.DUMMYFUNCTION("""COMPUTED_VALUE"""),8.081628)</f>
        <v>8.081628</v>
      </c>
      <c r="AN236" s="32">
        <f>IFERROR(__xludf.DUMMYFUNCTION("""COMPUTED_VALUE"""),-16.966557)</f>
        <v>-16.966557</v>
      </c>
      <c r="AO236" s="32">
        <f>IFERROR(__xludf.DUMMYFUNCTION("""COMPUTED_VALUE"""),4.0)</f>
        <v>4</v>
      </c>
      <c r="AP236" s="32">
        <f>IFERROR(__xludf.DUMMYFUNCTION("""COMPUTED_VALUE"""),0.34356783919597994)</f>
        <v>0.3435678392</v>
      </c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>
      <c r="A237" s="13" t="str">
        <f>IFERROR(__xludf.DUMMYFUNCTION("""COMPUTED_VALUE"""),"Quess Corp Ltd.")</f>
        <v>Quess Corp Ltd.</v>
      </c>
      <c r="B237" s="30">
        <f>IFERROR(__xludf.DUMMYFUNCTION("""COMPUTED_VALUE"""),539978.0)</f>
        <v>539978</v>
      </c>
      <c r="C237" s="13" t="str">
        <f>IFERROR(__xludf.DUMMYFUNCTION("""COMPUTED_VALUE"""),"QUESS")</f>
        <v>QUESS</v>
      </c>
      <c r="D237" s="13" t="str">
        <f>IFERROR(__xludf.DUMMYFUNCTION("""COMPUTED_VALUE"""),"INE615P01015")</f>
        <v>INE615P01015</v>
      </c>
      <c r="E237" s="13" t="str">
        <f>IFERROR(__xludf.DUMMYFUNCTION("""COMPUTED_VALUE"""),"Financial")</f>
        <v>Financial</v>
      </c>
      <c r="F237" s="13" t="str">
        <f>IFERROR(__xludf.DUMMYFUNCTION("""COMPUTED_VALUE"""),"Business Consultancy")</f>
        <v>Business Consultancy</v>
      </c>
      <c r="G237" s="31">
        <f>IFERROR(__xludf.DUMMYFUNCTION("""COMPUTED_VALUE"""),44809.0)</f>
        <v>44809</v>
      </c>
      <c r="H237" s="32">
        <f>IFERROR(__xludf.DUMMYFUNCTION("""COMPUTED_VALUE"""),565.4)</f>
        <v>565.4</v>
      </c>
      <c r="I237" s="32">
        <f>IFERROR(__xludf.DUMMYFUNCTION("""COMPUTED_VALUE"""),-0.650149)</f>
        <v>-0.650149</v>
      </c>
      <c r="J237" s="32">
        <f>IFERROR(__xludf.DUMMYFUNCTION("""COMPUTED_VALUE"""),527.4)</f>
        <v>527.4</v>
      </c>
      <c r="K237" s="32">
        <f>IFERROR(__xludf.DUMMYFUNCTION("""COMPUTED_VALUE"""),990.0)</f>
        <v>990</v>
      </c>
      <c r="L237" s="32">
        <f>IFERROR(__xludf.DUMMYFUNCTION("""COMPUTED_VALUE"""),165.0)</f>
        <v>165</v>
      </c>
      <c r="M237" s="32">
        <f>IFERROR(__xludf.DUMMYFUNCTION("""COMPUTED_VALUE"""),990.0)</f>
        <v>990</v>
      </c>
      <c r="N237" s="32">
        <f>IFERROR(__xludf.DUMMYFUNCTION("""COMPUTED_VALUE"""),165.0)</f>
        <v>165</v>
      </c>
      <c r="O237" s="32">
        <f>IFERROR(__xludf.DUMMYFUNCTION("""COMPUTED_VALUE"""),1303.15)</f>
        <v>1303.15</v>
      </c>
      <c r="P237" s="32">
        <f>IFERROR(__xludf.DUMMYFUNCTION("""COMPUTED_VALUE"""),165.0)</f>
        <v>165</v>
      </c>
      <c r="Q237" s="32">
        <f>IFERROR(__xludf.DUMMYFUNCTION("""COMPUTED_VALUE"""),1303.15)</f>
        <v>1303.15</v>
      </c>
      <c r="R237" s="32">
        <f>IFERROR(__xludf.DUMMYFUNCTION("""COMPUTED_VALUE"""),8356.13938962)</f>
        <v>8356.13939</v>
      </c>
      <c r="S237" s="32">
        <f>IFERROR(__xludf.DUMMYFUNCTION("""COMPUTED_VALUE"""),8409.8178646)</f>
        <v>8409.817865</v>
      </c>
      <c r="T237" s="32">
        <f>IFERROR(__xludf.DUMMYFUNCTION("""COMPUTED_VALUE"""),-1.506837)</f>
        <v>-1.506837</v>
      </c>
      <c r="U237" s="32">
        <f>IFERROR(__xludf.DUMMYFUNCTION("""COMPUTED_VALUE"""),-2.449965)</f>
        <v>-2.449965</v>
      </c>
      <c r="V237" s="32">
        <f>IFERROR(__xludf.DUMMYFUNCTION("""COMPUTED_VALUE"""),-17.664191)</f>
        <v>-17.664191</v>
      </c>
      <c r="W237" s="32">
        <f>IFERROR(__xludf.DUMMYFUNCTION("""COMPUTED_VALUE"""),-32.886225)</f>
        <v>-32.886225</v>
      </c>
      <c r="X237" s="32">
        <f>IFERROR(__xludf.DUMMYFUNCTION("""COMPUTED_VALUE"""),6.387675)</f>
        <v>6.387675</v>
      </c>
      <c r="Y237" s="32">
        <f>IFERROR(__xludf.DUMMYFUNCTION("""COMPUTED_VALUE"""),-7.732567)</f>
        <v>-7.732567</v>
      </c>
      <c r="Z237" s="13"/>
      <c r="AA237" s="32">
        <f>IFERROR(__xludf.DUMMYFUNCTION("""COMPUTED_VALUE"""),31.9039)</f>
        <v>31.9039</v>
      </c>
      <c r="AB237" s="32">
        <f>IFERROR(__xludf.DUMMYFUNCTION("""COMPUTED_VALUE"""),41.83515)</f>
        <v>41.83515</v>
      </c>
      <c r="AC237" s="32">
        <f>IFERROR(__xludf.DUMMYFUNCTION("""COMPUTED_VALUE"""),3.3883)</f>
        <v>3.3883</v>
      </c>
      <c r="AD237" s="32">
        <f>IFERROR(__xludf.DUMMYFUNCTION("""COMPUTED_VALUE"""),3.83235)</f>
        <v>3.83235</v>
      </c>
      <c r="AE237" s="32">
        <f>IFERROR(__xludf.DUMMYFUNCTION("""COMPUTED_VALUE"""),5.408346)</f>
        <v>5.408346</v>
      </c>
      <c r="AF237" s="32">
        <f>IFERROR(__xludf.DUMMYFUNCTION("""COMPUTED_VALUE"""),2.252162)</f>
        <v>2.252162</v>
      </c>
      <c r="AG237" s="32">
        <f>IFERROR(__xludf.DUMMYFUNCTION("""COMPUTED_VALUE"""),0.707)</f>
        <v>0.707</v>
      </c>
      <c r="AH237" s="32">
        <f>IFERROR(__xludf.DUMMYFUNCTION("""COMPUTED_VALUE"""),12.895547)</f>
        <v>12.895547</v>
      </c>
      <c r="AI237" s="32">
        <f>IFERROR(__xludf.DUMMYFUNCTION("""COMPUTED_VALUE"""),0.5690571929454429)</f>
        <v>0.5690571929</v>
      </c>
      <c r="AJ237" s="32">
        <f>IFERROR(__xludf.DUMMYFUNCTION("""COMPUTED_VALUE"""),15.08666089453235)</f>
        <v>15.08666089</v>
      </c>
      <c r="AK237" s="32">
        <f>IFERROR(__xludf.DUMMYFUNCTION("""COMPUTED_VALUE"""),17.6875)</f>
        <v>17.6875</v>
      </c>
      <c r="AL237" s="32">
        <f>IFERROR(__xludf.DUMMYFUNCTION("""COMPUTED_VALUE"""),166.5419)</f>
        <v>166.5419</v>
      </c>
      <c r="AM237" s="32">
        <f>IFERROR(__xludf.DUMMYFUNCTION("""COMPUTED_VALUE"""),37.42633)</f>
        <v>37.42633</v>
      </c>
      <c r="AN237" s="32">
        <f>IFERROR(__xludf.DUMMYFUNCTION("""COMPUTED_VALUE"""),23.574136)</f>
        <v>23.574136</v>
      </c>
      <c r="AO237" s="32">
        <f>IFERROR(__xludf.DUMMYFUNCTION("""COMPUTED_VALUE"""),4.0)</f>
        <v>4</v>
      </c>
      <c r="AP237" s="32">
        <f>IFERROR(__xludf.DUMMYFUNCTION("""COMPUTED_VALUE"""),0.42888888888888893)</f>
        <v>0.4288888889</v>
      </c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>
      <c r="A238" s="13" t="str">
        <f>IFERROR(__xludf.DUMMYFUNCTION("""COMPUTED_VALUE"""),"Happiest Minds Technologies Ltd.")</f>
        <v>Happiest Minds Technologies Ltd.</v>
      </c>
      <c r="B238" s="30">
        <f>IFERROR(__xludf.DUMMYFUNCTION("""COMPUTED_VALUE"""),543227.0)</f>
        <v>543227</v>
      </c>
      <c r="C238" s="13" t="str">
        <f>IFERROR(__xludf.DUMMYFUNCTION("""COMPUTED_VALUE"""),"HAPPSTMNDS")</f>
        <v>HAPPSTMNDS</v>
      </c>
      <c r="D238" s="13" t="str">
        <f>IFERROR(__xludf.DUMMYFUNCTION("""COMPUTED_VALUE"""),"INE419U01012")</f>
        <v>INE419U01012</v>
      </c>
      <c r="E238" s="13" t="str">
        <f>IFERROR(__xludf.DUMMYFUNCTION("""COMPUTED_VALUE"""),"Technology")</f>
        <v>Technology</v>
      </c>
      <c r="F238" s="13" t="str">
        <f>IFERROR(__xludf.DUMMYFUNCTION("""COMPUTED_VALUE"""),"Software")</f>
        <v>Software</v>
      </c>
      <c r="G238" s="31">
        <f>IFERROR(__xludf.DUMMYFUNCTION("""COMPUTED_VALUE"""),44809.0)</f>
        <v>44809</v>
      </c>
      <c r="H238" s="32">
        <f>IFERROR(__xludf.DUMMYFUNCTION("""COMPUTED_VALUE"""),1015.05)</f>
        <v>1015.05</v>
      </c>
      <c r="I238" s="32">
        <f>IFERROR(__xludf.DUMMYFUNCTION("""COMPUTED_VALUE"""),-0.558413)</f>
        <v>-0.558413</v>
      </c>
      <c r="J238" s="32">
        <f>IFERROR(__xludf.DUMMYFUNCTION("""COMPUTED_VALUE"""),785.6)</f>
        <v>785.6</v>
      </c>
      <c r="K238" s="32">
        <f>IFERROR(__xludf.DUMMYFUNCTION("""COMPUTED_VALUE"""),1568.0)</f>
        <v>1568</v>
      </c>
      <c r="L238" s="13"/>
      <c r="M238" s="13"/>
      <c r="N238" s="13"/>
      <c r="O238" s="13"/>
      <c r="P238" s="32">
        <f>IFERROR(__xludf.DUMMYFUNCTION("""COMPUTED_VALUE"""),285.55)</f>
        <v>285.55</v>
      </c>
      <c r="Q238" s="32">
        <f>IFERROR(__xludf.DUMMYFUNCTION("""COMPUTED_VALUE"""),1580.8)</f>
        <v>1580.8</v>
      </c>
      <c r="R238" s="32">
        <f>IFERROR(__xludf.DUMMYFUNCTION("""COMPUTED_VALUE"""),14905.18229844)</f>
        <v>14905.1823</v>
      </c>
      <c r="S238" s="32">
        <f>IFERROR(__xludf.DUMMYFUNCTION("""COMPUTED_VALUE"""),14589.6870121)</f>
        <v>14589.68701</v>
      </c>
      <c r="T238" s="32">
        <f>IFERROR(__xludf.DUMMYFUNCTION("""COMPUTED_VALUE"""),-2.041112)</f>
        <v>-2.041112</v>
      </c>
      <c r="U238" s="32">
        <f>IFERROR(__xludf.DUMMYFUNCTION("""COMPUTED_VALUE"""),4.779355)</f>
        <v>4.779355</v>
      </c>
      <c r="V238" s="32">
        <f>IFERROR(__xludf.DUMMYFUNCTION("""COMPUTED_VALUE"""),7.101029)</f>
        <v>7.101029</v>
      </c>
      <c r="W238" s="32">
        <f>IFERROR(__xludf.DUMMYFUNCTION("""COMPUTED_VALUE"""),-32.467316)</f>
        <v>-32.467316</v>
      </c>
      <c r="X238" s="13"/>
      <c r="Y238" s="13"/>
      <c r="Z238" s="13"/>
      <c r="AA238" s="32">
        <f>IFERROR(__xludf.DUMMYFUNCTION("""COMPUTED_VALUE"""),73.8575)</f>
        <v>73.8575</v>
      </c>
      <c r="AB238" s="32">
        <f>IFERROR(__xludf.DUMMYFUNCTION("""COMPUTED_VALUE"""),97.288)</f>
        <v>97.288</v>
      </c>
      <c r="AC238" s="32">
        <f>IFERROR(__xludf.DUMMYFUNCTION("""COMPUTED_VALUE"""),20.7269)</f>
        <v>20.7269</v>
      </c>
      <c r="AD238" s="32">
        <f>IFERROR(__xludf.DUMMYFUNCTION("""COMPUTED_VALUE"""),24.4874)</f>
        <v>24.4874</v>
      </c>
      <c r="AE238" s="32">
        <f>IFERROR(__xludf.DUMMYFUNCTION("""COMPUTED_VALUE"""),2.157406)</f>
        <v>2.157406</v>
      </c>
      <c r="AF238" s="32">
        <f>IFERROR(__xludf.DUMMYFUNCTION("""COMPUTED_VALUE"""),2.031905)</f>
        <v>2.031905</v>
      </c>
      <c r="AG238" s="32">
        <f>IFERROR(__xludf.DUMMYFUNCTION("""COMPUTED_VALUE"""),0.3695)</f>
        <v>0.3695</v>
      </c>
      <c r="AH238" s="32">
        <f>IFERROR(__xludf.DUMMYFUNCTION("""COMPUTED_VALUE"""),46.204988)</f>
        <v>46.204988</v>
      </c>
      <c r="AI238" s="32">
        <f>IFERROR(__xludf.DUMMYFUNCTION("""COMPUTED_VALUE"""),12.653385767292608)</f>
        <v>12.65338577</v>
      </c>
      <c r="AJ238" s="32">
        <f>IFERROR(__xludf.DUMMYFUNCTION("""COMPUTED_VALUE"""),88.65799606495361)</f>
        <v>88.65799606</v>
      </c>
      <c r="AK238" s="32">
        <f>IFERROR(__xludf.DUMMYFUNCTION("""COMPUTED_VALUE"""),13.7413)</f>
        <v>13.7413</v>
      </c>
      <c r="AL238" s="32">
        <f>IFERROR(__xludf.DUMMYFUNCTION("""COMPUTED_VALUE"""),48.9654)</f>
        <v>48.9654</v>
      </c>
      <c r="AM238" s="32">
        <f>IFERROR(__xludf.DUMMYFUNCTION("""COMPUTED_VALUE"""),11.781359)</f>
        <v>11.781359</v>
      </c>
      <c r="AN238" s="32">
        <f>IFERROR(__xludf.DUMMYFUNCTION("""COMPUTED_VALUE"""),10.860547)</f>
        <v>10.860547</v>
      </c>
      <c r="AO238" s="32">
        <f>IFERROR(__xludf.DUMMYFUNCTION("""COMPUTED_VALUE"""),3.75)</f>
        <v>3.75</v>
      </c>
      <c r="AP238" s="32">
        <f>IFERROR(__xludf.DUMMYFUNCTION("""COMPUTED_VALUE"""),0.3526466836734694)</f>
        <v>0.3526466837</v>
      </c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>
      <c r="A239" s="13" t="str">
        <f>IFERROR(__xludf.DUMMYFUNCTION("""COMPUTED_VALUE"""),"TVS Motor Company Ltd.")</f>
        <v>TVS Motor Company Ltd.</v>
      </c>
      <c r="B239" s="30">
        <f>IFERROR(__xludf.DUMMYFUNCTION("""COMPUTED_VALUE"""),532343.0)</f>
        <v>532343</v>
      </c>
      <c r="C239" s="13" t="str">
        <f>IFERROR(__xludf.DUMMYFUNCTION("""COMPUTED_VALUE"""),"TVSMOTOR")</f>
        <v>TVSMOTOR</v>
      </c>
      <c r="D239" s="13" t="str">
        <f>IFERROR(__xludf.DUMMYFUNCTION("""COMPUTED_VALUE"""),"INE494B01023")</f>
        <v>INE494B01023</v>
      </c>
      <c r="E239" s="13" t="str">
        <f>IFERROR(__xludf.DUMMYFUNCTION("""COMPUTED_VALUE"""),"Automobile")</f>
        <v>Automobile</v>
      </c>
      <c r="F239" s="13" t="str">
        <f>IFERROR(__xludf.DUMMYFUNCTION("""COMPUTED_VALUE"""),"Two &amp; Three Wheelers")</f>
        <v>Two &amp; Three Wheelers</v>
      </c>
      <c r="G239" s="31">
        <f>IFERROR(__xludf.DUMMYFUNCTION("""COMPUTED_VALUE"""),44809.0)</f>
        <v>44809</v>
      </c>
      <c r="H239" s="32">
        <f>IFERROR(__xludf.DUMMYFUNCTION("""COMPUTED_VALUE"""),1038.05)</f>
        <v>1038.05</v>
      </c>
      <c r="I239" s="32">
        <f>IFERROR(__xludf.DUMMYFUNCTION("""COMPUTED_VALUE"""),1.189258)</f>
        <v>1.189258</v>
      </c>
      <c r="J239" s="32">
        <f>IFERROR(__xludf.DUMMYFUNCTION("""COMPUTED_VALUE"""),519.45)</f>
        <v>519.45</v>
      </c>
      <c r="K239" s="32">
        <f>IFERROR(__xludf.DUMMYFUNCTION("""COMPUTED_VALUE"""),1043.0)</f>
        <v>1043</v>
      </c>
      <c r="L239" s="32">
        <f>IFERROR(__xludf.DUMMYFUNCTION("""COMPUTED_VALUE"""),240.1)</f>
        <v>240.1</v>
      </c>
      <c r="M239" s="32">
        <f>IFERROR(__xludf.DUMMYFUNCTION("""COMPUTED_VALUE"""),1043.0)</f>
        <v>1043</v>
      </c>
      <c r="N239" s="32">
        <f>IFERROR(__xludf.DUMMYFUNCTION("""COMPUTED_VALUE"""),240.1)</f>
        <v>240.1</v>
      </c>
      <c r="O239" s="32">
        <f>IFERROR(__xludf.DUMMYFUNCTION("""COMPUTED_VALUE"""),1043.0)</f>
        <v>1043</v>
      </c>
      <c r="P239" s="32">
        <f>IFERROR(__xludf.DUMMYFUNCTION("""COMPUTED_VALUE"""),3.055)</f>
        <v>3.055</v>
      </c>
      <c r="Q239" s="32">
        <f>IFERROR(__xludf.DUMMYFUNCTION("""COMPUTED_VALUE"""),1043.0)</f>
        <v>1043</v>
      </c>
      <c r="R239" s="32">
        <f>IFERROR(__xludf.DUMMYFUNCTION("""COMPUTED_VALUE"""),49347.29853118)</f>
        <v>49347.29853</v>
      </c>
      <c r="S239" s="32">
        <f>IFERROR(__xludf.DUMMYFUNCTION("""COMPUTED_VALUE"""),62373.00246083)</f>
        <v>62373.00246</v>
      </c>
      <c r="T239" s="32">
        <f>IFERROR(__xludf.DUMMYFUNCTION("""COMPUTED_VALUE"""),8.758971)</f>
        <v>8.758971</v>
      </c>
      <c r="U239" s="32">
        <f>IFERROR(__xludf.DUMMYFUNCTION("""COMPUTED_VALUE"""),11.128359)</f>
        <v>11.128359</v>
      </c>
      <c r="V239" s="32">
        <f>IFERROR(__xludf.DUMMYFUNCTION("""COMPUTED_VALUE"""),42.140216)</f>
        <v>42.140216</v>
      </c>
      <c r="W239" s="32">
        <f>IFERROR(__xludf.DUMMYFUNCTION("""COMPUTED_VALUE"""),92.089193)</f>
        <v>92.089193</v>
      </c>
      <c r="X239" s="32">
        <f>IFERROR(__xludf.DUMMYFUNCTION("""COMPUTED_VALUE"""),41.53149)</f>
        <v>41.53149</v>
      </c>
      <c r="Y239" s="32">
        <f>IFERROR(__xludf.DUMMYFUNCTION("""COMPUTED_VALUE"""),11.058912)</f>
        <v>11.058912</v>
      </c>
      <c r="Z239" s="32">
        <f>IFERROR(__xludf.DUMMYFUNCTION("""COMPUTED_VALUE"""),39.330222)</f>
        <v>39.330222</v>
      </c>
      <c r="AA239" s="32">
        <f>IFERROR(__xludf.DUMMYFUNCTION("""COMPUTED_VALUE"""),46.0012)</f>
        <v>46.0012</v>
      </c>
      <c r="AB239" s="32">
        <f>IFERROR(__xludf.DUMMYFUNCTION("""COMPUTED_VALUE"""),38.75495)</f>
        <v>38.75495</v>
      </c>
      <c r="AC239" s="32">
        <f>IFERROR(__xludf.DUMMYFUNCTION("""COMPUTED_VALUE"""),10.4866)</f>
        <v>10.4866</v>
      </c>
      <c r="AD239" s="32">
        <f>IFERROR(__xludf.DUMMYFUNCTION("""COMPUTED_VALUE"""),7.2311)</f>
        <v>7.2311</v>
      </c>
      <c r="AE239" s="32">
        <f>IFERROR(__xludf.DUMMYFUNCTION("""COMPUTED_VALUE"""),4.11496)</f>
        <v>4.11496</v>
      </c>
      <c r="AF239" s="32">
        <f>IFERROR(__xludf.DUMMYFUNCTION("""COMPUTED_VALUE"""),6.19369)</f>
        <v>6.19369</v>
      </c>
      <c r="AG239" s="32">
        <f>IFERROR(__xludf.DUMMYFUNCTION("""COMPUTED_VALUE"""),0.361)</f>
        <v>0.361</v>
      </c>
      <c r="AH239" s="32">
        <f>IFERROR(__xludf.DUMMYFUNCTION("""COMPUTED_VALUE"""),18.860217)</f>
        <v>18.860217</v>
      </c>
      <c r="AI239" s="32">
        <f>IFERROR(__xludf.DUMMYFUNCTION("""COMPUTED_VALUE"""),1.8289193564067754)</f>
        <v>1.828919356</v>
      </c>
      <c r="AJ239" s="32">
        <f>IFERROR(__xludf.DUMMYFUNCTION("""COMPUTED_VALUE"""),-31.629639608232488)</f>
        <v>-31.62963961</v>
      </c>
      <c r="AK239" s="32">
        <f>IFERROR(__xludf.DUMMYFUNCTION("""COMPUTED_VALUE"""),22.5799)</f>
        <v>22.5799</v>
      </c>
      <c r="AL239" s="32">
        <f>IFERROR(__xludf.DUMMYFUNCTION("""COMPUTED_VALUE"""),99.0504)</f>
        <v>99.0504</v>
      </c>
      <c r="AM239" s="32">
        <f>IFERROR(__xludf.DUMMYFUNCTION("""COMPUTED_VALUE"""),-32.83856)</f>
        <v>-32.83856</v>
      </c>
      <c r="AN239" s="32">
        <f>IFERROR(__xludf.DUMMYFUNCTION("""COMPUTED_VALUE"""),-55.286466)</f>
        <v>-55.286466</v>
      </c>
      <c r="AO239" s="32">
        <f>IFERROR(__xludf.DUMMYFUNCTION("""COMPUTED_VALUE"""),3.75)</f>
        <v>3.75</v>
      </c>
      <c r="AP239" s="32">
        <f>IFERROR(__xludf.DUMMYFUNCTION("""COMPUTED_VALUE"""),0.004745925215723917)</f>
        <v>0.004745925216</v>
      </c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>
      <c r="A240" s="13" t="str">
        <f>IFERROR(__xludf.DUMMYFUNCTION("""COMPUTED_VALUE"""),"Indraprastha Gas Ltd.")</f>
        <v>Indraprastha Gas Ltd.</v>
      </c>
      <c r="B240" s="30">
        <f>IFERROR(__xludf.DUMMYFUNCTION("""COMPUTED_VALUE"""),532514.0)</f>
        <v>532514</v>
      </c>
      <c r="C240" s="13" t="str">
        <f>IFERROR(__xludf.DUMMYFUNCTION("""COMPUTED_VALUE"""),"IGL")</f>
        <v>IGL</v>
      </c>
      <c r="D240" s="13" t="str">
        <f>IFERROR(__xludf.DUMMYFUNCTION("""COMPUTED_VALUE"""),"INE203G01027")</f>
        <v>INE203G01027</v>
      </c>
      <c r="E240" s="13" t="str">
        <f>IFERROR(__xludf.DUMMYFUNCTION("""COMPUTED_VALUE"""),"Energy")</f>
        <v>Energy</v>
      </c>
      <c r="F240" s="13" t="str">
        <f>IFERROR(__xludf.DUMMYFUNCTION("""COMPUTED_VALUE"""),"Natural Gas Utilities")</f>
        <v>Natural Gas Utilities</v>
      </c>
      <c r="G240" s="31">
        <f>IFERROR(__xludf.DUMMYFUNCTION("""COMPUTED_VALUE"""),44809.0)</f>
        <v>44809</v>
      </c>
      <c r="H240" s="32">
        <f>IFERROR(__xludf.DUMMYFUNCTION("""COMPUTED_VALUE"""),415.3)</f>
        <v>415.3</v>
      </c>
      <c r="I240" s="32">
        <f>IFERROR(__xludf.DUMMYFUNCTION("""COMPUTED_VALUE"""),-0.70532)</f>
        <v>-0.70532</v>
      </c>
      <c r="J240" s="32">
        <f>IFERROR(__xludf.DUMMYFUNCTION("""COMPUTED_VALUE"""),327.2)</f>
        <v>327.2</v>
      </c>
      <c r="K240" s="32">
        <f>IFERROR(__xludf.DUMMYFUNCTION("""COMPUTED_VALUE"""),604.0)</f>
        <v>604</v>
      </c>
      <c r="L240" s="32">
        <f>IFERROR(__xludf.DUMMYFUNCTION("""COMPUTED_VALUE"""),284.05)</f>
        <v>284.05</v>
      </c>
      <c r="M240" s="32">
        <f>IFERROR(__xludf.DUMMYFUNCTION("""COMPUTED_VALUE"""),604.0)</f>
        <v>604</v>
      </c>
      <c r="N240" s="32">
        <f>IFERROR(__xludf.DUMMYFUNCTION("""COMPUTED_VALUE"""),215.2)</f>
        <v>215.2</v>
      </c>
      <c r="O240" s="32">
        <f>IFERROR(__xludf.DUMMYFUNCTION("""COMPUTED_VALUE"""),604.0)</f>
        <v>604</v>
      </c>
      <c r="P240" s="32">
        <f>IFERROR(__xludf.DUMMYFUNCTION("""COMPUTED_VALUE"""),11.13)</f>
        <v>11.13</v>
      </c>
      <c r="Q240" s="32">
        <f>IFERROR(__xludf.DUMMYFUNCTION("""COMPUTED_VALUE"""),604.0)</f>
        <v>604</v>
      </c>
      <c r="R240" s="32">
        <f>IFERROR(__xludf.DUMMYFUNCTION("""COMPUTED_VALUE"""),29106.033264)</f>
        <v>29106.03326</v>
      </c>
      <c r="S240" s="32">
        <f>IFERROR(__xludf.DUMMYFUNCTION("""COMPUTED_VALUE"""),26567.043448)</f>
        <v>26567.04345</v>
      </c>
      <c r="T240" s="32">
        <f>IFERROR(__xludf.DUMMYFUNCTION("""COMPUTED_VALUE"""),-0.764636)</f>
        <v>-0.764636</v>
      </c>
      <c r="U240" s="32">
        <f>IFERROR(__xludf.DUMMYFUNCTION("""COMPUTED_VALUE"""),18.133978)</f>
        <v>18.133978</v>
      </c>
      <c r="V240" s="32">
        <f>IFERROR(__xludf.DUMMYFUNCTION("""COMPUTED_VALUE"""),16.510029)</f>
        <v>16.510029</v>
      </c>
      <c r="W240" s="32">
        <f>IFERROR(__xludf.DUMMYFUNCTION("""COMPUTED_VALUE"""),-25.593478)</f>
        <v>-25.593478</v>
      </c>
      <c r="X240" s="32">
        <f>IFERROR(__xludf.DUMMYFUNCTION("""COMPUTED_VALUE"""),8.288563)</f>
        <v>8.288563</v>
      </c>
      <c r="Y240" s="32">
        <f>IFERROR(__xludf.DUMMYFUNCTION("""COMPUTED_VALUE"""),10.469959)</f>
        <v>10.469959</v>
      </c>
      <c r="Z240" s="32">
        <f>IFERROR(__xludf.DUMMYFUNCTION("""COMPUTED_VALUE"""),23.997952)</f>
        <v>23.997952</v>
      </c>
      <c r="AA240" s="32">
        <f>IFERROR(__xludf.DUMMYFUNCTION("""COMPUTED_VALUE"""),17.0654)</f>
        <v>17.0654</v>
      </c>
      <c r="AB240" s="32">
        <f>IFERROR(__xludf.DUMMYFUNCTION("""COMPUTED_VALUE"""),27.74575)</f>
        <v>27.74575</v>
      </c>
      <c r="AC240" s="32">
        <f>IFERROR(__xludf.DUMMYFUNCTION("""COMPUTED_VALUE"""),3.6351)</f>
        <v>3.6351</v>
      </c>
      <c r="AD240" s="32">
        <f>IFERROR(__xludf.DUMMYFUNCTION("""COMPUTED_VALUE"""),5.68115)</f>
        <v>5.68115</v>
      </c>
      <c r="AE240" s="32">
        <f>IFERROR(__xludf.DUMMYFUNCTION("""COMPUTED_VALUE"""),8.134274)</f>
        <v>8.134274</v>
      </c>
      <c r="AF240" s="32">
        <f>IFERROR(__xludf.DUMMYFUNCTION("""COMPUTED_VALUE"""),0.812746)</f>
        <v>0.812746</v>
      </c>
      <c r="AG240" s="32">
        <f>IFERROR(__xludf.DUMMYFUNCTION("""COMPUTED_VALUE"""),1.3243)</f>
        <v>1.3243</v>
      </c>
      <c r="AH240" s="32">
        <f>IFERROR(__xludf.DUMMYFUNCTION("""COMPUTED_VALUE"""),11.57449)</f>
        <v>11.57449</v>
      </c>
      <c r="AI240" s="32">
        <f>IFERROR(__xludf.DUMMYFUNCTION("""COMPUTED_VALUE"""),2.736923626885124)</f>
        <v>2.736923627</v>
      </c>
      <c r="AJ240" s="32">
        <f>IFERROR(__xludf.DUMMYFUNCTION("""COMPUTED_VALUE"""),18.827036271079)</f>
        <v>18.82703627</v>
      </c>
      <c r="AK240" s="32">
        <f>IFERROR(__xludf.DUMMYFUNCTION("""COMPUTED_VALUE"""),24.3651)</f>
        <v>24.3651</v>
      </c>
      <c r="AL240" s="32">
        <f>IFERROR(__xludf.DUMMYFUNCTION("""COMPUTED_VALUE"""),114.3842)</f>
        <v>114.3842</v>
      </c>
      <c r="AM240" s="32">
        <f>IFERROR(__xludf.DUMMYFUNCTION("""COMPUTED_VALUE"""),22.085286)</f>
        <v>22.085286</v>
      </c>
      <c r="AN240" s="32">
        <f>IFERROR(__xludf.DUMMYFUNCTION("""COMPUTED_VALUE"""),11.449714)</f>
        <v>11.449714</v>
      </c>
      <c r="AO240" s="32">
        <f>IFERROR(__xludf.DUMMYFUNCTION("""COMPUTED_VALUE"""),3.6)</f>
        <v>3.6</v>
      </c>
      <c r="AP240" s="32">
        <f>IFERROR(__xludf.DUMMYFUNCTION("""COMPUTED_VALUE"""),0.3124172185430463)</f>
        <v>0.3124172185</v>
      </c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>
      <c r="A241" s="13" t="str">
        <f>IFERROR(__xludf.DUMMYFUNCTION("""COMPUTED_VALUE"""),"Mahindra &amp; Mahindra Financial Services Ltd.")</f>
        <v>Mahindra &amp; Mahindra Financial Services Ltd.</v>
      </c>
      <c r="B241" s="30">
        <f>IFERROR(__xludf.DUMMYFUNCTION("""COMPUTED_VALUE"""),532720.0)</f>
        <v>532720</v>
      </c>
      <c r="C241" s="13" t="str">
        <f>IFERROR(__xludf.DUMMYFUNCTION("""COMPUTED_VALUE"""),"M&amp;MFIN")</f>
        <v>M&amp;MFIN</v>
      </c>
      <c r="D241" s="13" t="str">
        <f>IFERROR(__xludf.DUMMYFUNCTION("""COMPUTED_VALUE"""),"INE774D01024")</f>
        <v>INE774D01024</v>
      </c>
      <c r="E241" s="13" t="str">
        <f>IFERROR(__xludf.DUMMYFUNCTION("""COMPUTED_VALUE"""),"Financial")</f>
        <v>Financial</v>
      </c>
      <c r="F241" s="13" t="str">
        <f>IFERROR(__xludf.DUMMYFUNCTION("""COMPUTED_VALUE"""),"Misc. Fin.services")</f>
        <v>Misc. Fin.services</v>
      </c>
      <c r="G241" s="31">
        <f>IFERROR(__xludf.DUMMYFUNCTION("""COMPUTED_VALUE"""),44809.0)</f>
        <v>44809</v>
      </c>
      <c r="H241" s="32">
        <f>IFERROR(__xludf.DUMMYFUNCTION("""COMPUTED_VALUE"""),214.9)</f>
        <v>214.9</v>
      </c>
      <c r="I241" s="32">
        <f>IFERROR(__xludf.DUMMYFUNCTION("""COMPUTED_VALUE"""),2.773792)</f>
        <v>2.773792</v>
      </c>
      <c r="J241" s="32">
        <f>IFERROR(__xludf.DUMMYFUNCTION("""COMPUTED_VALUE"""),128.1)</f>
        <v>128.1</v>
      </c>
      <c r="K241" s="32">
        <f>IFERROR(__xludf.DUMMYFUNCTION("""COMPUTED_VALUE"""),217.0)</f>
        <v>217</v>
      </c>
      <c r="L241" s="32">
        <f>IFERROR(__xludf.DUMMYFUNCTION("""COMPUTED_VALUE"""),76.456033)</f>
        <v>76.456033</v>
      </c>
      <c r="M241" s="32">
        <f>IFERROR(__xludf.DUMMYFUNCTION("""COMPUTED_VALUE"""),245.890895)</f>
        <v>245.890895</v>
      </c>
      <c r="N241" s="32">
        <f>IFERROR(__xludf.DUMMYFUNCTION("""COMPUTED_VALUE"""),76.456033)</f>
        <v>76.456033</v>
      </c>
      <c r="O241" s="32">
        <f>IFERROR(__xludf.DUMMYFUNCTION("""COMPUTED_VALUE"""),327.764054)</f>
        <v>327.764054</v>
      </c>
      <c r="P241" s="32">
        <f>IFERROR(__xludf.DUMMYFUNCTION("""COMPUTED_VALUE"""),16.723995)</f>
        <v>16.723995</v>
      </c>
      <c r="Q241" s="32">
        <f>IFERROR(__xludf.DUMMYFUNCTION("""COMPUTED_VALUE"""),327.764054)</f>
        <v>327.764054</v>
      </c>
      <c r="R241" s="32">
        <f>IFERROR(__xludf.DUMMYFUNCTION("""COMPUTED_VALUE"""),26563.89328)</f>
        <v>26563.89328</v>
      </c>
      <c r="S241" s="32">
        <f>IFERROR(__xludf.DUMMYFUNCTION("""COMPUTED_VALUE"""),83082.1400288)</f>
        <v>83082.14003</v>
      </c>
      <c r="T241" s="32">
        <f>IFERROR(__xludf.DUMMYFUNCTION("""COMPUTED_VALUE"""),4.093001)</f>
        <v>4.093001</v>
      </c>
      <c r="U241" s="32">
        <f>IFERROR(__xludf.DUMMYFUNCTION("""COMPUTED_VALUE"""),10.289967)</f>
        <v>10.289967</v>
      </c>
      <c r="V241" s="32">
        <f>IFERROR(__xludf.DUMMYFUNCTION("""COMPUTED_VALUE"""),15.258783)</f>
        <v>15.258783</v>
      </c>
      <c r="W241" s="32">
        <f>IFERROR(__xludf.DUMMYFUNCTION("""COMPUTED_VALUE"""),30.12413)</f>
        <v>30.12413</v>
      </c>
      <c r="X241" s="32">
        <f>IFERROR(__xludf.DUMMYFUNCTION("""COMPUTED_VALUE"""),2.302784)</f>
        <v>2.302784</v>
      </c>
      <c r="Y241" s="32">
        <f>IFERROR(__xludf.DUMMYFUNCTION("""COMPUTED_VALUE"""),-3.705007)</f>
        <v>-3.705007</v>
      </c>
      <c r="Z241" s="32">
        <f>IFERROR(__xludf.DUMMYFUNCTION("""COMPUTED_VALUE"""),9.024713)</f>
        <v>9.024713</v>
      </c>
      <c r="AA241" s="32">
        <f>IFERROR(__xludf.DUMMYFUNCTION("""COMPUTED_VALUE"""),9.0052)</f>
        <v>9.0052</v>
      </c>
      <c r="AB241" s="32">
        <f>IFERROR(__xludf.DUMMYFUNCTION("""COMPUTED_VALUE"""),18.4537)</f>
        <v>18.4537</v>
      </c>
      <c r="AC241" s="32">
        <f>IFERROR(__xludf.DUMMYFUNCTION("""COMPUTED_VALUE"""),1.5551)</f>
        <v>1.5551</v>
      </c>
      <c r="AD241" s="32">
        <f>IFERROR(__xludf.DUMMYFUNCTION("""COMPUTED_VALUE"""),1.62565)</f>
        <v>1.62565</v>
      </c>
      <c r="AE241" s="32">
        <f>IFERROR(__xludf.DUMMYFUNCTION("""COMPUTED_VALUE"""),10.196597)</f>
        <v>10.196597</v>
      </c>
      <c r="AF241" s="32">
        <f>IFERROR(__xludf.DUMMYFUNCTION("""COMPUTED_VALUE"""),0.206968)</f>
        <v>0.206968</v>
      </c>
      <c r="AG241" s="32">
        <f>IFERROR(__xludf.DUMMYFUNCTION("""COMPUTED_VALUE"""),1.6752)</f>
        <v>1.6752</v>
      </c>
      <c r="AH241" s="32">
        <f>IFERROR(__xludf.DUMMYFUNCTION("""COMPUTED_VALUE"""),9.855743)</f>
        <v>9.855743</v>
      </c>
      <c r="AI241" s="32">
        <f>IFERROR(__xludf.DUMMYFUNCTION("""COMPUTED_VALUE"""),2.3442976680480934)</f>
        <v>2.344297668</v>
      </c>
      <c r="AJ241" s="32">
        <f>IFERROR(__xludf.DUMMYFUNCTION("""COMPUTED_VALUE"""),1470.8689523809524)</f>
        <v>1470.868952</v>
      </c>
      <c r="AK241" s="32">
        <f>IFERROR(__xludf.DUMMYFUNCTION("""COMPUTED_VALUE"""),23.8752)</f>
        <v>23.8752</v>
      </c>
      <c r="AL241" s="32">
        <f>IFERROR(__xludf.DUMMYFUNCTION("""COMPUTED_VALUE"""),138.2559)</f>
        <v>138.2559</v>
      </c>
      <c r="AM241" s="32">
        <f>IFERROR(__xludf.DUMMYFUNCTION("""COMPUTED_VALUE"""),0.146472)</f>
        <v>0.146472</v>
      </c>
      <c r="AN241" s="32">
        <f>IFERROR(__xludf.DUMMYFUNCTION("""COMPUTED_VALUE"""),-27.945661)</f>
        <v>-27.945661</v>
      </c>
      <c r="AO241" s="32">
        <f>IFERROR(__xludf.DUMMYFUNCTION("""COMPUTED_VALUE"""),3.6)</f>
        <v>3.6</v>
      </c>
      <c r="AP241" s="32">
        <f>IFERROR(__xludf.DUMMYFUNCTION("""COMPUTED_VALUE"""),0.009677419354838684)</f>
        <v>0.009677419355</v>
      </c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>
      <c r="A242" s="13" t="str">
        <f>IFERROR(__xludf.DUMMYFUNCTION("""COMPUTED_VALUE"""),"APL Apollo Tubes Ltd.")</f>
        <v>APL Apollo Tubes Ltd.</v>
      </c>
      <c r="B242" s="30">
        <f>IFERROR(__xludf.DUMMYFUNCTION("""COMPUTED_VALUE"""),533758.0)</f>
        <v>533758</v>
      </c>
      <c r="C242" s="13" t="str">
        <f>IFERROR(__xludf.DUMMYFUNCTION("""COMPUTED_VALUE"""),"APLAPOLLO")</f>
        <v>APLAPOLLO</v>
      </c>
      <c r="D242" s="13" t="str">
        <f>IFERROR(__xludf.DUMMYFUNCTION("""COMPUTED_VALUE"""),"INE702C01019")</f>
        <v>INE702C01019</v>
      </c>
      <c r="E242" s="13" t="str">
        <f>IFERROR(__xludf.DUMMYFUNCTION("""COMPUTED_VALUE"""),"Metals &amp; Mining")</f>
        <v>Metals &amp; Mining</v>
      </c>
      <c r="F242" s="13" t="str">
        <f>IFERROR(__xludf.DUMMYFUNCTION("""COMPUTED_VALUE"""),"Steel Tubes &amp; Pipes")</f>
        <v>Steel Tubes &amp; Pipes</v>
      </c>
      <c r="G242" s="31">
        <f>IFERROR(__xludf.DUMMYFUNCTION("""COMPUTED_VALUE"""),44809.0)</f>
        <v>44809</v>
      </c>
      <c r="H242" s="32">
        <f>IFERROR(__xludf.DUMMYFUNCTION("""COMPUTED_VALUE"""),1057.45)</f>
        <v>1057.45</v>
      </c>
      <c r="I242" s="32">
        <f>IFERROR(__xludf.DUMMYFUNCTION("""COMPUTED_VALUE"""),2.119749)</f>
        <v>2.119749</v>
      </c>
      <c r="J242" s="32">
        <f>IFERROR(__xludf.DUMMYFUNCTION("""COMPUTED_VALUE"""),750.1)</f>
        <v>750.1</v>
      </c>
      <c r="K242" s="32">
        <f>IFERROR(__xludf.DUMMYFUNCTION("""COMPUTED_VALUE"""),1146.95)</f>
        <v>1146.95</v>
      </c>
      <c r="L242" s="32">
        <f>IFERROR(__xludf.DUMMYFUNCTION("""COMPUTED_VALUE"""),102.5)</f>
        <v>102.5</v>
      </c>
      <c r="M242" s="32">
        <f>IFERROR(__xludf.DUMMYFUNCTION("""COMPUTED_VALUE"""),1146.95)</f>
        <v>1146.95</v>
      </c>
      <c r="N242" s="32">
        <f>IFERROR(__xludf.DUMMYFUNCTION("""COMPUTED_VALUE"""),100.33)</f>
        <v>100.33</v>
      </c>
      <c r="O242" s="32">
        <f>IFERROR(__xludf.DUMMYFUNCTION("""COMPUTED_VALUE"""),1146.95)</f>
        <v>1146.95</v>
      </c>
      <c r="P242" s="32">
        <f>IFERROR(__xludf.DUMMYFUNCTION("""COMPUTED_VALUE"""),2.25)</f>
        <v>2.25</v>
      </c>
      <c r="Q242" s="32">
        <f>IFERROR(__xludf.DUMMYFUNCTION("""COMPUTED_VALUE"""),1146.95)</f>
        <v>1146.95</v>
      </c>
      <c r="R242" s="32">
        <f>IFERROR(__xludf.DUMMYFUNCTION("""COMPUTED_VALUE"""),26464.66007)</f>
        <v>26464.66007</v>
      </c>
      <c r="S242" s="32">
        <f>IFERROR(__xludf.DUMMYFUNCTION("""COMPUTED_VALUE"""),26098.17614)</f>
        <v>26098.17614</v>
      </c>
      <c r="T242" s="32">
        <f>IFERROR(__xludf.DUMMYFUNCTION("""COMPUTED_VALUE"""),8.328638)</f>
        <v>8.328638</v>
      </c>
      <c r="U242" s="32">
        <f>IFERROR(__xludf.DUMMYFUNCTION("""COMPUTED_VALUE"""),0.441679)</f>
        <v>0.441679</v>
      </c>
      <c r="V242" s="32">
        <f>IFERROR(__xludf.DUMMYFUNCTION("""COMPUTED_VALUE"""),6.089792)</f>
        <v>6.089792</v>
      </c>
      <c r="W242" s="32">
        <f>IFERROR(__xludf.DUMMYFUNCTION("""COMPUTED_VALUE"""),24.464454)</f>
        <v>24.464454</v>
      </c>
      <c r="X242" s="32">
        <f>IFERROR(__xludf.DUMMYFUNCTION("""COMPUTED_VALUE"""),101.53183)</f>
        <v>101.53183</v>
      </c>
      <c r="Y242" s="32">
        <f>IFERROR(__xludf.DUMMYFUNCTION("""COMPUTED_VALUE"""),46.153931)</f>
        <v>46.153931</v>
      </c>
      <c r="Z242" s="32">
        <f>IFERROR(__xludf.DUMMYFUNCTION("""COMPUTED_VALUE"""),53.039093)</f>
        <v>53.039093</v>
      </c>
      <c r="AA242" s="32">
        <f>IFERROR(__xludf.DUMMYFUNCTION("""COMPUTED_VALUE"""),51.1839)</f>
        <v>51.1839</v>
      </c>
      <c r="AB242" s="32">
        <f>IFERROR(__xludf.DUMMYFUNCTION("""COMPUTED_VALUE"""),30.1857)</f>
        <v>30.1857</v>
      </c>
      <c r="AC242" s="32">
        <f>IFERROR(__xludf.DUMMYFUNCTION("""COMPUTED_VALUE"""),11.1053)</f>
        <v>11.1053</v>
      </c>
      <c r="AD242" s="32">
        <f>IFERROR(__xludf.DUMMYFUNCTION("""COMPUTED_VALUE"""),5.1224)</f>
        <v>5.1224</v>
      </c>
      <c r="AE242" s="32">
        <f>IFERROR(__xludf.DUMMYFUNCTION("""COMPUTED_VALUE"""),3.187466)</f>
        <v>3.187466</v>
      </c>
      <c r="AF242" s="32">
        <f>IFERROR(__xludf.DUMMYFUNCTION("""COMPUTED_VALUE"""),1.642852)</f>
        <v>1.642852</v>
      </c>
      <c r="AG242" s="32">
        <f>IFERROR(__xludf.DUMMYFUNCTION("""COMPUTED_VALUE"""),0.331)</f>
        <v>0.331</v>
      </c>
      <c r="AH242" s="32">
        <f>IFERROR(__xludf.DUMMYFUNCTION("""COMPUTED_VALUE"""),28.271705)</f>
        <v>28.271705</v>
      </c>
      <c r="AI242" s="32">
        <f>IFERROR(__xludf.DUMMYFUNCTION("""COMPUTED_VALUE"""),1.9577450149542126)</f>
        <v>1.957745015</v>
      </c>
      <c r="AJ242" s="32">
        <f>IFERROR(__xludf.DUMMYFUNCTION("""COMPUTED_VALUE"""),40.6080312869221)</f>
        <v>40.60803129</v>
      </c>
      <c r="AK242" s="32">
        <f>IFERROR(__xludf.DUMMYFUNCTION("""COMPUTED_VALUE"""),20.6588)</f>
        <v>20.6588</v>
      </c>
      <c r="AL242" s="32">
        <f>IFERROR(__xludf.DUMMYFUNCTION("""COMPUTED_VALUE"""),95.2158)</f>
        <v>95.2158</v>
      </c>
      <c r="AM242" s="32">
        <f>IFERROR(__xludf.DUMMYFUNCTION("""COMPUTED_VALUE"""),26.037155)</f>
        <v>26.037155</v>
      </c>
      <c r="AN242" s="32">
        <f>IFERROR(__xludf.DUMMYFUNCTION("""COMPUTED_VALUE"""),0.636436)</f>
        <v>0.636436</v>
      </c>
      <c r="AO242" s="32">
        <f>IFERROR(__xludf.DUMMYFUNCTION("""COMPUTED_VALUE"""),3.5)</f>
        <v>3.5</v>
      </c>
      <c r="AP242" s="32">
        <f>IFERROR(__xludf.DUMMYFUNCTION("""COMPUTED_VALUE"""),0.07803304416059985)</f>
        <v>0.07803304416</v>
      </c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>
      <c r="A243" s="13" t="str">
        <f>IFERROR(__xludf.DUMMYFUNCTION("""COMPUTED_VALUE"""),"Carborundum Universal Ltd.")</f>
        <v>Carborundum Universal Ltd.</v>
      </c>
      <c r="B243" s="30">
        <f>IFERROR(__xludf.DUMMYFUNCTION("""COMPUTED_VALUE"""),513375.0)</f>
        <v>513375</v>
      </c>
      <c r="C243" s="13" t="str">
        <f>IFERROR(__xludf.DUMMYFUNCTION("""COMPUTED_VALUE"""),"CARBORUNIV")</f>
        <v>CARBORUNIV</v>
      </c>
      <c r="D243" s="13" t="str">
        <f>IFERROR(__xludf.DUMMYFUNCTION("""COMPUTED_VALUE"""),"INE120A01034")</f>
        <v>INE120A01034</v>
      </c>
      <c r="E243" s="13" t="str">
        <f>IFERROR(__xludf.DUMMYFUNCTION("""COMPUTED_VALUE"""),"Metals &amp; Mining")</f>
        <v>Metals &amp; Mining</v>
      </c>
      <c r="F243" s="13" t="str">
        <f>IFERROR(__xludf.DUMMYFUNCTION("""COMPUTED_VALUE"""),"Abrasives")</f>
        <v>Abrasives</v>
      </c>
      <c r="G243" s="31">
        <f>IFERROR(__xludf.DUMMYFUNCTION("""COMPUTED_VALUE"""),44809.0)</f>
        <v>44809</v>
      </c>
      <c r="H243" s="32">
        <f>IFERROR(__xludf.DUMMYFUNCTION("""COMPUTED_VALUE"""),854.0)</f>
        <v>854</v>
      </c>
      <c r="I243" s="32">
        <f>IFERROR(__xludf.DUMMYFUNCTION("""COMPUTED_VALUE"""),-0.876328)</f>
        <v>-0.876328</v>
      </c>
      <c r="J243" s="32">
        <f>IFERROR(__xludf.DUMMYFUNCTION("""COMPUTED_VALUE"""),652.0)</f>
        <v>652</v>
      </c>
      <c r="K243" s="32">
        <f>IFERROR(__xludf.DUMMYFUNCTION("""COMPUTED_VALUE"""),1035.0)</f>
        <v>1035</v>
      </c>
      <c r="L243" s="32">
        <f>IFERROR(__xludf.DUMMYFUNCTION("""COMPUTED_VALUE"""),175.0)</f>
        <v>175</v>
      </c>
      <c r="M243" s="32">
        <f>IFERROR(__xludf.DUMMYFUNCTION("""COMPUTED_VALUE"""),1035.0)</f>
        <v>1035</v>
      </c>
      <c r="N243" s="32">
        <f>IFERROR(__xludf.DUMMYFUNCTION("""COMPUTED_VALUE"""),175.0)</f>
        <v>175</v>
      </c>
      <c r="O243" s="32">
        <f>IFERROR(__xludf.DUMMYFUNCTION("""COMPUTED_VALUE"""),1035.0)</f>
        <v>1035</v>
      </c>
      <c r="P243" s="32">
        <f>IFERROR(__xludf.DUMMYFUNCTION("""COMPUTED_VALUE"""),6.45)</f>
        <v>6.45</v>
      </c>
      <c r="Q243" s="32">
        <f>IFERROR(__xludf.DUMMYFUNCTION("""COMPUTED_VALUE"""),1035.0)</f>
        <v>1035</v>
      </c>
      <c r="R243" s="32">
        <f>IFERROR(__xludf.DUMMYFUNCTION("""COMPUTED_VALUE"""),16215.9101608)</f>
        <v>16215.91016</v>
      </c>
      <c r="S243" s="32">
        <f>IFERROR(__xludf.DUMMYFUNCTION("""COMPUTED_VALUE"""),16216.10532202)</f>
        <v>16216.10532</v>
      </c>
      <c r="T243" s="32">
        <f>IFERROR(__xludf.DUMMYFUNCTION("""COMPUTED_VALUE"""),5.152989)</f>
        <v>5.152989</v>
      </c>
      <c r="U243" s="32">
        <f>IFERROR(__xludf.DUMMYFUNCTION("""COMPUTED_VALUE"""),-1.134522)</f>
        <v>-1.134522</v>
      </c>
      <c r="V243" s="32">
        <f>IFERROR(__xludf.DUMMYFUNCTION("""COMPUTED_VALUE"""),22.437276)</f>
        <v>22.437276</v>
      </c>
      <c r="W243" s="32">
        <f>IFERROR(__xludf.DUMMYFUNCTION("""COMPUTED_VALUE"""),4.152692)</f>
        <v>4.152692</v>
      </c>
      <c r="X243" s="32">
        <f>IFERROR(__xludf.DUMMYFUNCTION("""COMPUTED_VALUE"""),44.832383)</f>
        <v>44.832383</v>
      </c>
      <c r="Y243" s="32">
        <f>IFERROR(__xludf.DUMMYFUNCTION("""COMPUTED_VALUE"""),20.028233)</f>
        <v>20.028233</v>
      </c>
      <c r="Z243" s="32">
        <f>IFERROR(__xludf.DUMMYFUNCTION("""COMPUTED_VALUE"""),19.20543)</f>
        <v>19.20543</v>
      </c>
      <c r="AA243" s="32">
        <f>IFERROR(__xludf.DUMMYFUNCTION("""COMPUTED_VALUE"""),48.4143)</f>
        <v>48.4143</v>
      </c>
      <c r="AB243" s="32">
        <f>IFERROR(__xludf.DUMMYFUNCTION("""COMPUTED_VALUE"""),29.22095)</f>
        <v>29.22095</v>
      </c>
      <c r="AC243" s="32">
        <f>IFERROR(__xludf.DUMMYFUNCTION("""COMPUTED_VALUE"""),6.6809)</f>
        <v>6.6809</v>
      </c>
      <c r="AD243" s="32">
        <f>IFERROR(__xludf.DUMMYFUNCTION("""COMPUTED_VALUE"""),4.16975)</f>
        <v>4.16975</v>
      </c>
      <c r="AE243" s="32">
        <f>IFERROR(__xludf.DUMMYFUNCTION("""COMPUTED_VALUE"""),3.260154)</f>
        <v>3.260154</v>
      </c>
      <c r="AF243" s="32">
        <f>IFERROR(__xludf.DUMMYFUNCTION("""COMPUTED_VALUE"""),3.155435)</f>
        <v>3.155435</v>
      </c>
      <c r="AG243" s="32">
        <f>IFERROR(__xludf.DUMMYFUNCTION("""COMPUTED_VALUE"""),0.4097)</f>
        <v>0.4097</v>
      </c>
      <c r="AH243" s="32">
        <f>IFERROR(__xludf.DUMMYFUNCTION("""COMPUTED_VALUE"""),26.985015)</f>
        <v>26.985015</v>
      </c>
      <c r="AI243" s="32">
        <f>IFERROR(__xludf.DUMMYFUNCTION("""COMPUTED_VALUE"""),4.367710161069631)</f>
        <v>4.367710161</v>
      </c>
      <c r="AJ243" s="32">
        <f>IFERROR(__xludf.DUMMYFUNCTION("""COMPUTED_VALUE"""),66.31487537592677)</f>
        <v>66.31487538</v>
      </c>
      <c r="AK243" s="32">
        <f>IFERROR(__xludf.DUMMYFUNCTION("""COMPUTED_VALUE"""),17.6415)</f>
        <v>17.6415</v>
      </c>
      <c r="AL243" s="32">
        <f>IFERROR(__xludf.DUMMYFUNCTION("""COMPUTED_VALUE"""),127.8427)</f>
        <v>127.8427</v>
      </c>
      <c r="AM243" s="32">
        <f>IFERROR(__xludf.DUMMYFUNCTION("""COMPUTED_VALUE"""),12.879437)</f>
        <v>12.879437</v>
      </c>
      <c r="AN243" s="32">
        <f>IFERROR(__xludf.DUMMYFUNCTION("""COMPUTED_VALUE"""),-17.031813)</f>
        <v>-17.031813</v>
      </c>
      <c r="AO243" s="32">
        <f>IFERROR(__xludf.DUMMYFUNCTION("""COMPUTED_VALUE"""),3.5)</f>
        <v>3.5</v>
      </c>
      <c r="AP243" s="32">
        <f>IFERROR(__xludf.DUMMYFUNCTION("""COMPUTED_VALUE"""),0.1748792270531401)</f>
        <v>0.1748792271</v>
      </c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>
      <c r="A244" s="13" t="str">
        <f>IFERROR(__xludf.DUMMYFUNCTION("""COMPUTED_VALUE"""),"Firstsource Solutions Ltd.")</f>
        <v>Firstsource Solutions Ltd.</v>
      </c>
      <c r="B244" s="30">
        <f>IFERROR(__xludf.DUMMYFUNCTION("""COMPUTED_VALUE"""),532809.0)</f>
        <v>532809</v>
      </c>
      <c r="C244" s="13" t="str">
        <f>IFERROR(__xludf.DUMMYFUNCTION("""COMPUTED_VALUE"""),"FSL")</f>
        <v>FSL</v>
      </c>
      <c r="D244" s="13" t="str">
        <f>IFERROR(__xludf.DUMMYFUNCTION("""COMPUTED_VALUE"""),"INE684F01012")</f>
        <v>INE684F01012</v>
      </c>
      <c r="E244" s="13" t="str">
        <f>IFERROR(__xludf.DUMMYFUNCTION("""COMPUTED_VALUE"""),"Services")</f>
        <v>Services</v>
      </c>
      <c r="F244" s="13" t="str">
        <f>IFERROR(__xludf.DUMMYFUNCTION("""COMPUTED_VALUE"""),"Misc.Other Services")</f>
        <v>Misc.Other Services</v>
      </c>
      <c r="G244" s="31">
        <f>IFERROR(__xludf.DUMMYFUNCTION("""COMPUTED_VALUE"""),44809.0)</f>
        <v>44809</v>
      </c>
      <c r="H244" s="32">
        <f>IFERROR(__xludf.DUMMYFUNCTION("""COMPUTED_VALUE"""),106.25)</f>
        <v>106.25</v>
      </c>
      <c r="I244" s="32">
        <f>IFERROR(__xludf.DUMMYFUNCTION("""COMPUTED_VALUE"""),1.431981)</f>
        <v>1.431981</v>
      </c>
      <c r="J244" s="32">
        <f>IFERROR(__xludf.DUMMYFUNCTION("""COMPUTED_VALUE"""),93.0)</f>
        <v>93</v>
      </c>
      <c r="K244" s="32">
        <f>IFERROR(__xludf.DUMMYFUNCTION("""COMPUTED_VALUE"""),222.7)</f>
        <v>222.7</v>
      </c>
      <c r="L244" s="32">
        <f>IFERROR(__xludf.DUMMYFUNCTION("""COMPUTED_VALUE"""),20.1)</f>
        <v>20.1</v>
      </c>
      <c r="M244" s="32">
        <f>IFERROR(__xludf.DUMMYFUNCTION("""COMPUTED_VALUE"""),242.85)</f>
        <v>242.85</v>
      </c>
      <c r="N244" s="32">
        <f>IFERROR(__xludf.DUMMYFUNCTION("""COMPUTED_VALUE"""),20.1)</f>
        <v>20.1</v>
      </c>
      <c r="O244" s="32">
        <f>IFERROR(__xludf.DUMMYFUNCTION("""COMPUTED_VALUE"""),242.85)</f>
        <v>242.85</v>
      </c>
      <c r="P244" s="32">
        <f>IFERROR(__xludf.DUMMYFUNCTION("""COMPUTED_VALUE"""),5.55)</f>
        <v>5.55</v>
      </c>
      <c r="Q244" s="32">
        <f>IFERROR(__xludf.DUMMYFUNCTION("""COMPUTED_VALUE"""),242.85)</f>
        <v>242.85</v>
      </c>
      <c r="R244" s="32">
        <f>IFERROR(__xludf.DUMMYFUNCTION("""COMPUTED_VALUE"""),7398.55761799)</f>
        <v>7398.557618</v>
      </c>
      <c r="S244" s="32">
        <f>IFERROR(__xludf.DUMMYFUNCTION("""COMPUTED_VALUE"""),8091.81403996)</f>
        <v>8091.81404</v>
      </c>
      <c r="T244" s="32">
        <f>IFERROR(__xludf.DUMMYFUNCTION("""COMPUTED_VALUE"""),-0.747314)</f>
        <v>-0.747314</v>
      </c>
      <c r="U244" s="32">
        <f>IFERROR(__xludf.DUMMYFUNCTION("""COMPUTED_VALUE"""),0.854295)</f>
        <v>0.854295</v>
      </c>
      <c r="V244" s="32">
        <f>IFERROR(__xludf.DUMMYFUNCTION("""COMPUTED_VALUE"""),-5.429462)</f>
        <v>-5.429462</v>
      </c>
      <c r="W244" s="32">
        <f>IFERROR(__xludf.DUMMYFUNCTION("""COMPUTED_VALUE"""),-44.196429)</f>
        <v>-44.196429</v>
      </c>
      <c r="X244" s="32">
        <f>IFERROR(__xludf.DUMMYFUNCTION("""COMPUTED_VALUE"""),29.92071)</f>
        <v>29.92071</v>
      </c>
      <c r="Y244" s="32">
        <f>IFERROR(__xludf.DUMMYFUNCTION("""COMPUTED_VALUE"""),22.961012)</f>
        <v>22.961012</v>
      </c>
      <c r="Z244" s="32">
        <f>IFERROR(__xludf.DUMMYFUNCTION("""COMPUTED_VALUE"""),27.788209)</f>
        <v>27.788209</v>
      </c>
      <c r="AA244" s="32">
        <f>IFERROR(__xludf.DUMMYFUNCTION("""COMPUTED_VALUE"""),15.1624)</f>
        <v>15.1624</v>
      </c>
      <c r="AB244" s="32">
        <f>IFERROR(__xludf.DUMMYFUNCTION("""COMPUTED_VALUE"""),13.06705)</f>
        <v>13.06705</v>
      </c>
      <c r="AC244" s="32">
        <f>IFERROR(__xludf.DUMMYFUNCTION("""COMPUTED_VALUE"""),2.4126)</f>
        <v>2.4126</v>
      </c>
      <c r="AD244" s="32">
        <f>IFERROR(__xludf.DUMMYFUNCTION("""COMPUTED_VALUE"""),1.7489)</f>
        <v>1.7489</v>
      </c>
      <c r="AE244" s="32">
        <f>IFERROR(__xludf.DUMMYFUNCTION("""COMPUTED_VALUE"""),8.066455)</f>
        <v>8.066455</v>
      </c>
      <c r="AF244" s="32">
        <f>IFERROR(__xludf.DUMMYFUNCTION("""COMPUTED_VALUE"""),1.217002)</f>
        <v>1.217002</v>
      </c>
      <c r="AG244" s="32">
        <f>IFERROR(__xludf.DUMMYFUNCTION("""COMPUTED_VALUE"""),3.2972)</f>
        <v>3.2972</v>
      </c>
      <c r="AH244" s="32">
        <f>IFERROR(__xludf.DUMMYFUNCTION("""COMPUTED_VALUE"""),8.897735)</f>
        <v>8.897735</v>
      </c>
      <c r="AI244" s="32">
        <f>IFERROR(__xludf.DUMMYFUNCTION("""COMPUTED_VALUE"""),1.2668381257671002)</f>
        <v>1.266838126</v>
      </c>
      <c r="AJ244" s="32">
        <f>IFERROR(__xludf.DUMMYFUNCTION("""COMPUTED_VALUE"""),10.515917121246579)</f>
        <v>10.51591712</v>
      </c>
      <c r="AK244" s="32">
        <f>IFERROR(__xludf.DUMMYFUNCTION("""COMPUTED_VALUE"""),7.0009)</f>
        <v>7.0009</v>
      </c>
      <c r="AL244" s="32">
        <f>IFERROR(__xludf.DUMMYFUNCTION("""COMPUTED_VALUE"""),43.9977)</f>
        <v>43.9977</v>
      </c>
      <c r="AM244" s="32">
        <f>IFERROR(__xludf.DUMMYFUNCTION("""COMPUTED_VALUE"""),10.094219)</f>
        <v>10.094219</v>
      </c>
      <c r="AN244" s="32">
        <f>IFERROR(__xludf.DUMMYFUNCTION("""COMPUTED_VALUE"""),7.351974)</f>
        <v>7.351974</v>
      </c>
      <c r="AO244" s="32">
        <f>IFERROR(__xludf.DUMMYFUNCTION("""COMPUTED_VALUE"""),3.5)</f>
        <v>3.5</v>
      </c>
      <c r="AP244" s="32">
        <f>IFERROR(__xludf.DUMMYFUNCTION("""COMPUTED_VALUE"""),0.5229007633587786)</f>
        <v>0.5229007634</v>
      </c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>
      <c r="A245" s="13" t="str">
        <f>IFERROR(__xludf.DUMMYFUNCTION("""COMPUTED_VALUE"""),"Housing &amp; Urban Development Corporation Ltd.")</f>
        <v>Housing &amp; Urban Development Corporation Ltd.</v>
      </c>
      <c r="B245" s="30">
        <f>IFERROR(__xludf.DUMMYFUNCTION("""COMPUTED_VALUE"""),540530.0)</f>
        <v>540530</v>
      </c>
      <c r="C245" s="13" t="str">
        <f>IFERROR(__xludf.DUMMYFUNCTION("""COMPUTED_VALUE"""),"HUDCO")</f>
        <v>HUDCO</v>
      </c>
      <c r="D245" s="13" t="str">
        <f>IFERROR(__xludf.DUMMYFUNCTION("""COMPUTED_VALUE"""),"INE031A01017")</f>
        <v>INE031A01017</v>
      </c>
      <c r="E245" s="13" t="str">
        <f>IFERROR(__xludf.DUMMYFUNCTION("""COMPUTED_VALUE"""),"Financial")</f>
        <v>Financial</v>
      </c>
      <c r="F245" s="13" t="str">
        <f>IFERROR(__xludf.DUMMYFUNCTION("""COMPUTED_VALUE"""),"Housing Finance")</f>
        <v>Housing Finance</v>
      </c>
      <c r="G245" s="31">
        <f>IFERROR(__xludf.DUMMYFUNCTION("""COMPUTED_VALUE"""),44809.0)</f>
        <v>44809</v>
      </c>
      <c r="H245" s="32">
        <f>IFERROR(__xludf.DUMMYFUNCTION("""COMPUTED_VALUE"""),42.05)</f>
        <v>42.05</v>
      </c>
      <c r="I245" s="32">
        <f>IFERROR(__xludf.DUMMYFUNCTION("""COMPUTED_VALUE"""),0.839329)</f>
        <v>0.839329</v>
      </c>
      <c r="J245" s="32">
        <f>IFERROR(__xludf.DUMMYFUNCTION("""COMPUTED_VALUE"""),30.6)</f>
        <v>30.6</v>
      </c>
      <c r="K245" s="32">
        <f>IFERROR(__xludf.DUMMYFUNCTION("""COMPUTED_VALUE"""),47.3)</f>
        <v>47.3</v>
      </c>
      <c r="L245" s="32">
        <f>IFERROR(__xludf.DUMMYFUNCTION("""COMPUTED_VALUE"""),18.0)</f>
        <v>18</v>
      </c>
      <c r="M245" s="32">
        <f>IFERROR(__xludf.DUMMYFUNCTION("""COMPUTED_VALUE"""),58.25)</f>
        <v>58.25</v>
      </c>
      <c r="N245" s="32">
        <f>IFERROR(__xludf.DUMMYFUNCTION("""COMPUTED_VALUE"""),18.0)</f>
        <v>18</v>
      </c>
      <c r="O245" s="32">
        <f>IFERROR(__xludf.DUMMYFUNCTION("""COMPUTED_VALUE"""),92.6)</f>
        <v>92.6</v>
      </c>
      <c r="P245" s="32">
        <f>IFERROR(__xludf.DUMMYFUNCTION("""COMPUTED_VALUE"""),18.0)</f>
        <v>18</v>
      </c>
      <c r="Q245" s="32">
        <f>IFERROR(__xludf.DUMMYFUNCTION("""COMPUTED_VALUE"""),102.35)</f>
        <v>102.35</v>
      </c>
      <c r="R245" s="32">
        <f>IFERROR(__xludf.DUMMYFUNCTION("""COMPUTED_VALUE"""),8427.999)</f>
        <v>8427.999</v>
      </c>
      <c r="S245" s="32">
        <f>IFERROR(__xludf.DUMMYFUNCTION("""COMPUTED_VALUE"""),69194.2735)</f>
        <v>69194.2735</v>
      </c>
      <c r="T245" s="32">
        <f>IFERROR(__xludf.DUMMYFUNCTION("""COMPUTED_VALUE"""),5.388471)</f>
        <v>5.388471</v>
      </c>
      <c r="U245" s="32">
        <f>IFERROR(__xludf.DUMMYFUNCTION("""COMPUTED_VALUE"""),12.885906)</f>
        <v>12.885906</v>
      </c>
      <c r="V245" s="32">
        <f>IFERROR(__xludf.DUMMYFUNCTION("""COMPUTED_VALUE"""),18.117978)</f>
        <v>18.117978</v>
      </c>
      <c r="W245" s="32">
        <f>IFERROR(__xludf.DUMMYFUNCTION("""COMPUTED_VALUE"""),-2.998847)</f>
        <v>-2.998847</v>
      </c>
      <c r="X245" s="32">
        <f>IFERROR(__xludf.DUMMYFUNCTION("""COMPUTED_VALUE"""),6.257434)</f>
        <v>6.257434</v>
      </c>
      <c r="Y245" s="32">
        <f>IFERROR(__xludf.DUMMYFUNCTION("""COMPUTED_VALUE"""),-12.599268)</f>
        <v>-12.599268</v>
      </c>
      <c r="Z245" s="13"/>
      <c r="AA245" s="32">
        <f>IFERROR(__xludf.DUMMYFUNCTION("""COMPUTED_VALUE"""),4.8899)</f>
        <v>4.8899</v>
      </c>
      <c r="AB245" s="32">
        <f>IFERROR(__xludf.DUMMYFUNCTION("""COMPUTED_VALUE"""),5.6123)</f>
        <v>5.6123</v>
      </c>
      <c r="AC245" s="32">
        <f>IFERROR(__xludf.DUMMYFUNCTION("""COMPUTED_VALUE"""),0.5665)</f>
        <v>0.5665</v>
      </c>
      <c r="AD245" s="32">
        <f>IFERROR(__xludf.DUMMYFUNCTION("""COMPUTED_VALUE"""),0.6664)</f>
        <v>0.6664</v>
      </c>
      <c r="AE245" s="32">
        <f>IFERROR(__xludf.DUMMYFUNCTION("""COMPUTED_VALUE"""),9.976667)</f>
        <v>9.976667</v>
      </c>
      <c r="AF245" s="32">
        <f>IFERROR(__xludf.DUMMYFUNCTION("""COMPUTED_VALUE"""),0.319505)</f>
        <v>0.319505</v>
      </c>
      <c r="AG245" s="32">
        <f>IFERROR(__xludf.DUMMYFUNCTION("""COMPUTED_VALUE"""),8.3234)</f>
        <v>8.3234</v>
      </c>
      <c r="AH245" s="32">
        <f>IFERROR(__xludf.DUMMYFUNCTION("""COMPUTED_VALUE"""),10.073882)</f>
        <v>10.073882</v>
      </c>
      <c r="AI245" s="32">
        <f>IFERROR(__xludf.DUMMYFUNCTION("""COMPUTED_VALUE"""),1.2283241855137013)</f>
        <v>1.228324186</v>
      </c>
      <c r="AJ245" s="32">
        <f>IFERROR(__xludf.DUMMYFUNCTION("""COMPUTED_VALUE"""),-10.457482659784349)</f>
        <v>-10.45748266</v>
      </c>
      <c r="AK245" s="32">
        <f>IFERROR(__xludf.DUMMYFUNCTION("""COMPUTED_VALUE"""),8.6096)</f>
        <v>8.6096</v>
      </c>
      <c r="AL245" s="32">
        <f>IFERROR(__xludf.DUMMYFUNCTION("""COMPUTED_VALUE"""),74.3223)</f>
        <v>74.3223</v>
      </c>
      <c r="AM245" s="32">
        <f>IFERROR(__xludf.DUMMYFUNCTION("""COMPUTED_VALUE"""),-4.025825)</f>
        <v>-4.025825</v>
      </c>
      <c r="AN245" s="32">
        <f>IFERROR(__xludf.DUMMYFUNCTION("""COMPUTED_VALUE"""),-3.954044)</f>
        <v>-3.954044</v>
      </c>
      <c r="AO245" s="32">
        <f>IFERROR(__xludf.DUMMYFUNCTION("""COMPUTED_VALUE"""),3.5)</f>
        <v>3.5</v>
      </c>
      <c r="AP245" s="32">
        <f>IFERROR(__xludf.DUMMYFUNCTION("""COMPUTED_VALUE"""),0.11099365750528542)</f>
        <v>0.1109936575</v>
      </c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>
      <c r="A246" s="13" t="str">
        <f>IFERROR(__xludf.DUMMYFUNCTION("""COMPUTED_VALUE"""),"IIFL Finance Ltd.")</f>
        <v>IIFL Finance Ltd.</v>
      </c>
      <c r="B246" s="30">
        <f>IFERROR(__xludf.DUMMYFUNCTION("""COMPUTED_VALUE"""),532636.0)</f>
        <v>532636</v>
      </c>
      <c r="C246" s="13" t="str">
        <f>IFERROR(__xludf.DUMMYFUNCTION("""COMPUTED_VALUE"""),"IIFL")</f>
        <v>IIFL</v>
      </c>
      <c r="D246" s="13" t="str">
        <f>IFERROR(__xludf.DUMMYFUNCTION("""COMPUTED_VALUE"""),"INE530B01024")</f>
        <v>INE530B01024</v>
      </c>
      <c r="E246" s="13" t="str">
        <f>IFERROR(__xludf.DUMMYFUNCTION("""COMPUTED_VALUE"""),"Financial")</f>
        <v>Financial</v>
      </c>
      <c r="F246" s="13" t="str">
        <f>IFERROR(__xludf.DUMMYFUNCTION("""COMPUTED_VALUE"""),"Hire Purchase")</f>
        <v>Hire Purchase</v>
      </c>
      <c r="G246" s="31">
        <f>IFERROR(__xludf.DUMMYFUNCTION("""COMPUTED_VALUE"""),44809.0)</f>
        <v>44809</v>
      </c>
      <c r="H246" s="32">
        <f>IFERROR(__xludf.DUMMYFUNCTION("""COMPUTED_VALUE"""),338.55)</f>
        <v>338.55</v>
      </c>
      <c r="I246" s="32">
        <f>IFERROR(__xludf.DUMMYFUNCTION("""COMPUTED_VALUE"""),-1.469732)</f>
        <v>-1.469732</v>
      </c>
      <c r="J246" s="32">
        <f>IFERROR(__xludf.DUMMYFUNCTION("""COMPUTED_VALUE"""),260.2)</f>
        <v>260.2</v>
      </c>
      <c r="K246" s="32">
        <f>IFERROR(__xludf.DUMMYFUNCTION("""COMPUTED_VALUE"""),396.0)</f>
        <v>396</v>
      </c>
      <c r="L246" s="32">
        <f>IFERROR(__xludf.DUMMYFUNCTION("""COMPUTED_VALUE"""),58.15)</f>
        <v>58.15</v>
      </c>
      <c r="M246" s="32">
        <f>IFERROR(__xludf.DUMMYFUNCTION("""COMPUTED_VALUE"""),396.0)</f>
        <v>396</v>
      </c>
      <c r="N246" s="32">
        <f>IFERROR(__xludf.DUMMYFUNCTION("""COMPUTED_VALUE"""),58.15)</f>
        <v>58.15</v>
      </c>
      <c r="O246" s="32">
        <f>IFERROR(__xludf.DUMMYFUNCTION("""COMPUTED_VALUE"""),874.0)</f>
        <v>874</v>
      </c>
      <c r="P246" s="32">
        <f>IFERROR(__xludf.DUMMYFUNCTION("""COMPUTED_VALUE"""),14.9)</f>
        <v>14.9</v>
      </c>
      <c r="Q246" s="32">
        <f>IFERROR(__xludf.DUMMYFUNCTION("""COMPUTED_VALUE"""),874.0)</f>
        <v>874</v>
      </c>
      <c r="R246" s="32">
        <f>IFERROR(__xludf.DUMMYFUNCTION("""COMPUTED_VALUE"""),12847.40255417)</f>
        <v>12847.40255</v>
      </c>
      <c r="S246" s="32">
        <f>IFERROR(__xludf.DUMMYFUNCTION("""COMPUTED_VALUE"""),40968.082171665)</f>
        <v>40968.08217</v>
      </c>
      <c r="T246" s="32">
        <f>IFERROR(__xludf.DUMMYFUNCTION("""COMPUTED_VALUE"""),-2.280271)</f>
        <v>-2.280271</v>
      </c>
      <c r="U246" s="32">
        <f>IFERROR(__xludf.DUMMYFUNCTION("""COMPUTED_VALUE"""),1.559922)</f>
        <v>1.559922</v>
      </c>
      <c r="V246" s="32">
        <f>IFERROR(__xludf.DUMMYFUNCTION("""COMPUTED_VALUE"""),4.137189)</f>
        <v>4.137189</v>
      </c>
      <c r="W246" s="32">
        <f>IFERROR(__xludf.DUMMYFUNCTION("""COMPUTED_VALUE"""),22.110009)</f>
        <v>22.110009</v>
      </c>
      <c r="X246" s="32">
        <f>IFERROR(__xludf.DUMMYFUNCTION("""COMPUTED_VALUE"""),40.795035)</f>
        <v>40.795035</v>
      </c>
      <c r="Y246" s="32">
        <f>IFERROR(__xludf.DUMMYFUNCTION("""COMPUTED_VALUE"""),-11.325822)</f>
        <v>-11.325822</v>
      </c>
      <c r="Z246" s="13"/>
      <c r="AA246" s="32">
        <f>IFERROR(__xludf.DUMMYFUNCTION("""COMPUTED_VALUE"""),10.2628)</f>
        <v>10.2628</v>
      </c>
      <c r="AB246" s="32">
        <f>IFERROR(__xludf.DUMMYFUNCTION("""COMPUTED_VALUE"""),10.92125)</f>
        <v>10.92125</v>
      </c>
      <c r="AC246" s="32">
        <f>IFERROR(__xludf.DUMMYFUNCTION("""COMPUTED_VALUE"""),1.8951)</f>
        <v>1.8951</v>
      </c>
      <c r="AD246" s="32">
        <f>IFERROR(__xludf.DUMMYFUNCTION("""COMPUTED_VALUE"""),1.8949)</f>
        <v>1.8949</v>
      </c>
      <c r="AE246" s="32">
        <f>IFERROR(__xludf.DUMMYFUNCTION("""COMPUTED_VALUE"""),12.292846)</f>
        <v>12.292846</v>
      </c>
      <c r="AF246" s="32">
        <f>IFERROR(__xludf.DUMMYFUNCTION("""COMPUTED_VALUE"""),1.60476)</f>
        <v>1.60476</v>
      </c>
      <c r="AG246" s="32">
        <f>IFERROR(__xludf.DUMMYFUNCTION("""COMPUTED_VALUE"""),1.0338)</f>
        <v>1.0338</v>
      </c>
      <c r="AH246" s="32">
        <f>IFERROR(__xludf.DUMMYFUNCTION("""COMPUTED_VALUE"""),8.51123)</f>
        <v>8.51123</v>
      </c>
      <c r="AI246" s="32">
        <f>IFERROR(__xludf.DUMMYFUNCTION("""COMPUTED_VALUE"""),1.7719059514107223)</f>
        <v>1.771905951</v>
      </c>
      <c r="AJ246" s="32">
        <f>IFERROR(__xludf.DUMMYFUNCTION("""COMPUTED_VALUE"""),7.202561016439175)</f>
        <v>7.202561016</v>
      </c>
      <c r="AK246" s="32">
        <f>IFERROR(__xludf.DUMMYFUNCTION("""COMPUTED_VALUE"""),32.9637)</f>
        <v>32.9637</v>
      </c>
      <c r="AL246" s="32">
        <f>IFERROR(__xludf.DUMMYFUNCTION("""COMPUTED_VALUE"""),178.5163)</f>
        <v>178.5163</v>
      </c>
      <c r="AM246" s="32">
        <f>IFERROR(__xludf.DUMMYFUNCTION("""COMPUTED_VALUE"""),46.989647)</f>
        <v>46.989647</v>
      </c>
      <c r="AN246" s="32">
        <f>IFERROR(__xludf.DUMMYFUNCTION("""COMPUTED_VALUE"""),47.630242)</f>
        <v>47.630242</v>
      </c>
      <c r="AO246" s="32">
        <f>IFERROR(__xludf.DUMMYFUNCTION("""COMPUTED_VALUE"""),3.5)</f>
        <v>3.5</v>
      </c>
      <c r="AP246" s="32">
        <f>IFERROR(__xludf.DUMMYFUNCTION("""COMPUTED_VALUE"""),0.14507575757575755)</f>
        <v>0.1450757576</v>
      </c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>
      <c r="A247" s="13" t="str">
        <f>IFERROR(__xludf.DUMMYFUNCTION("""COMPUTED_VALUE"""),"Indian Railway Catering &amp; Tourism Corporation Ltd.")</f>
        <v>Indian Railway Catering &amp; Tourism Corporation Ltd.</v>
      </c>
      <c r="B247" s="30">
        <f>IFERROR(__xludf.DUMMYFUNCTION("""COMPUTED_VALUE"""),542830.0)</f>
        <v>542830</v>
      </c>
      <c r="C247" s="13" t="str">
        <f>IFERROR(__xludf.DUMMYFUNCTION("""COMPUTED_VALUE"""),"IRCTC")</f>
        <v>IRCTC</v>
      </c>
      <c r="D247" s="13" t="str">
        <f>IFERROR(__xludf.DUMMYFUNCTION("""COMPUTED_VALUE"""),"INE335Y01020")</f>
        <v>INE335Y01020</v>
      </c>
      <c r="E247" s="13" t="str">
        <f>IFERROR(__xludf.DUMMYFUNCTION("""COMPUTED_VALUE"""),"Services")</f>
        <v>Services</v>
      </c>
      <c r="F247" s="13" t="str">
        <f>IFERROR(__xludf.DUMMYFUNCTION("""COMPUTED_VALUE"""),"Travel &amp; Tourism")</f>
        <v>Travel &amp; Tourism</v>
      </c>
      <c r="G247" s="31">
        <f>IFERROR(__xludf.DUMMYFUNCTION("""COMPUTED_VALUE"""),44809.0)</f>
        <v>44809</v>
      </c>
      <c r="H247" s="32">
        <f>IFERROR(__xludf.DUMMYFUNCTION("""COMPUTED_VALUE"""),710.9)</f>
        <v>710.9</v>
      </c>
      <c r="I247" s="32">
        <f>IFERROR(__xludf.DUMMYFUNCTION("""COMPUTED_VALUE"""),-0.245562)</f>
        <v>-0.245562</v>
      </c>
      <c r="J247" s="32">
        <f>IFERROR(__xludf.DUMMYFUNCTION("""COMPUTED_VALUE"""),557.0)</f>
        <v>557</v>
      </c>
      <c r="K247" s="32">
        <f>IFERROR(__xludf.DUMMYFUNCTION("""COMPUTED_VALUE"""),1279.26)</f>
        <v>1279.26</v>
      </c>
      <c r="L247" s="13"/>
      <c r="M247" s="13"/>
      <c r="N247" s="13"/>
      <c r="O247" s="13"/>
      <c r="P247" s="32">
        <f>IFERROR(__xludf.DUMMYFUNCTION("""COMPUTED_VALUE"""),125.0)</f>
        <v>125</v>
      </c>
      <c r="Q247" s="32">
        <f>IFERROR(__xludf.DUMMYFUNCTION("""COMPUTED_VALUE"""),1279.26)</f>
        <v>1279.26</v>
      </c>
      <c r="R247" s="32">
        <f>IFERROR(__xludf.DUMMYFUNCTION("""COMPUTED_VALUE"""),56872.0)</f>
        <v>56872</v>
      </c>
      <c r="S247" s="32">
        <f>IFERROR(__xludf.DUMMYFUNCTION("""COMPUTED_VALUE"""),55292.4312)</f>
        <v>55292.4312</v>
      </c>
      <c r="T247" s="32">
        <f>IFERROR(__xludf.DUMMYFUNCTION("""COMPUTED_VALUE"""),-1.078411)</f>
        <v>-1.078411</v>
      </c>
      <c r="U247" s="32">
        <f>IFERROR(__xludf.DUMMYFUNCTION("""COMPUTED_VALUE"""),11.251956)</f>
        <v>11.251956</v>
      </c>
      <c r="V247" s="32">
        <f>IFERROR(__xludf.DUMMYFUNCTION("""COMPUTED_VALUE"""),6.837992)</f>
        <v>6.837992</v>
      </c>
      <c r="W247" s="32">
        <f>IFERROR(__xludf.DUMMYFUNCTION("""COMPUTED_VALUE"""),23.85449)</f>
        <v>23.85449</v>
      </c>
      <c r="X247" s="13"/>
      <c r="Y247" s="13"/>
      <c r="Z247" s="13"/>
      <c r="AA247" s="32">
        <f>IFERROR(__xludf.DUMMYFUNCTION("""COMPUTED_VALUE"""),68.7949)</f>
        <v>68.7949</v>
      </c>
      <c r="AB247" s="32">
        <f>IFERROR(__xludf.DUMMYFUNCTION("""COMPUTED_VALUE"""),114.89485)</f>
        <v>114.89485</v>
      </c>
      <c r="AC247" s="32">
        <f>IFERROR(__xludf.DUMMYFUNCTION("""COMPUTED_VALUE"""),26.7079)</f>
        <v>26.7079</v>
      </c>
      <c r="AD247" s="32">
        <f>IFERROR(__xludf.DUMMYFUNCTION("""COMPUTED_VALUE"""),34.324)</f>
        <v>34.324</v>
      </c>
      <c r="AE247" s="32">
        <f>IFERROR(__xludf.DUMMYFUNCTION("""COMPUTED_VALUE"""),2.183831)</f>
        <v>2.183831</v>
      </c>
      <c r="AF247" s="32">
        <f>IFERROR(__xludf.DUMMYFUNCTION("""COMPUTED_VALUE"""),0.385792)</f>
        <v>0.385792</v>
      </c>
      <c r="AG247" s="32">
        <f>IFERROR(__xludf.DUMMYFUNCTION("""COMPUTED_VALUE"""),0.4923)</f>
        <v>0.4923</v>
      </c>
      <c r="AH247" s="32">
        <f>IFERROR(__xludf.DUMMYFUNCTION("""COMPUTED_VALUE"""),47.144214)</f>
        <v>47.144214</v>
      </c>
      <c r="AI247" s="32">
        <f>IFERROR(__xludf.DUMMYFUNCTION("""COMPUTED_VALUE"""),22.85210063571368)</f>
        <v>22.85210064</v>
      </c>
      <c r="AJ247" s="32">
        <f>IFERROR(__xludf.DUMMYFUNCTION("""COMPUTED_VALUE"""),108.58725634836973)</f>
        <v>108.5872563</v>
      </c>
      <c r="AK247" s="32">
        <f>IFERROR(__xludf.DUMMYFUNCTION("""COMPUTED_VALUE"""),10.3336)</f>
        <v>10.3336</v>
      </c>
      <c r="AL247" s="32">
        <f>IFERROR(__xludf.DUMMYFUNCTION("""COMPUTED_VALUE"""),26.6176)</f>
        <v>26.6176</v>
      </c>
      <c r="AM247" s="32">
        <f>IFERROR(__xludf.DUMMYFUNCTION("""COMPUTED_VALUE"""),6.546809)</f>
        <v>6.546809</v>
      </c>
      <c r="AN247" s="32">
        <f>IFERROR(__xludf.DUMMYFUNCTION("""COMPUTED_VALUE"""),7.68419)</f>
        <v>7.68419</v>
      </c>
      <c r="AO247" s="32">
        <f>IFERROR(__xludf.DUMMYFUNCTION("""COMPUTED_VALUE"""),3.5)</f>
        <v>3.5</v>
      </c>
      <c r="AP247" s="32">
        <f>IFERROR(__xludf.DUMMYFUNCTION("""COMPUTED_VALUE"""),0.4442881040601598)</f>
        <v>0.4442881041</v>
      </c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>
      <c r="A248" s="13" t="str">
        <f>IFERROR(__xludf.DUMMYFUNCTION("""COMPUTED_VALUE"""),"KRBL Ltd.")</f>
        <v>KRBL Ltd.</v>
      </c>
      <c r="B248" s="30">
        <f>IFERROR(__xludf.DUMMYFUNCTION("""COMPUTED_VALUE"""),530813.0)</f>
        <v>530813</v>
      </c>
      <c r="C248" s="13" t="str">
        <f>IFERROR(__xludf.DUMMYFUNCTION("""COMPUTED_VALUE"""),"KRBL")</f>
        <v>KRBL</v>
      </c>
      <c r="D248" s="13" t="str">
        <f>IFERROR(__xludf.DUMMYFUNCTION("""COMPUTED_VALUE"""),"INE001B01026")</f>
        <v>INE001B01026</v>
      </c>
      <c r="E248" s="13" t="str">
        <f>IFERROR(__xludf.DUMMYFUNCTION("""COMPUTED_VALUE"""),"Consumer Staples")</f>
        <v>Consumer Staples</v>
      </c>
      <c r="F248" s="13" t="str">
        <f>IFERROR(__xludf.DUMMYFUNCTION("""COMPUTED_VALUE"""),"Other Agriculture Products")</f>
        <v>Other Agriculture Products</v>
      </c>
      <c r="G248" s="31">
        <f>IFERROR(__xludf.DUMMYFUNCTION("""COMPUTED_VALUE"""),44809.0)</f>
        <v>44809</v>
      </c>
      <c r="H248" s="32">
        <f>IFERROR(__xludf.DUMMYFUNCTION("""COMPUTED_VALUE"""),321.85)</f>
        <v>321.85</v>
      </c>
      <c r="I248" s="32">
        <f>IFERROR(__xludf.DUMMYFUNCTION("""COMPUTED_VALUE"""),3.057957)</f>
        <v>3.057957</v>
      </c>
      <c r="J248" s="32">
        <f>IFERROR(__xludf.DUMMYFUNCTION("""COMPUTED_VALUE"""),184.5)</f>
        <v>184.5</v>
      </c>
      <c r="K248" s="32">
        <f>IFERROR(__xludf.DUMMYFUNCTION("""COMPUTED_VALUE"""),337.95)</f>
        <v>337.95</v>
      </c>
      <c r="L248" s="32">
        <f>IFERROR(__xludf.DUMMYFUNCTION("""COMPUTED_VALUE"""),91.25)</f>
        <v>91.25</v>
      </c>
      <c r="M248" s="32">
        <f>IFERROR(__xludf.DUMMYFUNCTION("""COMPUTED_VALUE"""),339.6)</f>
        <v>339.6</v>
      </c>
      <c r="N248" s="32">
        <f>IFERROR(__xludf.DUMMYFUNCTION("""COMPUTED_VALUE"""),91.25)</f>
        <v>91.25</v>
      </c>
      <c r="O248" s="32">
        <f>IFERROR(__xludf.DUMMYFUNCTION("""COMPUTED_VALUE"""),675.0)</f>
        <v>675</v>
      </c>
      <c r="P248" s="32">
        <f>IFERROR(__xludf.DUMMYFUNCTION("""COMPUTED_VALUE"""),1.025)</f>
        <v>1.025</v>
      </c>
      <c r="Q248" s="32">
        <f>IFERROR(__xludf.DUMMYFUNCTION("""COMPUTED_VALUE"""),675.0)</f>
        <v>675</v>
      </c>
      <c r="R248" s="32">
        <f>IFERROR(__xludf.DUMMYFUNCTION("""COMPUTED_VALUE"""),7576.02367402)</f>
        <v>7576.023674</v>
      </c>
      <c r="S248" s="32">
        <f>IFERROR(__xludf.DUMMYFUNCTION("""COMPUTED_VALUE"""),7479.45327662)</f>
        <v>7479.453277</v>
      </c>
      <c r="T248" s="32">
        <f>IFERROR(__xludf.DUMMYFUNCTION("""COMPUTED_VALUE"""),14.009919)</f>
        <v>14.009919</v>
      </c>
      <c r="U248" s="32">
        <f>IFERROR(__xludf.DUMMYFUNCTION("""COMPUTED_VALUE"""),29.360932)</f>
        <v>29.360932</v>
      </c>
      <c r="V248" s="32">
        <f>IFERROR(__xludf.DUMMYFUNCTION("""COMPUTED_VALUE"""),42.980897)</f>
        <v>42.980897</v>
      </c>
      <c r="W248" s="32">
        <f>IFERROR(__xludf.DUMMYFUNCTION("""COMPUTED_VALUE"""),24.482692)</f>
        <v>24.482692</v>
      </c>
      <c r="X248" s="32">
        <f>IFERROR(__xludf.DUMMYFUNCTION("""COMPUTED_VALUE"""),15.368544)</f>
        <v>15.368544</v>
      </c>
      <c r="Y248" s="32">
        <f>IFERROR(__xludf.DUMMYFUNCTION("""COMPUTED_VALUE"""),-7.44639)</f>
        <v>-7.44639</v>
      </c>
      <c r="Z248" s="32">
        <f>IFERROR(__xludf.DUMMYFUNCTION("""COMPUTED_VALUE"""),30.568255)</f>
        <v>30.568255</v>
      </c>
      <c r="AA248" s="32">
        <f>IFERROR(__xludf.DUMMYFUNCTION("""COMPUTED_VALUE"""),15.6824)</f>
        <v>15.6824</v>
      </c>
      <c r="AB248" s="32">
        <f>IFERROR(__xludf.DUMMYFUNCTION("""COMPUTED_VALUE"""),11.49435)</f>
        <v>11.49435</v>
      </c>
      <c r="AC248" s="32">
        <f>IFERROR(__xludf.DUMMYFUNCTION("""COMPUTED_VALUE"""),1.789)</f>
        <v>1.789</v>
      </c>
      <c r="AD248" s="32">
        <f>IFERROR(__xludf.DUMMYFUNCTION("""COMPUTED_VALUE"""),1.8601)</f>
        <v>1.8601</v>
      </c>
      <c r="AE248" s="32">
        <f>IFERROR(__xludf.DUMMYFUNCTION("""COMPUTED_VALUE"""),9.131809)</f>
        <v>9.131809</v>
      </c>
      <c r="AF248" s="32">
        <f>IFERROR(__xludf.DUMMYFUNCTION("""COMPUTED_VALUE"""),6.873522)</f>
        <v>6.873522</v>
      </c>
      <c r="AG248" s="32">
        <f>IFERROR(__xludf.DUMMYFUNCTION("""COMPUTED_VALUE"""),1.0875)</f>
        <v>1.0875</v>
      </c>
      <c r="AH248" s="32">
        <f>IFERROR(__xludf.DUMMYFUNCTION("""COMPUTED_VALUE"""),10.117897)</f>
        <v>10.117897</v>
      </c>
      <c r="AI248" s="32">
        <f>IFERROR(__xludf.DUMMYFUNCTION("""COMPUTED_VALUE"""),1.712916397012806)</f>
        <v>1.712916397</v>
      </c>
      <c r="AJ248" s="32">
        <f>IFERROR(__xludf.DUMMYFUNCTION("""COMPUTED_VALUE"""),19.743110192114248)</f>
        <v>19.74311019</v>
      </c>
      <c r="AK248" s="32">
        <f>IFERROR(__xludf.DUMMYFUNCTION("""COMPUTED_VALUE"""),20.523)</f>
        <v>20.523</v>
      </c>
      <c r="AL248" s="32">
        <f>IFERROR(__xludf.DUMMYFUNCTION("""COMPUTED_VALUE"""),179.9011)</f>
        <v>179.9011</v>
      </c>
      <c r="AM248" s="32">
        <f>IFERROR(__xludf.DUMMYFUNCTION("""COMPUTED_VALUE"""),16.301189)</f>
        <v>16.301189</v>
      </c>
      <c r="AN248" s="32">
        <f>IFERROR(__xludf.DUMMYFUNCTION("""COMPUTED_VALUE"""),14.589635)</f>
        <v>14.589635</v>
      </c>
      <c r="AO248" s="32">
        <f>IFERROR(__xludf.DUMMYFUNCTION("""COMPUTED_VALUE"""),3.5)</f>
        <v>3.5</v>
      </c>
      <c r="AP248" s="32">
        <f>IFERROR(__xludf.DUMMYFUNCTION("""COMPUTED_VALUE"""),0.04764018345909148)</f>
        <v>0.04764018346</v>
      </c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>
      <c r="A249" s="13" t="str">
        <f>IFERROR(__xludf.DUMMYFUNCTION("""COMPUTED_VALUE"""),"Prince Pipes &amp; Fittings Ltd.")</f>
        <v>Prince Pipes &amp; Fittings Ltd.</v>
      </c>
      <c r="B249" s="30">
        <f>IFERROR(__xludf.DUMMYFUNCTION("""COMPUTED_VALUE"""),542907.0)</f>
        <v>542907</v>
      </c>
      <c r="C249" s="13" t="str">
        <f>IFERROR(__xludf.DUMMYFUNCTION("""COMPUTED_VALUE"""),"PRINCEPIPE")</f>
        <v>PRINCEPIPE</v>
      </c>
      <c r="D249" s="13" t="str">
        <f>IFERROR(__xludf.DUMMYFUNCTION("""COMPUTED_VALUE"""),"INE689W01016")</f>
        <v>INE689W01016</v>
      </c>
      <c r="E249" s="13" t="str">
        <f>IFERROR(__xludf.DUMMYFUNCTION("""COMPUTED_VALUE"""),"Materials")</f>
        <v>Materials</v>
      </c>
      <c r="F249" s="13" t="str">
        <f>IFERROR(__xludf.DUMMYFUNCTION("""COMPUTED_VALUE"""),"Plastic Tubes &amp; Pipes")</f>
        <v>Plastic Tubes &amp; Pipes</v>
      </c>
      <c r="G249" s="31">
        <f>IFERROR(__xludf.DUMMYFUNCTION("""COMPUTED_VALUE"""),44809.0)</f>
        <v>44809</v>
      </c>
      <c r="H249" s="32">
        <f>IFERROR(__xludf.DUMMYFUNCTION("""COMPUTED_VALUE"""),596.2)</f>
        <v>596.2</v>
      </c>
      <c r="I249" s="32">
        <f>IFERROR(__xludf.DUMMYFUNCTION("""COMPUTED_VALUE"""),0.531153)</f>
        <v>0.531153</v>
      </c>
      <c r="J249" s="32">
        <f>IFERROR(__xludf.DUMMYFUNCTION("""COMPUTED_VALUE"""),549.3)</f>
        <v>549.3</v>
      </c>
      <c r="K249" s="32">
        <f>IFERROR(__xludf.DUMMYFUNCTION("""COMPUTED_VALUE"""),897.0)</f>
        <v>897</v>
      </c>
      <c r="L249" s="13"/>
      <c r="M249" s="13"/>
      <c r="N249" s="13"/>
      <c r="O249" s="13"/>
      <c r="P249" s="32">
        <f>IFERROR(__xludf.DUMMYFUNCTION("""COMPUTED_VALUE"""),75.0)</f>
        <v>75</v>
      </c>
      <c r="Q249" s="32">
        <f>IFERROR(__xludf.DUMMYFUNCTION("""COMPUTED_VALUE"""),897.0)</f>
        <v>897</v>
      </c>
      <c r="R249" s="32">
        <f>IFERROR(__xludf.DUMMYFUNCTION("""COMPUTED_VALUE"""),6588.33469761)</f>
        <v>6588.334698</v>
      </c>
      <c r="S249" s="32">
        <f>IFERROR(__xludf.DUMMYFUNCTION("""COMPUTED_VALUE"""),6637.5929847)</f>
        <v>6637.592985</v>
      </c>
      <c r="T249" s="32">
        <f>IFERROR(__xludf.DUMMYFUNCTION("""COMPUTED_VALUE"""),2.686876)</f>
        <v>2.686876</v>
      </c>
      <c r="U249" s="32">
        <f>IFERROR(__xludf.DUMMYFUNCTION("""COMPUTED_VALUE"""),-1.470831)</f>
        <v>-1.470831</v>
      </c>
      <c r="V249" s="32">
        <f>IFERROR(__xludf.DUMMYFUNCTION("""COMPUTED_VALUE"""),-6.265231)</f>
        <v>-6.265231</v>
      </c>
      <c r="W249" s="32">
        <f>IFERROR(__xludf.DUMMYFUNCTION("""COMPUTED_VALUE"""),-10.366083)</f>
        <v>-10.366083</v>
      </c>
      <c r="X249" s="13"/>
      <c r="Y249" s="13"/>
      <c r="Z249" s="13"/>
      <c r="AA249" s="32">
        <f>IFERROR(__xludf.DUMMYFUNCTION("""COMPUTED_VALUE"""),26.6009)</f>
        <v>26.6009</v>
      </c>
      <c r="AB249" s="32">
        <f>IFERROR(__xludf.DUMMYFUNCTION("""COMPUTED_VALUE"""),28.9254)</f>
        <v>28.9254</v>
      </c>
      <c r="AC249" s="32">
        <f>IFERROR(__xludf.DUMMYFUNCTION("""COMPUTED_VALUE"""),5.1419)</f>
        <v>5.1419</v>
      </c>
      <c r="AD249" s="32">
        <f>IFERROR(__xludf.DUMMYFUNCTION("""COMPUTED_VALUE"""),6.3402)</f>
        <v>6.3402</v>
      </c>
      <c r="AE249" s="32">
        <f>IFERROR(__xludf.DUMMYFUNCTION("""COMPUTED_VALUE"""),5.295356)</f>
        <v>5.295356</v>
      </c>
      <c r="AF249" s="32">
        <f>IFERROR(__xludf.DUMMYFUNCTION("""COMPUTED_VALUE"""),3.141099)</f>
        <v>3.141099</v>
      </c>
      <c r="AG249" s="32">
        <f>IFERROR(__xludf.DUMMYFUNCTION("""COMPUTED_VALUE"""),0.5873)</f>
        <v>0.5873</v>
      </c>
      <c r="AH249" s="32">
        <f>IFERROR(__xludf.DUMMYFUNCTION("""COMPUTED_VALUE"""),15.702214)</f>
        <v>15.702214</v>
      </c>
      <c r="AI249" s="32">
        <f>IFERROR(__xludf.DUMMYFUNCTION("""COMPUTED_VALUE"""),2.248342050600142)</f>
        <v>2.248342051</v>
      </c>
      <c r="AJ249" s="32">
        <f>IFERROR(__xludf.DUMMYFUNCTION("""COMPUTED_VALUE"""),-337.86331782615383)</f>
        <v>-337.8633178</v>
      </c>
      <c r="AK249" s="32">
        <f>IFERROR(__xludf.DUMMYFUNCTION("""COMPUTED_VALUE"""),22.4015)</f>
        <v>22.4015</v>
      </c>
      <c r="AL249" s="32">
        <f>IFERROR(__xludf.DUMMYFUNCTION("""COMPUTED_VALUE"""),115.8902)</f>
        <v>115.8902</v>
      </c>
      <c r="AM249" s="32">
        <f>IFERROR(__xludf.DUMMYFUNCTION("""COMPUTED_VALUE"""),-1.763732)</f>
        <v>-1.763732</v>
      </c>
      <c r="AN249" s="32">
        <f>IFERROR(__xludf.DUMMYFUNCTION("""COMPUTED_VALUE"""),-18.310706)</f>
        <v>-18.310706</v>
      </c>
      <c r="AO249" s="32">
        <f>IFERROR(__xludf.DUMMYFUNCTION("""COMPUTED_VALUE"""),3.5)</f>
        <v>3.5</v>
      </c>
      <c r="AP249" s="32">
        <f>IFERROR(__xludf.DUMMYFUNCTION("""COMPUTED_VALUE"""),0.33534002229654397)</f>
        <v>0.3353400223</v>
      </c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>
      <c r="A250" s="13" t="str">
        <f>IFERROR(__xludf.DUMMYFUNCTION("""COMPUTED_VALUE"""),"Tube Investments of India Ltd.")</f>
        <v>Tube Investments of India Ltd.</v>
      </c>
      <c r="B250" s="30">
        <f>IFERROR(__xludf.DUMMYFUNCTION("""COMPUTED_VALUE"""),540762.0)</f>
        <v>540762</v>
      </c>
      <c r="C250" s="13" t="str">
        <f>IFERROR(__xludf.DUMMYFUNCTION("""COMPUTED_VALUE"""),"TIINDIA")</f>
        <v>TIINDIA</v>
      </c>
      <c r="D250" s="13" t="str">
        <f>IFERROR(__xludf.DUMMYFUNCTION("""COMPUTED_VALUE"""),"INE974X01010")</f>
        <v>INE974X01010</v>
      </c>
      <c r="E250" s="13" t="str">
        <f>IFERROR(__xludf.DUMMYFUNCTION("""COMPUTED_VALUE"""),"Automobile")</f>
        <v>Automobile</v>
      </c>
      <c r="F250" s="13" t="str">
        <f>IFERROR(__xludf.DUMMYFUNCTION("""COMPUTED_VALUE"""),"Auto Ancillaries")</f>
        <v>Auto Ancillaries</v>
      </c>
      <c r="G250" s="31">
        <f>IFERROR(__xludf.DUMMYFUNCTION("""COMPUTED_VALUE"""),44809.0)</f>
        <v>44809</v>
      </c>
      <c r="H250" s="32">
        <f>IFERROR(__xludf.DUMMYFUNCTION("""COMPUTED_VALUE"""),2487.85)</f>
        <v>2487.85</v>
      </c>
      <c r="I250" s="32">
        <f>IFERROR(__xludf.DUMMYFUNCTION("""COMPUTED_VALUE"""),8.530733)</f>
        <v>8.530733</v>
      </c>
      <c r="J250" s="32">
        <f>IFERROR(__xludf.DUMMYFUNCTION("""COMPUTED_VALUE"""),1281.0)</f>
        <v>1281</v>
      </c>
      <c r="K250" s="32">
        <f>IFERROR(__xludf.DUMMYFUNCTION("""COMPUTED_VALUE"""),2515.0)</f>
        <v>2515</v>
      </c>
      <c r="L250" s="32">
        <f>IFERROR(__xludf.DUMMYFUNCTION("""COMPUTED_VALUE"""),254.0)</f>
        <v>254</v>
      </c>
      <c r="M250" s="32">
        <f>IFERROR(__xludf.DUMMYFUNCTION("""COMPUTED_VALUE"""),2515.0)</f>
        <v>2515</v>
      </c>
      <c r="N250" s="13"/>
      <c r="O250" s="13"/>
      <c r="P250" s="32">
        <f>IFERROR(__xludf.DUMMYFUNCTION("""COMPUTED_VALUE"""),211.0)</f>
        <v>211</v>
      </c>
      <c r="Q250" s="32">
        <f>IFERROR(__xludf.DUMMYFUNCTION("""COMPUTED_VALUE"""),2515.0)</f>
        <v>2515</v>
      </c>
      <c r="R250" s="32">
        <f>IFERROR(__xludf.DUMMYFUNCTION("""COMPUTED_VALUE"""),48215.13451)</f>
        <v>48215.13451</v>
      </c>
      <c r="S250" s="32">
        <f>IFERROR(__xludf.DUMMYFUNCTION("""COMPUTED_VALUE"""),44134.64758649999)</f>
        <v>44134.64759</v>
      </c>
      <c r="T250" s="32">
        <f>IFERROR(__xludf.DUMMYFUNCTION("""COMPUTED_VALUE"""),15.695119)</f>
        <v>15.695119</v>
      </c>
      <c r="U250" s="32">
        <f>IFERROR(__xludf.DUMMYFUNCTION("""COMPUTED_VALUE"""),12.090561)</f>
        <v>12.090561</v>
      </c>
      <c r="V250" s="32">
        <f>IFERROR(__xludf.DUMMYFUNCTION("""COMPUTED_VALUE"""),58.805694)</f>
        <v>58.805694</v>
      </c>
      <c r="W250" s="32">
        <f>IFERROR(__xludf.DUMMYFUNCTION("""COMPUTED_VALUE"""),86.230257)</f>
        <v>86.230257</v>
      </c>
      <c r="X250" s="32">
        <f>IFERROR(__xludf.DUMMYFUNCTION("""COMPUTED_VALUE"""),95.903626)</f>
        <v>95.903626</v>
      </c>
      <c r="Y250" s="13"/>
      <c r="Z250" s="13"/>
      <c r="AA250" s="32">
        <f>IFERROR(__xludf.DUMMYFUNCTION("""COMPUTED_VALUE"""),58.7474)</f>
        <v>58.7474</v>
      </c>
      <c r="AB250" s="32">
        <f>IFERROR(__xludf.DUMMYFUNCTION("""COMPUTED_VALUE"""),56.5001)</f>
        <v>56.5001</v>
      </c>
      <c r="AC250" s="32">
        <f>IFERROR(__xludf.DUMMYFUNCTION("""COMPUTED_VALUE"""),14.5192)</f>
        <v>14.5192</v>
      </c>
      <c r="AD250" s="32">
        <f>IFERROR(__xludf.DUMMYFUNCTION("""COMPUTED_VALUE"""),9.61385)</f>
        <v>9.61385</v>
      </c>
      <c r="AE250" s="32">
        <f>IFERROR(__xludf.DUMMYFUNCTION("""COMPUTED_VALUE"""),3.024664)</f>
        <v>3.024664</v>
      </c>
      <c r="AF250" s="32">
        <f>IFERROR(__xludf.DUMMYFUNCTION("""COMPUTED_VALUE"""),1.022015)</f>
        <v>1.022015</v>
      </c>
      <c r="AG250" s="32">
        <f>IFERROR(__xludf.DUMMYFUNCTION("""COMPUTED_VALUE"""),0.1407)</f>
        <v>0.1407</v>
      </c>
      <c r="AH250" s="32">
        <f>IFERROR(__xludf.DUMMYFUNCTION("""COMPUTED_VALUE"""),26.025089)</f>
        <v>26.025089</v>
      </c>
      <c r="AI250" s="32">
        <f>IFERROR(__xludf.DUMMYFUNCTION("""COMPUTED_VALUE"""),3.6005277007989616)</f>
        <v>3.600527701</v>
      </c>
      <c r="AJ250" s="32">
        <f>IFERROR(__xludf.DUMMYFUNCTION("""COMPUTED_VALUE"""),54.95917485666085)</f>
        <v>54.95917486</v>
      </c>
      <c r="AK250" s="32">
        <f>IFERROR(__xludf.DUMMYFUNCTION("""COMPUTED_VALUE"""),42.5211)</f>
        <v>42.5211</v>
      </c>
      <c r="AL250" s="32">
        <f>IFERROR(__xludf.DUMMYFUNCTION("""COMPUTED_VALUE"""),172.0484)</f>
        <v>172.0484</v>
      </c>
      <c r="AM250" s="32">
        <f>IFERROR(__xludf.DUMMYFUNCTION("""COMPUTED_VALUE"""),45.479005)</f>
        <v>45.479005</v>
      </c>
      <c r="AN250" s="32">
        <f>IFERROR(__xludf.DUMMYFUNCTION("""COMPUTED_VALUE"""),29.783826)</f>
        <v>29.783826</v>
      </c>
      <c r="AO250" s="32">
        <f>IFERROR(__xludf.DUMMYFUNCTION("""COMPUTED_VALUE"""),3.5)</f>
        <v>3.5</v>
      </c>
      <c r="AP250" s="32">
        <f>IFERROR(__xludf.DUMMYFUNCTION("""COMPUTED_VALUE"""),0.010795228628230652)</f>
        <v>0.01079522863</v>
      </c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>
      <c r="A251" s="13" t="str">
        <f>IFERROR(__xludf.DUMMYFUNCTION("""COMPUTED_VALUE"""),"Vardhman Textiles Ltd.")</f>
        <v>Vardhman Textiles Ltd.</v>
      </c>
      <c r="B251" s="30">
        <f>IFERROR(__xludf.DUMMYFUNCTION("""COMPUTED_VALUE"""),502986.0)</f>
        <v>502986</v>
      </c>
      <c r="C251" s="13" t="str">
        <f>IFERROR(__xludf.DUMMYFUNCTION("""COMPUTED_VALUE"""),"VTL")</f>
        <v>VTL</v>
      </c>
      <c r="D251" s="13" t="str">
        <f>IFERROR(__xludf.DUMMYFUNCTION("""COMPUTED_VALUE"""),"INE825A01020")</f>
        <v>INE825A01020</v>
      </c>
      <c r="E251" s="13" t="str">
        <f>IFERROR(__xludf.DUMMYFUNCTION("""COMPUTED_VALUE"""),"Textiles")</f>
        <v>Textiles</v>
      </c>
      <c r="F251" s="13" t="str">
        <f>IFERROR(__xludf.DUMMYFUNCTION("""COMPUTED_VALUE"""),"Cotton &amp; Blended Yarn")</f>
        <v>Cotton &amp; Blended Yarn</v>
      </c>
      <c r="G251" s="31">
        <f>IFERROR(__xludf.DUMMYFUNCTION("""COMPUTED_VALUE"""),44809.0)</f>
        <v>44809</v>
      </c>
      <c r="H251" s="32">
        <f>IFERROR(__xludf.DUMMYFUNCTION("""COMPUTED_VALUE"""),328.8)</f>
        <v>328.8</v>
      </c>
      <c r="I251" s="32">
        <f>IFERROR(__xludf.DUMMYFUNCTION("""COMPUTED_VALUE"""),0.3663)</f>
        <v>0.3663</v>
      </c>
      <c r="J251" s="32">
        <f>IFERROR(__xludf.DUMMYFUNCTION("""COMPUTED_VALUE"""),245.5)</f>
        <v>245.5</v>
      </c>
      <c r="K251" s="32">
        <f>IFERROR(__xludf.DUMMYFUNCTION("""COMPUTED_VALUE"""),576.0)</f>
        <v>576</v>
      </c>
      <c r="L251" s="32">
        <f>IFERROR(__xludf.DUMMYFUNCTION("""COMPUTED_VALUE"""),118.58)</f>
        <v>118.58</v>
      </c>
      <c r="M251" s="32">
        <f>IFERROR(__xludf.DUMMYFUNCTION("""COMPUTED_VALUE"""),576.0)</f>
        <v>576</v>
      </c>
      <c r="N251" s="32">
        <f>IFERROR(__xludf.DUMMYFUNCTION("""COMPUTED_VALUE"""),118.58)</f>
        <v>118.58</v>
      </c>
      <c r="O251" s="32">
        <f>IFERROR(__xludf.DUMMYFUNCTION("""COMPUTED_VALUE"""),576.0)</f>
        <v>576</v>
      </c>
      <c r="P251" s="32">
        <f>IFERROR(__xludf.DUMMYFUNCTION("""COMPUTED_VALUE"""),3.626667)</f>
        <v>3.626667</v>
      </c>
      <c r="Q251" s="32">
        <f>IFERROR(__xludf.DUMMYFUNCTION("""COMPUTED_VALUE"""),576.0)</f>
        <v>576</v>
      </c>
      <c r="R251" s="32">
        <f>IFERROR(__xludf.DUMMYFUNCTION("""COMPUTED_VALUE"""),9505.070412)</f>
        <v>9505.070412</v>
      </c>
      <c r="S251" s="32">
        <f>IFERROR(__xludf.DUMMYFUNCTION("""COMPUTED_VALUE"""),10884.82579225)</f>
        <v>10884.82579</v>
      </c>
      <c r="T251" s="32">
        <f>IFERROR(__xludf.DUMMYFUNCTION("""COMPUTED_VALUE"""),-1.894674)</f>
        <v>-1.894674</v>
      </c>
      <c r="U251" s="32">
        <f>IFERROR(__xludf.DUMMYFUNCTION("""COMPUTED_VALUE"""),3.689688)</f>
        <v>3.689688</v>
      </c>
      <c r="V251" s="32">
        <f>IFERROR(__xludf.DUMMYFUNCTION("""COMPUTED_VALUE"""),13.320696)</f>
        <v>13.320696</v>
      </c>
      <c r="W251" s="32">
        <f>IFERROR(__xludf.DUMMYFUNCTION("""COMPUTED_VALUE"""),-14.78333)</f>
        <v>-14.78333</v>
      </c>
      <c r="X251" s="32">
        <f>IFERROR(__xludf.DUMMYFUNCTION("""COMPUTED_VALUE"""),23.6737)</f>
        <v>23.6737</v>
      </c>
      <c r="Y251" s="32">
        <f>IFERROR(__xludf.DUMMYFUNCTION("""COMPUTED_VALUE"""),6.02059)</f>
        <v>6.02059</v>
      </c>
      <c r="Z251" s="32">
        <f>IFERROR(__xludf.DUMMYFUNCTION("""COMPUTED_VALUE"""),22.613604)</f>
        <v>22.613604</v>
      </c>
      <c r="AA251" s="32">
        <f>IFERROR(__xludf.DUMMYFUNCTION("""COMPUTED_VALUE"""),6.0925)</f>
        <v>6.0925</v>
      </c>
      <c r="AB251" s="32">
        <f>IFERROR(__xludf.DUMMYFUNCTION("""COMPUTED_VALUE"""),9.8706)</f>
        <v>9.8706</v>
      </c>
      <c r="AC251" s="32">
        <f>IFERROR(__xludf.DUMMYFUNCTION("""COMPUTED_VALUE"""),1.1852)</f>
        <v>1.1852</v>
      </c>
      <c r="AD251" s="32">
        <f>IFERROR(__xludf.DUMMYFUNCTION("""COMPUTED_VALUE"""),1.14765)</f>
        <v>1.14765</v>
      </c>
      <c r="AE251" s="32">
        <f>IFERROR(__xludf.DUMMYFUNCTION("""COMPUTED_VALUE"""),21.526606)</f>
        <v>21.526606</v>
      </c>
      <c r="AF251" s="32">
        <f>IFERROR(__xludf.DUMMYFUNCTION("""COMPUTED_VALUE"""),0.595755)</f>
        <v>0.595755</v>
      </c>
      <c r="AG251" s="32">
        <f>IFERROR(__xludf.DUMMYFUNCTION("""COMPUTED_VALUE"""),2.0666)</f>
        <v>2.0666</v>
      </c>
      <c r="AH251" s="32">
        <f>IFERROR(__xludf.DUMMYFUNCTION("""COMPUTED_VALUE"""),4.319118)</f>
        <v>4.319118</v>
      </c>
      <c r="AI251" s="32">
        <f>IFERROR(__xludf.DUMMYFUNCTION("""COMPUTED_VALUE"""),0.9046244872087711)</f>
        <v>0.9046244872</v>
      </c>
      <c r="AJ251" s="32">
        <f>IFERROR(__xludf.DUMMYFUNCTION("""COMPUTED_VALUE"""),56.45011528685117)</f>
        <v>56.45011529</v>
      </c>
      <c r="AK251" s="32">
        <f>IFERROR(__xludf.DUMMYFUNCTION("""COMPUTED_VALUE"""),54.0089)</f>
        <v>54.0089</v>
      </c>
      <c r="AL251" s="32">
        <f>IFERROR(__xludf.DUMMYFUNCTION("""COMPUTED_VALUE"""),277.6216)</f>
        <v>277.6216</v>
      </c>
      <c r="AM251" s="32">
        <f>IFERROR(__xludf.DUMMYFUNCTION("""COMPUTED_VALUE"""),29.770156)</f>
        <v>29.770156</v>
      </c>
      <c r="AN251" s="32">
        <f>IFERROR(__xludf.DUMMYFUNCTION("""COMPUTED_VALUE"""),-24.011669)</f>
        <v>-24.011669</v>
      </c>
      <c r="AO251" s="32">
        <f>IFERROR(__xludf.DUMMYFUNCTION("""COMPUTED_VALUE"""),3.5)</f>
        <v>3.5</v>
      </c>
      <c r="AP251" s="32">
        <f>IFERROR(__xludf.DUMMYFUNCTION("""COMPUTED_VALUE"""),0.42916666666666664)</f>
        <v>0.4291666667</v>
      </c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>
      <c r="A252" s="13" t="str">
        <f>IFERROR(__xludf.DUMMYFUNCTION("""COMPUTED_VALUE"""),"Apollo Tyres Ltd.")</f>
        <v>Apollo Tyres Ltd.</v>
      </c>
      <c r="B252" s="30">
        <f>IFERROR(__xludf.DUMMYFUNCTION("""COMPUTED_VALUE"""),500877.0)</f>
        <v>500877</v>
      </c>
      <c r="C252" s="13" t="str">
        <f>IFERROR(__xludf.DUMMYFUNCTION("""COMPUTED_VALUE"""),"APOLLOTYRE")</f>
        <v>APOLLOTYRE</v>
      </c>
      <c r="D252" s="13" t="str">
        <f>IFERROR(__xludf.DUMMYFUNCTION("""COMPUTED_VALUE"""),"INE438A01022")</f>
        <v>INE438A01022</v>
      </c>
      <c r="E252" s="13" t="str">
        <f>IFERROR(__xludf.DUMMYFUNCTION("""COMPUTED_VALUE"""),"Automobile")</f>
        <v>Automobile</v>
      </c>
      <c r="F252" s="13" t="str">
        <f>IFERROR(__xludf.DUMMYFUNCTION("""COMPUTED_VALUE"""),"Tyres &amp; Tubes")</f>
        <v>Tyres &amp; Tubes</v>
      </c>
      <c r="G252" s="31">
        <f>IFERROR(__xludf.DUMMYFUNCTION("""COMPUTED_VALUE"""),44809.0)</f>
        <v>44809</v>
      </c>
      <c r="H252" s="32">
        <f>IFERROR(__xludf.DUMMYFUNCTION("""COMPUTED_VALUE"""),254.6)</f>
        <v>254.6</v>
      </c>
      <c r="I252" s="32">
        <f>IFERROR(__xludf.DUMMYFUNCTION("""COMPUTED_VALUE"""),1.051796)</f>
        <v>1.051796</v>
      </c>
      <c r="J252" s="32">
        <f>IFERROR(__xludf.DUMMYFUNCTION("""COMPUTED_VALUE"""),165.85)</f>
        <v>165.85</v>
      </c>
      <c r="K252" s="32">
        <f>IFERROR(__xludf.DUMMYFUNCTION("""COMPUTED_VALUE"""),268.3)</f>
        <v>268.3</v>
      </c>
      <c r="L252" s="32">
        <f>IFERROR(__xludf.DUMMYFUNCTION("""COMPUTED_VALUE"""),73.4)</f>
        <v>73.4</v>
      </c>
      <c r="M252" s="32">
        <f>IFERROR(__xludf.DUMMYFUNCTION("""COMPUTED_VALUE"""),268.3)</f>
        <v>268.3</v>
      </c>
      <c r="N252" s="32">
        <f>IFERROR(__xludf.DUMMYFUNCTION("""COMPUTED_VALUE"""),73.4)</f>
        <v>73.4</v>
      </c>
      <c r="O252" s="32">
        <f>IFERROR(__xludf.DUMMYFUNCTION("""COMPUTED_VALUE"""),307.25)</f>
        <v>307.25</v>
      </c>
      <c r="P252" s="32">
        <f>IFERROR(__xludf.DUMMYFUNCTION("""COMPUTED_VALUE"""),3.7)</f>
        <v>3.7</v>
      </c>
      <c r="Q252" s="32">
        <f>IFERROR(__xludf.DUMMYFUNCTION("""COMPUTED_VALUE"""),307.25)</f>
        <v>307.25</v>
      </c>
      <c r="R252" s="32">
        <f>IFERROR(__xludf.DUMMYFUNCTION("""COMPUTED_VALUE"""),16169.67008516)</f>
        <v>16169.67009</v>
      </c>
      <c r="S252" s="32">
        <f>IFERROR(__xludf.DUMMYFUNCTION("""COMPUTED_VALUE"""),20565.60980136)</f>
        <v>20565.6098</v>
      </c>
      <c r="T252" s="32">
        <f>IFERROR(__xludf.DUMMYFUNCTION("""COMPUTED_VALUE"""),3.791276)</f>
        <v>3.791276</v>
      </c>
      <c r="U252" s="32">
        <f>IFERROR(__xludf.DUMMYFUNCTION("""COMPUTED_VALUE"""),9.646856)</f>
        <v>9.646856</v>
      </c>
      <c r="V252" s="32">
        <f>IFERROR(__xludf.DUMMYFUNCTION("""COMPUTED_VALUE"""),16.628493)</f>
        <v>16.628493</v>
      </c>
      <c r="W252" s="32">
        <f>IFERROR(__xludf.DUMMYFUNCTION("""COMPUTED_VALUE"""),14.144811)</f>
        <v>14.144811</v>
      </c>
      <c r="X252" s="32">
        <f>IFERROR(__xludf.DUMMYFUNCTION("""COMPUTED_VALUE"""),13.117775)</f>
        <v>13.117775</v>
      </c>
      <c r="Y252" s="32">
        <f>IFERROR(__xludf.DUMMYFUNCTION("""COMPUTED_VALUE"""),0.309211)</f>
        <v>0.309211</v>
      </c>
      <c r="Z252" s="32">
        <f>IFERROR(__xludf.DUMMYFUNCTION("""COMPUTED_VALUE"""),10.697116)</f>
        <v>10.697116</v>
      </c>
      <c r="AA252" s="32">
        <f>IFERROR(__xludf.DUMMYFUNCTION("""COMPUTED_VALUE"""),22.996)</f>
        <v>22.996</v>
      </c>
      <c r="AB252" s="32">
        <f>IFERROR(__xludf.DUMMYFUNCTION("""COMPUTED_VALUE"""),18.0298)</f>
        <v>18.0298</v>
      </c>
      <c r="AC252" s="32">
        <f>IFERROR(__xludf.DUMMYFUNCTION("""COMPUTED_VALUE"""),1.3511)</f>
        <v>1.3511</v>
      </c>
      <c r="AD252" s="32">
        <f>IFERROR(__xludf.DUMMYFUNCTION("""COMPUTED_VALUE"""),1.16955)</f>
        <v>1.16955</v>
      </c>
      <c r="AE252" s="32">
        <f>IFERROR(__xludf.DUMMYFUNCTION("""COMPUTED_VALUE"""),7.136924)</f>
        <v>7.136924</v>
      </c>
      <c r="AF252" s="32">
        <f>IFERROR(__xludf.DUMMYFUNCTION("""COMPUTED_VALUE"""),-5.395802)</f>
        <v>-5.395802</v>
      </c>
      <c r="AG252" s="32">
        <f>IFERROR(__xludf.DUMMYFUNCTION("""COMPUTED_VALUE"""),1.2778)</f>
        <v>1.2778</v>
      </c>
      <c r="AH252" s="32">
        <f>IFERROR(__xludf.DUMMYFUNCTION("""COMPUTED_VALUE"""),7.369182)</f>
        <v>7.369182</v>
      </c>
      <c r="AI252" s="32">
        <f>IFERROR(__xludf.DUMMYFUNCTION("""COMPUTED_VALUE"""),0.7249312292156922)</f>
        <v>0.7249312292</v>
      </c>
      <c r="AJ252" s="32">
        <f>IFERROR(__xludf.DUMMYFUNCTION("""COMPUTED_VALUE"""),7.222588037488543)</f>
        <v>7.222588037</v>
      </c>
      <c r="AK252" s="32">
        <f>IFERROR(__xludf.DUMMYFUNCTION("""COMPUTED_VALUE"""),11.0454)</f>
        <v>11.0454</v>
      </c>
      <c r="AL252" s="32">
        <f>IFERROR(__xludf.DUMMYFUNCTION("""COMPUTED_VALUE"""),187.9963)</f>
        <v>187.9963</v>
      </c>
      <c r="AM252" s="32">
        <f>IFERROR(__xludf.DUMMYFUNCTION("""COMPUTED_VALUE"""),35.250575)</f>
        <v>35.250575</v>
      </c>
      <c r="AN252" s="32">
        <f>IFERROR(__xludf.DUMMYFUNCTION("""COMPUTED_VALUE"""),1.484963)</f>
        <v>1.484963</v>
      </c>
      <c r="AO252" s="32">
        <f>IFERROR(__xludf.DUMMYFUNCTION("""COMPUTED_VALUE"""),3.25)</f>
        <v>3.25</v>
      </c>
      <c r="AP252" s="32">
        <f>IFERROR(__xludf.DUMMYFUNCTION("""COMPUTED_VALUE"""),0.05106224375698851)</f>
        <v>0.05106224376</v>
      </c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>
      <c r="A253" s="13" t="str">
        <f>IFERROR(__xludf.DUMMYFUNCTION("""COMPUTED_VALUE"""),"Clean Science And Technology Ltd.")</f>
        <v>Clean Science And Technology Ltd.</v>
      </c>
      <c r="B253" s="30">
        <f>IFERROR(__xludf.DUMMYFUNCTION("""COMPUTED_VALUE"""),543318.0)</f>
        <v>543318</v>
      </c>
      <c r="C253" s="13" t="str">
        <f>IFERROR(__xludf.DUMMYFUNCTION("""COMPUTED_VALUE"""),"CLEAN")</f>
        <v>CLEAN</v>
      </c>
      <c r="D253" s="13" t="str">
        <f>IFERROR(__xludf.DUMMYFUNCTION("""COMPUTED_VALUE"""),"INE227W01023")</f>
        <v>INE227W01023</v>
      </c>
      <c r="E253" s="13" t="str">
        <f>IFERROR(__xludf.DUMMYFUNCTION("""COMPUTED_VALUE"""),"Chemicals")</f>
        <v>Chemicals</v>
      </c>
      <c r="F253" s="13" t="str">
        <f>IFERROR(__xludf.DUMMYFUNCTION("""COMPUTED_VALUE"""),"Misc.Chem.")</f>
        <v>Misc.Chem.</v>
      </c>
      <c r="G253" s="31">
        <f>IFERROR(__xludf.DUMMYFUNCTION("""COMPUTED_VALUE"""),44809.0)</f>
        <v>44809</v>
      </c>
      <c r="H253" s="32">
        <f>IFERROR(__xludf.DUMMYFUNCTION("""COMPUTED_VALUE"""),1790.3)</f>
        <v>1790.3</v>
      </c>
      <c r="I253" s="32">
        <f>IFERROR(__xludf.DUMMYFUNCTION("""COMPUTED_VALUE"""),1.935888)</f>
        <v>1.935888</v>
      </c>
      <c r="J253" s="32">
        <f>IFERROR(__xludf.DUMMYFUNCTION("""COMPUTED_VALUE"""),1440.9)</f>
        <v>1440.9</v>
      </c>
      <c r="K253" s="32">
        <f>IFERROR(__xludf.DUMMYFUNCTION("""COMPUTED_VALUE"""),2705.0)</f>
        <v>2705</v>
      </c>
      <c r="L253" s="13"/>
      <c r="M253" s="13"/>
      <c r="N253" s="13"/>
      <c r="O253" s="13"/>
      <c r="P253" s="32">
        <f>IFERROR(__xludf.DUMMYFUNCTION("""COMPUTED_VALUE"""),1422.1)</f>
        <v>1422.1</v>
      </c>
      <c r="Q253" s="32">
        <f>IFERROR(__xludf.DUMMYFUNCTION("""COMPUTED_VALUE"""),2705.0)</f>
        <v>2705</v>
      </c>
      <c r="R253" s="32">
        <f>IFERROR(__xludf.DUMMYFUNCTION("""COMPUTED_VALUE"""),19053.70261965)</f>
        <v>19053.70262</v>
      </c>
      <c r="S253" s="32">
        <f>IFERROR(__xludf.DUMMYFUNCTION("""COMPUTED_VALUE"""),18385.59234684)</f>
        <v>18385.59235</v>
      </c>
      <c r="T253" s="32">
        <f>IFERROR(__xludf.DUMMYFUNCTION("""COMPUTED_VALUE"""),0.358765)</f>
        <v>0.358765</v>
      </c>
      <c r="U253" s="32">
        <f>IFERROR(__xludf.DUMMYFUNCTION("""COMPUTED_VALUE"""),9.90178)</f>
        <v>9.90178</v>
      </c>
      <c r="V253" s="32">
        <f>IFERROR(__xludf.DUMMYFUNCTION("""COMPUTED_VALUE"""),-0.94063)</f>
        <v>-0.94063</v>
      </c>
      <c r="W253" s="32">
        <f>IFERROR(__xludf.DUMMYFUNCTION("""COMPUTED_VALUE"""),10.481656)</f>
        <v>10.481656</v>
      </c>
      <c r="X253" s="13"/>
      <c r="Y253" s="13"/>
      <c r="Z253" s="13"/>
      <c r="AA253" s="32">
        <f>IFERROR(__xludf.DUMMYFUNCTION("""COMPUTED_VALUE"""),80.4701)</f>
        <v>80.4701</v>
      </c>
      <c r="AB253" s="32">
        <f>IFERROR(__xludf.DUMMYFUNCTION("""COMPUTED_VALUE"""),106.4117)</f>
        <v>106.4117</v>
      </c>
      <c r="AC253" s="32">
        <f>IFERROR(__xludf.DUMMYFUNCTION("""COMPUTED_VALUE"""),22.9067)</f>
        <v>22.9067</v>
      </c>
      <c r="AD253" s="32">
        <f>IFERROR(__xludf.DUMMYFUNCTION("""COMPUTED_VALUE"""),25.9286)</f>
        <v>25.9286</v>
      </c>
      <c r="AE253" s="32">
        <f>IFERROR(__xludf.DUMMYFUNCTION("""COMPUTED_VALUE"""),1.833424)</f>
        <v>1.833424</v>
      </c>
      <c r="AF253" s="32">
        <f>IFERROR(__xludf.DUMMYFUNCTION("""COMPUTED_VALUE"""),6.609771)</f>
        <v>6.609771</v>
      </c>
      <c r="AG253" s="32">
        <f>IFERROR(__xludf.DUMMYFUNCTION("""COMPUTED_VALUE"""),0.1815)</f>
        <v>0.1815</v>
      </c>
      <c r="AH253" s="32">
        <f>IFERROR(__xludf.DUMMYFUNCTION("""COMPUTED_VALUE"""),53.269029)</f>
        <v>53.269029</v>
      </c>
      <c r="AI253" s="32">
        <f>IFERROR(__xludf.DUMMYFUNCTION("""COMPUTED_VALUE"""),24.660198821782178)</f>
        <v>24.66019882</v>
      </c>
      <c r="AJ253" s="32">
        <f>IFERROR(__xludf.DUMMYFUNCTION("""COMPUTED_VALUE"""),149.74028543086172)</f>
        <v>149.7402854</v>
      </c>
      <c r="AK253" s="32">
        <f>IFERROR(__xludf.DUMMYFUNCTION("""COMPUTED_VALUE"""),22.2878)</f>
        <v>22.2878</v>
      </c>
      <c r="AL253" s="32">
        <f>IFERROR(__xludf.DUMMYFUNCTION("""COMPUTED_VALUE"""),78.296)</f>
        <v>78.296</v>
      </c>
      <c r="AM253" s="32">
        <f>IFERROR(__xludf.DUMMYFUNCTION("""COMPUTED_VALUE"""),11.979382)</f>
        <v>11.979382</v>
      </c>
      <c r="AN253" s="32">
        <f>IFERROR(__xludf.DUMMYFUNCTION("""COMPUTED_VALUE"""),-0.680945)</f>
        <v>-0.680945</v>
      </c>
      <c r="AO253" s="32">
        <f>IFERROR(__xludf.DUMMYFUNCTION("""COMPUTED_VALUE"""),3.25)</f>
        <v>3.25</v>
      </c>
      <c r="AP253" s="32">
        <f>IFERROR(__xludf.DUMMYFUNCTION("""COMPUTED_VALUE"""),0.33815157116451017)</f>
        <v>0.3381515712</v>
      </c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>
      <c r="A254" s="13" t="str">
        <f>IFERROR(__xludf.DUMMYFUNCTION("""COMPUTED_VALUE"""),"Berger Paints India Ltd.")</f>
        <v>Berger Paints India Ltd.</v>
      </c>
      <c r="B254" s="30">
        <f>IFERROR(__xludf.DUMMYFUNCTION("""COMPUTED_VALUE"""),509480.0)</f>
        <v>509480</v>
      </c>
      <c r="C254" s="13" t="str">
        <f>IFERROR(__xludf.DUMMYFUNCTION("""COMPUTED_VALUE"""),"BERGEPAINT")</f>
        <v>BERGEPAINT</v>
      </c>
      <c r="D254" s="13" t="str">
        <f>IFERROR(__xludf.DUMMYFUNCTION("""COMPUTED_VALUE"""),"INE463A01038")</f>
        <v>INE463A01038</v>
      </c>
      <c r="E254" s="13" t="str">
        <f>IFERROR(__xludf.DUMMYFUNCTION("""COMPUTED_VALUE"""),"Materials")</f>
        <v>Materials</v>
      </c>
      <c r="F254" s="13" t="str">
        <f>IFERROR(__xludf.DUMMYFUNCTION("""COMPUTED_VALUE"""),"Paints &amp; Varnishes")</f>
        <v>Paints &amp; Varnishes</v>
      </c>
      <c r="G254" s="31">
        <f>IFERROR(__xludf.DUMMYFUNCTION("""COMPUTED_VALUE"""),44809.0)</f>
        <v>44809</v>
      </c>
      <c r="H254" s="32">
        <f>IFERROR(__xludf.DUMMYFUNCTION("""COMPUTED_VALUE"""),660.5)</f>
        <v>660.5</v>
      </c>
      <c r="I254" s="32">
        <f>IFERROR(__xludf.DUMMYFUNCTION("""COMPUTED_VALUE"""),-1.144952)</f>
        <v>-1.144952</v>
      </c>
      <c r="J254" s="32">
        <f>IFERROR(__xludf.DUMMYFUNCTION("""COMPUTED_VALUE"""),543.6)</f>
        <v>543.6</v>
      </c>
      <c r="K254" s="32">
        <f>IFERROR(__xludf.DUMMYFUNCTION("""COMPUTED_VALUE"""),856.95)</f>
        <v>856.95</v>
      </c>
      <c r="L254" s="32">
        <f>IFERROR(__xludf.DUMMYFUNCTION("""COMPUTED_VALUE"""),358.0)</f>
        <v>358</v>
      </c>
      <c r="M254" s="32">
        <f>IFERROR(__xludf.DUMMYFUNCTION("""COMPUTED_VALUE"""),872.95)</f>
        <v>872.95</v>
      </c>
      <c r="N254" s="32">
        <f>IFERROR(__xludf.DUMMYFUNCTION("""COMPUTED_VALUE"""),232.0)</f>
        <v>232</v>
      </c>
      <c r="O254" s="32">
        <f>IFERROR(__xludf.DUMMYFUNCTION("""COMPUTED_VALUE"""),872.95)</f>
        <v>872.95</v>
      </c>
      <c r="P254" s="32">
        <f>IFERROR(__xludf.DUMMYFUNCTION("""COMPUTED_VALUE"""),1.644345)</f>
        <v>1.644345</v>
      </c>
      <c r="Q254" s="32">
        <f>IFERROR(__xludf.DUMMYFUNCTION("""COMPUTED_VALUE"""),872.95)</f>
        <v>872.95</v>
      </c>
      <c r="R254" s="32">
        <f>IFERROR(__xludf.DUMMYFUNCTION("""COMPUTED_VALUE"""),64157.61789645)</f>
        <v>64157.6179</v>
      </c>
      <c r="S254" s="32">
        <f>IFERROR(__xludf.DUMMYFUNCTION("""COMPUTED_VALUE"""),65221.83428063)</f>
        <v>65221.83428</v>
      </c>
      <c r="T254" s="32">
        <f>IFERROR(__xludf.DUMMYFUNCTION("""COMPUTED_VALUE"""),0.053018)</f>
        <v>0.053018</v>
      </c>
      <c r="U254" s="32">
        <f>IFERROR(__xludf.DUMMYFUNCTION("""COMPUTED_VALUE"""),-0.974513)</f>
        <v>-0.974513</v>
      </c>
      <c r="V254" s="32">
        <f>IFERROR(__xludf.DUMMYFUNCTION("""COMPUTED_VALUE"""),8.474298)</f>
        <v>8.474298</v>
      </c>
      <c r="W254" s="32">
        <f>IFERROR(__xludf.DUMMYFUNCTION("""COMPUTED_VALUE"""),-20.550911)</f>
        <v>-20.550911</v>
      </c>
      <c r="X254" s="32">
        <f>IFERROR(__xludf.DUMMYFUNCTION("""COMPUTED_VALUE"""),22.438248)</f>
        <v>22.438248</v>
      </c>
      <c r="Y254" s="32">
        <f>IFERROR(__xludf.DUMMYFUNCTION("""COMPUTED_VALUE"""),21.963541)</f>
        <v>21.963541</v>
      </c>
      <c r="Z254" s="32">
        <f>IFERROR(__xludf.DUMMYFUNCTION("""COMPUTED_VALUE"""),29.455741)</f>
        <v>29.455741</v>
      </c>
      <c r="AA254" s="32">
        <f>IFERROR(__xludf.DUMMYFUNCTION("""COMPUTED_VALUE"""),67.8494)</f>
        <v>67.8494</v>
      </c>
      <c r="AB254" s="32">
        <f>IFERROR(__xludf.DUMMYFUNCTION("""COMPUTED_VALUE"""),75.0149)</f>
        <v>75.0149</v>
      </c>
      <c r="AC254" s="32">
        <f>IFERROR(__xludf.DUMMYFUNCTION("""COMPUTED_VALUE"""),15.385)</f>
        <v>15.385</v>
      </c>
      <c r="AD254" s="32">
        <f>IFERROR(__xludf.DUMMYFUNCTION("""COMPUTED_VALUE"""),16.99195)</f>
        <v>16.99195</v>
      </c>
      <c r="AE254" s="32">
        <f>IFERROR(__xludf.DUMMYFUNCTION("""COMPUTED_VALUE"""),2.148363)</f>
        <v>2.148363</v>
      </c>
      <c r="AF254" s="32">
        <f>IFERROR(__xludf.DUMMYFUNCTION("""COMPUTED_VALUE"""),4.38125)</f>
        <v>4.38125</v>
      </c>
      <c r="AG254" s="32">
        <f>IFERROR(__xludf.DUMMYFUNCTION("""COMPUTED_VALUE"""),0.4693)</f>
        <v>0.4693</v>
      </c>
      <c r="AH254" s="32">
        <f>IFERROR(__xludf.DUMMYFUNCTION("""COMPUTED_VALUE"""),41.863075)</f>
        <v>41.863075</v>
      </c>
      <c r="AI254" s="32">
        <f>IFERROR(__xludf.DUMMYFUNCTION("""COMPUTED_VALUE"""),6.598548172573457)</f>
        <v>6.598548173</v>
      </c>
      <c r="AJ254" s="32">
        <f>IFERROR(__xludf.DUMMYFUNCTION("""COMPUTED_VALUE"""),113.25263529823478)</f>
        <v>113.2526353</v>
      </c>
      <c r="AK254" s="32">
        <f>IFERROR(__xludf.DUMMYFUNCTION("""COMPUTED_VALUE"""),9.7355)</f>
        <v>9.7355</v>
      </c>
      <c r="AL254" s="32">
        <f>IFERROR(__xludf.DUMMYFUNCTION("""COMPUTED_VALUE"""),42.9348)</f>
        <v>42.9348</v>
      </c>
      <c r="AM254" s="32">
        <f>IFERROR(__xludf.DUMMYFUNCTION("""COMPUTED_VALUE"""),5.83239)</f>
        <v>5.83239</v>
      </c>
      <c r="AN254" s="32">
        <f>IFERROR(__xludf.DUMMYFUNCTION("""COMPUTED_VALUE"""),-2.146196)</f>
        <v>-2.146196</v>
      </c>
      <c r="AO254" s="32">
        <f>IFERROR(__xludf.DUMMYFUNCTION("""COMPUTED_VALUE"""),3.1)</f>
        <v>3.1</v>
      </c>
      <c r="AP254" s="32">
        <f>IFERROR(__xludf.DUMMYFUNCTION("""COMPUTED_VALUE"""),0.22924324639710605)</f>
        <v>0.2292432464</v>
      </c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>
      <c r="A255" s="13" t="str">
        <f>IFERROR(__xludf.DUMMYFUNCTION("""COMPUTED_VALUE"""),"KPIT Technologies Ltd.")</f>
        <v>KPIT Technologies Ltd.</v>
      </c>
      <c r="B255" s="30">
        <f>IFERROR(__xludf.DUMMYFUNCTION("""COMPUTED_VALUE"""),542651.0)</f>
        <v>542651</v>
      </c>
      <c r="C255" s="13" t="str">
        <f>IFERROR(__xludf.DUMMYFUNCTION("""COMPUTED_VALUE"""),"KPITTECH")</f>
        <v>KPITTECH</v>
      </c>
      <c r="D255" s="13" t="str">
        <f>IFERROR(__xludf.DUMMYFUNCTION("""COMPUTED_VALUE"""),"INE04I401011")</f>
        <v>INE04I401011</v>
      </c>
      <c r="E255" s="13" t="str">
        <f>IFERROR(__xludf.DUMMYFUNCTION("""COMPUTED_VALUE"""),"Technology")</f>
        <v>Technology</v>
      </c>
      <c r="F255" s="13" t="str">
        <f>IFERROR(__xludf.DUMMYFUNCTION("""COMPUTED_VALUE"""),"Software")</f>
        <v>Software</v>
      </c>
      <c r="G255" s="31">
        <f>IFERROR(__xludf.DUMMYFUNCTION("""COMPUTED_VALUE"""),44809.0)</f>
        <v>44809</v>
      </c>
      <c r="H255" s="32">
        <f>IFERROR(__xludf.DUMMYFUNCTION("""COMPUTED_VALUE"""),556.8)</f>
        <v>556.8</v>
      </c>
      <c r="I255" s="32">
        <f>IFERROR(__xludf.DUMMYFUNCTION("""COMPUTED_VALUE"""),-1.311592)</f>
        <v>-1.311592</v>
      </c>
      <c r="J255" s="32">
        <f>IFERROR(__xludf.DUMMYFUNCTION("""COMPUTED_VALUE"""),300.25)</f>
        <v>300.25</v>
      </c>
      <c r="K255" s="32">
        <f>IFERROR(__xludf.DUMMYFUNCTION("""COMPUTED_VALUE"""),801.0)</f>
        <v>801</v>
      </c>
      <c r="L255" s="32">
        <f>IFERROR(__xludf.DUMMYFUNCTION("""COMPUTED_VALUE"""),34.35)</f>
        <v>34.35</v>
      </c>
      <c r="M255" s="32">
        <f>IFERROR(__xludf.DUMMYFUNCTION("""COMPUTED_VALUE"""),801.0)</f>
        <v>801</v>
      </c>
      <c r="N255" s="13"/>
      <c r="O255" s="13"/>
      <c r="P255" s="32">
        <f>IFERROR(__xludf.DUMMYFUNCTION("""COMPUTED_VALUE"""),34.35)</f>
        <v>34.35</v>
      </c>
      <c r="Q255" s="32">
        <f>IFERROR(__xludf.DUMMYFUNCTION("""COMPUTED_VALUE"""),801.0)</f>
        <v>801</v>
      </c>
      <c r="R255" s="32">
        <f>IFERROR(__xludf.DUMMYFUNCTION("""COMPUTED_VALUE"""),15272.55154368)</f>
        <v>15272.55154</v>
      </c>
      <c r="S255" s="32">
        <f>IFERROR(__xludf.DUMMYFUNCTION("""COMPUTED_VALUE"""),14455.70145696)</f>
        <v>14455.70146</v>
      </c>
      <c r="T255" s="32">
        <f>IFERROR(__xludf.DUMMYFUNCTION("""COMPUTED_VALUE"""),-1.729615)</f>
        <v>-1.729615</v>
      </c>
      <c r="U255" s="32">
        <f>IFERROR(__xludf.DUMMYFUNCTION("""COMPUTED_VALUE"""),7.025469)</f>
        <v>7.025469</v>
      </c>
      <c r="V255" s="32">
        <f>IFERROR(__xludf.DUMMYFUNCTION("""COMPUTED_VALUE"""),0.814775)</f>
        <v>0.814775</v>
      </c>
      <c r="W255" s="32">
        <f>IFERROR(__xludf.DUMMYFUNCTION("""COMPUTED_VALUE"""),68.880801)</f>
        <v>68.880801</v>
      </c>
      <c r="X255" s="32">
        <f>IFERROR(__xludf.DUMMYFUNCTION("""COMPUTED_VALUE"""),79.173849)</f>
        <v>79.173849</v>
      </c>
      <c r="Y255" s="13"/>
      <c r="Z255" s="13"/>
      <c r="AA255" s="32">
        <f>IFERROR(__xludf.DUMMYFUNCTION("""COMPUTED_VALUE"""),51.008)</f>
        <v>51.008</v>
      </c>
      <c r="AB255" s="32">
        <f>IFERROR(__xludf.DUMMYFUNCTION("""COMPUTED_VALUE"""),39.4971)</f>
        <v>39.4971</v>
      </c>
      <c r="AC255" s="32">
        <f>IFERROR(__xludf.DUMMYFUNCTION("""COMPUTED_VALUE"""),11.0583)</f>
        <v>11.0583</v>
      </c>
      <c r="AD255" s="32">
        <f>IFERROR(__xludf.DUMMYFUNCTION("""COMPUTED_VALUE"""),3.58565)</f>
        <v>3.58565</v>
      </c>
      <c r="AE255" s="32">
        <f>IFERROR(__xludf.DUMMYFUNCTION("""COMPUTED_VALUE"""),3.143743)</f>
        <v>3.143743</v>
      </c>
      <c r="AF255" s="32">
        <f>IFERROR(__xludf.DUMMYFUNCTION("""COMPUTED_VALUE"""),0.978039)</f>
        <v>0.978039</v>
      </c>
      <c r="AG255" s="32">
        <f>IFERROR(__xludf.DUMMYFUNCTION("""COMPUTED_VALUE"""),0.5565)</f>
        <v>0.5565</v>
      </c>
      <c r="AH255" s="32">
        <f>IFERROR(__xludf.DUMMYFUNCTION("""COMPUTED_VALUE"""),27.683475)</f>
        <v>27.683475</v>
      </c>
      <c r="AI255" s="32">
        <f>IFERROR(__xludf.DUMMYFUNCTION("""COMPUTED_VALUE"""),5.987524171983774)</f>
        <v>5.987524172</v>
      </c>
      <c r="AJ255" s="32">
        <f>IFERROR(__xludf.DUMMYFUNCTION("""COMPUTED_VALUE"""),32.153417006000126)</f>
        <v>32.15341701</v>
      </c>
      <c r="AK255" s="32">
        <f>IFERROR(__xludf.DUMMYFUNCTION("""COMPUTED_VALUE"""),10.9218)</f>
        <v>10.9218</v>
      </c>
      <c r="AL255" s="32">
        <f>IFERROR(__xludf.DUMMYFUNCTION("""COMPUTED_VALUE"""),50.3786)</f>
        <v>50.3786</v>
      </c>
      <c r="AM255" s="32">
        <f>IFERROR(__xludf.DUMMYFUNCTION("""COMPUTED_VALUE"""),17.591115)</f>
        <v>17.591115</v>
      </c>
      <c r="AN255" s="32">
        <f>IFERROR(__xludf.DUMMYFUNCTION("""COMPUTED_VALUE"""),15.351885)</f>
        <v>15.351885</v>
      </c>
      <c r="AO255" s="32">
        <f>IFERROR(__xludf.DUMMYFUNCTION("""COMPUTED_VALUE"""),3.1)</f>
        <v>3.1</v>
      </c>
      <c r="AP255" s="32">
        <f>IFERROR(__xludf.DUMMYFUNCTION("""COMPUTED_VALUE"""),0.30486891385767795)</f>
        <v>0.3048689139</v>
      </c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>
      <c r="A256" s="13" t="str">
        <f>IFERROR(__xludf.DUMMYFUNCTION("""COMPUTED_VALUE"""),"Aarti Industries Ltd.")</f>
        <v>Aarti Industries Ltd.</v>
      </c>
      <c r="B256" s="30">
        <f>IFERROR(__xludf.DUMMYFUNCTION("""COMPUTED_VALUE"""),524208.0)</f>
        <v>524208</v>
      </c>
      <c r="C256" s="13" t="str">
        <f>IFERROR(__xludf.DUMMYFUNCTION("""COMPUTED_VALUE"""),"AARTIIND")</f>
        <v>AARTIIND</v>
      </c>
      <c r="D256" s="13" t="str">
        <f>IFERROR(__xludf.DUMMYFUNCTION("""COMPUTED_VALUE"""),"INE769A01020")</f>
        <v>INE769A01020</v>
      </c>
      <c r="E256" s="13" t="str">
        <f>IFERROR(__xludf.DUMMYFUNCTION("""COMPUTED_VALUE"""),"Chemicals")</f>
        <v>Chemicals</v>
      </c>
      <c r="F256" s="13" t="str">
        <f>IFERROR(__xludf.DUMMYFUNCTION("""COMPUTED_VALUE"""),"Organic Chemicals")</f>
        <v>Organic Chemicals</v>
      </c>
      <c r="G256" s="31">
        <f>IFERROR(__xludf.DUMMYFUNCTION("""COMPUTED_VALUE"""),44809.0)</f>
        <v>44809</v>
      </c>
      <c r="H256" s="32">
        <f>IFERROR(__xludf.DUMMYFUNCTION("""COMPUTED_VALUE"""),845.1)</f>
        <v>845.1</v>
      </c>
      <c r="I256" s="32">
        <f>IFERROR(__xludf.DUMMYFUNCTION("""COMPUTED_VALUE"""),0.859291)</f>
        <v>0.859291</v>
      </c>
      <c r="J256" s="32">
        <f>IFERROR(__xludf.DUMMYFUNCTION("""COMPUTED_VALUE"""),668.85)</f>
        <v>668.85</v>
      </c>
      <c r="K256" s="32">
        <f>IFERROR(__xludf.DUMMYFUNCTION("""COMPUTED_VALUE"""),1168.4)</f>
        <v>1168.4</v>
      </c>
      <c r="L256" s="32">
        <f>IFERROR(__xludf.DUMMYFUNCTION("""COMPUTED_VALUE"""),331.025)</f>
        <v>331.025</v>
      </c>
      <c r="M256" s="32">
        <f>IFERROR(__xludf.DUMMYFUNCTION("""COMPUTED_VALUE"""),1168.4)</f>
        <v>1168.4</v>
      </c>
      <c r="N256" s="32">
        <f>IFERROR(__xludf.DUMMYFUNCTION("""COMPUTED_VALUE"""),208.75)</f>
        <v>208.75</v>
      </c>
      <c r="O256" s="32">
        <f>IFERROR(__xludf.DUMMYFUNCTION("""COMPUTED_VALUE"""),1168.4)</f>
        <v>1168.4</v>
      </c>
      <c r="P256" s="32">
        <f>IFERROR(__xludf.DUMMYFUNCTION("""COMPUTED_VALUE"""),3.3375)</f>
        <v>3.3375</v>
      </c>
      <c r="Q256" s="32">
        <f>IFERROR(__xludf.DUMMYFUNCTION("""COMPUTED_VALUE"""),1168.4)</f>
        <v>1168.4</v>
      </c>
      <c r="R256" s="32">
        <f>IFERROR(__xludf.DUMMYFUNCTION("""COMPUTED_VALUE"""),30635.21599785)</f>
        <v>30635.216</v>
      </c>
      <c r="S256" s="32">
        <f>IFERROR(__xludf.DUMMYFUNCTION("""COMPUTED_VALUE"""),32798.48301195)</f>
        <v>32798.48301</v>
      </c>
      <c r="T256" s="32">
        <f>IFERROR(__xludf.DUMMYFUNCTION("""COMPUTED_VALUE"""),4.442934)</f>
        <v>4.442934</v>
      </c>
      <c r="U256" s="32">
        <f>IFERROR(__xludf.DUMMYFUNCTION("""COMPUTED_VALUE"""),4.417125)</f>
        <v>4.417125</v>
      </c>
      <c r="V256" s="32">
        <f>IFERROR(__xludf.DUMMYFUNCTION("""COMPUTED_VALUE"""),17.293546)</f>
        <v>17.293546</v>
      </c>
      <c r="W256" s="32">
        <f>IFERROR(__xludf.DUMMYFUNCTION("""COMPUTED_VALUE"""),-7.467426)</f>
        <v>-7.467426</v>
      </c>
      <c r="X256" s="32">
        <f>IFERROR(__xludf.DUMMYFUNCTION("""COMPUTED_VALUE"""),29.146536)</f>
        <v>29.146536</v>
      </c>
      <c r="Y256" s="32">
        <f>IFERROR(__xludf.DUMMYFUNCTION("""COMPUTED_VALUE"""),31.669986)</f>
        <v>31.669986</v>
      </c>
      <c r="Z256" s="32">
        <f>IFERROR(__xludf.DUMMYFUNCTION("""COMPUTED_VALUE"""),46.145985)</f>
        <v>46.145985</v>
      </c>
      <c r="AA256" s="32">
        <f>IFERROR(__xludf.DUMMYFUNCTION("""COMPUTED_VALUE"""),23.0166)</f>
        <v>23.0166</v>
      </c>
      <c r="AB256" s="32">
        <f>IFERROR(__xludf.DUMMYFUNCTION("""COMPUTED_VALUE"""),31.35135)</f>
        <v>31.35135</v>
      </c>
      <c r="AC256" s="32">
        <f>IFERROR(__xludf.DUMMYFUNCTION("""COMPUTED_VALUE"""),5.0212)</f>
        <v>5.0212</v>
      </c>
      <c r="AD256" s="32">
        <f>IFERROR(__xludf.DUMMYFUNCTION("""COMPUTED_VALUE"""),6.1939)</f>
        <v>6.1939</v>
      </c>
      <c r="AE256" s="32">
        <f>IFERROR(__xludf.DUMMYFUNCTION("""COMPUTED_VALUE"""),5.081028)</f>
        <v>5.081028</v>
      </c>
      <c r="AF256" s="32">
        <f>IFERROR(__xludf.DUMMYFUNCTION("""COMPUTED_VALUE"""),1.552258)</f>
        <v>1.552258</v>
      </c>
      <c r="AG256" s="32">
        <f>IFERROR(__xludf.DUMMYFUNCTION("""COMPUTED_VALUE"""),0.414)</f>
        <v>0.414</v>
      </c>
      <c r="AH256" s="32">
        <f>IFERROR(__xludf.DUMMYFUNCTION("""COMPUTED_VALUE"""),16.519503)</f>
        <v>16.519503</v>
      </c>
      <c r="AI256" s="32">
        <f>IFERROR(__xludf.DUMMYFUNCTION("""COMPUTED_VALUE"""),4.001872708798702)</f>
        <v>4.001872709</v>
      </c>
      <c r="AJ256" s="32">
        <f>IFERROR(__xludf.DUMMYFUNCTION("""COMPUTED_VALUE"""),35.10354642189272)</f>
        <v>35.10354642</v>
      </c>
      <c r="AK256" s="32">
        <f>IFERROR(__xludf.DUMMYFUNCTION("""COMPUTED_VALUE"""),36.7279)</f>
        <v>36.7279</v>
      </c>
      <c r="AL256" s="32">
        <f>IFERROR(__xludf.DUMMYFUNCTION("""COMPUTED_VALUE"""),168.3574)</f>
        <v>168.3574</v>
      </c>
      <c r="AM256" s="32">
        <f>IFERROR(__xludf.DUMMYFUNCTION("""COMPUTED_VALUE"""),50.086662)</f>
        <v>50.086662</v>
      </c>
      <c r="AN256" s="32">
        <f>IFERROR(__xludf.DUMMYFUNCTION("""COMPUTED_VALUE"""),-31.882461)</f>
        <v>-31.882461</v>
      </c>
      <c r="AO256" s="32">
        <f>IFERROR(__xludf.DUMMYFUNCTION("""COMPUTED_VALUE"""),3.0)</f>
        <v>3</v>
      </c>
      <c r="AP256" s="32">
        <f>IFERROR(__xludf.DUMMYFUNCTION("""COMPUTED_VALUE"""),0.27670318384115034)</f>
        <v>0.2767031838</v>
      </c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>
      <c r="A257" s="13" t="str">
        <f>IFERROR(__xludf.DUMMYFUNCTION("""COMPUTED_VALUE"""),"Allcargo Logistics Ltd.")</f>
        <v>Allcargo Logistics Ltd.</v>
      </c>
      <c r="B257" s="30">
        <f>IFERROR(__xludf.DUMMYFUNCTION("""COMPUTED_VALUE"""),532749.0)</f>
        <v>532749</v>
      </c>
      <c r="C257" s="13" t="str">
        <f>IFERROR(__xludf.DUMMYFUNCTION("""COMPUTED_VALUE"""),"ALLCARGO")</f>
        <v>ALLCARGO</v>
      </c>
      <c r="D257" s="13" t="str">
        <f>IFERROR(__xludf.DUMMYFUNCTION("""COMPUTED_VALUE"""),"INE418H01029")</f>
        <v>INE418H01029</v>
      </c>
      <c r="E257" s="13" t="str">
        <f>IFERROR(__xludf.DUMMYFUNCTION("""COMPUTED_VALUE"""),"Services")</f>
        <v>Services</v>
      </c>
      <c r="F257" s="13" t="str">
        <f>IFERROR(__xludf.DUMMYFUNCTION("""COMPUTED_VALUE"""),"Logistics")</f>
        <v>Logistics</v>
      </c>
      <c r="G257" s="31">
        <f>IFERROR(__xludf.DUMMYFUNCTION("""COMPUTED_VALUE"""),44809.0)</f>
        <v>44809</v>
      </c>
      <c r="H257" s="32">
        <f>IFERROR(__xludf.DUMMYFUNCTION("""COMPUTED_VALUE"""),338.1)</f>
        <v>338.1</v>
      </c>
      <c r="I257" s="32">
        <f>IFERROR(__xludf.DUMMYFUNCTION("""COMPUTED_VALUE"""),-3.303303)</f>
        <v>-3.303303</v>
      </c>
      <c r="J257" s="32">
        <f>IFERROR(__xludf.DUMMYFUNCTION("""COMPUTED_VALUE"""),220.55)</f>
        <v>220.55</v>
      </c>
      <c r="K257" s="32">
        <f>IFERROR(__xludf.DUMMYFUNCTION("""COMPUTED_VALUE"""),412.0)</f>
        <v>412</v>
      </c>
      <c r="L257" s="32">
        <f>IFERROR(__xludf.DUMMYFUNCTION("""COMPUTED_VALUE"""),48.6)</f>
        <v>48.6</v>
      </c>
      <c r="M257" s="32">
        <f>IFERROR(__xludf.DUMMYFUNCTION("""COMPUTED_VALUE"""),412.0)</f>
        <v>412</v>
      </c>
      <c r="N257" s="32">
        <f>IFERROR(__xludf.DUMMYFUNCTION("""COMPUTED_VALUE"""),48.6)</f>
        <v>48.6</v>
      </c>
      <c r="O257" s="32">
        <f>IFERROR(__xludf.DUMMYFUNCTION("""COMPUTED_VALUE"""),412.0)</f>
        <v>412</v>
      </c>
      <c r="P257" s="32">
        <f>IFERROR(__xludf.DUMMYFUNCTION("""COMPUTED_VALUE"""),27.185)</f>
        <v>27.185</v>
      </c>
      <c r="Q257" s="32">
        <f>IFERROR(__xludf.DUMMYFUNCTION("""COMPUTED_VALUE"""),412.0)</f>
        <v>412</v>
      </c>
      <c r="R257" s="32">
        <f>IFERROR(__xludf.DUMMYFUNCTION("""COMPUTED_VALUE"""),8311.87957692)</f>
        <v>8311.879577</v>
      </c>
      <c r="S257" s="32">
        <f>IFERROR(__xludf.DUMMYFUNCTION("""COMPUTED_VALUE"""),9644.6285638)</f>
        <v>9644.628564</v>
      </c>
      <c r="T257" s="32">
        <f>IFERROR(__xludf.DUMMYFUNCTION("""COMPUTED_VALUE"""),0.103627)</f>
        <v>0.103627</v>
      </c>
      <c r="U257" s="32">
        <f>IFERROR(__xludf.DUMMYFUNCTION("""COMPUTED_VALUE"""),13.551637)</f>
        <v>13.551637</v>
      </c>
      <c r="V257" s="32">
        <f>IFERROR(__xludf.DUMMYFUNCTION("""COMPUTED_VALUE"""),-0.191882)</f>
        <v>-0.191882</v>
      </c>
      <c r="W257" s="32">
        <f>IFERROR(__xludf.DUMMYFUNCTION("""COMPUTED_VALUE"""),49.106946)</f>
        <v>49.106946</v>
      </c>
      <c r="X257" s="32">
        <f>IFERROR(__xludf.DUMMYFUNCTION("""COMPUTED_VALUE"""),56.062924)</f>
        <v>56.062924</v>
      </c>
      <c r="Y257" s="32">
        <f>IFERROR(__xludf.DUMMYFUNCTION("""COMPUTED_VALUE"""),14.931089)</f>
        <v>14.931089</v>
      </c>
      <c r="Z257" s="32">
        <f>IFERROR(__xludf.DUMMYFUNCTION("""COMPUTED_VALUE"""),17.88172)</f>
        <v>17.88172</v>
      </c>
      <c r="AA257" s="32">
        <f>IFERROR(__xludf.DUMMYFUNCTION("""COMPUTED_VALUE"""),7.7437)</f>
        <v>7.7437</v>
      </c>
      <c r="AB257" s="32">
        <f>IFERROR(__xludf.DUMMYFUNCTION("""COMPUTED_VALUE"""),15.34295)</f>
        <v>15.34295</v>
      </c>
      <c r="AC257" s="32">
        <f>IFERROR(__xludf.DUMMYFUNCTION("""COMPUTED_VALUE"""),2.4297)</f>
        <v>2.4297</v>
      </c>
      <c r="AD257" s="32">
        <f>IFERROR(__xludf.DUMMYFUNCTION("""COMPUTED_VALUE"""),1.4025)</f>
        <v>1.4025</v>
      </c>
      <c r="AE257" s="32">
        <f>IFERROR(__xludf.DUMMYFUNCTION("""COMPUTED_VALUE"""),15.82046)</f>
        <v>15.82046</v>
      </c>
      <c r="AF257" s="32">
        <f>IFERROR(__xludf.DUMMYFUNCTION("""COMPUTED_VALUE"""),0.222219)</f>
        <v>0.222219</v>
      </c>
      <c r="AG257" s="32">
        <f>IFERROR(__xludf.DUMMYFUNCTION("""COMPUTED_VALUE"""),0.8868)</f>
        <v>0.8868</v>
      </c>
      <c r="AH257" s="32">
        <f>IFERROR(__xludf.DUMMYFUNCTION("""COMPUTED_VALUE"""),5.397952)</f>
        <v>5.397952</v>
      </c>
      <c r="AI257" s="32">
        <f>IFERROR(__xludf.DUMMYFUNCTION("""COMPUTED_VALUE"""),0.3727683056654697)</f>
        <v>0.3727683057</v>
      </c>
      <c r="AJ257" s="32">
        <f>IFERROR(__xludf.DUMMYFUNCTION("""COMPUTED_VALUE"""),9.774771946421431)</f>
        <v>9.774771946</v>
      </c>
      <c r="AK257" s="32">
        <f>IFERROR(__xludf.DUMMYFUNCTION("""COMPUTED_VALUE"""),43.687)</f>
        <v>43.687</v>
      </c>
      <c r="AL257" s="32">
        <f>IFERROR(__xludf.DUMMYFUNCTION("""COMPUTED_VALUE"""),139.2373)</f>
        <v>139.2373</v>
      </c>
      <c r="AM257" s="32">
        <f>IFERROR(__xludf.DUMMYFUNCTION("""COMPUTED_VALUE"""),34.608873)</f>
        <v>34.608873</v>
      </c>
      <c r="AN257" s="32">
        <f>IFERROR(__xludf.DUMMYFUNCTION("""COMPUTED_VALUE"""),16.547823)</f>
        <v>16.547823</v>
      </c>
      <c r="AO257" s="32">
        <f>IFERROR(__xludf.DUMMYFUNCTION("""COMPUTED_VALUE"""),3.0)</f>
        <v>3</v>
      </c>
      <c r="AP257" s="32">
        <f>IFERROR(__xludf.DUMMYFUNCTION("""COMPUTED_VALUE"""),0.1793689320388349)</f>
        <v>0.179368932</v>
      </c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>
      <c r="A258" s="13" t="str">
        <f>IFERROR(__xludf.DUMMYFUNCTION("""COMPUTED_VALUE"""),"Astral Ltd.")</f>
        <v>Astral Ltd.</v>
      </c>
      <c r="B258" s="30">
        <f>IFERROR(__xludf.DUMMYFUNCTION("""COMPUTED_VALUE"""),532830.0)</f>
        <v>532830</v>
      </c>
      <c r="C258" s="13" t="str">
        <f>IFERROR(__xludf.DUMMYFUNCTION("""COMPUTED_VALUE"""),"ASTRAL")</f>
        <v>ASTRAL</v>
      </c>
      <c r="D258" s="13" t="str">
        <f>IFERROR(__xludf.DUMMYFUNCTION("""COMPUTED_VALUE"""),"INE006I01046")</f>
        <v>INE006I01046</v>
      </c>
      <c r="E258" s="13" t="str">
        <f>IFERROR(__xludf.DUMMYFUNCTION("""COMPUTED_VALUE"""),"Materials")</f>
        <v>Materials</v>
      </c>
      <c r="F258" s="13" t="str">
        <f>IFERROR(__xludf.DUMMYFUNCTION("""COMPUTED_VALUE"""),"Plastic Tubes &amp; Pipes")</f>
        <v>Plastic Tubes &amp; Pipes</v>
      </c>
      <c r="G258" s="31">
        <f>IFERROR(__xludf.DUMMYFUNCTION("""COMPUTED_VALUE"""),44809.0)</f>
        <v>44809</v>
      </c>
      <c r="H258" s="32">
        <f>IFERROR(__xludf.DUMMYFUNCTION("""COMPUTED_VALUE"""),2305.1)</f>
        <v>2305.1</v>
      </c>
      <c r="I258" s="32">
        <f>IFERROR(__xludf.DUMMYFUNCTION("""COMPUTED_VALUE"""),-0.403984)</f>
        <v>-0.403984</v>
      </c>
      <c r="J258" s="32">
        <f>IFERROR(__xludf.DUMMYFUNCTION("""COMPUTED_VALUE"""),1581.55)</f>
        <v>1581.55</v>
      </c>
      <c r="K258" s="32">
        <f>IFERROR(__xludf.DUMMYFUNCTION("""COMPUTED_VALUE"""),2525.0)</f>
        <v>2525</v>
      </c>
      <c r="L258" s="32">
        <f>IFERROR(__xludf.DUMMYFUNCTION("""COMPUTED_VALUE"""),559.2375)</f>
        <v>559.2375</v>
      </c>
      <c r="M258" s="32">
        <f>IFERROR(__xludf.DUMMYFUNCTION("""COMPUTED_VALUE"""),2525.0)</f>
        <v>2525</v>
      </c>
      <c r="N258" s="32">
        <f>IFERROR(__xludf.DUMMYFUNCTION("""COMPUTED_VALUE"""),405.84)</f>
        <v>405.84</v>
      </c>
      <c r="O258" s="32">
        <f>IFERROR(__xludf.DUMMYFUNCTION("""COMPUTED_VALUE"""),2525.0)</f>
        <v>2525</v>
      </c>
      <c r="P258" s="32">
        <f>IFERROR(__xludf.DUMMYFUNCTION("""COMPUTED_VALUE"""),1.803)</f>
        <v>1.803</v>
      </c>
      <c r="Q258" s="32">
        <f>IFERROR(__xludf.DUMMYFUNCTION("""COMPUTED_VALUE"""),2525.0)</f>
        <v>2525</v>
      </c>
      <c r="R258" s="32">
        <f>IFERROR(__xludf.DUMMYFUNCTION("""COMPUTED_VALUE"""),46301.42868876)</f>
        <v>46301.42869</v>
      </c>
      <c r="S258" s="32">
        <f>IFERROR(__xludf.DUMMYFUNCTION("""COMPUTED_VALUE"""),45983.83084177)</f>
        <v>45983.83084</v>
      </c>
      <c r="T258" s="32">
        <f>IFERROR(__xludf.DUMMYFUNCTION("""COMPUTED_VALUE"""),9.313795)</f>
        <v>9.313795</v>
      </c>
      <c r="U258" s="32">
        <f>IFERROR(__xludf.DUMMYFUNCTION("""COMPUTED_VALUE"""),17.415444)</f>
        <v>17.415444</v>
      </c>
      <c r="V258" s="32">
        <f>IFERROR(__xludf.DUMMYFUNCTION("""COMPUTED_VALUE"""),32.017983)</f>
        <v>32.017983</v>
      </c>
      <c r="W258" s="32">
        <f>IFERROR(__xludf.DUMMYFUNCTION("""COMPUTED_VALUE"""),9.750988)</f>
        <v>9.750988</v>
      </c>
      <c r="X258" s="32">
        <f>IFERROR(__xludf.DUMMYFUNCTION("""COMPUTED_VALUE"""),43.3538)</f>
        <v>43.3538</v>
      </c>
      <c r="Y258" s="32">
        <f>IFERROR(__xludf.DUMMYFUNCTION("""COMPUTED_VALUE"""),41.37337)</f>
        <v>41.37337</v>
      </c>
      <c r="Z258" s="32">
        <f>IFERROR(__xludf.DUMMYFUNCTION("""COMPUTED_VALUE"""),52.318351)</f>
        <v>52.318351</v>
      </c>
      <c r="AA258" s="32">
        <f>IFERROR(__xludf.DUMMYFUNCTION("""COMPUTED_VALUE"""),92.8256)</f>
        <v>92.8256</v>
      </c>
      <c r="AB258" s="32">
        <f>IFERROR(__xludf.DUMMYFUNCTION("""COMPUTED_VALUE"""),72.5863)</f>
        <v>72.5863</v>
      </c>
      <c r="AC258" s="32">
        <f>IFERROR(__xludf.DUMMYFUNCTION("""COMPUTED_VALUE"""),19.0706)</f>
        <v>19.0706</v>
      </c>
      <c r="AD258" s="32">
        <f>IFERROR(__xludf.DUMMYFUNCTION("""COMPUTED_VALUE"""),12.2951)</f>
        <v>12.2951</v>
      </c>
      <c r="AE258" s="32">
        <f>IFERROR(__xludf.DUMMYFUNCTION("""COMPUTED_VALUE"""),1.622482)</f>
        <v>1.622482</v>
      </c>
      <c r="AF258" s="32">
        <f>IFERROR(__xludf.DUMMYFUNCTION("""COMPUTED_VALUE"""),3.234716)</f>
        <v>3.234716</v>
      </c>
      <c r="AG258" s="32">
        <f>IFERROR(__xludf.DUMMYFUNCTION("""COMPUTED_VALUE"""),0.1302)</f>
        <v>0.1302</v>
      </c>
      <c r="AH258" s="32">
        <f>IFERROR(__xludf.DUMMYFUNCTION("""COMPUTED_VALUE"""),54.762214)</f>
        <v>54.762214</v>
      </c>
      <c r="AI258" s="32">
        <f>IFERROR(__xludf.DUMMYFUNCTION("""COMPUTED_VALUE"""),9.533908923866983)</f>
        <v>9.533908924</v>
      </c>
      <c r="AJ258" s="32">
        <f>IFERROR(__xludf.DUMMYFUNCTION("""COMPUTED_VALUE"""),85.25396554733935)</f>
        <v>85.25396555</v>
      </c>
      <c r="AK258" s="32">
        <f>IFERROR(__xludf.DUMMYFUNCTION("""COMPUTED_VALUE"""),24.825)</f>
        <v>24.825</v>
      </c>
      <c r="AL258" s="32">
        <f>IFERROR(__xludf.DUMMYFUNCTION("""COMPUTED_VALUE"""),120.8351)</f>
        <v>120.8351</v>
      </c>
      <c r="AM258" s="32">
        <f>IFERROR(__xludf.DUMMYFUNCTION("""COMPUTED_VALUE"""),27.0199)</f>
        <v>27.0199</v>
      </c>
      <c r="AN258" s="32">
        <f>IFERROR(__xludf.DUMMYFUNCTION("""COMPUTED_VALUE"""),10.084577)</f>
        <v>10.084577</v>
      </c>
      <c r="AO258" s="32">
        <f>IFERROR(__xludf.DUMMYFUNCTION("""COMPUTED_VALUE"""),3.0)</f>
        <v>3</v>
      </c>
      <c r="AP258" s="32">
        <f>IFERROR(__xludf.DUMMYFUNCTION("""COMPUTED_VALUE"""),0.08708910891089112)</f>
        <v>0.08708910891</v>
      </c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>
      <c r="A259" s="13" t="str">
        <f>IFERROR(__xludf.DUMMYFUNCTION("""COMPUTED_VALUE"""),"Bajaj Electricals Ltd.")</f>
        <v>Bajaj Electricals Ltd.</v>
      </c>
      <c r="B259" s="30">
        <f>IFERROR(__xludf.DUMMYFUNCTION("""COMPUTED_VALUE"""),500031.0)</f>
        <v>500031</v>
      </c>
      <c r="C259" s="13" t="str">
        <f>IFERROR(__xludf.DUMMYFUNCTION("""COMPUTED_VALUE"""),"BAJAJELEC")</f>
        <v>BAJAJELEC</v>
      </c>
      <c r="D259" s="13" t="str">
        <f>IFERROR(__xludf.DUMMYFUNCTION("""COMPUTED_VALUE"""),"INE193E01025")</f>
        <v>INE193E01025</v>
      </c>
      <c r="E259" s="13" t="str">
        <f>IFERROR(__xludf.DUMMYFUNCTION("""COMPUTED_VALUE"""),"Consumer Discretionary")</f>
        <v>Consumer Discretionary</v>
      </c>
      <c r="F259" s="13" t="str">
        <f>IFERROR(__xludf.DUMMYFUNCTION("""COMPUTED_VALUE"""),"Kitchenware &amp; Appliances")</f>
        <v>Kitchenware &amp; Appliances</v>
      </c>
      <c r="G259" s="31">
        <f>IFERROR(__xludf.DUMMYFUNCTION("""COMPUTED_VALUE"""),44809.0)</f>
        <v>44809</v>
      </c>
      <c r="H259" s="32">
        <f>IFERROR(__xludf.DUMMYFUNCTION("""COMPUTED_VALUE"""),1224.25)</f>
        <v>1224.25</v>
      </c>
      <c r="I259" s="32">
        <f>IFERROR(__xludf.DUMMYFUNCTION("""COMPUTED_VALUE"""),0.163633)</f>
        <v>0.163633</v>
      </c>
      <c r="J259" s="32">
        <f>IFERROR(__xludf.DUMMYFUNCTION("""COMPUTED_VALUE"""),858.55)</f>
        <v>858.55</v>
      </c>
      <c r="K259" s="32">
        <f>IFERROR(__xludf.DUMMYFUNCTION("""COMPUTED_VALUE"""),1588.95)</f>
        <v>1588.95</v>
      </c>
      <c r="L259" s="32">
        <f>IFERROR(__xludf.DUMMYFUNCTION("""COMPUTED_VALUE"""),260.0)</f>
        <v>260</v>
      </c>
      <c r="M259" s="32">
        <f>IFERROR(__xludf.DUMMYFUNCTION("""COMPUTED_VALUE"""),1588.95)</f>
        <v>1588.95</v>
      </c>
      <c r="N259" s="32">
        <f>IFERROR(__xludf.DUMMYFUNCTION("""COMPUTED_VALUE"""),260.0)</f>
        <v>260</v>
      </c>
      <c r="O259" s="32">
        <f>IFERROR(__xludf.DUMMYFUNCTION("""COMPUTED_VALUE"""),1588.95)</f>
        <v>1588.95</v>
      </c>
      <c r="P259" s="32">
        <f>IFERROR(__xludf.DUMMYFUNCTION("""COMPUTED_VALUE"""),1.606625)</f>
        <v>1.606625</v>
      </c>
      <c r="Q259" s="32">
        <f>IFERROR(__xludf.DUMMYFUNCTION("""COMPUTED_VALUE"""),1588.95)</f>
        <v>1588.95</v>
      </c>
      <c r="R259" s="32">
        <f>IFERROR(__xludf.DUMMYFUNCTION("""COMPUTED_VALUE"""),14066.92362665)</f>
        <v>14066.92363</v>
      </c>
      <c r="S259" s="32">
        <f>IFERROR(__xludf.DUMMYFUNCTION("""COMPUTED_VALUE"""),13927.35665868)</f>
        <v>13927.35666</v>
      </c>
      <c r="T259" s="32">
        <f>IFERROR(__xludf.DUMMYFUNCTION("""COMPUTED_VALUE"""),0.020425)</f>
        <v>0.020425</v>
      </c>
      <c r="U259" s="32">
        <f>IFERROR(__xludf.DUMMYFUNCTION("""COMPUTED_VALUE"""),7.206971)</f>
        <v>7.206971</v>
      </c>
      <c r="V259" s="32">
        <f>IFERROR(__xludf.DUMMYFUNCTION("""COMPUTED_VALUE"""),23.699101)</f>
        <v>23.699101</v>
      </c>
      <c r="W259" s="32">
        <f>IFERROR(__xludf.DUMMYFUNCTION("""COMPUTED_VALUE"""),1.703011)</f>
        <v>1.703011</v>
      </c>
      <c r="X259" s="32">
        <f>IFERROR(__xludf.DUMMYFUNCTION("""COMPUTED_VALUE"""),49.237141)</f>
        <v>49.237141</v>
      </c>
      <c r="Y259" s="32">
        <f>IFERROR(__xludf.DUMMYFUNCTION("""COMPUTED_VALUE"""),29.433018)</f>
        <v>29.433018</v>
      </c>
      <c r="Z259" s="32">
        <f>IFERROR(__xludf.DUMMYFUNCTION("""COMPUTED_VALUE"""),21.990829)</f>
        <v>21.990829</v>
      </c>
      <c r="AA259" s="32">
        <f>IFERROR(__xludf.DUMMYFUNCTION("""COMPUTED_VALUE"""),73.1807)</f>
        <v>73.1807</v>
      </c>
      <c r="AB259" s="32">
        <f>IFERROR(__xludf.DUMMYFUNCTION("""COMPUTED_VALUE"""),63.7729)</f>
        <v>63.7729</v>
      </c>
      <c r="AC259" s="32">
        <f>IFERROR(__xludf.DUMMYFUNCTION("""COMPUTED_VALUE"""),8.0364)</f>
        <v>8.0364</v>
      </c>
      <c r="AD259" s="32">
        <f>IFERROR(__xludf.DUMMYFUNCTION("""COMPUTED_VALUE"""),5.54485)</f>
        <v>5.54485</v>
      </c>
      <c r="AE259" s="32">
        <f>IFERROR(__xludf.DUMMYFUNCTION("""COMPUTED_VALUE"""),2.792553)</f>
        <v>2.792553</v>
      </c>
      <c r="AF259" s="32">
        <f>IFERROR(__xludf.DUMMYFUNCTION("""COMPUTED_VALUE"""),24.94586)</f>
        <v>24.94586</v>
      </c>
      <c r="AG259" s="32">
        <f>IFERROR(__xludf.DUMMYFUNCTION("""COMPUTED_VALUE"""),0.2453)</f>
        <v>0.2453</v>
      </c>
      <c r="AH259" s="32">
        <f>IFERROR(__xludf.DUMMYFUNCTION("""COMPUTED_VALUE"""),35.484615)</f>
        <v>35.484615</v>
      </c>
      <c r="AI259" s="32">
        <f>IFERROR(__xludf.DUMMYFUNCTION("""COMPUTED_VALUE"""),2.766498115272364)</f>
        <v>2.766498115</v>
      </c>
      <c r="AJ259" s="32">
        <f>IFERROR(__xludf.DUMMYFUNCTION("""COMPUTED_VALUE"""),15.388180503396532)</f>
        <v>15.3881805</v>
      </c>
      <c r="AK259" s="32">
        <f>IFERROR(__xludf.DUMMYFUNCTION("""COMPUTED_VALUE"""),16.8282)</f>
        <v>16.8282</v>
      </c>
      <c r="AL259" s="32">
        <f>IFERROR(__xludf.DUMMYFUNCTION("""COMPUTED_VALUE"""),153.24)</f>
        <v>153.24</v>
      </c>
      <c r="AM259" s="32">
        <f>IFERROR(__xludf.DUMMYFUNCTION("""COMPUTED_VALUE"""),79.577467)</f>
        <v>79.577467</v>
      </c>
      <c r="AN259" s="32">
        <f>IFERROR(__xludf.DUMMYFUNCTION("""COMPUTED_VALUE"""),68.13655)</f>
        <v>68.13655</v>
      </c>
      <c r="AO259" s="32">
        <f>IFERROR(__xludf.DUMMYFUNCTION("""COMPUTED_VALUE"""),3.0)</f>
        <v>3</v>
      </c>
      <c r="AP259" s="32">
        <f>IFERROR(__xludf.DUMMYFUNCTION("""COMPUTED_VALUE"""),0.22952264073759404)</f>
        <v>0.2295226407</v>
      </c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>
      <c r="A260" s="13" t="str">
        <f>IFERROR(__xludf.DUMMYFUNCTION("""COMPUTED_VALUE"""),"Bharti Airtel Ltd.")</f>
        <v>Bharti Airtel Ltd.</v>
      </c>
      <c r="B260" s="30">
        <f>IFERROR(__xludf.DUMMYFUNCTION("""COMPUTED_VALUE"""),532454.0)</f>
        <v>532454</v>
      </c>
      <c r="C260" s="13" t="str">
        <f>IFERROR(__xludf.DUMMYFUNCTION("""COMPUTED_VALUE"""),"BHARTIARTL")</f>
        <v>BHARTIARTL</v>
      </c>
      <c r="D260" s="13" t="str">
        <f>IFERROR(__xludf.DUMMYFUNCTION("""COMPUTED_VALUE"""),"INE397D01024")</f>
        <v>INE397D01024</v>
      </c>
      <c r="E260" s="13" t="str">
        <f>IFERROR(__xludf.DUMMYFUNCTION("""COMPUTED_VALUE"""),"Communication")</f>
        <v>Communication</v>
      </c>
      <c r="F260" s="13" t="str">
        <f>IFERROR(__xludf.DUMMYFUNCTION("""COMPUTED_VALUE"""),"Telecom Services")</f>
        <v>Telecom Services</v>
      </c>
      <c r="G260" s="31">
        <f>IFERROR(__xludf.DUMMYFUNCTION("""COMPUTED_VALUE"""),44809.0)</f>
        <v>44809</v>
      </c>
      <c r="H260" s="32">
        <f>IFERROR(__xludf.DUMMYFUNCTION("""COMPUTED_VALUE"""),740.4)</f>
        <v>740.4</v>
      </c>
      <c r="I260" s="32">
        <f>IFERROR(__xludf.DUMMYFUNCTION("""COMPUTED_VALUE"""),0.734694)</f>
        <v>0.734694</v>
      </c>
      <c r="J260" s="32">
        <f>IFERROR(__xludf.DUMMYFUNCTION("""COMPUTED_VALUE"""),628.75)</f>
        <v>628.75</v>
      </c>
      <c r="K260" s="32">
        <f>IFERROR(__xludf.DUMMYFUNCTION("""COMPUTED_VALUE"""),792.65)</f>
        <v>792.65</v>
      </c>
      <c r="L260" s="32">
        <f>IFERROR(__xludf.DUMMYFUNCTION("""COMPUTED_VALUE"""),319.354504)</f>
        <v>319.354504</v>
      </c>
      <c r="M260" s="32">
        <f>IFERROR(__xludf.DUMMYFUNCTION("""COMPUTED_VALUE"""),792.65)</f>
        <v>792.65</v>
      </c>
      <c r="N260" s="32">
        <f>IFERROR(__xludf.DUMMYFUNCTION("""COMPUTED_VALUE"""),249.398467)</f>
        <v>249.398467</v>
      </c>
      <c r="O260" s="32">
        <f>IFERROR(__xludf.DUMMYFUNCTION("""COMPUTED_VALUE"""),792.65)</f>
        <v>792.65</v>
      </c>
      <c r="P260" s="32">
        <f>IFERROR(__xludf.DUMMYFUNCTION("""COMPUTED_VALUE"""),9.301207)</f>
        <v>9.301207</v>
      </c>
      <c r="Q260" s="32">
        <f>IFERROR(__xludf.DUMMYFUNCTION("""COMPUTED_VALUE"""),792.65)</f>
        <v>792.65</v>
      </c>
      <c r="R260" s="32">
        <f>IFERROR(__xludf.DUMMYFUNCTION("""COMPUTED_VALUE"""),441244.42582607997)</f>
        <v>441244.4258</v>
      </c>
      <c r="S260" s="32">
        <f>IFERROR(__xludf.DUMMYFUNCTION("""COMPUTED_VALUE"""),556081.02625608)</f>
        <v>556081.0263</v>
      </c>
      <c r="T260" s="32">
        <f>IFERROR(__xludf.DUMMYFUNCTION("""COMPUTED_VALUE"""),1.306698)</f>
        <v>1.306698</v>
      </c>
      <c r="U260" s="32">
        <f>IFERROR(__xludf.DUMMYFUNCTION("""COMPUTED_VALUE"""),6.639781)</f>
        <v>6.639781</v>
      </c>
      <c r="V260" s="32">
        <f>IFERROR(__xludf.DUMMYFUNCTION("""COMPUTED_VALUE"""),7.85142)</f>
        <v>7.85142</v>
      </c>
      <c r="W260" s="32">
        <f>IFERROR(__xludf.DUMMYFUNCTION("""COMPUTED_VALUE"""),14.609748)</f>
        <v>14.609748</v>
      </c>
      <c r="X260" s="32">
        <f>IFERROR(__xludf.DUMMYFUNCTION("""COMPUTED_VALUE"""),29.722405)</f>
        <v>29.722405</v>
      </c>
      <c r="Y260" s="32">
        <f>IFERROR(__xludf.DUMMYFUNCTION("""COMPUTED_VALUE"""),14.567461)</f>
        <v>14.567461</v>
      </c>
      <c r="Z260" s="32">
        <f>IFERROR(__xludf.DUMMYFUNCTION("""COMPUTED_VALUE"""),12.649992)</f>
        <v>12.649992</v>
      </c>
      <c r="AA260" s="32">
        <f>IFERROR(__xludf.DUMMYFUNCTION("""COMPUTED_VALUE"""),79.1002)</f>
        <v>79.1002</v>
      </c>
      <c r="AB260" s="32">
        <f>IFERROR(__xludf.DUMMYFUNCTION("""COMPUTED_VALUE"""),143.2145)</f>
        <v>143.2145</v>
      </c>
      <c r="AC260" s="32">
        <f>IFERROR(__xludf.DUMMYFUNCTION("""COMPUTED_VALUE"""),5.9521)</f>
        <v>5.9521</v>
      </c>
      <c r="AD260" s="32">
        <f>IFERROR(__xludf.DUMMYFUNCTION("""COMPUTED_VALUE"""),3.50605)</f>
        <v>3.50605</v>
      </c>
      <c r="AE260" s="32">
        <f>IFERROR(__xludf.DUMMYFUNCTION("""COMPUTED_VALUE"""),4.994255)</f>
        <v>4.994255</v>
      </c>
      <c r="AF260" s="32">
        <f>IFERROR(__xludf.DUMMYFUNCTION("""COMPUTED_VALUE"""),2.878415)</f>
        <v>2.878415</v>
      </c>
      <c r="AG260" s="32">
        <f>IFERROR(__xludf.DUMMYFUNCTION("""COMPUTED_VALUE"""),0.405)</f>
        <v>0.405</v>
      </c>
      <c r="AH260" s="32">
        <f>IFERROR(__xludf.DUMMYFUNCTION("""COMPUTED_VALUE"""),9.027333)</f>
        <v>9.027333</v>
      </c>
      <c r="AI260" s="32">
        <f>IFERROR(__xludf.DUMMYFUNCTION("""COMPUTED_VALUE"""),3.6020570624156005)</f>
        <v>3.602057062</v>
      </c>
      <c r="AJ260" s="32">
        <f>IFERROR(__xludf.DUMMYFUNCTION("""COMPUTED_VALUE"""),8.020205280335025)</f>
        <v>8.02020528</v>
      </c>
      <c r="AK260" s="32">
        <f>IFERROR(__xludf.DUMMYFUNCTION("""COMPUTED_VALUE"""),9.3666)</f>
        <v>9.3666</v>
      </c>
      <c r="AL260" s="32">
        <f>IFERROR(__xludf.DUMMYFUNCTION("""COMPUTED_VALUE"""),124.4773)</f>
        <v>124.4773</v>
      </c>
      <c r="AM260" s="32">
        <f>IFERROR(__xludf.DUMMYFUNCTION("""COMPUTED_VALUE"""),98.419678)</f>
        <v>98.419678</v>
      </c>
      <c r="AN260" s="32">
        <f>IFERROR(__xludf.DUMMYFUNCTION("""COMPUTED_VALUE"""),18.113775)</f>
        <v>18.113775</v>
      </c>
      <c r="AO260" s="32">
        <f>IFERROR(__xludf.DUMMYFUNCTION("""COMPUTED_VALUE"""),3.0)</f>
        <v>3</v>
      </c>
      <c r="AP260" s="32">
        <f>IFERROR(__xludf.DUMMYFUNCTION("""COMPUTED_VALUE"""),0.06591812275279127)</f>
        <v>0.06591812275</v>
      </c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>
      <c r="A261" s="13" t="str">
        <f>IFERROR(__xludf.DUMMYFUNCTION("""COMPUTED_VALUE"""),"Can Fin Homes Ltd.")</f>
        <v>Can Fin Homes Ltd.</v>
      </c>
      <c r="B261" s="30">
        <f>IFERROR(__xludf.DUMMYFUNCTION("""COMPUTED_VALUE"""),511196.0)</f>
        <v>511196</v>
      </c>
      <c r="C261" s="13" t="str">
        <f>IFERROR(__xludf.DUMMYFUNCTION("""COMPUTED_VALUE"""),"CANFINHOME")</f>
        <v>CANFINHOME</v>
      </c>
      <c r="D261" s="13" t="str">
        <f>IFERROR(__xludf.DUMMYFUNCTION("""COMPUTED_VALUE"""),"INE477A01020")</f>
        <v>INE477A01020</v>
      </c>
      <c r="E261" s="13" t="str">
        <f>IFERROR(__xludf.DUMMYFUNCTION("""COMPUTED_VALUE"""),"Financial")</f>
        <v>Financial</v>
      </c>
      <c r="F261" s="13" t="str">
        <f>IFERROR(__xludf.DUMMYFUNCTION("""COMPUTED_VALUE"""),"Housing Finance")</f>
        <v>Housing Finance</v>
      </c>
      <c r="G261" s="31">
        <f>IFERROR(__xludf.DUMMYFUNCTION("""COMPUTED_VALUE"""),44809.0)</f>
        <v>44809</v>
      </c>
      <c r="H261" s="32">
        <f>IFERROR(__xludf.DUMMYFUNCTION("""COMPUTED_VALUE"""),638.6)</f>
        <v>638.6</v>
      </c>
      <c r="I261" s="32">
        <f>IFERROR(__xludf.DUMMYFUNCTION("""COMPUTED_VALUE"""),0.424595)</f>
        <v>0.424595</v>
      </c>
      <c r="J261" s="32">
        <f>IFERROR(__xludf.DUMMYFUNCTION("""COMPUTED_VALUE"""),406.65)</f>
        <v>406.65</v>
      </c>
      <c r="K261" s="32">
        <f>IFERROR(__xludf.DUMMYFUNCTION("""COMPUTED_VALUE"""),722.0)</f>
        <v>722</v>
      </c>
      <c r="L261" s="32">
        <f>IFERROR(__xludf.DUMMYFUNCTION("""COMPUTED_VALUE"""),253.3)</f>
        <v>253.3</v>
      </c>
      <c r="M261" s="32">
        <f>IFERROR(__xludf.DUMMYFUNCTION("""COMPUTED_VALUE"""),722.0)</f>
        <v>722</v>
      </c>
      <c r="N261" s="32">
        <f>IFERROR(__xludf.DUMMYFUNCTION("""COMPUTED_VALUE"""),216.5)</f>
        <v>216.5</v>
      </c>
      <c r="O261" s="32">
        <f>IFERROR(__xludf.DUMMYFUNCTION("""COMPUTED_VALUE"""),722.0)</f>
        <v>722</v>
      </c>
      <c r="P261" s="32">
        <f>IFERROR(__xludf.DUMMYFUNCTION("""COMPUTED_VALUE"""),2.764812)</f>
        <v>2.764812</v>
      </c>
      <c r="Q261" s="32">
        <f>IFERROR(__xludf.DUMMYFUNCTION("""COMPUTED_VALUE"""),722.0)</f>
        <v>722</v>
      </c>
      <c r="R261" s="32">
        <f>IFERROR(__xludf.DUMMYFUNCTION("""COMPUTED_VALUE"""),8499.893569375)</f>
        <v>8499.893569</v>
      </c>
      <c r="S261" s="32">
        <f>IFERROR(__xludf.DUMMYFUNCTION("""COMPUTED_VALUE"""),32788.871396875)</f>
        <v>32788.8714</v>
      </c>
      <c r="T261" s="32">
        <f>IFERROR(__xludf.DUMMYFUNCTION("""COMPUTED_VALUE"""),0.251177)</f>
        <v>0.251177</v>
      </c>
      <c r="U261" s="32">
        <f>IFERROR(__xludf.DUMMYFUNCTION("""COMPUTED_VALUE"""),10.093957)</f>
        <v>10.093957</v>
      </c>
      <c r="V261" s="32">
        <f>IFERROR(__xludf.DUMMYFUNCTION("""COMPUTED_VALUE"""),36.031526)</f>
        <v>36.031526</v>
      </c>
      <c r="W261" s="32">
        <f>IFERROR(__xludf.DUMMYFUNCTION("""COMPUTED_VALUE"""),8.966812)</f>
        <v>8.966812</v>
      </c>
      <c r="X261" s="32">
        <f>IFERROR(__xludf.DUMMYFUNCTION("""COMPUTED_VALUE"""),16.719944)</f>
        <v>16.719944</v>
      </c>
      <c r="Y261" s="32">
        <f>IFERROR(__xludf.DUMMYFUNCTION("""COMPUTED_VALUE"""),2.51233)</f>
        <v>2.51233</v>
      </c>
      <c r="Z261" s="32">
        <f>IFERROR(__xludf.DUMMYFUNCTION("""COMPUTED_VALUE"""),42.114021)</f>
        <v>42.114021</v>
      </c>
      <c r="AA261" s="32">
        <f>IFERROR(__xludf.DUMMYFUNCTION("""COMPUTED_VALUE"""),16.2067)</f>
        <v>16.2067</v>
      </c>
      <c r="AB261" s="32">
        <f>IFERROR(__xludf.DUMMYFUNCTION("""COMPUTED_VALUE"""),15.535)</f>
        <v>15.535</v>
      </c>
      <c r="AC261" s="32">
        <f>IFERROR(__xludf.DUMMYFUNCTION("""COMPUTED_VALUE"""),2.6325)</f>
        <v>2.6325</v>
      </c>
      <c r="AD261" s="32">
        <f>IFERROR(__xludf.DUMMYFUNCTION("""COMPUTED_VALUE"""),2.7217)</f>
        <v>2.7217</v>
      </c>
      <c r="AE261" s="32">
        <f>IFERROR(__xludf.DUMMYFUNCTION("""COMPUTED_VALUE"""),5.971089)</f>
        <v>5.971089</v>
      </c>
      <c r="AF261" s="32">
        <f>IFERROR(__xludf.DUMMYFUNCTION("""COMPUTED_VALUE"""),1.045463)</f>
        <v>1.045463</v>
      </c>
      <c r="AG261" s="32">
        <f>IFERROR(__xludf.DUMMYFUNCTION("""COMPUTED_VALUE"""),0.47)</f>
        <v>0.47</v>
      </c>
      <c r="AH261" s="32">
        <f>IFERROR(__xludf.DUMMYFUNCTION("""COMPUTED_VALUE"""),16.738282)</f>
        <v>16.738282</v>
      </c>
      <c r="AI261" s="32">
        <f>IFERROR(__xludf.DUMMYFUNCTION("""COMPUTED_VALUE"""),3.956677824346907)</f>
        <v>3.956677824</v>
      </c>
      <c r="AJ261" s="32">
        <f>IFERROR(__xludf.DUMMYFUNCTION("""COMPUTED_VALUE"""),-2.170385618613736)</f>
        <v>-2.170385619</v>
      </c>
      <c r="AK261" s="32">
        <f>IFERROR(__xludf.DUMMYFUNCTION("""COMPUTED_VALUE"""),39.3881)</f>
        <v>39.3881</v>
      </c>
      <c r="AL261" s="32">
        <f>IFERROR(__xludf.DUMMYFUNCTION("""COMPUTED_VALUE"""),242.4883)</f>
        <v>242.4883</v>
      </c>
      <c r="AM261" s="32">
        <f>IFERROR(__xludf.DUMMYFUNCTION("""COMPUTED_VALUE"""),-294.118517)</f>
        <v>-294.118517</v>
      </c>
      <c r="AN261" s="32">
        <f>IFERROR(__xludf.DUMMYFUNCTION("""COMPUTED_VALUE"""),-307.517596)</f>
        <v>-307.517596</v>
      </c>
      <c r="AO261" s="32">
        <f>IFERROR(__xludf.DUMMYFUNCTION("""COMPUTED_VALUE"""),3.0)</f>
        <v>3</v>
      </c>
      <c r="AP261" s="32">
        <f>IFERROR(__xludf.DUMMYFUNCTION("""COMPUTED_VALUE"""),0.11551246537396119)</f>
        <v>0.1155124654</v>
      </c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>
      <c r="A262" s="13" t="str">
        <f>IFERROR(__xludf.DUMMYFUNCTION("""COMPUTED_VALUE"""),"Caplin Point Laboratories Ltd.")</f>
        <v>Caplin Point Laboratories Ltd.</v>
      </c>
      <c r="B262" s="30">
        <f>IFERROR(__xludf.DUMMYFUNCTION("""COMPUTED_VALUE"""),524742.0)</f>
        <v>524742</v>
      </c>
      <c r="C262" s="13" t="str">
        <f>IFERROR(__xludf.DUMMYFUNCTION("""COMPUTED_VALUE"""),"CAPLIPOINT")</f>
        <v>CAPLIPOINT</v>
      </c>
      <c r="D262" s="13" t="str">
        <f>IFERROR(__xludf.DUMMYFUNCTION("""COMPUTED_VALUE"""),"INE475E01026")</f>
        <v>INE475E01026</v>
      </c>
      <c r="E262" s="13" t="str">
        <f>IFERROR(__xludf.DUMMYFUNCTION("""COMPUTED_VALUE"""),"Healthcare")</f>
        <v>Healthcare</v>
      </c>
      <c r="F262" s="13" t="str">
        <f>IFERROR(__xludf.DUMMYFUNCTION("""COMPUTED_VALUE"""),"Drugs &amp; Pharma")</f>
        <v>Drugs &amp; Pharma</v>
      </c>
      <c r="G262" s="31">
        <f>IFERROR(__xludf.DUMMYFUNCTION("""COMPUTED_VALUE"""),44809.0)</f>
        <v>44809</v>
      </c>
      <c r="H262" s="32">
        <f>IFERROR(__xludf.DUMMYFUNCTION("""COMPUTED_VALUE"""),775.0)</f>
        <v>775</v>
      </c>
      <c r="I262" s="32">
        <f>IFERROR(__xludf.DUMMYFUNCTION("""COMPUTED_VALUE"""),0.278191)</f>
        <v>0.278191</v>
      </c>
      <c r="J262" s="32">
        <f>IFERROR(__xludf.DUMMYFUNCTION("""COMPUTED_VALUE"""),626.0)</f>
        <v>626</v>
      </c>
      <c r="K262" s="32">
        <f>IFERROR(__xludf.DUMMYFUNCTION("""COMPUTED_VALUE"""),1008.4)</f>
        <v>1008.4</v>
      </c>
      <c r="L262" s="32">
        <f>IFERROR(__xludf.DUMMYFUNCTION("""COMPUTED_VALUE"""),176.2)</f>
        <v>176.2</v>
      </c>
      <c r="M262" s="32">
        <f>IFERROR(__xludf.DUMMYFUNCTION("""COMPUTED_VALUE"""),1034.8)</f>
        <v>1034.8</v>
      </c>
      <c r="N262" s="32">
        <f>IFERROR(__xludf.DUMMYFUNCTION("""COMPUTED_VALUE"""),176.2)</f>
        <v>176.2</v>
      </c>
      <c r="O262" s="32">
        <f>IFERROR(__xludf.DUMMYFUNCTION("""COMPUTED_VALUE"""),1034.8)</f>
        <v>1034.8</v>
      </c>
      <c r="P262" s="32">
        <f>IFERROR(__xludf.DUMMYFUNCTION("""COMPUTED_VALUE"""),0.18)</f>
        <v>0.18</v>
      </c>
      <c r="Q262" s="32">
        <f>IFERROR(__xludf.DUMMYFUNCTION("""COMPUTED_VALUE"""),1034.8)</f>
        <v>1034.8</v>
      </c>
      <c r="R262" s="32">
        <f>IFERROR(__xludf.DUMMYFUNCTION("""COMPUTED_VALUE"""),5874.542005)</f>
        <v>5874.542005</v>
      </c>
      <c r="S262" s="32">
        <f>IFERROR(__xludf.DUMMYFUNCTION("""COMPUTED_VALUE"""),5412.78074267)</f>
        <v>5412.780743</v>
      </c>
      <c r="T262" s="32">
        <f>IFERROR(__xludf.DUMMYFUNCTION("""COMPUTED_VALUE"""),1.472995)</f>
        <v>1.472995</v>
      </c>
      <c r="U262" s="32">
        <f>IFERROR(__xludf.DUMMYFUNCTION("""COMPUTED_VALUE"""),-4.972105)</f>
        <v>-4.972105</v>
      </c>
      <c r="V262" s="32">
        <f>IFERROR(__xludf.DUMMYFUNCTION("""COMPUTED_VALUE"""),2.040816)</f>
        <v>2.040816</v>
      </c>
      <c r="W262" s="32">
        <f>IFERROR(__xludf.DUMMYFUNCTION("""COMPUTED_VALUE"""),4.715579)</f>
        <v>4.715579</v>
      </c>
      <c r="X262" s="32">
        <f>IFERROR(__xludf.DUMMYFUNCTION("""COMPUTED_VALUE"""),22.80105)</f>
        <v>22.80105</v>
      </c>
      <c r="Y262" s="32">
        <f>IFERROR(__xludf.DUMMYFUNCTION("""COMPUTED_VALUE"""),3.642681)</f>
        <v>3.642681</v>
      </c>
      <c r="Z262" s="13"/>
      <c r="AA262" s="32">
        <f>IFERROR(__xludf.DUMMYFUNCTION("""COMPUTED_VALUE"""),18.7341)</f>
        <v>18.7341</v>
      </c>
      <c r="AB262" s="32">
        <f>IFERROR(__xludf.DUMMYFUNCTION("""COMPUTED_VALUE"""),18.7347)</f>
        <v>18.7347</v>
      </c>
      <c r="AC262" s="32">
        <f>IFERROR(__xludf.DUMMYFUNCTION("""COMPUTED_VALUE"""),3.746)</f>
        <v>3.746</v>
      </c>
      <c r="AD262" s="32">
        <f>IFERROR(__xludf.DUMMYFUNCTION("""COMPUTED_VALUE"""),4.51615)</f>
        <v>4.51615</v>
      </c>
      <c r="AE262" s="32">
        <f>IFERROR(__xludf.DUMMYFUNCTION("""COMPUTED_VALUE"""),8.214889)</f>
        <v>8.214889</v>
      </c>
      <c r="AF262" s="32">
        <f>IFERROR(__xludf.DUMMYFUNCTION("""COMPUTED_VALUE"""),0.822365)</f>
        <v>0.822365</v>
      </c>
      <c r="AG262" s="32">
        <f>IFERROR(__xludf.DUMMYFUNCTION("""COMPUTED_VALUE"""),0.258)</f>
        <v>0.258</v>
      </c>
      <c r="AH262" s="32">
        <f>IFERROR(__xludf.DUMMYFUNCTION("""COMPUTED_VALUE"""),12.089386)</f>
        <v>12.089386</v>
      </c>
      <c r="AI262" s="32">
        <f>IFERROR(__xludf.DUMMYFUNCTION("""COMPUTED_VALUE"""),4.4663133923819665)</f>
        <v>4.466313392</v>
      </c>
      <c r="AJ262" s="32">
        <f>IFERROR(__xludf.DUMMYFUNCTION("""COMPUTED_VALUE"""),22.103648816186777)</f>
        <v>22.10364882</v>
      </c>
      <c r="AK262" s="32">
        <f>IFERROR(__xludf.DUMMYFUNCTION("""COMPUTED_VALUE"""),41.4219)</f>
        <v>41.4219</v>
      </c>
      <c r="AL262" s="32">
        <f>IFERROR(__xludf.DUMMYFUNCTION("""COMPUTED_VALUE"""),207.1542)</f>
        <v>207.1542</v>
      </c>
      <c r="AM262" s="32">
        <f>IFERROR(__xludf.DUMMYFUNCTION("""COMPUTED_VALUE"""),35.135108)</f>
        <v>35.135108</v>
      </c>
      <c r="AN262" s="32">
        <f>IFERROR(__xludf.DUMMYFUNCTION("""COMPUTED_VALUE"""),28.174068)</f>
        <v>28.174068</v>
      </c>
      <c r="AO262" s="32">
        <f>IFERROR(__xludf.DUMMYFUNCTION("""COMPUTED_VALUE"""),3.0)</f>
        <v>3</v>
      </c>
      <c r="AP262" s="32">
        <f>IFERROR(__xludf.DUMMYFUNCTION("""COMPUTED_VALUE"""),0.23145577151923838)</f>
        <v>0.2314557715</v>
      </c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>
      <c r="A263" s="13" t="str">
        <f>IFERROR(__xludf.DUMMYFUNCTION("""COMPUTED_VALUE"""),"Ceat Ltd.")</f>
        <v>Ceat Ltd.</v>
      </c>
      <c r="B263" s="30">
        <f>IFERROR(__xludf.DUMMYFUNCTION("""COMPUTED_VALUE"""),500878.0)</f>
        <v>500878</v>
      </c>
      <c r="C263" s="13" t="str">
        <f>IFERROR(__xludf.DUMMYFUNCTION("""COMPUTED_VALUE"""),"CEATLTD")</f>
        <v>CEATLTD</v>
      </c>
      <c r="D263" s="13" t="str">
        <f>IFERROR(__xludf.DUMMYFUNCTION("""COMPUTED_VALUE"""),"INE482A01020")</f>
        <v>INE482A01020</v>
      </c>
      <c r="E263" s="13" t="str">
        <f>IFERROR(__xludf.DUMMYFUNCTION("""COMPUTED_VALUE"""),"Automobile")</f>
        <v>Automobile</v>
      </c>
      <c r="F263" s="13" t="str">
        <f>IFERROR(__xludf.DUMMYFUNCTION("""COMPUTED_VALUE"""),"Tyres &amp; Tubes")</f>
        <v>Tyres &amp; Tubes</v>
      </c>
      <c r="G263" s="31">
        <f>IFERROR(__xludf.DUMMYFUNCTION("""COMPUTED_VALUE"""),44809.0)</f>
        <v>44809</v>
      </c>
      <c r="H263" s="32">
        <f>IFERROR(__xludf.DUMMYFUNCTION("""COMPUTED_VALUE"""),1388.9)</f>
        <v>1388.9</v>
      </c>
      <c r="I263" s="32">
        <f>IFERROR(__xludf.DUMMYFUNCTION("""COMPUTED_VALUE"""),-1.979604)</f>
        <v>-1.979604</v>
      </c>
      <c r="J263" s="32">
        <f>IFERROR(__xludf.DUMMYFUNCTION("""COMPUTED_VALUE"""),890.0)</f>
        <v>890</v>
      </c>
      <c r="K263" s="32">
        <f>IFERROR(__xludf.DUMMYFUNCTION("""COMPUTED_VALUE"""),1435.0)</f>
        <v>1435</v>
      </c>
      <c r="L263" s="32">
        <f>IFERROR(__xludf.DUMMYFUNCTION("""COMPUTED_VALUE"""),600.0)</f>
        <v>600</v>
      </c>
      <c r="M263" s="32">
        <f>IFERROR(__xludf.DUMMYFUNCTION("""COMPUTED_VALUE"""),1763.15)</f>
        <v>1763.15</v>
      </c>
      <c r="N263" s="32">
        <f>IFERROR(__xludf.DUMMYFUNCTION("""COMPUTED_VALUE"""),600.0)</f>
        <v>600</v>
      </c>
      <c r="O263" s="32">
        <f>IFERROR(__xludf.DUMMYFUNCTION("""COMPUTED_VALUE"""),2030.0)</f>
        <v>2030</v>
      </c>
      <c r="P263" s="32">
        <f>IFERROR(__xludf.DUMMYFUNCTION("""COMPUTED_VALUE"""),13.424869)</f>
        <v>13.424869</v>
      </c>
      <c r="Q263" s="32">
        <f>IFERROR(__xludf.DUMMYFUNCTION("""COMPUTED_VALUE"""),2030.0)</f>
        <v>2030</v>
      </c>
      <c r="R263" s="32">
        <f>IFERROR(__xludf.DUMMYFUNCTION("""COMPUTED_VALUE"""),5618.11327788)</f>
        <v>5618.113278</v>
      </c>
      <c r="S263" s="32">
        <f>IFERROR(__xludf.DUMMYFUNCTION("""COMPUTED_VALUE"""),7778.69725558)</f>
        <v>7778.697256</v>
      </c>
      <c r="T263" s="32">
        <f>IFERROR(__xludf.DUMMYFUNCTION("""COMPUTED_VALUE"""),0.626698)</f>
        <v>0.626698</v>
      </c>
      <c r="U263" s="32">
        <f>IFERROR(__xludf.DUMMYFUNCTION("""COMPUTED_VALUE"""),4.913699)</f>
        <v>4.913699</v>
      </c>
      <c r="V263" s="32">
        <f>IFERROR(__xludf.DUMMYFUNCTION("""COMPUTED_VALUE"""),36.783534)</f>
        <v>36.783534</v>
      </c>
      <c r="W263" s="32">
        <f>IFERROR(__xludf.DUMMYFUNCTION("""COMPUTED_VALUE"""),5.94607)</f>
        <v>5.94607</v>
      </c>
      <c r="X263" s="32">
        <f>IFERROR(__xludf.DUMMYFUNCTION("""COMPUTED_VALUE"""),15.796885)</f>
        <v>15.796885</v>
      </c>
      <c r="Y263" s="32">
        <f>IFERROR(__xludf.DUMMYFUNCTION("""COMPUTED_VALUE"""),-4.022045)</f>
        <v>-4.022045</v>
      </c>
      <c r="Z263" s="32">
        <f>IFERROR(__xludf.DUMMYFUNCTION("""COMPUTED_VALUE"""),28.903953)</f>
        <v>28.903953</v>
      </c>
      <c r="AA263" s="32">
        <f>IFERROR(__xludf.DUMMYFUNCTION("""COMPUTED_VALUE"""),99.2198)</f>
        <v>99.2198</v>
      </c>
      <c r="AB263" s="32">
        <f>IFERROR(__xludf.DUMMYFUNCTION("""COMPUTED_VALUE"""),17.12145)</f>
        <v>17.12145</v>
      </c>
      <c r="AC263" s="32">
        <f>IFERROR(__xludf.DUMMYFUNCTION("""COMPUTED_VALUE"""),1.7106)</f>
        <v>1.7106</v>
      </c>
      <c r="AD263" s="32">
        <f>IFERROR(__xludf.DUMMYFUNCTION("""COMPUTED_VALUE"""),1.53295)</f>
        <v>1.53295</v>
      </c>
      <c r="AE263" s="32">
        <f>IFERROR(__xludf.DUMMYFUNCTION("""COMPUTED_VALUE"""),3.659529)</f>
        <v>3.659529</v>
      </c>
      <c r="AF263" s="32">
        <f>IFERROR(__xludf.DUMMYFUNCTION("""COMPUTED_VALUE"""),-2.875425)</f>
        <v>-2.875425</v>
      </c>
      <c r="AG263" s="32">
        <f>IFERROR(__xludf.DUMMYFUNCTION("""COMPUTED_VALUE"""),0.2166)</f>
        <v>0.2166</v>
      </c>
      <c r="AH263" s="32">
        <f>IFERROR(__xludf.DUMMYFUNCTION("""COMPUTED_VALUE"""),10.816215)</f>
        <v>10.816215</v>
      </c>
      <c r="AI263" s="32">
        <f>IFERROR(__xludf.DUMMYFUNCTION("""COMPUTED_VALUE"""),0.54675373006209)</f>
        <v>0.5467537301</v>
      </c>
      <c r="AJ263" s="32">
        <f>IFERROR(__xludf.DUMMYFUNCTION("""COMPUTED_VALUE"""),9.077725085039345)</f>
        <v>9.077725085</v>
      </c>
      <c r="AK263" s="32">
        <f>IFERROR(__xludf.DUMMYFUNCTION("""COMPUTED_VALUE"""),13.9604)</f>
        <v>13.9604</v>
      </c>
      <c r="AL263" s="32">
        <f>IFERROR(__xludf.DUMMYFUNCTION("""COMPUTED_VALUE"""),809.7411)</f>
        <v>809.7411</v>
      </c>
      <c r="AM263" s="32">
        <f>IFERROR(__xludf.DUMMYFUNCTION("""COMPUTED_VALUE"""),153.001236)</f>
        <v>153.001236</v>
      </c>
      <c r="AN263" s="32">
        <f>IFERROR(__xludf.DUMMYFUNCTION("""COMPUTED_VALUE"""),-137.268232)</f>
        <v>-137.268232</v>
      </c>
      <c r="AO263" s="32">
        <f>IFERROR(__xludf.DUMMYFUNCTION("""COMPUTED_VALUE"""),3.0)</f>
        <v>3</v>
      </c>
      <c r="AP263" s="32">
        <f>IFERROR(__xludf.DUMMYFUNCTION("""COMPUTED_VALUE"""),0.03212543554006962)</f>
        <v>0.03212543554</v>
      </c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>
      <c r="A264" s="13" t="str">
        <f>IFERROR(__xludf.DUMMYFUNCTION("""COMPUTED_VALUE"""),"DLF Ltd.")</f>
        <v>DLF Ltd.</v>
      </c>
      <c r="B264" s="30">
        <f>IFERROR(__xludf.DUMMYFUNCTION("""COMPUTED_VALUE"""),532868.0)</f>
        <v>532868</v>
      </c>
      <c r="C264" s="13" t="str">
        <f>IFERROR(__xludf.DUMMYFUNCTION("""COMPUTED_VALUE"""),"DLF")</f>
        <v>DLF</v>
      </c>
      <c r="D264" s="13" t="str">
        <f>IFERROR(__xludf.DUMMYFUNCTION("""COMPUTED_VALUE"""),"INE271C01023")</f>
        <v>INE271C01023</v>
      </c>
      <c r="E264" s="13" t="str">
        <f>IFERROR(__xludf.DUMMYFUNCTION("""COMPUTED_VALUE"""),"Construction")</f>
        <v>Construction</v>
      </c>
      <c r="F264" s="13" t="str">
        <f>IFERROR(__xludf.DUMMYFUNCTION("""COMPUTED_VALUE"""),"Real Estate")</f>
        <v>Real Estate</v>
      </c>
      <c r="G264" s="31">
        <f>IFERROR(__xludf.DUMMYFUNCTION("""COMPUTED_VALUE"""),44809.0)</f>
        <v>44809</v>
      </c>
      <c r="H264" s="32">
        <f>IFERROR(__xludf.DUMMYFUNCTION("""COMPUTED_VALUE"""),394.1)</f>
        <v>394.1</v>
      </c>
      <c r="I264" s="32">
        <f>IFERROR(__xludf.DUMMYFUNCTION("""COMPUTED_VALUE"""),-0.227848)</f>
        <v>-0.227848</v>
      </c>
      <c r="J264" s="32">
        <f>IFERROR(__xludf.DUMMYFUNCTION("""COMPUTED_VALUE"""),294.7)</f>
        <v>294.7</v>
      </c>
      <c r="K264" s="32">
        <f>IFERROR(__xludf.DUMMYFUNCTION("""COMPUTED_VALUE"""),449.8)</f>
        <v>449.8</v>
      </c>
      <c r="L264" s="32">
        <f>IFERROR(__xludf.DUMMYFUNCTION("""COMPUTED_VALUE"""),114.5)</f>
        <v>114.5</v>
      </c>
      <c r="M264" s="32">
        <f>IFERROR(__xludf.DUMMYFUNCTION("""COMPUTED_VALUE"""),449.8)</f>
        <v>449.8</v>
      </c>
      <c r="N264" s="32">
        <f>IFERROR(__xludf.DUMMYFUNCTION("""COMPUTED_VALUE"""),114.5)</f>
        <v>114.5</v>
      </c>
      <c r="O264" s="32">
        <f>IFERROR(__xludf.DUMMYFUNCTION("""COMPUTED_VALUE"""),449.8)</f>
        <v>449.8</v>
      </c>
      <c r="P264" s="32">
        <f>IFERROR(__xludf.DUMMYFUNCTION("""COMPUTED_VALUE"""),72.35)</f>
        <v>72.35</v>
      </c>
      <c r="Q264" s="32">
        <f>IFERROR(__xludf.DUMMYFUNCTION("""COMPUTED_VALUE"""),1225.0)</f>
        <v>1225</v>
      </c>
      <c r="R264" s="32">
        <f>IFERROR(__xludf.DUMMYFUNCTION("""COMPUTED_VALUE"""),97737.68271141002)</f>
        <v>97737.68271</v>
      </c>
      <c r="S264" s="32">
        <f>IFERROR(__xludf.DUMMYFUNCTION("""COMPUTED_VALUE"""),100535.36676994)</f>
        <v>100535.3668</v>
      </c>
      <c r="T264" s="32">
        <f>IFERROR(__xludf.DUMMYFUNCTION("""COMPUTED_VALUE"""),3.710526)</f>
        <v>3.710526</v>
      </c>
      <c r="U264" s="32">
        <f>IFERROR(__xludf.DUMMYFUNCTION("""COMPUTED_VALUE"""),7.208923)</f>
        <v>7.208923</v>
      </c>
      <c r="V264" s="32">
        <f>IFERROR(__xludf.DUMMYFUNCTION("""COMPUTED_VALUE"""),19.189475)</f>
        <v>19.189475</v>
      </c>
      <c r="W264" s="32">
        <f>IFERROR(__xludf.DUMMYFUNCTION("""COMPUTED_VALUE"""),14.663951)</f>
        <v>14.663951</v>
      </c>
      <c r="X264" s="32">
        <f>IFERROR(__xludf.DUMMYFUNCTION("""COMPUTED_VALUE"""),33.956874)</f>
        <v>33.956874</v>
      </c>
      <c r="Y264" s="32">
        <f>IFERROR(__xludf.DUMMYFUNCTION("""COMPUTED_VALUE"""),15.955063)</f>
        <v>15.955063</v>
      </c>
      <c r="Z264" s="32">
        <f>IFERROR(__xludf.DUMMYFUNCTION("""COMPUTED_VALUE"""),7.169191)</f>
        <v>7.169191</v>
      </c>
      <c r="AA264" s="32">
        <f>IFERROR(__xludf.DUMMYFUNCTION("""COMPUTED_VALUE"""),59.8395)</f>
        <v>59.8395</v>
      </c>
      <c r="AB264" s="32">
        <f>IFERROR(__xludf.DUMMYFUNCTION("""COMPUTED_VALUE"""),31.036)</f>
        <v>31.036</v>
      </c>
      <c r="AC264" s="32">
        <f>IFERROR(__xludf.DUMMYFUNCTION("""COMPUTED_VALUE"""),2.6689)</f>
        <v>2.6689</v>
      </c>
      <c r="AD264" s="32">
        <f>IFERROR(__xludf.DUMMYFUNCTION("""COMPUTED_VALUE"""),1.3691)</f>
        <v>1.3691</v>
      </c>
      <c r="AE264" s="32">
        <f>IFERROR(__xludf.DUMMYFUNCTION("""COMPUTED_VALUE"""),2.384201)</f>
        <v>2.384201</v>
      </c>
      <c r="AF264" s="32">
        <f>IFERROR(__xludf.DUMMYFUNCTION("""COMPUTED_VALUE"""),8.439228)</f>
        <v>8.439228</v>
      </c>
      <c r="AG264" s="32">
        <f>IFERROR(__xludf.DUMMYFUNCTION("""COMPUTED_VALUE"""),0.7616)</f>
        <v>0.7616</v>
      </c>
      <c r="AH264" s="32">
        <f>IFERROR(__xludf.DUMMYFUNCTION("""COMPUTED_VALUE"""),46.692226)</f>
        <v>46.692226</v>
      </c>
      <c r="AI264" s="32">
        <f>IFERROR(__xludf.DUMMYFUNCTION("""COMPUTED_VALUE"""),16.236871015885068)</f>
        <v>16.23687102</v>
      </c>
      <c r="AJ264" s="32">
        <f>IFERROR(__xludf.DUMMYFUNCTION("""COMPUTED_VALUE"""),34.51411655588623)</f>
        <v>34.51411656</v>
      </c>
      <c r="AK264" s="32">
        <f>IFERROR(__xludf.DUMMYFUNCTION("""COMPUTED_VALUE"""),6.5985)</f>
        <v>6.5985</v>
      </c>
      <c r="AL264" s="32">
        <f>IFERROR(__xludf.DUMMYFUNCTION("""COMPUTED_VALUE"""),147.9427)</f>
        <v>147.9427</v>
      </c>
      <c r="AM264" s="32">
        <f>IFERROR(__xludf.DUMMYFUNCTION("""COMPUTED_VALUE"""),11.440247)</f>
        <v>11.440247</v>
      </c>
      <c r="AN264" s="32">
        <f>IFERROR(__xludf.DUMMYFUNCTION("""COMPUTED_VALUE"""),6.45832)</f>
        <v>6.45832</v>
      </c>
      <c r="AO264" s="32">
        <f>IFERROR(__xludf.DUMMYFUNCTION("""COMPUTED_VALUE"""),3.0)</f>
        <v>3</v>
      </c>
      <c r="AP264" s="32">
        <f>IFERROR(__xludf.DUMMYFUNCTION("""COMPUTED_VALUE"""),0.12383281458425964)</f>
        <v>0.1238328146</v>
      </c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>
      <c r="A265" s="13" t="str">
        <f>IFERROR(__xludf.DUMMYFUNCTION("""COMPUTED_VALUE"""),"Hitachi Energy India Ltd.")</f>
        <v>Hitachi Energy India Ltd.</v>
      </c>
      <c r="B265" s="30">
        <f>IFERROR(__xludf.DUMMYFUNCTION("""COMPUTED_VALUE"""),543187.0)</f>
        <v>543187</v>
      </c>
      <c r="C265" s="13" t="str">
        <f>IFERROR(__xludf.DUMMYFUNCTION("""COMPUTED_VALUE"""),"POWERINDIA")</f>
        <v>POWERINDIA</v>
      </c>
      <c r="D265" s="13" t="str">
        <f>IFERROR(__xludf.DUMMYFUNCTION("""COMPUTED_VALUE"""),"INE07Y701011")</f>
        <v>INE07Y701011</v>
      </c>
      <c r="E265" s="13" t="str">
        <f>IFERROR(__xludf.DUMMYFUNCTION("""COMPUTED_VALUE"""),"Capital Goods")</f>
        <v>Capital Goods</v>
      </c>
      <c r="F265" s="13" t="str">
        <f>IFERROR(__xludf.DUMMYFUNCTION("""COMPUTED_VALUE"""),"Industrial Machinery")</f>
        <v>Industrial Machinery</v>
      </c>
      <c r="G265" s="31">
        <f>IFERROR(__xludf.DUMMYFUNCTION("""COMPUTED_VALUE"""),44809.0)</f>
        <v>44809</v>
      </c>
      <c r="H265" s="32">
        <f>IFERROR(__xludf.DUMMYFUNCTION("""COMPUTED_VALUE"""),3809.1)</f>
        <v>3809.1</v>
      </c>
      <c r="I265" s="32">
        <f>IFERROR(__xludf.DUMMYFUNCTION("""COMPUTED_VALUE"""),1.01436)</f>
        <v>1.01436</v>
      </c>
      <c r="J265" s="32">
        <f>IFERROR(__xludf.DUMMYFUNCTION("""COMPUTED_VALUE"""),2160.0)</f>
        <v>2160</v>
      </c>
      <c r="K265" s="32">
        <f>IFERROR(__xludf.DUMMYFUNCTION("""COMPUTED_VALUE"""),4042.6)</f>
        <v>4042.6</v>
      </c>
      <c r="L265" s="13"/>
      <c r="M265" s="13"/>
      <c r="N265" s="13"/>
      <c r="O265" s="13"/>
      <c r="P265" s="32">
        <f>IFERROR(__xludf.DUMMYFUNCTION("""COMPUTED_VALUE"""),714.0)</f>
        <v>714</v>
      </c>
      <c r="Q265" s="32">
        <f>IFERROR(__xludf.DUMMYFUNCTION("""COMPUTED_VALUE"""),4042.6)</f>
        <v>4042.6</v>
      </c>
      <c r="R265" s="32">
        <f>IFERROR(__xludf.DUMMYFUNCTION("""COMPUTED_VALUE"""),16155.258784875)</f>
        <v>16155.25878</v>
      </c>
      <c r="S265" s="32">
        <f>IFERROR(__xludf.DUMMYFUNCTION("""COMPUTED_VALUE"""),16023.520634625)</f>
        <v>16023.52063</v>
      </c>
      <c r="T265" s="32">
        <f>IFERROR(__xludf.DUMMYFUNCTION("""COMPUTED_VALUE"""),3.40559)</f>
        <v>3.40559</v>
      </c>
      <c r="U265" s="32">
        <f>IFERROR(__xludf.DUMMYFUNCTION("""COMPUTED_VALUE"""),10.588201)</f>
        <v>10.588201</v>
      </c>
      <c r="V265" s="32">
        <f>IFERROR(__xludf.DUMMYFUNCTION("""COMPUTED_VALUE"""),12.631952)</f>
        <v>12.631952</v>
      </c>
      <c r="W265" s="32">
        <f>IFERROR(__xludf.DUMMYFUNCTION("""COMPUTED_VALUE"""),56.711168)</f>
        <v>56.711168</v>
      </c>
      <c r="X265" s="13"/>
      <c r="Y265" s="13"/>
      <c r="Z265" s="13"/>
      <c r="AA265" s="32">
        <f>IFERROR(__xludf.DUMMYFUNCTION("""COMPUTED_VALUE"""),108.4246)</f>
        <v>108.4246</v>
      </c>
      <c r="AB265" s="32">
        <f>IFERROR(__xludf.DUMMYFUNCTION("""COMPUTED_VALUE"""),85.3653)</f>
        <v>85.3653</v>
      </c>
      <c r="AC265" s="32">
        <f>IFERROR(__xludf.DUMMYFUNCTION("""COMPUTED_VALUE"""),14.2497)</f>
        <v>14.2497</v>
      </c>
      <c r="AD265" s="32">
        <f>IFERROR(__xludf.DUMMYFUNCTION("""COMPUTED_VALUE"""),11.8994)</f>
        <v>11.8994</v>
      </c>
      <c r="AE265" s="32">
        <f>IFERROR(__xludf.DUMMYFUNCTION("""COMPUTED_VALUE"""),1.556348)</f>
        <v>1.556348</v>
      </c>
      <c r="AF265" s="32">
        <f>IFERROR(__xludf.DUMMYFUNCTION("""COMPUTED_VALUE"""),3.73247)</f>
        <v>3.73247</v>
      </c>
      <c r="AG265" s="32">
        <f>IFERROR(__xludf.DUMMYFUNCTION("""COMPUTED_VALUE"""),0.0787)</f>
        <v>0.0787</v>
      </c>
      <c r="AH265" s="32">
        <f>IFERROR(__xludf.DUMMYFUNCTION("""COMPUTED_VALUE"""),57.66968)</f>
        <v>57.66968</v>
      </c>
      <c r="AI265" s="32">
        <f>IFERROR(__xludf.DUMMYFUNCTION("""COMPUTED_VALUE"""),4.076522529617714)</f>
        <v>4.07652253</v>
      </c>
      <c r="AJ265" s="32">
        <f>IFERROR(__xludf.DUMMYFUNCTION("""COMPUTED_VALUE"""),-127.51802655991001)</f>
        <v>-127.5180266</v>
      </c>
      <c r="AK265" s="32">
        <f>IFERROR(__xludf.DUMMYFUNCTION("""COMPUTED_VALUE"""),35.1567)</f>
        <v>35.1567</v>
      </c>
      <c r="AL265" s="32">
        <f>IFERROR(__xludf.DUMMYFUNCTION("""COMPUTED_VALUE"""),267.5039)</f>
        <v>267.5039</v>
      </c>
      <c r="AM265" s="32">
        <f>IFERROR(__xludf.DUMMYFUNCTION("""COMPUTED_VALUE"""),-29.879717)</f>
        <v>-29.879717</v>
      </c>
      <c r="AN265" s="32">
        <f>IFERROR(__xludf.DUMMYFUNCTION("""COMPUTED_VALUE"""),-74.018868)</f>
        <v>-74.018868</v>
      </c>
      <c r="AO265" s="32">
        <f>IFERROR(__xludf.DUMMYFUNCTION("""COMPUTED_VALUE"""),3.0)</f>
        <v>3</v>
      </c>
      <c r="AP265" s="32">
        <f>IFERROR(__xludf.DUMMYFUNCTION("""COMPUTED_VALUE"""),0.05775985751743927)</f>
        <v>0.05775985752</v>
      </c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>
      <c r="A266" s="13" t="str">
        <f>IFERROR(__xludf.DUMMYFUNCTION("""COMPUTED_VALUE"""),"Indigo Paints Ltd.")</f>
        <v>Indigo Paints Ltd.</v>
      </c>
      <c r="B266" s="30">
        <f>IFERROR(__xludf.DUMMYFUNCTION("""COMPUTED_VALUE"""),543258.0)</f>
        <v>543258</v>
      </c>
      <c r="C266" s="13" t="str">
        <f>IFERROR(__xludf.DUMMYFUNCTION("""COMPUTED_VALUE"""),"INDIGOPNTS")</f>
        <v>INDIGOPNTS</v>
      </c>
      <c r="D266" s="13" t="str">
        <f>IFERROR(__xludf.DUMMYFUNCTION("""COMPUTED_VALUE"""),"INE09VQ01012")</f>
        <v>INE09VQ01012</v>
      </c>
      <c r="E266" s="13" t="str">
        <f>IFERROR(__xludf.DUMMYFUNCTION("""COMPUTED_VALUE"""),"Materials")</f>
        <v>Materials</v>
      </c>
      <c r="F266" s="13" t="str">
        <f>IFERROR(__xludf.DUMMYFUNCTION("""COMPUTED_VALUE"""),"Paints &amp; Varnishes")</f>
        <v>Paints &amp; Varnishes</v>
      </c>
      <c r="G266" s="31">
        <f>IFERROR(__xludf.DUMMYFUNCTION("""COMPUTED_VALUE"""),44809.0)</f>
        <v>44809</v>
      </c>
      <c r="H266" s="32">
        <f>IFERROR(__xludf.DUMMYFUNCTION("""COMPUTED_VALUE"""),1546.85)</f>
        <v>1546.85</v>
      </c>
      <c r="I266" s="32">
        <f>IFERROR(__xludf.DUMMYFUNCTION("""COMPUTED_VALUE"""),-2.689356)</f>
        <v>-2.689356</v>
      </c>
      <c r="J266" s="32">
        <f>IFERROR(__xludf.DUMMYFUNCTION("""COMPUTED_VALUE"""),1353.6)</f>
        <v>1353.6</v>
      </c>
      <c r="K266" s="32">
        <f>IFERROR(__xludf.DUMMYFUNCTION("""COMPUTED_VALUE"""),2695.0)</f>
        <v>2695</v>
      </c>
      <c r="L266" s="13"/>
      <c r="M266" s="13"/>
      <c r="N266" s="13"/>
      <c r="O266" s="13"/>
      <c r="P266" s="32">
        <f>IFERROR(__xludf.DUMMYFUNCTION("""COMPUTED_VALUE"""),1353.6)</f>
        <v>1353.6</v>
      </c>
      <c r="Q266" s="32">
        <f>IFERROR(__xludf.DUMMYFUNCTION("""COMPUTED_VALUE"""),3348.0)</f>
        <v>3348</v>
      </c>
      <c r="R266" s="32">
        <f>IFERROR(__xludf.DUMMYFUNCTION("""COMPUTED_VALUE"""),7332.047352595)</f>
        <v>7332.047353</v>
      </c>
      <c r="S266" s="32">
        <f>IFERROR(__xludf.DUMMYFUNCTION("""COMPUTED_VALUE"""),7301.69479231)</f>
        <v>7301.694792</v>
      </c>
      <c r="T266" s="32">
        <f>IFERROR(__xludf.DUMMYFUNCTION("""COMPUTED_VALUE"""),-7.396432)</f>
        <v>-7.396432</v>
      </c>
      <c r="U266" s="32">
        <f>IFERROR(__xludf.DUMMYFUNCTION("""COMPUTED_VALUE"""),-2.258941)</f>
        <v>-2.258941</v>
      </c>
      <c r="V266" s="32">
        <f>IFERROR(__xludf.DUMMYFUNCTION("""COMPUTED_VALUE"""),-1.568565)</f>
        <v>-1.568565</v>
      </c>
      <c r="W266" s="32">
        <f>IFERROR(__xludf.DUMMYFUNCTION("""COMPUTED_VALUE"""),-41.095943)</f>
        <v>-41.095943</v>
      </c>
      <c r="X266" s="13"/>
      <c r="Y266" s="13"/>
      <c r="Z266" s="13"/>
      <c r="AA266" s="32">
        <f>IFERROR(__xludf.DUMMYFUNCTION("""COMPUTED_VALUE"""),79.3924)</f>
        <v>79.3924</v>
      </c>
      <c r="AB266" s="32">
        <f>IFERROR(__xludf.DUMMYFUNCTION("""COMPUTED_VALUE"""),107.1195)</f>
        <v>107.1195</v>
      </c>
      <c r="AC266" s="32">
        <f>IFERROR(__xludf.DUMMYFUNCTION("""COMPUTED_VALUE"""),10.9917)</f>
        <v>10.9917</v>
      </c>
      <c r="AD266" s="32">
        <f>IFERROR(__xludf.DUMMYFUNCTION("""COMPUTED_VALUE"""),12.9839)</f>
        <v>12.9839</v>
      </c>
      <c r="AE266" s="32">
        <f>IFERROR(__xludf.DUMMYFUNCTION("""COMPUTED_VALUE"""),1.919261)</f>
        <v>1.919261</v>
      </c>
      <c r="AF266" s="32">
        <f>IFERROR(__xludf.DUMMYFUNCTION("""COMPUTED_VALUE"""),3.213535)</f>
        <v>3.213535</v>
      </c>
      <c r="AG266" s="32">
        <f>IFERROR(__xludf.DUMMYFUNCTION("""COMPUTED_VALUE"""),0.1946)</f>
        <v>0.1946</v>
      </c>
      <c r="AH266" s="32">
        <f>IFERROR(__xludf.DUMMYFUNCTION("""COMPUTED_VALUE"""),45.791857)</f>
        <v>45.791857</v>
      </c>
      <c r="AI266" s="32">
        <f>IFERROR(__xludf.DUMMYFUNCTION("""COMPUTED_VALUE"""),7.528217648068366)</f>
        <v>7.528217648</v>
      </c>
      <c r="AJ266" s="32">
        <f>IFERROR(__xludf.DUMMYFUNCTION("""COMPUTED_VALUE"""),112.47041155429669)</f>
        <v>112.4704116</v>
      </c>
      <c r="AK266" s="32">
        <f>IFERROR(__xludf.DUMMYFUNCTION("""COMPUTED_VALUE"""),19.4143)</f>
        <v>19.4143</v>
      </c>
      <c r="AL266" s="32">
        <f>IFERROR(__xludf.DUMMYFUNCTION("""COMPUTED_VALUE"""),140.2289)</f>
        <v>140.2289</v>
      </c>
      <c r="AM266" s="32">
        <f>IFERROR(__xludf.DUMMYFUNCTION("""COMPUTED_VALUE"""),13.704492)</f>
        <v>13.704492</v>
      </c>
      <c r="AN266" s="32">
        <f>IFERROR(__xludf.DUMMYFUNCTION("""COMPUTED_VALUE"""),-11.212197)</f>
        <v>-11.212197</v>
      </c>
      <c r="AO266" s="32">
        <f>IFERROR(__xludf.DUMMYFUNCTION("""COMPUTED_VALUE"""),3.0)</f>
        <v>3</v>
      </c>
      <c r="AP266" s="32">
        <f>IFERROR(__xludf.DUMMYFUNCTION("""COMPUTED_VALUE"""),0.4260296846011132)</f>
        <v>0.4260296846</v>
      </c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>
      <c r="A267" s="13" t="str">
        <f>IFERROR(__xludf.DUMMYFUNCTION("""COMPUTED_VALUE"""),"Manappuram Finance Ltd.")</f>
        <v>Manappuram Finance Ltd.</v>
      </c>
      <c r="B267" s="30">
        <f>IFERROR(__xludf.DUMMYFUNCTION("""COMPUTED_VALUE"""),531213.0)</f>
        <v>531213</v>
      </c>
      <c r="C267" s="13" t="str">
        <f>IFERROR(__xludf.DUMMYFUNCTION("""COMPUTED_VALUE"""),"MANAPPURAM")</f>
        <v>MANAPPURAM</v>
      </c>
      <c r="D267" s="13" t="str">
        <f>IFERROR(__xludf.DUMMYFUNCTION("""COMPUTED_VALUE"""),"INE522D01027")</f>
        <v>INE522D01027</v>
      </c>
      <c r="E267" s="13" t="str">
        <f>IFERROR(__xludf.DUMMYFUNCTION("""COMPUTED_VALUE"""),"Financial")</f>
        <v>Financial</v>
      </c>
      <c r="F267" s="13" t="str">
        <f>IFERROR(__xludf.DUMMYFUNCTION("""COMPUTED_VALUE"""),"Misc. Fin.services")</f>
        <v>Misc. Fin.services</v>
      </c>
      <c r="G267" s="31">
        <f>IFERROR(__xludf.DUMMYFUNCTION("""COMPUTED_VALUE"""),44809.0)</f>
        <v>44809</v>
      </c>
      <c r="H267" s="32">
        <f>IFERROR(__xludf.DUMMYFUNCTION("""COMPUTED_VALUE"""),104.45)</f>
        <v>104.45</v>
      </c>
      <c r="I267" s="32">
        <f>IFERROR(__xludf.DUMMYFUNCTION("""COMPUTED_VALUE"""),1.358564)</f>
        <v>1.358564</v>
      </c>
      <c r="J267" s="32">
        <f>IFERROR(__xludf.DUMMYFUNCTION("""COMPUTED_VALUE"""),81.5)</f>
        <v>81.5</v>
      </c>
      <c r="K267" s="32">
        <f>IFERROR(__xludf.DUMMYFUNCTION("""COMPUTED_VALUE"""),224.5)</f>
        <v>224.5</v>
      </c>
      <c r="L267" s="32">
        <f>IFERROR(__xludf.DUMMYFUNCTION("""COMPUTED_VALUE"""),74.25)</f>
        <v>74.25</v>
      </c>
      <c r="M267" s="32">
        <f>IFERROR(__xludf.DUMMYFUNCTION("""COMPUTED_VALUE"""),224.5)</f>
        <v>224.5</v>
      </c>
      <c r="N267" s="32">
        <f>IFERROR(__xludf.DUMMYFUNCTION("""COMPUTED_VALUE"""),66.25)</f>
        <v>66.25</v>
      </c>
      <c r="O267" s="32">
        <f>IFERROR(__xludf.DUMMYFUNCTION("""COMPUTED_VALUE"""),224.5)</f>
        <v>224.5</v>
      </c>
      <c r="P267" s="32">
        <f>IFERROR(__xludf.DUMMYFUNCTION("""COMPUTED_VALUE"""),0.1625)</f>
        <v>0.1625</v>
      </c>
      <c r="Q267" s="32">
        <f>IFERROR(__xludf.DUMMYFUNCTION("""COMPUTED_VALUE"""),224.5)</f>
        <v>224.5</v>
      </c>
      <c r="R267" s="32">
        <f>IFERROR(__xludf.DUMMYFUNCTION("""COMPUTED_VALUE"""),8836.36097076)</f>
        <v>8836.360971</v>
      </c>
      <c r="S267" s="32">
        <f>IFERROR(__xludf.DUMMYFUNCTION("""COMPUTED_VALUE"""),30136.609682345)</f>
        <v>30136.60968</v>
      </c>
      <c r="T267" s="32">
        <f>IFERROR(__xludf.DUMMYFUNCTION("""COMPUTED_VALUE"""),-0.381497)</f>
        <v>-0.381497</v>
      </c>
      <c r="U267" s="32">
        <f>IFERROR(__xludf.DUMMYFUNCTION("""COMPUTED_VALUE"""),2.75455)</f>
        <v>2.75455</v>
      </c>
      <c r="V267" s="32">
        <f>IFERROR(__xludf.DUMMYFUNCTION("""COMPUTED_VALUE"""),10.47065)</f>
        <v>10.47065</v>
      </c>
      <c r="W267" s="32">
        <f>IFERROR(__xludf.DUMMYFUNCTION("""COMPUTED_VALUE"""),-36.174763)</f>
        <v>-36.174763</v>
      </c>
      <c r="X267" s="32">
        <f>IFERROR(__xludf.DUMMYFUNCTION("""COMPUTED_VALUE"""),-4.387756)</f>
        <v>-4.387756</v>
      </c>
      <c r="Y267" s="32">
        <f>IFERROR(__xludf.DUMMYFUNCTION("""COMPUTED_VALUE"""),0.644144)</f>
        <v>0.644144</v>
      </c>
      <c r="Z267" s="32">
        <f>IFERROR(__xludf.DUMMYFUNCTION("""COMPUTED_VALUE"""),11.585638)</f>
        <v>11.585638</v>
      </c>
      <c r="AA267" s="32">
        <f>IFERROR(__xludf.DUMMYFUNCTION("""COMPUTED_VALUE"""),7.5269)</f>
        <v>7.5269</v>
      </c>
      <c r="AB267" s="32">
        <f>IFERROR(__xludf.DUMMYFUNCTION("""COMPUTED_VALUE"""),9.2393)</f>
        <v>9.2393</v>
      </c>
      <c r="AC267" s="32">
        <f>IFERROR(__xludf.DUMMYFUNCTION("""COMPUTED_VALUE"""),1.0231)</f>
        <v>1.0231</v>
      </c>
      <c r="AD267" s="32">
        <f>IFERROR(__xludf.DUMMYFUNCTION("""COMPUTED_VALUE"""),2.1564)</f>
        <v>2.1564</v>
      </c>
      <c r="AE267" s="32">
        <f>IFERROR(__xludf.DUMMYFUNCTION("""COMPUTED_VALUE"""),12.762276)</f>
        <v>12.762276</v>
      </c>
      <c r="AF267" s="32">
        <f>IFERROR(__xludf.DUMMYFUNCTION("""COMPUTED_VALUE"""),0.835498)</f>
        <v>0.835498</v>
      </c>
      <c r="AG267" s="32">
        <f>IFERROR(__xludf.DUMMYFUNCTION("""COMPUTED_VALUE"""),2.8736)</f>
        <v>2.8736</v>
      </c>
      <c r="AH267" s="32">
        <f>IFERROR(__xludf.DUMMYFUNCTION("""COMPUTED_VALUE"""),7.920078)</f>
        <v>7.920078</v>
      </c>
      <c r="AI267" s="32">
        <f>IFERROR(__xludf.DUMMYFUNCTION("""COMPUTED_VALUE"""),1.494155508714142)</f>
        <v>1.494155509</v>
      </c>
      <c r="AJ267" s="32">
        <f>IFERROR(__xludf.DUMMYFUNCTION("""COMPUTED_VALUE"""),-20.88564411890811)</f>
        <v>-20.88564412</v>
      </c>
      <c r="AK267" s="32">
        <f>IFERROR(__xludf.DUMMYFUNCTION("""COMPUTED_VALUE"""),13.8702)</f>
        <v>13.8702</v>
      </c>
      <c r="AL267" s="32">
        <f>IFERROR(__xludf.DUMMYFUNCTION("""COMPUTED_VALUE"""),102.0406)</f>
        <v>102.0406</v>
      </c>
      <c r="AM267" s="32">
        <f>IFERROR(__xludf.DUMMYFUNCTION("""COMPUTED_VALUE"""),-4.998647)</f>
        <v>-4.998647</v>
      </c>
      <c r="AN267" s="32">
        <f>IFERROR(__xludf.DUMMYFUNCTION("""COMPUTED_VALUE"""),-19.65333)</f>
        <v>-19.65333</v>
      </c>
      <c r="AO267" s="32">
        <f>IFERROR(__xludf.DUMMYFUNCTION("""COMPUTED_VALUE"""),3.0)</f>
        <v>3</v>
      </c>
      <c r="AP267" s="32">
        <f>IFERROR(__xludf.DUMMYFUNCTION("""COMPUTED_VALUE"""),0.5347438752783964)</f>
        <v>0.5347438753</v>
      </c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>
      <c r="A268" s="13" t="str">
        <f>IFERROR(__xludf.DUMMYFUNCTION("""COMPUTED_VALUE"""),"MAS Financial Services Ltd.")</f>
        <v>MAS Financial Services Ltd.</v>
      </c>
      <c r="B268" s="30">
        <f>IFERROR(__xludf.DUMMYFUNCTION("""COMPUTED_VALUE"""),540749.0)</f>
        <v>540749</v>
      </c>
      <c r="C268" s="13" t="str">
        <f>IFERROR(__xludf.DUMMYFUNCTION("""COMPUTED_VALUE"""),"MASFIN")</f>
        <v>MASFIN</v>
      </c>
      <c r="D268" s="13" t="str">
        <f>IFERROR(__xludf.DUMMYFUNCTION("""COMPUTED_VALUE"""),"INE348L01012")</f>
        <v>INE348L01012</v>
      </c>
      <c r="E268" s="13" t="str">
        <f>IFERROR(__xludf.DUMMYFUNCTION("""COMPUTED_VALUE"""),"Financial")</f>
        <v>Financial</v>
      </c>
      <c r="F268" s="13" t="str">
        <f>IFERROR(__xludf.DUMMYFUNCTION("""COMPUTED_VALUE"""),"Hire Purchase")</f>
        <v>Hire Purchase</v>
      </c>
      <c r="G268" s="31">
        <f>IFERROR(__xludf.DUMMYFUNCTION("""COMPUTED_VALUE"""),44809.0)</f>
        <v>44809</v>
      </c>
      <c r="H268" s="32">
        <f>IFERROR(__xludf.DUMMYFUNCTION("""COMPUTED_VALUE"""),752.25)</f>
        <v>752.25</v>
      </c>
      <c r="I268" s="32">
        <f>IFERROR(__xludf.DUMMYFUNCTION("""COMPUTED_VALUE"""),-0.112867)</f>
        <v>-0.112867</v>
      </c>
      <c r="J268" s="32">
        <f>IFERROR(__xludf.DUMMYFUNCTION("""COMPUTED_VALUE"""),460.3)</f>
        <v>460.3</v>
      </c>
      <c r="K268" s="32">
        <f>IFERROR(__xludf.DUMMYFUNCTION("""COMPUTED_VALUE"""),846.95)</f>
        <v>846.95</v>
      </c>
      <c r="L268" s="32">
        <f>IFERROR(__xludf.DUMMYFUNCTION("""COMPUTED_VALUE"""),443.95)</f>
        <v>443.95</v>
      </c>
      <c r="M268" s="32">
        <f>IFERROR(__xludf.DUMMYFUNCTION("""COMPUTED_VALUE"""),1270.0)</f>
        <v>1270</v>
      </c>
      <c r="N268" s="13"/>
      <c r="O268" s="13"/>
      <c r="P268" s="32">
        <f>IFERROR(__xludf.DUMMYFUNCTION("""COMPUTED_VALUE"""),365.0)</f>
        <v>365</v>
      </c>
      <c r="Q268" s="32">
        <f>IFERROR(__xludf.DUMMYFUNCTION("""COMPUTED_VALUE"""),1270.0)</f>
        <v>1270</v>
      </c>
      <c r="R268" s="32">
        <f>IFERROR(__xludf.DUMMYFUNCTION("""COMPUTED_VALUE"""),4074.50868522)</f>
        <v>4074.508685</v>
      </c>
      <c r="S268" s="32">
        <f>IFERROR(__xludf.DUMMYFUNCTION("""COMPUTED_VALUE"""),7632.775548115)</f>
        <v>7632.775548</v>
      </c>
      <c r="T268" s="32">
        <f>IFERROR(__xludf.DUMMYFUNCTION("""COMPUTED_VALUE"""),1.986171)</f>
        <v>1.986171</v>
      </c>
      <c r="U268" s="32">
        <f>IFERROR(__xludf.DUMMYFUNCTION("""COMPUTED_VALUE"""),33.165162)</f>
        <v>33.165162</v>
      </c>
      <c r="V268" s="32">
        <f>IFERROR(__xludf.DUMMYFUNCTION("""COMPUTED_VALUE"""),37.234334)</f>
        <v>37.234334</v>
      </c>
      <c r="W268" s="32">
        <f>IFERROR(__xludf.DUMMYFUNCTION("""COMPUTED_VALUE"""),-3.378075)</f>
        <v>-3.378075</v>
      </c>
      <c r="X268" s="32">
        <f>IFERROR(__xludf.DUMMYFUNCTION("""COMPUTED_VALUE"""),7.823359)</f>
        <v>7.823359</v>
      </c>
      <c r="Y268" s="13"/>
      <c r="Z268" s="13"/>
      <c r="AA268" s="32">
        <f>IFERROR(__xludf.DUMMYFUNCTION("""COMPUTED_VALUE"""),24.1594)</f>
        <v>24.1594</v>
      </c>
      <c r="AB268" s="32">
        <f>IFERROR(__xludf.DUMMYFUNCTION("""COMPUTED_VALUE"""),25.5203)</f>
        <v>25.5203</v>
      </c>
      <c r="AC268" s="32">
        <f>IFERROR(__xludf.DUMMYFUNCTION("""COMPUTED_VALUE"""),2.9874)</f>
        <v>2.9874</v>
      </c>
      <c r="AD268" s="32">
        <f>IFERROR(__xludf.DUMMYFUNCTION("""COMPUTED_VALUE"""),3.60695)</f>
        <v>3.60695</v>
      </c>
      <c r="AE268" s="32">
        <f>IFERROR(__xludf.DUMMYFUNCTION("""COMPUTED_VALUE"""),7.817339)</f>
        <v>7.817339</v>
      </c>
      <c r="AF268" s="32">
        <f>IFERROR(__xludf.DUMMYFUNCTION("""COMPUTED_VALUE"""),21.784714)</f>
        <v>21.784714</v>
      </c>
      <c r="AG268" s="32">
        <f>IFERROR(__xludf.DUMMYFUNCTION("""COMPUTED_VALUE"""),0.3977)</f>
        <v>0.3977</v>
      </c>
      <c r="AH268" s="32">
        <f>IFERROR(__xludf.DUMMYFUNCTION("""COMPUTED_VALUE"""),12.890633)</f>
        <v>12.890633</v>
      </c>
      <c r="AI268" s="32">
        <f>IFERROR(__xludf.DUMMYFUNCTION("""COMPUTED_VALUE"""),5.513580856731101)</f>
        <v>5.513580857</v>
      </c>
      <c r="AJ268" s="32">
        <f>IFERROR(__xludf.DUMMYFUNCTION("""COMPUTED_VALUE"""),-5.078213526078618)</f>
        <v>-5.078213526</v>
      </c>
      <c r="AK268" s="32">
        <f>IFERROR(__xludf.DUMMYFUNCTION("""COMPUTED_VALUE"""),30.8534)</f>
        <v>30.8534</v>
      </c>
      <c r="AL268" s="32">
        <f>IFERROR(__xludf.DUMMYFUNCTION("""COMPUTED_VALUE"""),249.5153)</f>
        <v>249.5153</v>
      </c>
      <c r="AM268" s="32">
        <f>IFERROR(__xludf.DUMMYFUNCTION("""COMPUTED_VALUE"""),-146.784018)</f>
        <v>-146.784018</v>
      </c>
      <c r="AN268" s="32">
        <f>IFERROR(__xludf.DUMMYFUNCTION("""COMPUTED_VALUE"""),-142.693462)</f>
        <v>-142.693462</v>
      </c>
      <c r="AO268" s="32">
        <f>IFERROR(__xludf.DUMMYFUNCTION("""COMPUTED_VALUE"""),3.0)</f>
        <v>3</v>
      </c>
      <c r="AP268" s="32">
        <f>IFERROR(__xludf.DUMMYFUNCTION("""COMPUTED_VALUE"""),0.11181297597260764)</f>
        <v>0.111812976</v>
      </c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>
      <c r="A269" s="13" t="str">
        <f>IFERROR(__xludf.DUMMYFUNCTION("""COMPUTED_VALUE"""),"Nesco Ltd.")</f>
        <v>Nesco Ltd.</v>
      </c>
      <c r="B269" s="30">
        <f>IFERROR(__xludf.DUMMYFUNCTION("""COMPUTED_VALUE"""),505355.0)</f>
        <v>505355</v>
      </c>
      <c r="C269" s="13" t="str">
        <f>IFERROR(__xludf.DUMMYFUNCTION("""COMPUTED_VALUE"""),"NESCO")</f>
        <v>NESCO</v>
      </c>
      <c r="D269" s="13" t="str">
        <f>IFERROR(__xludf.DUMMYFUNCTION("""COMPUTED_VALUE"""),"INE317F01035")</f>
        <v>INE317F01035</v>
      </c>
      <c r="E269" s="13" t="str">
        <f>IFERROR(__xludf.DUMMYFUNCTION("""COMPUTED_VALUE"""),"Construction")</f>
        <v>Construction</v>
      </c>
      <c r="F269" s="13" t="str">
        <f>IFERROR(__xludf.DUMMYFUNCTION("""COMPUTED_VALUE"""),"Commercial Complexes")</f>
        <v>Commercial Complexes</v>
      </c>
      <c r="G269" s="31">
        <f>IFERROR(__xludf.DUMMYFUNCTION("""COMPUTED_VALUE"""),44809.0)</f>
        <v>44809</v>
      </c>
      <c r="H269" s="32">
        <f>IFERROR(__xludf.DUMMYFUNCTION("""COMPUTED_VALUE"""),567.6)</f>
        <v>567.6</v>
      </c>
      <c r="I269" s="32">
        <f>IFERROR(__xludf.DUMMYFUNCTION("""COMPUTED_VALUE"""),-0.803915)</f>
        <v>-0.803915</v>
      </c>
      <c r="J269" s="32">
        <f>IFERROR(__xludf.DUMMYFUNCTION("""COMPUTED_VALUE"""),501.95)</f>
        <v>501.95</v>
      </c>
      <c r="K269" s="32">
        <f>IFERROR(__xludf.DUMMYFUNCTION("""COMPUTED_VALUE"""),687.15)</f>
        <v>687.15</v>
      </c>
      <c r="L269" s="32">
        <f>IFERROR(__xludf.DUMMYFUNCTION("""COMPUTED_VALUE"""),380.0)</f>
        <v>380</v>
      </c>
      <c r="M269" s="32">
        <f>IFERROR(__xludf.DUMMYFUNCTION("""COMPUTED_VALUE"""),816.9)</f>
        <v>816.9</v>
      </c>
      <c r="N269" s="32">
        <f>IFERROR(__xludf.DUMMYFUNCTION("""COMPUTED_VALUE"""),380.0)</f>
        <v>380</v>
      </c>
      <c r="O269" s="32">
        <f>IFERROR(__xludf.DUMMYFUNCTION("""COMPUTED_VALUE"""),816.9)</f>
        <v>816.9</v>
      </c>
      <c r="P269" s="32">
        <f>IFERROR(__xludf.DUMMYFUNCTION("""COMPUTED_VALUE"""),0.4625)</f>
        <v>0.4625</v>
      </c>
      <c r="Q269" s="32">
        <f>IFERROR(__xludf.DUMMYFUNCTION("""COMPUTED_VALUE"""),816.9)</f>
        <v>816.9</v>
      </c>
      <c r="R269" s="32">
        <f>IFERROR(__xludf.DUMMYFUNCTION("""COMPUTED_VALUE"""),3999.3073296)</f>
        <v>3999.30733</v>
      </c>
      <c r="S269" s="32">
        <f>IFERROR(__xludf.DUMMYFUNCTION("""COMPUTED_VALUE"""),3832.9723068)</f>
        <v>3832.972307</v>
      </c>
      <c r="T269" s="32">
        <f>IFERROR(__xludf.DUMMYFUNCTION("""COMPUTED_VALUE"""),0.096993)</f>
        <v>0.096993</v>
      </c>
      <c r="U269" s="32">
        <f>IFERROR(__xludf.DUMMYFUNCTION("""COMPUTED_VALUE"""),-1.29554)</f>
        <v>-1.29554</v>
      </c>
      <c r="V269" s="32">
        <f>IFERROR(__xludf.DUMMYFUNCTION("""COMPUTED_VALUE"""),5.609824)</f>
        <v>5.609824</v>
      </c>
      <c r="W269" s="32">
        <f>IFERROR(__xludf.DUMMYFUNCTION("""COMPUTED_VALUE"""),-5.714286)</f>
        <v>-5.714286</v>
      </c>
      <c r="X269" s="32">
        <f>IFERROR(__xludf.DUMMYFUNCTION("""COMPUTED_VALUE"""),2.475575)</f>
        <v>2.475575</v>
      </c>
      <c r="Y269" s="32">
        <f>IFERROR(__xludf.DUMMYFUNCTION("""COMPUTED_VALUE"""),1.60437)</f>
        <v>1.60437</v>
      </c>
      <c r="Z269" s="32">
        <f>IFERROR(__xludf.DUMMYFUNCTION("""COMPUTED_VALUE"""),15.968098)</f>
        <v>15.968098</v>
      </c>
      <c r="AA269" s="32">
        <f>IFERROR(__xludf.DUMMYFUNCTION("""COMPUTED_VALUE"""),20.1489)</f>
        <v>20.1489</v>
      </c>
      <c r="AB269" s="32">
        <f>IFERROR(__xludf.DUMMYFUNCTION("""COMPUTED_VALUE"""),20.74455)</f>
        <v>20.74455</v>
      </c>
      <c r="AC269" s="32">
        <f>IFERROR(__xludf.DUMMYFUNCTION("""COMPUTED_VALUE"""),2.3068)</f>
        <v>2.3068</v>
      </c>
      <c r="AD269" s="32">
        <f>IFERROR(__xludf.DUMMYFUNCTION("""COMPUTED_VALUE"""),2.87995)</f>
        <v>2.87995</v>
      </c>
      <c r="AE269" s="32">
        <f>IFERROR(__xludf.DUMMYFUNCTION("""COMPUTED_VALUE"""),7.622343)</f>
        <v>7.622343</v>
      </c>
      <c r="AF269" s="32">
        <f>IFERROR(__xludf.DUMMYFUNCTION("""COMPUTED_VALUE"""),9.301715)</f>
        <v>9.301715</v>
      </c>
      <c r="AG269" s="32">
        <f>IFERROR(__xludf.DUMMYFUNCTION("""COMPUTED_VALUE"""),0.5294)</f>
        <v>0.5294</v>
      </c>
      <c r="AH269" s="32">
        <f>IFERROR(__xludf.DUMMYFUNCTION("""COMPUTED_VALUE"""),13.718977)</f>
        <v>13.718977</v>
      </c>
      <c r="AI269" s="32">
        <f>IFERROR(__xludf.DUMMYFUNCTION("""COMPUTED_VALUE"""),10.860540974685126)</f>
        <v>10.86054097</v>
      </c>
      <c r="AJ269" s="32">
        <f>IFERROR(__xludf.DUMMYFUNCTION("""COMPUTED_VALUE"""),24.503622750407597)</f>
        <v>24.50362275</v>
      </c>
      <c r="AK269" s="32">
        <f>IFERROR(__xludf.DUMMYFUNCTION("""COMPUTED_VALUE"""),28.4581)</f>
        <v>28.4581</v>
      </c>
      <c r="AL269" s="32">
        <f>IFERROR(__xludf.DUMMYFUNCTION("""COMPUTED_VALUE"""),248.5728)</f>
        <v>248.5728</v>
      </c>
      <c r="AM269" s="32">
        <f>IFERROR(__xludf.DUMMYFUNCTION("""COMPUTED_VALUE"""),23.163909)</f>
        <v>23.163909</v>
      </c>
      <c r="AN269" s="32">
        <f>IFERROR(__xludf.DUMMYFUNCTION("""COMPUTED_VALUE"""),10.254797)</f>
        <v>10.254797</v>
      </c>
      <c r="AO269" s="32">
        <f>IFERROR(__xludf.DUMMYFUNCTION("""COMPUTED_VALUE"""),3.0)</f>
        <v>3</v>
      </c>
      <c r="AP269" s="32">
        <f>IFERROR(__xludf.DUMMYFUNCTION("""COMPUTED_VALUE"""),0.173979480462781)</f>
        <v>0.1739794805</v>
      </c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>
      <c r="A270" s="13" t="str">
        <f>IFERROR(__xludf.DUMMYFUNCTION("""COMPUTED_VALUE"""),"Nocil Ltd.")</f>
        <v>Nocil Ltd.</v>
      </c>
      <c r="B270" s="30">
        <f>IFERROR(__xludf.DUMMYFUNCTION("""COMPUTED_VALUE"""),500730.0)</f>
        <v>500730</v>
      </c>
      <c r="C270" s="13" t="str">
        <f>IFERROR(__xludf.DUMMYFUNCTION("""COMPUTED_VALUE"""),"NOCIL")</f>
        <v>NOCIL</v>
      </c>
      <c r="D270" s="13" t="str">
        <f>IFERROR(__xludf.DUMMYFUNCTION("""COMPUTED_VALUE"""),"INE163A01018")</f>
        <v>INE163A01018</v>
      </c>
      <c r="E270" s="13" t="str">
        <f>IFERROR(__xludf.DUMMYFUNCTION("""COMPUTED_VALUE"""),"Materials")</f>
        <v>Materials</v>
      </c>
      <c r="F270" s="13" t="str">
        <f>IFERROR(__xludf.DUMMYFUNCTION("""COMPUTED_VALUE"""),"Rubber &amp; Rubber Products")</f>
        <v>Rubber &amp; Rubber Products</v>
      </c>
      <c r="G270" s="31">
        <f>IFERROR(__xludf.DUMMYFUNCTION("""COMPUTED_VALUE"""),44809.0)</f>
        <v>44809</v>
      </c>
      <c r="H270" s="32">
        <f>IFERROR(__xludf.DUMMYFUNCTION("""COMPUTED_VALUE"""),285.7)</f>
        <v>285.7</v>
      </c>
      <c r="I270" s="32">
        <f>IFERROR(__xludf.DUMMYFUNCTION("""COMPUTED_VALUE"""),2.181688)</f>
        <v>2.181688</v>
      </c>
      <c r="J270" s="32">
        <f>IFERROR(__xludf.DUMMYFUNCTION("""COMPUTED_VALUE"""),190.7)</f>
        <v>190.7</v>
      </c>
      <c r="K270" s="32">
        <f>IFERROR(__xludf.DUMMYFUNCTION("""COMPUTED_VALUE"""),321.3)</f>
        <v>321.3</v>
      </c>
      <c r="L270" s="32">
        <f>IFERROR(__xludf.DUMMYFUNCTION("""COMPUTED_VALUE"""),44.7)</f>
        <v>44.7</v>
      </c>
      <c r="M270" s="32">
        <f>IFERROR(__xludf.DUMMYFUNCTION("""COMPUTED_VALUE"""),321.3)</f>
        <v>321.3</v>
      </c>
      <c r="N270" s="32">
        <f>IFERROR(__xludf.DUMMYFUNCTION("""COMPUTED_VALUE"""),44.7)</f>
        <v>44.7</v>
      </c>
      <c r="O270" s="32">
        <f>IFERROR(__xludf.DUMMYFUNCTION("""COMPUTED_VALUE"""),321.3)</f>
        <v>321.3</v>
      </c>
      <c r="P270" s="32">
        <f>IFERROR(__xludf.DUMMYFUNCTION("""COMPUTED_VALUE"""),4.75)</f>
        <v>4.75</v>
      </c>
      <c r="Q270" s="32">
        <f>IFERROR(__xludf.DUMMYFUNCTION("""COMPUTED_VALUE"""),321.3)</f>
        <v>321.3</v>
      </c>
      <c r="R270" s="32">
        <f>IFERROR(__xludf.DUMMYFUNCTION("""COMPUTED_VALUE"""),4760.4142531)</f>
        <v>4760.414253</v>
      </c>
      <c r="S270" s="32">
        <f>IFERROR(__xludf.DUMMYFUNCTION("""COMPUTED_VALUE"""),4625.1743268)</f>
        <v>4625.174327</v>
      </c>
      <c r="T270" s="32">
        <f>IFERROR(__xludf.DUMMYFUNCTION("""COMPUTED_VALUE"""),8.055976)</f>
        <v>8.055976</v>
      </c>
      <c r="U270" s="32">
        <f>IFERROR(__xludf.DUMMYFUNCTION("""COMPUTED_VALUE"""),8.445625)</f>
        <v>8.445625</v>
      </c>
      <c r="V270" s="32">
        <f>IFERROR(__xludf.DUMMYFUNCTION("""COMPUTED_VALUE"""),10.565015)</f>
        <v>10.565015</v>
      </c>
      <c r="W270" s="32">
        <f>IFERROR(__xludf.DUMMYFUNCTION("""COMPUTED_VALUE"""),0.86496)</f>
        <v>0.86496</v>
      </c>
      <c r="X270" s="32">
        <f>IFERROR(__xludf.DUMMYFUNCTION("""COMPUTED_VALUE"""),49.240989)</f>
        <v>49.240989</v>
      </c>
      <c r="Y270" s="32">
        <f>IFERROR(__xludf.DUMMYFUNCTION("""COMPUTED_VALUE"""),15.649381)</f>
        <v>15.649381</v>
      </c>
      <c r="Z270" s="32">
        <f>IFERROR(__xludf.DUMMYFUNCTION("""COMPUTED_VALUE"""),34.137362)</f>
        <v>34.137362</v>
      </c>
      <c r="AA270" s="32">
        <f>IFERROR(__xludf.DUMMYFUNCTION("""COMPUTED_VALUE"""),24.3984)</f>
        <v>24.3984</v>
      </c>
      <c r="AB270" s="32">
        <f>IFERROR(__xludf.DUMMYFUNCTION("""COMPUTED_VALUE"""),20.47925)</f>
        <v>20.47925</v>
      </c>
      <c r="AC270" s="32">
        <f>IFERROR(__xludf.DUMMYFUNCTION("""COMPUTED_VALUE"""),3.1598)</f>
        <v>3.1598</v>
      </c>
      <c r="AD270" s="32">
        <f>IFERROR(__xludf.DUMMYFUNCTION("""COMPUTED_VALUE"""),2.4549)</f>
        <v>2.4549</v>
      </c>
      <c r="AE270" s="32">
        <f>IFERROR(__xludf.DUMMYFUNCTION("""COMPUTED_VALUE"""),5.750173)</f>
        <v>5.750173</v>
      </c>
      <c r="AF270" s="32">
        <f>IFERROR(__xludf.DUMMYFUNCTION("""COMPUTED_VALUE"""),1.930157)</f>
        <v>1.930157</v>
      </c>
      <c r="AG270" s="32">
        <f>IFERROR(__xludf.DUMMYFUNCTION("""COMPUTED_VALUE"""),1.0497)</f>
        <v>1.0497</v>
      </c>
      <c r="AH270" s="32">
        <f>IFERROR(__xludf.DUMMYFUNCTION("""COMPUTED_VALUE"""),14.491256)</f>
        <v>14.491256</v>
      </c>
      <c r="AI270" s="32">
        <f>IFERROR(__xludf.DUMMYFUNCTION("""COMPUTED_VALUE"""),2.7426322675446935)</f>
        <v>2.742632268</v>
      </c>
      <c r="AJ270" s="32">
        <f>IFERROR(__xludf.DUMMYFUNCTION("""COMPUTED_VALUE"""),-157.52528964592986)</f>
        <v>-157.5252896</v>
      </c>
      <c r="AK270" s="32">
        <f>IFERROR(__xludf.DUMMYFUNCTION("""COMPUTED_VALUE"""),11.7139)</f>
        <v>11.7139</v>
      </c>
      <c r="AL270" s="32">
        <f>IFERROR(__xludf.DUMMYFUNCTION("""COMPUTED_VALUE"""),90.4479)</f>
        <v>90.4479</v>
      </c>
      <c r="AM270" s="32">
        <f>IFERROR(__xludf.DUMMYFUNCTION("""COMPUTED_VALUE"""),-1.814252)</f>
        <v>-1.814252</v>
      </c>
      <c r="AN270" s="32">
        <f>IFERROR(__xludf.DUMMYFUNCTION("""COMPUTED_VALUE"""),-4.06916)</f>
        <v>-4.06916</v>
      </c>
      <c r="AO270" s="32">
        <f>IFERROR(__xludf.DUMMYFUNCTION("""COMPUTED_VALUE"""),3.0)</f>
        <v>3</v>
      </c>
      <c r="AP270" s="32">
        <f>IFERROR(__xludf.DUMMYFUNCTION("""COMPUTED_VALUE"""),0.11079987550575793)</f>
        <v>0.1107998755</v>
      </c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>
      <c r="A271" s="13" t="str">
        <f>IFERROR(__xludf.DUMMYFUNCTION("""COMPUTED_VALUE"""),"Oberoi Realty Ltd.")</f>
        <v>Oberoi Realty Ltd.</v>
      </c>
      <c r="B271" s="30">
        <f>IFERROR(__xludf.DUMMYFUNCTION("""COMPUTED_VALUE"""),533273.0)</f>
        <v>533273</v>
      </c>
      <c r="C271" s="13" t="str">
        <f>IFERROR(__xludf.DUMMYFUNCTION("""COMPUTED_VALUE"""),"OBEROIRLTY")</f>
        <v>OBEROIRLTY</v>
      </c>
      <c r="D271" s="13" t="str">
        <f>IFERROR(__xludf.DUMMYFUNCTION("""COMPUTED_VALUE"""),"INE093I01010")</f>
        <v>INE093I01010</v>
      </c>
      <c r="E271" s="13" t="str">
        <f>IFERROR(__xludf.DUMMYFUNCTION("""COMPUTED_VALUE"""),"Construction")</f>
        <v>Construction</v>
      </c>
      <c r="F271" s="13" t="str">
        <f>IFERROR(__xludf.DUMMYFUNCTION("""COMPUTED_VALUE"""),"Real Estate")</f>
        <v>Real Estate</v>
      </c>
      <c r="G271" s="31">
        <f>IFERROR(__xludf.DUMMYFUNCTION("""COMPUTED_VALUE"""),44809.0)</f>
        <v>44809</v>
      </c>
      <c r="H271" s="32">
        <f>IFERROR(__xludf.DUMMYFUNCTION("""COMPUTED_VALUE"""),1040.3)</f>
        <v>1040.3</v>
      </c>
      <c r="I271" s="32">
        <f>IFERROR(__xludf.DUMMYFUNCTION("""COMPUTED_VALUE"""),1.661292)</f>
        <v>1.661292</v>
      </c>
      <c r="J271" s="32">
        <f>IFERROR(__xludf.DUMMYFUNCTION("""COMPUTED_VALUE"""),705.55)</f>
        <v>705.55</v>
      </c>
      <c r="K271" s="32">
        <f>IFERROR(__xludf.DUMMYFUNCTION("""COMPUTED_VALUE"""),1051.9)</f>
        <v>1051.9</v>
      </c>
      <c r="L271" s="32">
        <f>IFERROR(__xludf.DUMMYFUNCTION("""COMPUTED_VALUE"""),290.0)</f>
        <v>290</v>
      </c>
      <c r="M271" s="32">
        <f>IFERROR(__xludf.DUMMYFUNCTION("""COMPUTED_VALUE"""),1051.9)</f>
        <v>1051.9</v>
      </c>
      <c r="N271" s="32">
        <f>IFERROR(__xludf.DUMMYFUNCTION("""COMPUTED_VALUE"""),290.0)</f>
        <v>290</v>
      </c>
      <c r="O271" s="32">
        <f>IFERROR(__xludf.DUMMYFUNCTION("""COMPUTED_VALUE"""),1051.9)</f>
        <v>1051.9</v>
      </c>
      <c r="P271" s="32">
        <f>IFERROR(__xludf.DUMMYFUNCTION("""COMPUTED_VALUE"""),153.15)</f>
        <v>153.15</v>
      </c>
      <c r="Q271" s="32">
        <f>IFERROR(__xludf.DUMMYFUNCTION("""COMPUTED_VALUE"""),1051.9)</f>
        <v>1051.9</v>
      </c>
      <c r="R271" s="32">
        <f>IFERROR(__xludf.DUMMYFUNCTION("""COMPUTED_VALUE"""),37758.274301265)</f>
        <v>37758.2743</v>
      </c>
      <c r="S271" s="32">
        <f>IFERROR(__xludf.DUMMYFUNCTION("""COMPUTED_VALUE"""),38870.486433915)</f>
        <v>38870.48643</v>
      </c>
      <c r="T271" s="32">
        <f>IFERROR(__xludf.DUMMYFUNCTION("""COMPUTED_VALUE"""),7.44126)</f>
        <v>7.44126</v>
      </c>
      <c r="U271" s="32">
        <f>IFERROR(__xludf.DUMMYFUNCTION("""COMPUTED_VALUE"""),16.040156)</f>
        <v>16.040156</v>
      </c>
      <c r="V271" s="32">
        <f>IFERROR(__xludf.DUMMYFUNCTION("""COMPUTED_VALUE"""),36.164921)</f>
        <v>36.164921</v>
      </c>
      <c r="W271" s="32">
        <f>IFERROR(__xludf.DUMMYFUNCTION("""COMPUTED_VALUE"""),36.423841)</f>
        <v>36.423841</v>
      </c>
      <c r="X271" s="32">
        <f>IFERROR(__xludf.DUMMYFUNCTION("""COMPUTED_VALUE"""),24.912789)</f>
        <v>24.912789</v>
      </c>
      <c r="Y271" s="32">
        <f>IFERROR(__xludf.DUMMYFUNCTION("""COMPUTED_VALUE"""),21.431812)</f>
        <v>21.431812</v>
      </c>
      <c r="Z271" s="32">
        <f>IFERROR(__xludf.DUMMYFUNCTION("""COMPUTED_VALUE"""),16.363758)</f>
        <v>16.363758</v>
      </c>
      <c r="AA271" s="32">
        <f>IFERROR(__xludf.DUMMYFUNCTION("""COMPUTED_VALUE"""),27.5698)</f>
        <v>27.5698</v>
      </c>
      <c r="AB271" s="32">
        <f>IFERROR(__xludf.DUMMYFUNCTION("""COMPUTED_VALUE"""),29.3027)</f>
        <v>29.3027</v>
      </c>
      <c r="AC271" s="32">
        <f>IFERROR(__xludf.DUMMYFUNCTION("""COMPUTED_VALUE"""),3.5046)</f>
        <v>3.5046</v>
      </c>
      <c r="AD271" s="32">
        <f>IFERROR(__xludf.DUMMYFUNCTION("""COMPUTED_VALUE"""),2.3861)</f>
        <v>2.3861</v>
      </c>
      <c r="AE271" s="32">
        <f>IFERROR(__xludf.DUMMYFUNCTION("""COMPUTED_VALUE"""),4.180218)</f>
        <v>4.180218</v>
      </c>
      <c r="AF271" s="32">
        <f>IFERROR(__xludf.DUMMYFUNCTION("""COMPUTED_VALUE"""),1.110677)</f>
        <v>1.110677</v>
      </c>
      <c r="AG271" s="32">
        <f>IFERROR(__xludf.DUMMYFUNCTION("""COMPUTED_VALUE"""),0.2889)</f>
        <v>0.2889</v>
      </c>
      <c r="AH271" s="32">
        <f>IFERROR(__xludf.DUMMYFUNCTION("""COMPUTED_VALUE"""),24.019778)</f>
        <v>24.019778</v>
      </c>
      <c r="AI271" s="32">
        <f>IFERROR(__xludf.DUMMYFUNCTION("""COMPUTED_VALUE"""),11.363288010901853)</f>
        <v>11.36328801</v>
      </c>
      <c r="AJ271" s="32">
        <f>IFERROR(__xludf.DUMMYFUNCTION("""COMPUTED_VALUE"""),35.330133172679616)</f>
        <v>35.33013317</v>
      </c>
      <c r="AK271" s="32">
        <f>IFERROR(__xludf.DUMMYFUNCTION("""COMPUTED_VALUE"""),37.6662)</f>
        <v>37.6662</v>
      </c>
      <c r="AL271" s="32">
        <f>IFERROR(__xludf.DUMMYFUNCTION("""COMPUTED_VALUE"""),296.3109)</f>
        <v>296.3109</v>
      </c>
      <c r="AM271" s="32">
        <f>IFERROR(__xludf.DUMMYFUNCTION("""COMPUTED_VALUE"""),29.392751)</f>
        <v>29.392751</v>
      </c>
      <c r="AN271" s="32">
        <f>IFERROR(__xludf.DUMMYFUNCTION("""COMPUTED_VALUE"""),-5.02122)</f>
        <v>-5.02122</v>
      </c>
      <c r="AO271" s="32">
        <f>IFERROR(__xludf.DUMMYFUNCTION("""COMPUTED_VALUE"""),3.0)</f>
        <v>3</v>
      </c>
      <c r="AP271" s="32">
        <f>IFERROR(__xludf.DUMMYFUNCTION("""COMPUTED_VALUE"""),0.011027664226637642)</f>
        <v>0.01102766423</v>
      </c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>
      <c r="A272" s="13" t="str">
        <f>IFERROR(__xludf.DUMMYFUNCTION("""COMPUTED_VALUE"""),"Rallis India Ltd.")</f>
        <v>Rallis India Ltd.</v>
      </c>
      <c r="B272" s="30">
        <f>IFERROR(__xludf.DUMMYFUNCTION("""COMPUTED_VALUE"""),500355.0)</f>
        <v>500355</v>
      </c>
      <c r="C272" s="13" t="str">
        <f>IFERROR(__xludf.DUMMYFUNCTION("""COMPUTED_VALUE"""),"RALLIS")</f>
        <v>RALLIS</v>
      </c>
      <c r="D272" s="13" t="str">
        <f>IFERROR(__xludf.DUMMYFUNCTION("""COMPUTED_VALUE"""),"INE613A01020")</f>
        <v>INE613A01020</v>
      </c>
      <c r="E272" s="13" t="str">
        <f>IFERROR(__xludf.DUMMYFUNCTION("""COMPUTED_VALUE"""),"Chemicals")</f>
        <v>Chemicals</v>
      </c>
      <c r="F272" s="13" t="str">
        <f>IFERROR(__xludf.DUMMYFUNCTION("""COMPUTED_VALUE"""),"Pesticides")</f>
        <v>Pesticides</v>
      </c>
      <c r="G272" s="31">
        <f>IFERROR(__xludf.DUMMYFUNCTION("""COMPUTED_VALUE"""),44809.0)</f>
        <v>44809</v>
      </c>
      <c r="H272" s="32">
        <f>IFERROR(__xludf.DUMMYFUNCTION("""COMPUTED_VALUE"""),225.25)</f>
        <v>225.25</v>
      </c>
      <c r="I272" s="32">
        <f>IFERROR(__xludf.DUMMYFUNCTION("""COMPUTED_VALUE"""),-0.353904)</f>
        <v>-0.353904</v>
      </c>
      <c r="J272" s="32">
        <f>IFERROR(__xludf.DUMMYFUNCTION("""COMPUTED_VALUE"""),182.5)</f>
        <v>182.5</v>
      </c>
      <c r="K272" s="32">
        <f>IFERROR(__xludf.DUMMYFUNCTION("""COMPUTED_VALUE"""),324.85)</f>
        <v>324.85</v>
      </c>
      <c r="L272" s="32">
        <f>IFERROR(__xludf.DUMMYFUNCTION("""COMPUTED_VALUE"""),125.0)</f>
        <v>125</v>
      </c>
      <c r="M272" s="32">
        <f>IFERROR(__xludf.DUMMYFUNCTION("""COMPUTED_VALUE"""),362.6)</f>
        <v>362.6</v>
      </c>
      <c r="N272" s="32">
        <f>IFERROR(__xludf.DUMMYFUNCTION("""COMPUTED_VALUE"""),125.0)</f>
        <v>125</v>
      </c>
      <c r="O272" s="32">
        <f>IFERROR(__xludf.DUMMYFUNCTION("""COMPUTED_VALUE"""),362.6)</f>
        <v>362.6</v>
      </c>
      <c r="P272" s="32">
        <f>IFERROR(__xludf.DUMMYFUNCTION("""COMPUTED_VALUE"""),1.936667)</f>
        <v>1.936667</v>
      </c>
      <c r="Q272" s="32">
        <f>IFERROR(__xludf.DUMMYFUNCTION("""COMPUTED_VALUE"""),362.6)</f>
        <v>362.6</v>
      </c>
      <c r="R272" s="32">
        <f>IFERROR(__xludf.DUMMYFUNCTION("""COMPUTED_VALUE"""),4383.3287806)</f>
        <v>4383.328781</v>
      </c>
      <c r="S272" s="32">
        <f>IFERROR(__xludf.DUMMYFUNCTION("""COMPUTED_VALUE"""),4181.026914)</f>
        <v>4181.026914</v>
      </c>
      <c r="T272" s="32">
        <f>IFERROR(__xludf.DUMMYFUNCTION("""COMPUTED_VALUE"""),-0.353904)</f>
        <v>-0.353904</v>
      </c>
      <c r="U272" s="32">
        <f>IFERROR(__xludf.DUMMYFUNCTION("""COMPUTED_VALUE"""),1.054284)</f>
        <v>1.054284</v>
      </c>
      <c r="V272" s="32">
        <f>IFERROR(__xludf.DUMMYFUNCTION("""COMPUTED_VALUE"""),11.981109)</f>
        <v>11.981109</v>
      </c>
      <c r="W272" s="32">
        <f>IFERROR(__xludf.DUMMYFUNCTION("""COMPUTED_VALUE"""),-19.323066)</f>
        <v>-19.323066</v>
      </c>
      <c r="X272" s="32">
        <f>IFERROR(__xludf.DUMMYFUNCTION("""COMPUTED_VALUE"""),12.845891)</f>
        <v>12.845891</v>
      </c>
      <c r="Y272" s="32">
        <f>IFERROR(__xludf.DUMMYFUNCTION("""COMPUTED_VALUE"""),0.26852)</f>
        <v>0.26852</v>
      </c>
      <c r="Z272" s="32">
        <f>IFERROR(__xludf.DUMMYFUNCTION("""COMPUTED_VALUE"""),5.121035)</f>
        <v>5.121035</v>
      </c>
      <c r="AA272" s="32">
        <f>IFERROR(__xludf.DUMMYFUNCTION("""COMPUTED_VALUE"""),29.3533)</f>
        <v>29.3533</v>
      </c>
      <c r="AB272" s="32">
        <f>IFERROR(__xludf.DUMMYFUNCTION("""COMPUTED_VALUE"""),23.84485)</f>
        <v>23.84485</v>
      </c>
      <c r="AC272" s="32">
        <f>IFERROR(__xludf.DUMMYFUNCTION("""COMPUTED_VALUE"""),2.4847)</f>
        <v>2.4847</v>
      </c>
      <c r="AD272" s="32">
        <f>IFERROR(__xludf.DUMMYFUNCTION("""COMPUTED_VALUE"""),3.07395)</f>
        <v>3.07395</v>
      </c>
      <c r="AE272" s="32">
        <f>IFERROR(__xludf.DUMMYFUNCTION("""COMPUTED_VALUE"""),5.604219)</f>
        <v>5.604219</v>
      </c>
      <c r="AF272" s="32">
        <f>IFERROR(__xludf.DUMMYFUNCTION("""COMPUTED_VALUE"""),23.904818)</f>
        <v>23.904818</v>
      </c>
      <c r="AG272" s="32">
        <f>IFERROR(__xludf.DUMMYFUNCTION("""COMPUTED_VALUE"""),1.331)</f>
        <v>1.331</v>
      </c>
      <c r="AH272" s="32">
        <f>IFERROR(__xludf.DUMMYFUNCTION("""COMPUTED_VALUE"""),14.433759)</f>
        <v>14.433759</v>
      </c>
      <c r="AI272" s="32">
        <f>IFERROR(__xludf.DUMMYFUNCTION("""COMPUTED_VALUE"""),1.6078529750568558)</f>
        <v>1.607852975</v>
      </c>
      <c r="AJ272" s="32">
        <f>IFERROR(__xludf.DUMMYFUNCTION("""COMPUTED_VALUE"""),26.434928279452258)</f>
        <v>26.43492828</v>
      </c>
      <c r="AK272" s="32">
        <f>IFERROR(__xludf.DUMMYFUNCTION("""COMPUTED_VALUE"""),7.6789)</f>
        <v>7.6789</v>
      </c>
      <c r="AL272" s="32">
        <f>IFERROR(__xludf.DUMMYFUNCTION("""COMPUTED_VALUE"""),90.7149)</f>
        <v>90.7149</v>
      </c>
      <c r="AM272" s="32">
        <f>IFERROR(__xludf.DUMMYFUNCTION("""COMPUTED_VALUE"""),8.526593)</f>
        <v>8.526593</v>
      </c>
      <c r="AN272" s="32">
        <f>IFERROR(__xludf.DUMMYFUNCTION("""COMPUTED_VALUE"""),-1.103256)</f>
        <v>-1.103256</v>
      </c>
      <c r="AO272" s="32">
        <f>IFERROR(__xludf.DUMMYFUNCTION("""COMPUTED_VALUE"""),3.0)</f>
        <v>3</v>
      </c>
      <c r="AP272" s="32">
        <f>IFERROR(__xludf.DUMMYFUNCTION("""COMPUTED_VALUE"""),0.30660304756041257)</f>
        <v>0.3066030476</v>
      </c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>
      <c r="A273" s="13" t="str">
        <f>IFERROR(__xludf.DUMMYFUNCTION("""COMPUTED_VALUE"""),"Saregama India Ltd.")</f>
        <v>Saregama India Ltd.</v>
      </c>
      <c r="B273" s="30">
        <f>IFERROR(__xludf.DUMMYFUNCTION("""COMPUTED_VALUE"""),532163.0)</f>
        <v>532163</v>
      </c>
      <c r="C273" s="13" t="str">
        <f>IFERROR(__xludf.DUMMYFUNCTION("""COMPUTED_VALUE"""),"SAREGAMA")</f>
        <v>SAREGAMA</v>
      </c>
      <c r="D273" s="13" t="str">
        <f>IFERROR(__xludf.DUMMYFUNCTION("""COMPUTED_VALUE"""),"INE979A01025")</f>
        <v>INE979A01025</v>
      </c>
      <c r="E273" s="13" t="str">
        <f>IFERROR(__xludf.DUMMYFUNCTION("""COMPUTED_VALUE"""),"Services")</f>
        <v>Services</v>
      </c>
      <c r="F273" s="13" t="str">
        <f>IFERROR(__xludf.DUMMYFUNCTION("""COMPUTED_VALUE"""),"Media &amp; Entertainment")</f>
        <v>Media &amp; Entertainment</v>
      </c>
      <c r="G273" s="31">
        <f>IFERROR(__xludf.DUMMYFUNCTION("""COMPUTED_VALUE"""),44809.0)</f>
        <v>44809</v>
      </c>
      <c r="H273" s="32">
        <f>IFERROR(__xludf.DUMMYFUNCTION("""COMPUTED_VALUE"""),412.1)</f>
        <v>412.1</v>
      </c>
      <c r="I273" s="32">
        <f>IFERROR(__xludf.DUMMYFUNCTION("""COMPUTED_VALUE"""),0.012134)</f>
        <v>0.012134</v>
      </c>
      <c r="J273" s="32">
        <f>IFERROR(__xludf.DUMMYFUNCTION("""COMPUTED_VALUE"""),325.0)</f>
        <v>325</v>
      </c>
      <c r="K273" s="32">
        <f>IFERROR(__xludf.DUMMYFUNCTION("""COMPUTED_VALUE"""),550.585)</f>
        <v>550.585</v>
      </c>
      <c r="L273" s="32">
        <f>IFERROR(__xludf.DUMMYFUNCTION("""COMPUTED_VALUE"""),18.185)</f>
        <v>18.185</v>
      </c>
      <c r="M273" s="32">
        <f>IFERROR(__xludf.DUMMYFUNCTION("""COMPUTED_VALUE"""),550.585)</f>
        <v>550.585</v>
      </c>
      <c r="N273" s="32">
        <f>IFERROR(__xludf.DUMMYFUNCTION("""COMPUTED_VALUE"""),18.185)</f>
        <v>18.185</v>
      </c>
      <c r="O273" s="32">
        <f>IFERROR(__xludf.DUMMYFUNCTION("""COMPUTED_VALUE"""),550.585)</f>
        <v>550.585</v>
      </c>
      <c r="P273" s="32">
        <f>IFERROR(__xludf.DUMMYFUNCTION("""COMPUTED_VALUE"""),3.026004)</f>
        <v>3.026004</v>
      </c>
      <c r="Q273" s="32">
        <f>IFERROR(__xludf.DUMMYFUNCTION("""COMPUTED_VALUE"""),550.585)</f>
        <v>550.585</v>
      </c>
      <c r="R273" s="32">
        <f>IFERROR(__xludf.DUMMYFUNCTION("""COMPUTED_VALUE"""),7966.8881268)</f>
        <v>7966.888127</v>
      </c>
      <c r="S273" s="32">
        <f>IFERROR(__xludf.DUMMYFUNCTION("""COMPUTED_VALUE"""),7094.07192525)</f>
        <v>7094.071925</v>
      </c>
      <c r="T273" s="32">
        <f>IFERROR(__xludf.DUMMYFUNCTION("""COMPUTED_VALUE"""),1.402559)</f>
        <v>1.402559</v>
      </c>
      <c r="U273" s="32">
        <f>IFERROR(__xludf.DUMMYFUNCTION("""COMPUTED_VALUE"""),1.552489)</f>
        <v>1.552489</v>
      </c>
      <c r="V273" s="32">
        <f>IFERROR(__xludf.DUMMYFUNCTION("""COMPUTED_VALUE"""),-0.458937)</f>
        <v>-0.458937</v>
      </c>
      <c r="W273" s="32">
        <f>IFERROR(__xludf.DUMMYFUNCTION("""COMPUTED_VALUE"""),24.221917)</f>
        <v>24.221917</v>
      </c>
      <c r="X273" s="32">
        <f>IFERROR(__xludf.DUMMYFUNCTION("""COMPUTED_VALUE"""),131.386684)</f>
        <v>131.386684</v>
      </c>
      <c r="Y273" s="32">
        <f>IFERROR(__xludf.DUMMYFUNCTION("""COMPUTED_VALUE"""),54.356715)</f>
        <v>54.356715</v>
      </c>
      <c r="Z273" s="32">
        <f>IFERROR(__xludf.DUMMYFUNCTION("""COMPUTED_VALUE"""),47.248343)</f>
        <v>47.248343</v>
      </c>
      <c r="AA273" s="32">
        <f>IFERROR(__xludf.DUMMYFUNCTION("""COMPUTED_VALUE"""),47.7574)</f>
        <v>47.7574</v>
      </c>
      <c r="AB273" s="32">
        <f>IFERROR(__xludf.DUMMYFUNCTION("""COMPUTED_VALUE"""),23.7407)</f>
        <v>23.7407</v>
      </c>
      <c r="AC273" s="32">
        <f>IFERROR(__xludf.DUMMYFUNCTION("""COMPUTED_VALUE"""),6.094)</f>
        <v>6.094</v>
      </c>
      <c r="AD273" s="32">
        <f>IFERROR(__xludf.DUMMYFUNCTION("""COMPUTED_VALUE"""),3.74185)</f>
        <v>3.74185</v>
      </c>
      <c r="AE273" s="32">
        <f>IFERROR(__xludf.DUMMYFUNCTION("""COMPUTED_VALUE"""),3.804488)</f>
        <v>3.804488</v>
      </c>
      <c r="AF273" s="32">
        <f>IFERROR(__xludf.DUMMYFUNCTION("""COMPUTED_VALUE"""),0.615743)</f>
        <v>0.615743</v>
      </c>
      <c r="AG273" s="32">
        <f>IFERROR(__xludf.DUMMYFUNCTION("""COMPUTED_VALUE"""),0.0729)</f>
        <v>0.0729</v>
      </c>
      <c r="AH273" s="32">
        <f>IFERROR(__xludf.DUMMYFUNCTION("""COMPUTED_VALUE"""),29.130177)</f>
        <v>29.130177</v>
      </c>
      <c r="AI273" s="32">
        <f>IFERROR(__xludf.DUMMYFUNCTION("""COMPUTED_VALUE"""),12.352339065072794)</f>
        <v>12.35233907</v>
      </c>
      <c r="AJ273" s="32">
        <f>IFERROR(__xludf.DUMMYFUNCTION("""COMPUTED_VALUE"""),84.37247818167184)</f>
        <v>84.37247818</v>
      </c>
      <c r="AK273" s="32">
        <f>IFERROR(__xludf.DUMMYFUNCTION("""COMPUTED_VALUE"""),8.6521)</f>
        <v>8.6521</v>
      </c>
      <c r="AL273" s="32">
        <f>IFERROR(__xludf.DUMMYFUNCTION("""COMPUTED_VALUE"""),67.8043)</f>
        <v>67.8043</v>
      </c>
      <c r="AM273" s="32">
        <f>IFERROR(__xludf.DUMMYFUNCTION("""COMPUTED_VALUE"""),4.897344)</f>
        <v>4.897344</v>
      </c>
      <c r="AN273" s="32">
        <f>IFERROR(__xludf.DUMMYFUNCTION("""COMPUTED_VALUE"""),2.807291)</f>
        <v>2.807291</v>
      </c>
      <c r="AO273" s="32">
        <f>IFERROR(__xludf.DUMMYFUNCTION("""COMPUTED_VALUE"""),3.0)</f>
        <v>3</v>
      </c>
      <c r="AP273" s="32">
        <f>IFERROR(__xludf.DUMMYFUNCTION("""COMPUTED_VALUE"""),0.25153017671951905)</f>
        <v>0.2515301767</v>
      </c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>
      <c r="A274" s="13" t="str">
        <f>IFERROR(__xludf.DUMMYFUNCTION("""COMPUTED_VALUE"""),"Sobha Ltd.")</f>
        <v>Sobha Ltd.</v>
      </c>
      <c r="B274" s="30">
        <f>IFERROR(__xludf.DUMMYFUNCTION("""COMPUTED_VALUE"""),532784.0)</f>
        <v>532784</v>
      </c>
      <c r="C274" s="13" t="str">
        <f>IFERROR(__xludf.DUMMYFUNCTION("""COMPUTED_VALUE"""),"SOBHA")</f>
        <v>SOBHA</v>
      </c>
      <c r="D274" s="13" t="str">
        <f>IFERROR(__xludf.DUMMYFUNCTION("""COMPUTED_VALUE"""),"INE671H01015")</f>
        <v>INE671H01015</v>
      </c>
      <c r="E274" s="13" t="str">
        <f>IFERROR(__xludf.DUMMYFUNCTION("""COMPUTED_VALUE"""),"Construction")</f>
        <v>Construction</v>
      </c>
      <c r="F274" s="13" t="str">
        <f>IFERROR(__xludf.DUMMYFUNCTION("""COMPUTED_VALUE"""),"Real Estate")</f>
        <v>Real Estate</v>
      </c>
      <c r="G274" s="31">
        <f>IFERROR(__xludf.DUMMYFUNCTION("""COMPUTED_VALUE"""),44809.0)</f>
        <v>44809</v>
      </c>
      <c r="H274" s="32">
        <f>IFERROR(__xludf.DUMMYFUNCTION("""COMPUTED_VALUE"""),708.1)</f>
        <v>708.1</v>
      </c>
      <c r="I274" s="32">
        <f>IFERROR(__xludf.DUMMYFUNCTION("""COMPUTED_VALUE"""),0.696815)</f>
        <v>0.696815</v>
      </c>
      <c r="J274" s="32">
        <f>IFERROR(__xludf.DUMMYFUNCTION("""COMPUTED_VALUE"""),480.2)</f>
        <v>480.2</v>
      </c>
      <c r="K274" s="32">
        <f>IFERROR(__xludf.DUMMYFUNCTION("""COMPUTED_VALUE"""),1045.0)</f>
        <v>1045</v>
      </c>
      <c r="L274" s="32">
        <f>IFERROR(__xludf.DUMMYFUNCTION("""COMPUTED_VALUE"""),117.9)</f>
        <v>117.9</v>
      </c>
      <c r="M274" s="32">
        <f>IFERROR(__xludf.DUMMYFUNCTION("""COMPUTED_VALUE"""),1045.0)</f>
        <v>1045</v>
      </c>
      <c r="N274" s="32">
        <f>IFERROR(__xludf.DUMMYFUNCTION("""COMPUTED_VALUE"""),117.9)</f>
        <v>117.9</v>
      </c>
      <c r="O274" s="32">
        <f>IFERROR(__xludf.DUMMYFUNCTION("""COMPUTED_VALUE"""),1045.0)</f>
        <v>1045</v>
      </c>
      <c r="P274" s="32">
        <f>IFERROR(__xludf.DUMMYFUNCTION("""COMPUTED_VALUE"""),61.0)</f>
        <v>61</v>
      </c>
      <c r="Q274" s="32">
        <f>IFERROR(__xludf.DUMMYFUNCTION("""COMPUTED_VALUE"""),1248.0)</f>
        <v>1248</v>
      </c>
      <c r="R274" s="32">
        <f>IFERROR(__xludf.DUMMYFUNCTION("""COMPUTED_VALUE"""),6725.993665495)</f>
        <v>6725.993665</v>
      </c>
      <c r="S274" s="32">
        <f>IFERROR(__xludf.DUMMYFUNCTION("""COMPUTED_VALUE"""),9000.194904875)</f>
        <v>9000.194905</v>
      </c>
      <c r="T274" s="32">
        <f>IFERROR(__xludf.DUMMYFUNCTION("""COMPUTED_VALUE"""),-0.561719)</f>
        <v>-0.561719</v>
      </c>
      <c r="U274" s="32">
        <f>IFERROR(__xludf.DUMMYFUNCTION("""COMPUTED_VALUE"""),5.207637)</f>
        <v>5.207637</v>
      </c>
      <c r="V274" s="32">
        <f>IFERROR(__xludf.DUMMYFUNCTION("""COMPUTED_VALUE"""),32.826862)</f>
        <v>32.826862</v>
      </c>
      <c r="W274" s="32">
        <f>IFERROR(__xludf.DUMMYFUNCTION("""COMPUTED_VALUE"""),-7.973228)</f>
        <v>-7.973228</v>
      </c>
      <c r="X274" s="32">
        <f>IFERROR(__xludf.DUMMYFUNCTION("""COMPUTED_VALUE"""),9.811528)</f>
        <v>9.811528</v>
      </c>
      <c r="Y274" s="32">
        <f>IFERROR(__xludf.DUMMYFUNCTION("""COMPUTED_VALUE"""),12.718581)</f>
        <v>12.718581</v>
      </c>
      <c r="Z274" s="32">
        <f>IFERROR(__xludf.DUMMYFUNCTION("""COMPUTED_VALUE"""),7.771761)</f>
        <v>7.771761</v>
      </c>
      <c r="AA274" s="32">
        <f>IFERROR(__xludf.DUMMYFUNCTION("""COMPUTED_VALUE"""),56.1904)</f>
        <v>56.1904</v>
      </c>
      <c r="AB274" s="32">
        <f>IFERROR(__xludf.DUMMYFUNCTION("""COMPUTED_VALUE"""),20.64455)</f>
        <v>20.64455</v>
      </c>
      <c r="AC274" s="32">
        <f>IFERROR(__xludf.DUMMYFUNCTION("""COMPUTED_VALUE"""),2.6646)</f>
        <v>2.6646</v>
      </c>
      <c r="AD274" s="32">
        <f>IFERROR(__xludf.DUMMYFUNCTION("""COMPUTED_VALUE"""),1.9149)</f>
        <v>1.9149</v>
      </c>
      <c r="AE274" s="32">
        <f>IFERROR(__xludf.DUMMYFUNCTION("""COMPUTED_VALUE"""),11.203777)</f>
        <v>11.203777</v>
      </c>
      <c r="AF274" s="32">
        <f>IFERROR(__xludf.DUMMYFUNCTION("""COMPUTED_VALUE"""),-9.683372)</f>
        <v>-9.683372</v>
      </c>
      <c r="AG274" s="32">
        <f>IFERROR(__xludf.DUMMYFUNCTION("""COMPUTED_VALUE"""),0.4239)</f>
        <v>0.4239</v>
      </c>
      <c r="AH274" s="32">
        <f>IFERROR(__xludf.DUMMYFUNCTION("""COMPUTED_VALUE"""),9.06364)</f>
        <v>9.06364</v>
      </c>
      <c r="AI274" s="32">
        <f>IFERROR(__xludf.DUMMYFUNCTION("""COMPUTED_VALUE"""),2.4019690256035284)</f>
        <v>2.401969026</v>
      </c>
      <c r="AJ274" s="32">
        <f>IFERROR(__xludf.DUMMYFUNCTION("""COMPUTED_VALUE"""),8.190545020634689)</f>
        <v>8.190545021</v>
      </c>
      <c r="AK274" s="32">
        <f>IFERROR(__xludf.DUMMYFUNCTION("""COMPUTED_VALUE"""),12.6205)</f>
        <v>12.6205</v>
      </c>
      <c r="AL274" s="32">
        <f>IFERROR(__xludf.DUMMYFUNCTION("""COMPUTED_VALUE"""),266.1393)</f>
        <v>266.1393</v>
      </c>
      <c r="AM274" s="32">
        <f>IFERROR(__xludf.DUMMYFUNCTION("""COMPUTED_VALUE"""),86.581406)</f>
        <v>86.581406</v>
      </c>
      <c r="AN274" s="32">
        <f>IFERROR(__xludf.DUMMYFUNCTION("""COMPUTED_VALUE"""),13.465302)</f>
        <v>13.465302</v>
      </c>
      <c r="AO274" s="32">
        <f>IFERROR(__xludf.DUMMYFUNCTION("""COMPUTED_VALUE"""),3.0)</f>
        <v>3</v>
      </c>
      <c r="AP274" s="32">
        <f>IFERROR(__xludf.DUMMYFUNCTION("""COMPUTED_VALUE"""),0.3223923444976076)</f>
        <v>0.3223923445</v>
      </c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>
      <c r="A275" s="13" t="str">
        <f>IFERROR(__xludf.DUMMYFUNCTION("""COMPUTED_VALUE"""),"The Ramco Cements Ltd.")</f>
        <v>The Ramco Cements Ltd.</v>
      </c>
      <c r="B275" s="30">
        <f>IFERROR(__xludf.DUMMYFUNCTION("""COMPUTED_VALUE"""),500260.0)</f>
        <v>500260</v>
      </c>
      <c r="C275" s="13" t="str">
        <f>IFERROR(__xludf.DUMMYFUNCTION("""COMPUTED_VALUE"""),"RAMCOCEM")</f>
        <v>RAMCOCEM</v>
      </c>
      <c r="D275" s="13" t="str">
        <f>IFERROR(__xludf.DUMMYFUNCTION("""COMPUTED_VALUE"""),"INE331A01037")</f>
        <v>INE331A01037</v>
      </c>
      <c r="E275" s="13" t="str">
        <f>IFERROR(__xludf.DUMMYFUNCTION("""COMPUTED_VALUE"""),"Materials")</f>
        <v>Materials</v>
      </c>
      <c r="F275" s="13" t="str">
        <f>IFERROR(__xludf.DUMMYFUNCTION("""COMPUTED_VALUE"""),"Cement")</f>
        <v>Cement</v>
      </c>
      <c r="G275" s="31">
        <f>IFERROR(__xludf.DUMMYFUNCTION("""COMPUTED_VALUE"""),44809.0)</f>
        <v>44809</v>
      </c>
      <c r="H275" s="32">
        <f>IFERROR(__xludf.DUMMYFUNCTION("""COMPUTED_VALUE"""),755.4)</f>
        <v>755.4</v>
      </c>
      <c r="I275" s="32">
        <f>IFERROR(__xludf.DUMMYFUNCTION("""COMPUTED_VALUE"""),0.955563)</f>
        <v>0.955563</v>
      </c>
      <c r="J275" s="32">
        <f>IFERROR(__xludf.DUMMYFUNCTION("""COMPUTED_VALUE"""),575.65)</f>
        <v>575.65</v>
      </c>
      <c r="K275" s="32">
        <f>IFERROR(__xludf.DUMMYFUNCTION("""COMPUTED_VALUE"""),1119.6)</f>
        <v>1119.6</v>
      </c>
      <c r="L275" s="32">
        <f>IFERROR(__xludf.DUMMYFUNCTION("""COMPUTED_VALUE"""),455.0)</f>
        <v>455</v>
      </c>
      <c r="M275" s="32">
        <f>IFERROR(__xludf.DUMMYFUNCTION("""COMPUTED_VALUE"""),1132.7)</f>
        <v>1132.7</v>
      </c>
      <c r="N275" s="32">
        <f>IFERROR(__xludf.DUMMYFUNCTION("""COMPUTED_VALUE"""),455.0)</f>
        <v>455</v>
      </c>
      <c r="O275" s="32">
        <f>IFERROR(__xludf.DUMMYFUNCTION("""COMPUTED_VALUE"""),1132.7)</f>
        <v>1132.7</v>
      </c>
      <c r="P275" s="32">
        <f>IFERROR(__xludf.DUMMYFUNCTION("""COMPUTED_VALUE"""),16.0)</f>
        <v>16</v>
      </c>
      <c r="Q275" s="32">
        <f>IFERROR(__xludf.DUMMYFUNCTION("""COMPUTED_VALUE"""),1132.7)</f>
        <v>1132.7</v>
      </c>
      <c r="R275" s="32">
        <f>IFERROR(__xludf.DUMMYFUNCTION("""COMPUTED_VALUE"""),17849.5263852)</f>
        <v>17849.52639</v>
      </c>
      <c r="S275" s="32">
        <f>IFERROR(__xludf.DUMMYFUNCTION("""COMPUTED_VALUE"""),21424.9585621)</f>
        <v>21424.95856</v>
      </c>
      <c r="T275" s="32">
        <f>IFERROR(__xludf.DUMMYFUNCTION("""COMPUTED_VALUE"""),1.205788)</f>
        <v>1.205788</v>
      </c>
      <c r="U275" s="32">
        <f>IFERROR(__xludf.DUMMYFUNCTION("""COMPUTED_VALUE"""),2.642843)</f>
        <v>2.642843</v>
      </c>
      <c r="V275" s="32">
        <f>IFERROR(__xludf.DUMMYFUNCTION("""COMPUTED_VALUE"""),19.752695)</f>
        <v>19.752695</v>
      </c>
      <c r="W275" s="32">
        <f>IFERROR(__xludf.DUMMYFUNCTION("""COMPUTED_VALUE"""),-27.830324)</f>
        <v>-27.830324</v>
      </c>
      <c r="X275" s="32">
        <f>IFERROR(__xludf.DUMMYFUNCTION("""COMPUTED_VALUE"""),2.340444)</f>
        <v>2.340444</v>
      </c>
      <c r="Y275" s="32">
        <f>IFERROR(__xludf.DUMMYFUNCTION("""COMPUTED_VALUE"""),1.632467)</f>
        <v>1.632467</v>
      </c>
      <c r="Z275" s="32">
        <f>IFERROR(__xludf.DUMMYFUNCTION("""COMPUTED_VALUE"""),15.263396)</f>
        <v>15.263396</v>
      </c>
      <c r="AA275" s="32">
        <f>IFERROR(__xludf.DUMMYFUNCTION("""COMPUTED_VALUE"""),21.8031)</f>
        <v>21.8031</v>
      </c>
      <c r="AB275" s="32">
        <f>IFERROR(__xludf.DUMMYFUNCTION("""COMPUTED_VALUE"""),29.8685)</f>
        <v>29.8685</v>
      </c>
      <c r="AC275" s="32">
        <f>IFERROR(__xludf.DUMMYFUNCTION("""COMPUTED_VALUE"""),2.6527)</f>
        <v>2.6527</v>
      </c>
      <c r="AD275" s="32">
        <f>IFERROR(__xludf.DUMMYFUNCTION("""COMPUTED_VALUE"""),3.76265)</f>
        <v>3.76265</v>
      </c>
      <c r="AE275" s="32">
        <f>IFERROR(__xludf.DUMMYFUNCTION("""COMPUTED_VALUE"""),4.034351)</f>
        <v>4.034351</v>
      </c>
      <c r="AF275" s="32">
        <f>IFERROR(__xludf.DUMMYFUNCTION("""COMPUTED_VALUE"""),3.397547)</f>
        <v>3.397547</v>
      </c>
      <c r="AG275" s="32">
        <f>IFERROR(__xludf.DUMMYFUNCTION("""COMPUTED_VALUE"""),0.3971)</f>
        <v>0.3971</v>
      </c>
      <c r="AH275" s="32">
        <f>IFERROR(__xludf.DUMMYFUNCTION("""COMPUTED_VALUE"""),17.062979)</f>
        <v>17.062979</v>
      </c>
      <c r="AI275" s="32">
        <f>IFERROR(__xludf.DUMMYFUNCTION("""COMPUTED_VALUE"""),2.770994353107011)</f>
        <v>2.770994353</v>
      </c>
      <c r="AJ275" s="32">
        <f>IFERROR(__xludf.DUMMYFUNCTION("""COMPUTED_VALUE"""),15.727979262483588)</f>
        <v>15.72797926</v>
      </c>
      <c r="AK275" s="32">
        <f>IFERROR(__xludf.DUMMYFUNCTION("""COMPUTED_VALUE"""),34.6626)</f>
        <v>34.6626</v>
      </c>
      <c r="AL275" s="32">
        <f>IFERROR(__xludf.DUMMYFUNCTION("""COMPUTED_VALUE"""),284.8953)</f>
        <v>284.8953</v>
      </c>
      <c r="AM275" s="32">
        <f>IFERROR(__xludf.DUMMYFUNCTION("""COMPUTED_VALUE"""),48.027507)</f>
        <v>48.027507</v>
      </c>
      <c r="AN275" s="32">
        <f>IFERROR(__xludf.DUMMYFUNCTION("""COMPUTED_VALUE"""),-22.757512)</f>
        <v>-22.757512</v>
      </c>
      <c r="AO275" s="32">
        <f>IFERROR(__xludf.DUMMYFUNCTION("""COMPUTED_VALUE"""),3.0)</f>
        <v>3</v>
      </c>
      <c r="AP275" s="32">
        <f>IFERROR(__xludf.DUMMYFUNCTION("""COMPUTED_VALUE"""),0.32529474812433007)</f>
        <v>0.3252947481</v>
      </c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>
      <c r="A276" s="13" t="str">
        <f>IFERROR(__xludf.DUMMYFUNCTION("""COMPUTED_VALUE"""),"Uflex Ltd.")</f>
        <v>Uflex Ltd.</v>
      </c>
      <c r="B276" s="30">
        <f>IFERROR(__xludf.DUMMYFUNCTION("""COMPUTED_VALUE"""),500148.0)</f>
        <v>500148</v>
      </c>
      <c r="C276" s="13" t="str">
        <f>IFERROR(__xludf.DUMMYFUNCTION("""COMPUTED_VALUE"""),"UFLEX")</f>
        <v>UFLEX</v>
      </c>
      <c r="D276" s="13" t="str">
        <f>IFERROR(__xludf.DUMMYFUNCTION("""COMPUTED_VALUE"""),"INE516A01017")</f>
        <v>INE516A01017</v>
      </c>
      <c r="E276" s="13" t="str">
        <f>IFERROR(__xludf.DUMMYFUNCTION("""COMPUTED_VALUE"""),"Materials")</f>
        <v>Materials</v>
      </c>
      <c r="F276" s="13" t="str">
        <f>IFERROR(__xludf.DUMMYFUNCTION("""COMPUTED_VALUE"""),"Packaging &amp; Containers")</f>
        <v>Packaging &amp; Containers</v>
      </c>
      <c r="G276" s="31">
        <f>IFERROR(__xludf.DUMMYFUNCTION("""COMPUTED_VALUE"""),44809.0)</f>
        <v>44809</v>
      </c>
      <c r="H276" s="32">
        <f>IFERROR(__xludf.DUMMYFUNCTION("""COMPUTED_VALUE"""),763.5)</f>
        <v>763.5</v>
      </c>
      <c r="I276" s="32">
        <f>IFERROR(__xludf.DUMMYFUNCTION("""COMPUTED_VALUE"""),1.71185)</f>
        <v>1.71185</v>
      </c>
      <c r="J276" s="32">
        <f>IFERROR(__xludf.DUMMYFUNCTION("""COMPUTED_VALUE"""),431.65)</f>
        <v>431.65</v>
      </c>
      <c r="K276" s="32">
        <f>IFERROR(__xludf.DUMMYFUNCTION("""COMPUTED_VALUE"""),811.05)</f>
        <v>811.05</v>
      </c>
      <c r="L276" s="32">
        <f>IFERROR(__xludf.DUMMYFUNCTION("""COMPUTED_VALUE"""),118.25)</f>
        <v>118.25</v>
      </c>
      <c r="M276" s="32">
        <f>IFERROR(__xludf.DUMMYFUNCTION("""COMPUTED_VALUE"""),811.05)</f>
        <v>811.05</v>
      </c>
      <c r="N276" s="32">
        <f>IFERROR(__xludf.DUMMYFUNCTION("""COMPUTED_VALUE"""),118.25)</f>
        <v>118.25</v>
      </c>
      <c r="O276" s="32">
        <f>IFERROR(__xludf.DUMMYFUNCTION("""COMPUTED_VALUE"""),811.05)</f>
        <v>811.05</v>
      </c>
      <c r="P276" s="32">
        <f>IFERROR(__xludf.DUMMYFUNCTION("""COMPUTED_VALUE"""),9.05)</f>
        <v>9.05</v>
      </c>
      <c r="Q276" s="32">
        <f>IFERROR(__xludf.DUMMYFUNCTION("""COMPUTED_VALUE"""),811.05)</f>
        <v>811.05</v>
      </c>
      <c r="R276" s="32">
        <f>IFERROR(__xludf.DUMMYFUNCTION("""COMPUTED_VALUE"""),5513.3469561)</f>
        <v>5513.346956</v>
      </c>
      <c r="S276" s="32">
        <f>IFERROR(__xludf.DUMMYFUNCTION("""COMPUTED_VALUE"""),9407.42460664)</f>
        <v>9407.424607</v>
      </c>
      <c r="T276" s="32">
        <f>IFERROR(__xludf.DUMMYFUNCTION("""COMPUTED_VALUE"""),-5.143496)</f>
        <v>-5.143496</v>
      </c>
      <c r="U276" s="32">
        <f>IFERROR(__xludf.DUMMYFUNCTION("""COMPUTED_VALUE"""),21.984343)</f>
        <v>21.984343</v>
      </c>
      <c r="V276" s="32">
        <f>IFERROR(__xludf.DUMMYFUNCTION("""COMPUTED_VALUE"""),23.824197)</f>
        <v>23.824197</v>
      </c>
      <c r="W276" s="32">
        <f>IFERROR(__xludf.DUMMYFUNCTION("""COMPUTED_VALUE"""),56.08709)</f>
        <v>56.08709</v>
      </c>
      <c r="X276" s="32">
        <f>IFERROR(__xludf.DUMMYFUNCTION("""COMPUTED_VALUE"""),54.906462)</f>
        <v>54.906462</v>
      </c>
      <c r="Y276" s="32">
        <f>IFERROR(__xludf.DUMMYFUNCTION("""COMPUTED_VALUE"""),12.528606)</f>
        <v>12.528606</v>
      </c>
      <c r="Z276" s="32">
        <f>IFERROR(__xludf.DUMMYFUNCTION("""COMPUTED_VALUE"""),22.933697)</f>
        <v>22.933697</v>
      </c>
      <c r="AA276" s="32">
        <f>IFERROR(__xludf.DUMMYFUNCTION("""COMPUTED_VALUE"""),4.5598)</f>
        <v>4.5598</v>
      </c>
      <c r="AB276" s="32">
        <f>IFERROR(__xludf.DUMMYFUNCTION("""COMPUTED_VALUE"""),4.87115)</f>
        <v>4.87115</v>
      </c>
      <c r="AC276" s="32">
        <f>IFERROR(__xludf.DUMMYFUNCTION("""COMPUTED_VALUE"""),0.7806)</f>
        <v>0.7806</v>
      </c>
      <c r="AD276" s="32">
        <f>IFERROR(__xludf.DUMMYFUNCTION("""COMPUTED_VALUE"""),0.516)</f>
        <v>0.516</v>
      </c>
      <c r="AE276" s="32">
        <f>IFERROR(__xludf.DUMMYFUNCTION("""COMPUTED_VALUE"""),21.750437)</f>
        <v>21.750437</v>
      </c>
      <c r="AF276" s="32">
        <f>IFERROR(__xludf.DUMMYFUNCTION("""COMPUTED_VALUE"""),0.164034)</f>
        <v>0.164034</v>
      </c>
      <c r="AG276" s="32">
        <f>IFERROR(__xludf.DUMMYFUNCTION("""COMPUTED_VALUE"""),0.3931)</f>
        <v>0.3931</v>
      </c>
      <c r="AH276" s="32">
        <f>IFERROR(__xludf.DUMMYFUNCTION("""COMPUTED_VALUE"""),3.762263)</f>
        <v>3.762263</v>
      </c>
      <c r="AI276" s="32">
        <f>IFERROR(__xludf.DUMMYFUNCTION("""COMPUTED_VALUE"""),0.3854506234846515)</f>
        <v>0.3854506235</v>
      </c>
      <c r="AJ276" s="32">
        <f>IFERROR(__xludf.DUMMYFUNCTION("""COMPUTED_VALUE"""),7.966757830571467)</f>
        <v>7.966757831</v>
      </c>
      <c r="AK276" s="32">
        <f>IFERROR(__xludf.DUMMYFUNCTION("""COMPUTED_VALUE"""),167.3861)</f>
        <v>167.3861</v>
      </c>
      <c r="AL276" s="32">
        <f>IFERROR(__xludf.DUMMYFUNCTION("""COMPUTED_VALUE"""),977.7487)</f>
        <v>977.7487</v>
      </c>
      <c r="AM276" s="32">
        <f>IFERROR(__xludf.DUMMYFUNCTION("""COMPUTED_VALUE"""),95.835705)</f>
        <v>95.835705</v>
      </c>
      <c r="AN276" s="32">
        <f>IFERROR(__xludf.DUMMYFUNCTION("""COMPUTED_VALUE"""),-93.83709)</f>
        <v>-93.83709</v>
      </c>
      <c r="AO276" s="32">
        <f>IFERROR(__xludf.DUMMYFUNCTION("""COMPUTED_VALUE"""),3.0)</f>
        <v>3</v>
      </c>
      <c r="AP276" s="32">
        <f>IFERROR(__xludf.DUMMYFUNCTION("""COMPUTED_VALUE"""),0.05862770482707596)</f>
        <v>0.05862770483</v>
      </c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>
      <c r="A277" s="13" t="str">
        <f>IFERROR(__xludf.DUMMYFUNCTION("""COMPUTED_VALUE"""),"Rashtriya Chemicals &amp; Fertilizers Ltd.")</f>
        <v>Rashtriya Chemicals &amp; Fertilizers Ltd.</v>
      </c>
      <c r="B277" s="30">
        <f>IFERROR(__xludf.DUMMYFUNCTION("""COMPUTED_VALUE"""),524230.0)</f>
        <v>524230</v>
      </c>
      <c r="C277" s="13" t="str">
        <f>IFERROR(__xludf.DUMMYFUNCTION("""COMPUTED_VALUE"""),"RCF")</f>
        <v>RCF</v>
      </c>
      <c r="D277" s="13" t="str">
        <f>IFERROR(__xludf.DUMMYFUNCTION("""COMPUTED_VALUE"""),"INE027A01015")</f>
        <v>INE027A01015</v>
      </c>
      <c r="E277" s="13" t="str">
        <f>IFERROR(__xludf.DUMMYFUNCTION("""COMPUTED_VALUE"""),"Chemicals")</f>
        <v>Chemicals</v>
      </c>
      <c r="F277" s="13" t="str">
        <f>IFERROR(__xludf.DUMMYFUNCTION("""COMPUTED_VALUE"""),"Nitrogenous Fertilizer.")</f>
        <v>Nitrogenous Fertilizer.</v>
      </c>
      <c r="G277" s="31">
        <f>IFERROR(__xludf.DUMMYFUNCTION("""COMPUTED_VALUE"""),44809.0)</f>
        <v>44809</v>
      </c>
      <c r="H277" s="32">
        <f>IFERROR(__xludf.DUMMYFUNCTION("""COMPUTED_VALUE"""),100.2)</f>
        <v>100.2</v>
      </c>
      <c r="I277" s="32">
        <f>IFERROR(__xludf.DUMMYFUNCTION("""COMPUTED_VALUE"""),1.008065)</f>
        <v>1.008065</v>
      </c>
      <c r="J277" s="32">
        <f>IFERROR(__xludf.DUMMYFUNCTION("""COMPUTED_VALUE"""),66.0)</f>
        <v>66</v>
      </c>
      <c r="K277" s="32">
        <f>IFERROR(__xludf.DUMMYFUNCTION("""COMPUTED_VALUE"""),112.65)</f>
        <v>112.65</v>
      </c>
      <c r="L277" s="32">
        <f>IFERROR(__xludf.DUMMYFUNCTION("""COMPUTED_VALUE"""),22.0)</f>
        <v>22</v>
      </c>
      <c r="M277" s="32">
        <f>IFERROR(__xludf.DUMMYFUNCTION("""COMPUTED_VALUE"""),112.65)</f>
        <v>112.65</v>
      </c>
      <c r="N277" s="32">
        <f>IFERROR(__xludf.DUMMYFUNCTION("""COMPUTED_VALUE"""),22.0)</f>
        <v>22</v>
      </c>
      <c r="O277" s="32">
        <f>IFERROR(__xludf.DUMMYFUNCTION("""COMPUTED_VALUE"""),112.65)</f>
        <v>112.65</v>
      </c>
      <c r="P277" s="32">
        <f>IFERROR(__xludf.DUMMYFUNCTION("""COMPUTED_VALUE"""),4.0)</f>
        <v>4</v>
      </c>
      <c r="Q277" s="32">
        <f>IFERROR(__xludf.DUMMYFUNCTION("""COMPUTED_VALUE"""),150.45)</f>
        <v>150.45</v>
      </c>
      <c r="R277" s="32">
        <f>IFERROR(__xludf.DUMMYFUNCTION("""COMPUTED_VALUE"""),5527.914762)</f>
        <v>5527.914762</v>
      </c>
      <c r="S277" s="32">
        <f>IFERROR(__xludf.DUMMYFUNCTION("""COMPUTED_VALUE"""),6021.9743925)</f>
        <v>6021.974393</v>
      </c>
      <c r="T277" s="32">
        <f>IFERROR(__xludf.DUMMYFUNCTION("""COMPUTED_VALUE"""),-4.616849)</f>
        <v>-4.616849</v>
      </c>
      <c r="U277" s="32">
        <f>IFERROR(__xludf.DUMMYFUNCTION("""COMPUTED_VALUE"""),6.539075)</f>
        <v>6.539075</v>
      </c>
      <c r="V277" s="32">
        <f>IFERROR(__xludf.DUMMYFUNCTION("""COMPUTED_VALUE"""),7.626208)</f>
        <v>7.626208</v>
      </c>
      <c r="W277" s="32">
        <f>IFERROR(__xludf.DUMMYFUNCTION("""COMPUTED_VALUE"""),33.778371)</f>
        <v>33.778371</v>
      </c>
      <c r="X277" s="32">
        <f>IFERROR(__xludf.DUMMYFUNCTION("""COMPUTED_VALUE"""),35.138957)</f>
        <v>35.138957</v>
      </c>
      <c r="Y277" s="32">
        <f>IFERROR(__xludf.DUMMYFUNCTION("""COMPUTED_VALUE"""),1.382918)</f>
        <v>1.382918</v>
      </c>
      <c r="Z277" s="32">
        <f>IFERROR(__xludf.DUMMYFUNCTION("""COMPUTED_VALUE"""),6.535809)</f>
        <v>6.535809</v>
      </c>
      <c r="AA277" s="32">
        <f>IFERROR(__xludf.DUMMYFUNCTION("""COMPUTED_VALUE"""),7.1483)</f>
        <v>7.1483</v>
      </c>
      <c r="AB277" s="32">
        <f>IFERROR(__xludf.DUMMYFUNCTION("""COMPUTED_VALUE"""),18.3617)</f>
        <v>18.3617</v>
      </c>
      <c r="AC277" s="32">
        <f>IFERROR(__xludf.DUMMYFUNCTION("""COMPUTED_VALUE"""),1.3354)</f>
        <v>1.3354</v>
      </c>
      <c r="AD277" s="32">
        <f>IFERROR(__xludf.DUMMYFUNCTION("""COMPUTED_VALUE"""),1.13465)</f>
        <v>1.13465</v>
      </c>
      <c r="AE277" s="32">
        <f>IFERROR(__xludf.DUMMYFUNCTION("""COMPUTED_VALUE"""),22.121417)</f>
        <v>22.121417</v>
      </c>
      <c r="AF277" s="32">
        <f>IFERROR(__xludf.DUMMYFUNCTION("""COMPUTED_VALUE"""),0.428951)</f>
        <v>0.428951</v>
      </c>
      <c r="AG277" s="32">
        <f>IFERROR(__xludf.DUMMYFUNCTION("""COMPUTED_VALUE"""),3.7144)</f>
        <v>3.7144</v>
      </c>
      <c r="AH277" s="32">
        <f>IFERROR(__xludf.DUMMYFUNCTION("""COMPUTED_VALUE"""),4.440657)</f>
        <v>4.440657</v>
      </c>
      <c r="AI277" s="32">
        <f>IFERROR(__xludf.DUMMYFUNCTION("""COMPUTED_VALUE"""),0.3594694987248)</f>
        <v>0.3594694987</v>
      </c>
      <c r="AJ277" s="32">
        <f>IFERROR(__xludf.DUMMYFUNCTION("""COMPUTED_VALUE"""),1.0588698500932847)</f>
        <v>1.05886985</v>
      </c>
      <c r="AK277" s="32">
        <f>IFERROR(__xludf.DUMMYFUNCTION("""COMPUTED_VALUE"""),14.0103)</f>
        <v>14.0103</v>
      </c>
      <c r="AL277" s="32">
        <f>IFERROR(__xludf.DUMMYFUNCTION("""COMPUTED_VALUE"""),74.9969)</f>
        <v>74.9969</v>
      </c>
      <c r="AM277" s="32">
        <f>IFERROR(__xludf.DUMMYFUNCTION("""COMPUTED_VALUE"""),94.628868)</f>
        <v>94.628868</v>
      </c>
      <c r="AN277" s="32">
        <f>IFERROR(__xludf.DUMMYFUNCTION("""COMPUTED_VALUE"""),87.126647)</f>
        <v>87.126647</v>
      </c>
      <c r="AO277" s="32">
        <f>IFERROR(__xludf.DUMMYFUNCTION("""COMPUTED_VALUE"""),2.98)</f>
        <v>2.98</v>
      </c>
      <c r="AP277" s="32">
        <f>IFERROR(__xludf.DUMMYFUNCTION("""COMPUTED_VALUE"""),0.11051930758988018)</f>
        <v>0.1105193076</v>
      </c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>
      <c r="A278" s="13" t="str">
        <f>IFERROR(__xludf.DUMMYFUNCTION("""COMPUTED_VALUE"""),"Bank Of Baroda")</f>
        <v>Bank Of Baroda</v>
      </c>
      <c r="B278" s="30">
        <f>IFERROR(__xludf.DUMMYFUNCTION("""COMPUTED_VALUE"""),532134.0)</f>
        <v>532134</v>
      </c>
      <c r="C278" s="13" t="str">
        <f>IFERROR(__xludf.DUMMYFUNCTION("""COMPUTED_VALUE"""),"BANKBARODA")</f>
        <v>BANKBARODA</v>
      </c>
      <c r="D278" s="13" t="str">
        <f>IFERROR(__xludf.DUMMYFUNCTION("""COMPUTED_VALUE"""),"INE028A01039")</f>
        <v>INE028A01039</v>
      </c>
      <c r="E278" s="13" t="str">
        <f>IFERROR(__xludf.DUMMYFUNCTION("""COMPUTED_VALUE"""),"Financial")</f>
        <v>Financial</v>
      </c>
      <c r="F278" s="13" t="str">
        <f>IFERROR(__xludf.DUMMYFUNCTION("""COMPUTED_VALUE"""),"Banking")</f>
        <v>Banking</v>
      </c>
      <c r="G278" s="31">
        <f>IFERROR(__xludf.DUMMYFUNCTION("""COMPUTED_VALUE"""),44809.0)</f>
        <v>44809</v>
      </c>
      <c r="H278" s="32">
        <f>IFERROR(__xludf.DUMMYFUNCTION("""COMPUTED_VALUE"""),133.85)</f>
        <v>133.85</v>
      </c>
      <c r="I278" s="32">
        <f>IFERROR(__xludf.DUMMYFUNCTION("""COMPUTED_VALUE"""),2.058711)</f>
        <v>2.058711</v>
      </c>
      <c r="J278" s="32">
        <f>IFERROR(__xludf.DUMMYFUNCTION("""COMPUTED_VALUE"""),76.7)</f>
        <v>76.7</v>
      </c>
      <c r="K278" s="32">
        <f>IFERROR(__xludf.DUMMYFUNCTION("""COMPUTED_VALUE"""),134.8)</f>
        <v>134.8</v>
      </c>
      <c r="L278" s="32">
        <f>IFERROR(__xludf.DUMMYFUNCTION("""COMPUTED_VALUE"""),36.0)</f>
        <v>36</v>
      </c>
      <c r="M278" s="32">
        <f>IFERROR(__xludf.DUMMYFUNCTION("""COMPUTED_VALUE"""),134.8)</f>
        <v>134.8</v>
      </c>
      <c r="N278" s="32">
        <f>IFERROR(__xludf.DUMMYFUNCTION("""COMPUTED_VALUE"""),36.0)</f>
        <v>36</v>
      </c>
      <c r="O278" s="32">
        <f>IFERROR(__xludf.DUMMYFUNCTION("""COMPUTED_VALUE"""),206.65)</f>
        <v>206.65</v>
      </c>
      <c r="P278" s="32">
        <f>IFERROR(__xludf.DUMMYFUNCTION("""COMPUTED_VALUE"""),6.02)</f>
        <v>6.02</v>
      </c>
      <c r="Q278" s="32">
        <f>IFERROR(__xludf.DUMMYFUNCTION("""COMPUTED_VALUE"""),228.9)</f>
        <v>228.9</v>
      </c>
      <c r="R278" s="32">
        <f>IFERROR(__xludf.DUMMYFUNCTION("""COMPUTED_VALUE"""),69218.682765915)</f>
        <v>69218.68277</v>
      </c>
      <c r="S278" s="32">
        <f>IFERROR(__xludf.DUMMYFUNCTION("""COMPUTED_VALUE"""),47094.06976669)</f>
        <v>47094.06977</v>
      </c>
      <c r="T278" s="32">
        <f>IFERROR(__xludf.DUMMYFUNCTION("""COMPUTED_VALUE"""),4.325799)</f>
        <v>4.325799</v>
      </c>
      <c r="U278" s="32">
        <f>IFERROR(__xludf.DUMMYFUNCTION("""COMPUTED_VALUE"""),12.858347)</f>
        <v>12.858347</v>
      </c>
      <c r="V278" s="32">
        <f>IFERROR(__xludf.DUMMYFUNCTION("""COMPUTED_VALUE"""),31.032795)</f>
        <v>31.032795</v>
      </c>
      <c r="W278" s="32">
        <f>IFERROR(__xludf.DUMMYFUNCTION("""COMPUTED_VALUE"""),69.002525)</f>
        <v>69.002525</v>
      </c>
      <c r="X278" s="32">
        <f>IFERROR(__xludf.DUMMYFUNCTION("""COMPUTED_VALUE"""),12.783502)</f>
        <v>12.783502</v>
      </c>
      <c r="Y278" s="32">
        <f>IFERROR(__xludf.DUMMYFUNCTION("""COMPUTED_VALUE"""),-0.435056)</f>
        <v>-0.435056</v>
      </c>
      <c r="Z278" s="32">
        <f>IFERROR(__xludf.DUMMYFUNCTION("""COMPUTED_VALUE"""),0.615795)</f>
        <v>0.615795</v>
      </c>
      <c r="AA278" s="32">
        <f>IFERROR(__xludf.DUMMYFUNCTION("""COMPUTED_VALUE"""),8.0421)</f>
        <v>8.0421</v>
      </c>
      <c r="AB278" s="32">
        <f>IFERROR(__xludf.DUMMYFUNCTION("""COMPUTED_VALUE"""),26.75625)</f>
        <v>26.75625</v>
      </c>
      <c r="AC278" s="32">
        <f>IFERROR(__xludf.DUMMYFUNCTION("""COMPUTED_VALUE"""),0.7354)</f>
        <v>0.7354</v>
      </c>
      <c r="AD278" s="32">
        <f>IFERROR(__xludf.DUMMYFUNCTION("""COMPUTED_VALUE"""),0.6023)</f>
        <v>0.6023</v>
      </c>
      <c r="AE278" s="32">
        <f>IFERROR(__xludf.DUMMYFUNCTION("""COMPUTED_VALUE"""),108.276774)</f>
        <v>108.276774</v>
      </c>
      <c r="AF278" s="32">
        <f>IFERROR(__xludf.DUMMYFUNCTION("""COMPUTED_VALUE"""),0.437844)</f>
        <v>0.437844</v>
      </c>
      <c r="AG278" s="32">
        <f>IFERROR(__xludf.DUMMYFUNCTION("""COMPUTED_VALUE"""),2.1292)</f>
        <v>2.1292</v>
      </c>
      <c r="AH278" s="32">
        <f>IFERROR(__xludf.DUMMYFUNCTION("""COMPUTED_VALUE"""),2.100468)</f>
        <v>2.100468</v>
      </c>
      <c r="AI278" s="32">
        <f>IFERROR(__xludf.DUMMYFUNCTION("""COMPUTED_VALUE"""),0.9187011368766647)</f>
        <v>0.9187011369</v>
      </c>
      <c r="AJ278" s="32">
        <f>IFERROR(__xludf.DUMMYFUNCTION("""COMPUTED_VALUE"""),10.596972528167784)</f>
        <v>10.59697253</v>
      </c>
      <c r="AK278" s="32">
        <f>IFERROR(__xludf.DUMMYFUNCTION("""COMPUTED_VALUE"""),16.6437)</f>
        <v>16.6437</v>
      </c>
      <c r="AL278" s="32">
        <f>IFERROR(__xludf.DUMMYFUNCTION("""COMPUTED_VALUE"""),181.9986)</f>
        <v>181.9986</v>
      </c>
      <c r="AM278" s="32">
        <f>IFERROR(__xludf.DUMMYFUNCTION("""COMPUTED_VALUE"""),12.630966)</f>
        <v>12.630966</v>
      </c>
      <c r="AN278" s="32">
        <f>IFERROR(__xludf.DUMMYFUNCTION("""COMPUTED_VALUE"""),-27.353585)</f>
        <v>-27.353585</v>
      </c>
      <c r="AO278" s="32">
        <f>IFERROR(__xludf.DUMMYFUNCTION("""COMPUTED_VALUE"""),2.85)</f>
        <v>2.85</v>
      </c>
      <c r="AP278" s="32">
        <f>IFERROR(__xludf.DUMMYFUNCTION("""COMPUTED_VALUE"""),0.007047477744807248)</f>
        <v>0.007047477745</v>
      </c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>
      <c r="A279" s="13" t="str">
        <f>IFERROR(__xludf.DUMMYFUNCTION("""COMPUTED_VALUE"""),"Steel Authority Of India Ltd.")</f>
        <v>Steel Authority Of India Ltd.</v>
      </c>
      <c r="B279" s="30">
        <f>IFERROR(__xludf.DUMMYFUNCTION("""COMPUTED_VALUE"""),500113.0)</f>
        <v>500113</v>
      </c>
      <c r="C279" s="13" t="str">
        <f>IFERROR(__xludf.DUMMYFUNCTION("""COMPUTED_VALUE"""),"SAIL")</f>
        <v>SAIL</v>
      </c>
      <c r="D279" s="13" t="str">
        <f>IFERROR(__xludf.DUMMYFUNCTION("""COMPUTED_VALUE"""),"INE114A01011")</f>
        <v>INE114A01011</v>
      </c>
      <c r="E279" s="13" t="str">
        <f>IFERROR(__xludf.DUMMYFUNCTION("""COMPUTED_VALUE"""),"Metals &amp; Mining")</f>
        <v>Metals &amp; Mining</v>
      </c>
      <c r="F279" s="13" t="str">
        <f>IFERROR(__xludf.DUMMYFUNCTION("""COMPUTED_VALUE"""),"Finished Steel")</f>
        <v>Finished Steel</v>
      </c>
      <c r="G279" s="31">
        <f>IFERROR(__xludf.DUMMYFUNCTION("""COMPUTED_VALUE"""),44809.0)</f>
        <v>44809</v>
      </c>
      <c r="H279" s="32">
        <f>IFERROR(__xludf.DUMMYFUNCTION("""COMPUTED_VALUE"""),80.5)</f>
        <v>80.5</v>
      </c>
      <c r="I279" s="32">
        <f>IFERROR(__xludf.DUMMYFUNCTION("""COMPUTED_VALUE"""),1.641414)</f>
        <v>1.641414</v>
      </c>
      <c r="J279" s="32">
        <f>IFERROR(__xludf.DUMMYFUNCTION("""COMPUTED_VALUE"""),63.6)</f>
        <v>63.6</v>
      </c>
      <c r="K279" s="32">
        <f>IFERROR(__xludf.DUMMYFUNCTION("""COMPUTED_VALUE"""),131.8)</f>
        <v>131.8</v>
      </c>
      <c r="L279" s="32">
        <f>IFERROR(__xludf.DUMMYFUNCTION("""COMPUTED_VALUE"""),20.15)</f>
        <v>20.15</v>
      </c>
      <c r="M279" s="32">
        <f>IFERROR(__xludf.DUMMYFUNCTION("""COMPUTED_VALUE"""),151.3)</f>
        <v>151.3</v>
      </c>
      <c r="N279" s="32">
        <f>IFERROR(__xludf.DUMMYFUNCTION("""COMPUTED_VALUE"""),20.15)</f>
        <v>20.15</v>
      </c>
      <c r="O279" s="32">
        <f>IFERROR(__xludf.DUMMYFUNCTION("""COMPUTED_VALUE"""),151.3)</f>
        <v>151.3</v>
      </c>
      <c r="P279" s="32">
        <f>IFERROR(__xludf.DUMMYFUNCTION("""COMPUTED_VALUE"""),0.79)</f>
        <v>0.79</v>
      </c>
      <c r="Q279" s="32">
        <f>IFERROR(__xludf.DUMMYFUNCTION("""COMPUTED_VALUE"""),151.3)</f>
        <v>151.3</v>
      </c>
      <c r="R279" s="32">
        <f>IFERROR(__xludf.DUMMYFUNCTION("""COMPUTED_VALUE"""),33250.72857645)</f>
        <v>33250.72858</v>
      </c>
      <c r="S279" s="32">
        <f>IFERROR(__xludf.DUMMYFUNCTION("""COMPUTED_VALUE"""),69594.08028888)</f>
        <v>69594.08029</v>
      </c>
      <c r="T279" s="32">
        <f>IFERROR(__xludf.DUMMYFUNCTION("""COMPUTED_VALUE"""),-1.468788)</f>
        <v>-1.468788</v>
      </c>
      <c r="U279" s="32">
        <f>IFERROR(__xludf.DUMMYFUNCTION("""COMPUTED_VALUE"""),4.613385)</f>
        <v>4.613385</v>
      </c>
      <c r="V279" s="32">
        <f>IFERROR(__xludf.DUMMYFUNCTION("""COMPUTED_VALUE"""),6.411104)</f>
        <v>6.411104</v>
      </c>
      <c r="W279" s="32">
        <f>IFERROR(__xludf.DUMMYFUNCTION("""COMPUTED_VALUE"""),-34.258881)</f>
        <v>-34.258881</v>
      </c>
      <c r="X279" s="32">
        <f>IFERROR(__xludf.DUMMYFUNCTION("""COMPUTED_VALUE"""),35.650705)</f>
        <v>35.650705</v>
      </c>
      <c r="Y279" s="32">
        <f>IFERROR(__xludf.DUMMYFUNCTION("""COMPUTED_VALUE"""),5.259564)</f>
        <v>5.259564</v>
      </c>
      <c r="Z279" s="32">
        <f>IFERROR(__xludf.DUMMYFUNCTION("""COMPUTED_VALUE"""),17.969884)</f>
        <v>17.969884</v>
      </c>
      <c r="AA279" s="32">
        <f>IFERROR(__xludf.DUMMYFUNCTION("""COMPUTED_VALUE"""),3.6337)</f>
        <v>3.6337</v>
      </c>
      <c r="AB279" s="32">
        <f>IFERROR(__xludf.DUMMYFUNCTION("""COMPUTED_VALUE"""),9.19805)</f>
        <v>9.19805</v>
      </c>
      <c r="AC279" s="32">
        <f>IFERROR(__xludf.DUMMYFUNCTION("""COMPUTED_VALUE"""),0.606)</f>
        <v>0.606</v>
      </c>
      <c r="AD279" s="32">
        <f>IFERROR(__xludf.DUMMYFUNCTION("""COMPUTED_VALUE"""),0.62785)</f>
        <v>0.62785</v>
      </c>
      <c r="AE279" s="32">
        <f>IFERROR(__xludf.DUMMYFUNCTION("""COMPUTED_VALUE"""),20.629137)</f>
        <v>20.629137</v>
      </c>
      <c r="AF279" s="32">
        <f>IFERROR(__xludf.DUMMYFUNCTION("""COMPUTED_VALUE"""),0.153736)</f>
        <v>0.153736</v>
      </c>
      <c r="AG279" s="32">
        <f>IFERROR(__xludf.DUMMYFUNCTION("""COMPUTED_VALUE"""),10.8696)</f>
        <v>10.8696</v>
      </c>
      <c r="AH279" s="32">
        <f>IFERROR(__xludf.DUMMYFUNCTION("""COMPUTED_VALUE"""),3.867932)</f>
        <v>3.867932</v>
      </c>
      <c r="AI279" s="32">
        <f>IFERROR(__xludf.DUMMYFUNCTION("""COMPUTED_VALUE"""),0.3111544952225497)</f>
        <v>0.3111544952</v>
      </c>
      <c r="AJ279" s="32">
        <f>IFERROR(__xludf.DUMMYFUNCTION("""COMPUTED_VALUE"""),1.4191294707019138)</f>
        <v>1.419129471</v>
      </c>
      <c r="AK279" s="32">
        <f>IFERROR(__xludf.DUMMYFUNCTION("""COMPUTED_VALUE"""),22.1536)</f>
        <v>22.1536</v>
      </c>
      <c r="AL279" s="32">
        <f>IFERROR(__xludf.DUMMYFUNCTION("""COMPUTED_VALUE"""),132.8479)</f>
        <v>132.8479</v>
      </c>
      <c r="AM279" s="32">
        <f>IFERROR(__xludf.DUMMYFUNCTION("""COMPUTED_VALUE"""),56.724851)</f>
        <v>56.724851</v>
      </c>
      <c r="AN279" s="32">
        <f>IFERROR(__xludf.DUMMYFUNCTION("""COMPUTED_VALUE"""),34.316976)</f>
        <v>34.316976</v>
      </c>
      <c r="AO279" s="32">
        <f>IFERROR(__xludf.DUMMYFUNCTION("""COMPUTED_VALUE"""),2.8)</f>
        <v>2.8</v>
      </c>
      <c r="AP279" s="32">
        <f>IFERROR(__xludf.DUMMYFUNCTION("""COMPUTED_VALUE"""),0.38922610015174514)</f>
        <v>0.3892261002</v>
      </c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>
      <c r="A280" s="13" t="str">
        <f>IFERROR(__xludf.DUMMYFUNCTION("""COMPUTED_VALUE"""),"Mishra Dhatu Nigam Ltd.")</f>
        <v>Mishra Dhatu Nigam Ltd.</v>
      </c>
      <c r="B280" s="30">
        <f>IFERROR(__xludf.DUMMYFUNCTION("""COMPUTED_VALUE"""),541195.0)</f>
        <v>541195</v>
      </c>
      <c r="C280" s="13" t="str">
        <f>IFERROR(__xludf.DUMMYFUNCTION("""COMPUTED_VALUE"""),"MIDHANI")</f>
        <v>MIDHANI</v>
      </c>
      <c r="D280" s="13" t="str">
        <f>IFERROR(__xludf.DUMMYFUNCTION("""COMPUTED_VALUE"""),"INE099Z01011")</f>
        <v>INE099Z01011</v>
      </c>
      <c r="E280" s="13" t="str">
        <f>IFERROR(__xludf.DUMMYFUNCTION("""COMPUTED_VALUE"""),"Metals &amp; Mining")</f>
        <v>Metals &amp; Mining</v>
      </c>
      <c r="F280" s="13" t="str">
        <f>IFERROR(__xludf.DUMMYFUNCTION("""COMPUTED_VALUE"""),"Other Metal Products")</f>
        <v>Other Metal Products</v>
      </c>
      <c r="G280" s="31">
        <f>IFERROR(__xludf.DUMMYFUNCTION("""COMPUTED_VALUE"""),44809.0)</f>
        <v>44809</v>
      </c>
      <c r="H280" s="32">
        <f>IFERROR(__xludf.DUMMYFUNCTION("""COMPUTED_VALUE"""),210.05)</f>
        <v>210.05</v>
      </c>
      <c r="I280" s="32">
        <f>IFERROR(__xludf.DUMMYFUNCTION("""COMPUTED_VALUE"""),4.062423)</f>
        <v>4.062423</v>
      </c>
      <c r="J280" s="32">
        <f>IFERROR(__xludf.DUMMYFUNCTION("""COMPUTED_VALUE"""),155.55)</f>
        <v>155.55</v>
      </c>
      <c r="K280" s="32">
        <f>IFERROR(__xludf.DUMMYFUNCTION("""COMPUTED_VALUE"""),214.6)</f>
        <v>214.6</v>
      </c>
      <c r="L280" s="32">
        <f>IFERROR(__xludf.DUMMYFUNCTION("""COMPUTED_VALUE"""),114.6)</f>
        <v>114.6</v>
      </c>
      <c r="M280" s="32">
        <f>IFERROR(__xludf.DUMMYFUNCTION("""COMPUTED_VALUE"""),278.8)</f>
        <v>278.8</v>
      </c>
      <c r="N280" s="13"/>
      <c r="O280" s="13"/>
      <c r="P280" s="32">
        <f>IFERROR(__xludf.DUMMYFUNCTION("""COMPUTED_VALUE"""),86.05)</f>
        <v>86.05</v>
      </c>
      <c r="Q280" s="32">
        <f>IFERROR(__xludf.DUMMYFUNCTION("""COMPUTED_VALUE"""),278.8)</f>
        <v>278.8</v>
      </c>
      <c r="R280" s="32">
        <f>IFERROR(__xludf.DUMMYFUNCTION("""COMPUTED_VALUE"""),3934.14)</f>
        <v>3934.14</v>
      </c>
      <c r="S280" s="32">
        <f>IFERROR(__xludf.DUMMYFUNCTION("""COMPUTED_VALUE"""),3846.0733)</f>
        <v>3846.0733</v>
      </c>
      <c r="T280" s="32">
        <f>IFERROR(__xludf.DUMMYFUNCTION("""COMPUTED_VALUE"""),10.407359)</f>
        <v>10.407359</v>
      </c>
      <c r="U280" s="32">
        <f>IFERROR(__xludf.DUMMYFUNCTION("""COMPUTED_VALUE"""),24.326724)</f>
        <v>24.326724</v>
      </c>
      <c r="V280" s="32">
        <f>IFERROR(__xludf.DUMMYFUNCTION("""COMPUTED_VALUE"""),22.692757)</f>
        <v>22.692757</v>
      </c>
      <c r="W280" s="32">
        <f>IFERROR(__xludf.DUMMYFUNCTION("""COMPUTED_VALUE"""),12.627346)</f>
        <v>12.627346</v>
      </c>
      <c r="X280" s="32">
        <f>IFERROR(__xludf.DUMMYFUNCTION("""COMPUTED_VALUE"""),22.256297)</f>
        <v>22.256297</v>
      </c>
      <c r="Y280" s="13"/>
      <c r="Z280" s="13"/>
      <c r="AA280" s="32">
        <f>IFERROR(__xludf.DUMMYFUNCTION("""COMPUTED_VALUE"""),22.3926)</f>
        <v>22.3926</v>
      </c>
      <c r="AB280" s="32">
        <f>IFERROR(__xludf.DUMMYFUNCTION("""COMPUTED_VALUE"""),19.9263)</f>
        <v>19.9263</v>
      </c>
      <c r="AC280" s="32">
        <f>IFERROR(__xludf.DUMMYFUNCTION("""COMPUTED_VALUE"""),3.2588)</f>
        <v>3.2588</v>
      </c>
      <c r="AD280" s="32">
        <f>IFERROR(__xludf.DUMMYFUNCTION("""COMPUTED_VALUE"""),3.41815)</f>
        <v>3.41815</v>
      </c>
      <c r="AE280" s="32">
        <f>IFERROR(__xludf.DUMMYFUNCTION("""COMPUTED_VALUE"""),7.306501)</f>
        <v>7.306501</v>
      </c>
      <c r="AF280" s="32">
        <f>IFERROR(__xludf.DUMMYFUNCTION("""COMPUTED_VALUE"""),2.729443)</f>
        <v>2.729443</v>
      </c>
      <c r="AG280" s="32">
        <f>IFERROR(__xludf.DUMMYFUNCTION("""COMPUTED_VALUE"""),1.4762)</f>
        <v>1.4762</v>
      </c>
      <c r="AH280" s="32">
        <f>IFERROR(__xludf.DUMMYFUNCTION("""COMPUTED_VALUE"""),12.806925)</f>
        <v>12.806925</v>
      </c>
      <c r="AI280" s="32">
        <f>IFERROR(__xludf.DUMMYFUNCTION("""COMPUTED_VALUE"""),4.720488398378725)</f>
        <v>4.720488398</v>
      </c>
      <c r="AJ280" s="32">
        <f>IFERROR(__xludf.DUMMYFUNCTION("""COMPUTED_VALUE"""),22.368293872761118)</f>
        <v>22.36829387</v>
      </c>
      <c r="AK280" s="32">
        <f>IFERROR(__xludf.DUMMYFUNCTION("""COMPUTED_VALUE"""),9.3781)</f>
        <v>9.3781</v>
      </c>
      <c r="AL280" s="32">
        <f>IFERROR(__xludf.DUMMYFUNCTION("""COMPUTED_VALUE"""),64.4409)</f>
        <v>64.4409</v>
      </c>
      <c r="AM280" s="32">
        <f>IFERROR(__xludf.DUMMYFUNCTION("""COMPUTED_VALUE"""),9.388289)</f>
        <v>9.388289</v>
      </c>
      <c r="AN280" s="32">
        <f>IFERROR(__xludf.DUMMYFUNCTION("""COMPUTED_VALUE"""),-0.149813)</f>
        <v>-0.149813</v>
      </c>
      <c r="AO280" s="32">
        <f>IFERROR(__xludf.DUMMYFUNCTION("""COMPUTED_VALUE"""),2.78)</f>
        <v>2.78</v>
      </c>
      <c r="AP280" s="32">
        <f>IFERROR(__xludf.DUMMYFUNCTION("""COMPUTED_VALUE"""),0.02120223671947802)</f>
        <v>0.02120223672</v>
      </c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>
      <c r="A281" s="13" t="str">
        <f>IFERROR(__xludf.DUMMYFUNCTION("""COMPUTED_VALUE"""),"Triveni Turbine Ltd.")</f>
        <v>Triveni Turbine Ltd.</v>
      </c>
      <c r="B281" s="30">
        <f>IFERROR(__xludf.DUMMYFUNCTION("""COMPUTED_VALUE"""),533655.0)</f>
        <v>533655</v>
      </c>
      <c r="C281" s="13" t="str">
        <f>IFERROR(__xludf.DUMMYFUNCTION("""COMPUTED_VALUE"""),"TRITURBINE")</f>
        <v>TRITURBINE</v>
      </c>
      <c r="D281" s="13" t="str">
        <f>IFERROR(__xludf.DUMMYFUNCTION("""COMPUTED_VALUE"""),"INE152M01016")</f>
        <v>INE152M01016</v>
      </c>
      <c r="E281" s="13" t="str">
        <f>IFERROR(__xludf.DUMMYFUNCTION("""COMPUTED_VALUE"""),"Capital Goods")</f>
        <v>Capital Goods</v>
      </c>
      <c r="F281" s="13" t="str">
        <f>IFERROR(__xludf.DUMMYFUNCTION("""COMPUTED_VALUE"""),"Industrial Machinery")</f>
        <v>Industrial Machinery</v>
      </c>
      <c r="G281" s="31">
        <f>IFERROR(__xludf.DUMMYFUNCTION("""COMPUTED_VALUE"""),44809.0)</f>
        <v>44809</v>
      </c>
      <c r="H281" s="32">
        <f>IFERROR(__xludf.DUMMYFUNCTION("""COMPUTED_VALUE"""),231.25)</f>
        <v>231.25</v>
      </c>
      <c r="I281" s="32">
        <f>IFERROR(__xludf.DUMMYFUNCTION("""COMPUTED_VALUE"""),8.086001)</f>
        <v>8.086001</v>
      </c>
      <c r="J281" s="32">
        <f>IFERROR(__xludf.DUMMYFUNCTION("""COMPUTED_VALUE"""),131.0)</f>
        <v>131</v>
      </c>
      <c r="K281" s="32">
        <f>IFERROR(__xludf.DUMMYFUNCTION("""COMPUTED_VALUE"""),242.8)</f>
        <v>242.8</v>
      </c>
      <c r="L281" s="32">
        <f>IFERROR(__xludf.DUMMYFUNCTION("""COMPUTED_VALUE"""),45.5)</f>
        <v>45.5</v>
      </c>
      <c r="M281" s="32">
        <f>IFERROR(__xludf.DUMMYFUNCTION("""COMPUTED_VALUE"""),242.8)</f>
        <v>242.8</v>
      </c>
      <c r="N281" s="32">
        <f>IFERROR(__xludf.DUMMYFUNCTION("""COMPUTED_VALUE"""),45.5)</f>
        <v>45.5</v>
      </c>
      <c r="O281" s="32">
        <f>IFERROR(__xludf.DUMMYFUNCTION("""COMPUTED_VALUE"""),242.8)</f>
        <v>242.8</v>
      </c>
      <c r="P281" s="32">
        <f>IFERROR(__xludf.DUMMYFUNCTION("""COMPUTED_VALUE"""),30.0)</f>
        <v>30</v>
      </c>
      <c r="Q281" s="32">
        <f>IFERROR(__xludf.DUMMYFUNCTION("""COMPUTED_VALUE"""),242.8)</f>
        <v>242.8</v>
      </c>
      <c r="R281" s="32">
        <f>IFERROR(__xludf.DUMMYFUNCTION("""COMPUTED_VALUE"""),7489.37153686)</f>
        <v>7489.371537</v>
      </c>
      <c r="S281" s="32">
        <f>IFERROR(__xludf.DUMMYFUNCTION("""COMPUTED_VALUE"""),6173.11893986)</f>
        <v>6173.11894</v>
      </c>
      <c r="T281" s="32">
        <f>IFERROR(__xludf.DUMMYFUNCTION("""COMPUTED_VALUE"""),15.509491)</f>
        <v>15.509491</v>
      </c>
      <c r="U281" s="32">
        <f>IFERROR(__xludf.DUMMYFUNCTION("""COMPUTED_VALUE"""),24.02789)</f>
        <v>24.02789</v>
      </c>
      <c r="V281" s="32">
        <f>IFERROR(__xludf.DUMMYFUNCTION("""COMPUTED_VALUE"""),37.281092)</f>
        <v>37.281092</v>
      </c>
      <c r="W281" s="32">
        <f>IFERROR(__xludf.DUMMYFUNCTION("""COMPUTED_VALUE"""),61.374738)</f>
        <v>61.374738</v>
      </c>
      <c r="X281" s="32">
        <f>IFERROR(__xludf.DUMMYFUNCTION("""COMPUTED_VALUE"""),30.900416)</f>
        <v>30.900416</v>
      </c>
      <c r="Y281" s="32">
        <f>IFERROR(__xludf.DUMMYFUNCTION("""COMPUTED_VALUE"""),12.165889)</f>
        <v>12.165889</v>
      </c>
      <c r="Z281" s="32">
        <f>IFERROR(__xludf.DUMMYFUNCTION("""COMPUTED_VALUE"""),17.968974)</f>
        <v>17.968974</v>
      </c>
      <c r="AA281" s="32">
        <f>IFERROR(__xludf.DUMMYFUNCTION("""COMPUTED_VALUE"""),26.682)</f>
        <v>26.682</v>
      </c>
      <c r="AB281" s="32">
        <f>IFERROR(__xludf.DUMMYFUNCTION("""COMPUTED_VALUE"""),30.5448)</f>
        <v>30.5448</v>
      </c>
      <c r="AC281" s="32">
        <f>IFERROR(__xludf.DUMMYFUNCTION("""COMPUTED_VALUE"""),8.369)</f>
        <v>8.369</v>
      </c>
      <c r="AD281" s="32">
        <f>IFERROR(__xludf.DUMMYFUNCTION("""COMPUTED_VALUE"""),6.92065)</f>
        <v>6.92065</v>
      </c>
      <c r="AE281" s="32">
        <f>IFERROR(__xludf.DUMMYFUNCTION("""COMPUTED_VALUE"""),3.233612)</f>
        <v>3.233612</v>
      </c>
      <c r="AF281" s="32">
        <f>IFERROR(__xludf.DUMMYFUNCTION("""COMPUTED_VALUE"""),1.196092)</f>
        <v>1.196092</v>
      </c>
      <c r="AG281" s="32">
        <f>IFERROR(__xludf.DUMMYFUNCTION("""COMPUTED_VALUE"""),1.1008)</f>
        <v>1.1008</v>
      </c>
      <c r="AH281" s="32">
        <f>IFERROR(__xludf.DUMMYFUNCTION("""COMPUTED_VALUE"""),29.829036)</f>
        <v>29.829036</v>
      </c>
      <c r="AI281" s="32">
        <f>IFERROR(__xludf.DUMMYFUNCTION("""COMPUTED_VALUE"""),8.077232519639352)</f>
        <v>8.07723252</v>
      </c>
      <c r="AJ281" s="32">
        <f>IFERROR(__xludf.DUMMYFUNCTION("""COMPUTED_VALUE"""),17.278871949953974)</f>
        <v>17.27887195</v>
      </c>
      <c r="AK281" s="32">
        <f>IFERROR(__xludf.DUMMYFUNCTION("""COMPUTED_VALUE"""),8.6819)</f>
        <v>8.6819</v>
      </c>
      <c r="AL281" s="32">
        <f>IFERROR(__xludf.DUMMYFUNCTION("""COMPUTED_VALUE"""),27.6797)</f>
        <v>27.6797</v>
      </c>
      <c r="AM281" s="32">
        <f>IFERROR(__xludf.DUMMYFUNCTION("""COMPUTED_VALUE"""),13.406774)</f>
        <v>13.406774</v>
      </c>
      <c r="AN281" s="32">
        <f>IFERROR(__xludf.DUMMYFUNCTION("""COMPUTED_VALUE"""),13.486267)</f>
        <v>13.486267</v>
      </c>
      <c r="AO281" s="32">
        <f>IFERROR(__xludf.DUMMYFUNCTION("""COMPUTED_VALUE"""),2.55)</f>
        <v>2.55</v>
      </c>
      <c r="AP281" s="32">
        <f>IFERROR(__xludf.DUMMYFUNCTION("""COMPUTED_VALUE"""),0.04757001647446463)</f>
        <v>0.04757001647</v>
      </c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>
      <c r="A282" s="13" t="str">
        <f>IFERROR(__xludf.DUMMYFUNCTION("""COMPUTED_VALUE"""),"Aegis Logistics Ltd.")</f>
        <v>Aegis Logistics Ltd.</v>
      </c>
      <c r="B282" s="30">
        <f>IFERROR(__xludf.DUMMYFUNCTION("""COMPUTED_VALUE"""),500003.0)</f>
        <v>500003</v>
      </c>
      <c r="C282" s="13" t="str">
        <f>IFERROR(__xludf.DUMMYFUNCTION("""COMPUTED_VALUE"""),"AEGISCHEM")</f>
        <v>AEGISCHEM</v>
      </c>
      <c r="D282" s="13" t="str">
        <f>IFERROR(__xludf.DUMMYFUNCTION("""COMPUTED_VALUE"""),"INE208C01025")</f>
        <v>INE208C01025</v>
      </c>
      <c r="E282" s="13" t="str">
        <f>IFERROR(__xludf.DUMMYFUNCTION("""COMPUTED_VALUE"""),"Services")</f>
        <v>Services</v>
      </c>
      <c r="F282" s="13" t="str">
        <f>IFERROR(__xludf.DUMMYFUNCTION("""COMPUTED_VALUE"""),"Logistics")</f>
        <v>Logistics</v>
      </c>
      <c r="G282" s="31">
        <f>IFERROR(__xludf.DUMMYFUNCTION("""COMPUTED_VALUE"""),44809.0)</f>
        <v>44809</v>
      </c>
      <c r="H282" s="32">
        <f>IFERROR(__xludf.DUMMYFUNCTION("""COMPUTED_VALUE"""),280.35)</f>
        <v>280.35</v>
      </c>
      <c r="I282" s="32">
        <f>IFERROR(__xludf.DUMMYFUNCTION("""COMPUTED_VALUE"""),-1.476015)</f>
        <v>-1.476015</v>
      </c>
      <c r="J282" s="32">
        <f>IFERROR(__xludf.DUMMYFUNCTION("""COMPUTED_VALUE"""),167.25)</f>
        <v>167.25</v>
      </c>
      <c r="K282" s="32">
        <f>IFERROR(__xludf.DUMMYFUNCTION("""COMPUTED_VALUE"""),303.6)</f>
        <v>303.6</v>
      </c>
      <c r="L282" s="32">
        <f>IFERROR(__xludf.DUMMYFUNCTION("""COMPUTED_VALUE"""),107.25)</f>
        <v>107.25</v>
      </c>
      <c r="M282" s="32">
        <f>IFERROR(__xludf.DUMMYFUNCTION("""COMPUTED_VALUE"""),394.4)</f>
        <v>394.4</v>
      </c>
      <c r="N282" s="32">
        <f>IFERROR(__xludf.DUMMYFUNCTION("""COMPUTED_VALUE"""),107.25)</f>
        <v>107.25</v>
      </c>
      <c r="O282" s="32">
        <f>IFERROR(__xludf.DUMMYFUNCTION("""COMPUTED_VALUE"""),394.4)</f>
        <v>394.4</v>
      </c>
      <c r="P282" s="32">
        <f>IFERROR(__xludf.DUMMYFUNCTION("""COMPUTED_VALUE"""),0.249)</f>
        <v>0.249</v>
      </c>
      <c r="Q282" s="32">
        <f>IFERROR(__xludf.DUMMYFUNCTION("""COMPUTED_VALUE"""),394.4)</f>
        <v>394.4</v>
      </c>
      <c r="R282" s="32">
        <f>IFERROR(__xludf.DUMMYFUNCTION("""COMPUTED_VALUE"""),9840.285)</f>
        <v>9840.285</v>
      </c>
      <c r="S282" s="32">
        <f>IFERROR(__xludf.DUMMYFUNCTION("""COMPUTED_VALUE"""),10225.4693)</f>
        <v>10225.4693</v>
      </c>
      <c r="T282" s="32">
        <f>IFERROR(__xludf.DUMMYFUNCTION("""COMPUTED_VALUE"""),4.882155)</f>
        <v>4.882155</v>
      </c>
      <c r="U282" s="32">
        <f>IFERROR(__xludf.DUMMYFUNCTION("""COMPUTED_VALUE"""),4.374535)</f>
        <v>4.374535</v>
      </c>
      <c r="V282" s="32">
        <f>IFERROR(__xludf.DUMMYFUNCTION("""COMPUTED_VALUE"""),25.408186)</f>
        <v>25.408186</v>
      </c>
      <c r="W282" s="32">
        <f>IFERROR(__xludf.DUMMYFUNCTION("""COMPUTED_VALUE"""),8.18059)</f>
        <v>8.18059</v>
      </c>
      <c r="X282" s="32">
        <f>IFERROR(__xludf.DUMMYFUNCTION("""COMPUTED_VALUE"""),14.491847)</f>
        <v>14.491847</v>
      </c>
      <c r="Y282" s="32">
        <f>IFERROR(__xludf.DUMMYFUNCTION("""COMPUTED_VALUE"""),8.10804)</f>
        <v>8.10804</v>
      </c>
      <c r="Z282" s="32">
        <f>IFERROR(__xludf.DUMMYFUNCTION("""COMPUTED_VALUE"""),37.341962)</f>
        <v>37.341962</v>
      </c>
      <c r="AA282" s="32">
        <f>IFERROR(__xludf.DUMMYFUNCTION("""COMPUTED_VALUE"""),24.9525)</f>
        <v>24.9525</v>
      </c>
      <c r="AB282" s="32">
        <f>IFERROR(__xludf.DUMMYFUNCTION("""COMPUTED_VALUE"""),37.90385)</f>
        <v>37.90385</v>
      </c>
      <c r="AC282" s="32">
        <f>IFERROR(__xludf.DUMMYFUNCTION("""COMPUTED_VALUE"""),4.3014)</f>
        <v>4.3014</v>
      </c>
      <c r="AD282" s="32">
        <f>IFERROR(__xludf.DUMMYFUNCTION("""COMPUTED_VALUE"""),4.8488)</f>
        <v>4.8488</v>
      </c>
      <c r="AE282" s="32">
        <f>IFERROR(__xludf.DUMMYFUNCTION("""COMPUTED_VALUE"""),6.532255)</f>
        <v>6.532255</v>
      </c>
      <c r="AF282" s="32">
        <f>IFERROR(__xludf.DUMMYFUNCTION("""COMPUTED_VALUE"""),1.076067)</f>
        <v>1.076067</v>
      </c>
      <c r="AG282" s="32">
        <f>IFERROR(__xludf.DUMMYFUNCTION("""COMPUTED_VALUE"""),0.8919)</f>
        <v>0.8919</v>
      </c>
      <c r="AH282" s="32">
        <f>IFERROR(__xludf.DUMMYFUNCTION("""COMPUTED_VALUE"""),16.213918)</f>
        <v>16.213918</v>
      </c>
      <c r="AI282" s="32">
        <f>IFERROR(__xludf.DUMMYFUNCTION("""COMPUTED_VALUE"""),1.5901178010471204)</f>
        <v>1.590117801</v>
      </c>
      <c r="AJ282" s="32">
        <f>IFERROR(__xludf.DUMMYFUNCTION("""COMPUTED_VALUE"""),37.43346622336176)</f>
        <v>37.43346622</v>
      </c>
      <c r="AK282" s="32">
        <f>IFERROR(__xludf.DUMMYFUNCTION("""COMPUTED_VALUE"""),11.2333)</f>
        <v>11.2333</v>
      </c>
      <c r="AL282" s="32">
        <f>IFERROR(__xludf.DUMMYFUNCTION("""COMPUTED_VALUE"""),65.1645)</f>
        <v>65.1645</v>
      </c>
      <c r="AM282" s="32">
        <f>IFERROR(__xludf.DUMMYFUNCTION("""COMPUTED_VALUE"""),7.489288)</f>
        <v>7.489288</v>
      </c>
      <c r="AN282" s="32">
        <f>IFERROR(__xludf.DUMMYFUNCTION("""COMPUTED_VALUE"""),-3.533672)</f>
        <v>-3.533672</v>
      </c>
      <c r="AO282" s="32">
        <f>IFERROR(__xludf.DUMMYFUNCTION("""COMPUTED_VALUE"""),2.5)</f>
        <v>2.5</v>
      </c>
      <c r="AP282" s="32">
        <f>IFERROR(__xludf.DUMMYFUNCTION("""COMPUTED_VALUE"""),0.07658102766798418)</f>
        <v>0.07658102767</v>
      </c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>
      <c r="A283" s="13" t="str">
        <f>IFERROR(__xludf.DUMMYFUNCTION("""COMPUTED_VALUE"""),"Balrampur Chini Mills Ltd.")</f>
        <v>Balrampur Chini Mills Ltd.</v>
      </c>
      <c r="B283" s="30">
        <f>IFERROR(__xludf.DUMMYFUNCTION("""COMPUTED_VALUE"""),500038.0)</f>
        <v>500038</v>
      </c>
      <c r="C283" s="13" t="str">
        <f>IFERROR(__xludf.DUMMYFUNCTION("""COMPUTED_VALUE"""),"BALRAMCHIN")</f>
        <v>BALRAMCHIN</v>
      </c>
      <c r="D283" s="13" t="str">
        <f>IFERROR(__xludf.DUMMYFUNCTION("""COMPUTED_VALUE"""),"INE119A01028")</f>
        <v>INE119A01028</v>
      </c>
      <c r="E283" s="13" t="str">
        <f>IFERROR(__xludf.DUMMYFUNCTION("""COMPUTED_VALUE"""),"Consumer Staples")</f>
        <v>Consumer Staples</v>
      </c>
      <c r="F283" s="13" t="str">
        <f>IFERROR(__xludf.DUMMYFUNCTION("""COMPUTED_VALUE"""),"Sugar")</f>
        <v>Sugar</v>
      </c>
      <c r="G283" s="31">
        <f>IFERROR(__xludf.DUMMYFUNCTION("""COMPUTED_VALUE"""),44809.0)</f>
        <v>44809</v>
      </c>
      <c r="H283" s="32">
        <f>IFERROR(__xludf.DUMMYFUNCTION("""COMPUTED_VALUE"""),362.1)</f>
        <v>362.1</v>
      </c>
      <c r="I283" s="32">
        <f>IFERROR(__xludf.DUMMYFUNCTION("""COMPUTED_VALUE"""),0.290818)</f>
        <v>0.290818</v>
      </c>
      <c r="J283" s="32">
        <f>IFERROR(__xludf.DUMMYFUNCTION("""COMPUTED_VALUE"""),297.6)</f>
        <v>297.6</v>
      </c>
      <c r="K283" s="32">
        <f>IFERROR(__xludf.DUMMYFUNCTION("""COMPUTED_VALUE"""),525.9)</f>
        <v>525.9</v>
      </c>
      <c r="L283" s="32">
        <f>IFERROR(__xludf.DUMMYFUNCTION("""COMPUTED_VALUE"""),68.8)</f>
        <v>68.8</v>
      </c>
      <c r="M283" s="32">
        <f>IFERROR(__xludf.DUMMYFUNCTION("""COMPUTED_VALUE"""),525.9)</f>
        <v>525.9</v>
      </c>
      <c r="N283" s="32">
        <f>IFERROR(__xludf.DUMMYFUNCTION("""COMPUTED_VALUE"""),58.7)</f>
        <v>58.7</v>
      </c>
      <c r="O283" s="32">
        <f>IFERROR(__xludf.DUMMYFUNCTION("""COMPUTED_VALUE"""),525.9)</f>
        <v>525.9</v>
      </c>
      <c r="P283" s="32">
        <f>IFERROR(__xludf.DUMMYFUNCTION("""COMPUTED_VALUE"""),6.5)</f>
        <v>6.5</v>
      </c>
      <c r="Q283" s="32">
        <f>IFERROR(__xludf.DUMMYFUNCTION("""COMPUTED_VALUE"""),525.9)</f>
        <v>525.9</v>
      </c>
      <c r="R283" s="32">
        <f>IFERROR(__xludf.DUMMYFUNCTION("""COMPUTED_VALUE"""),7388.2884)</f>
        <v>7388.2884</v>
      </c>
      <c r="S283" s="32">
        <f>IFERROR(__xludf.DUMMYFUNCTION("""COMPUTED_VALUE"""),8570.1568)</f>
        <v>8570.1568</v>
      </c>
      <c r="T283" s="32">
        <f>IFERROR(__xludf.DUMMYFUNCTION("""COMPUTED_VALUE"""),3.191793)</f>
        <v>3.191793</v>
      </c>
      <c r="U283" s="32">
        <f>IFERROR(__xludf.DUMMYFUNCTION("""COMPUTED_VALUE"""),-0.658436)</f>
        <v>-0.658436</v>
      </c>
      <c r="V283" s="32">
        <f>IFERROR(__xludf.DUMMYFUNCTION("""COMPUTED_VALUE"""),-9.8132)</f>
        <v>-9.8132</v>
      </c>
      <c r="W283" s="32">
        <f>IFERROR(__xludf.DUMMYFUNCTION("""COMPUTED_VALUE"""),-2.135135)</f>
        <v>-2.135135</v>
      </c>
      <c r="X283" s="32">
        <f>IFERROR(__xludf.DUMMYFUNCTION("""COMPUTED_VALUE"""),39.739505)</f>
        <v>39.739505</v>
      </c>
      <c r="Y283" s="32">
        <f>IFERROR(__xludf.DUMMYFUNCTION("""COMPUTED_VALUE"""),15.9061)</f>
        <v>15.9061</v>
      </c>
      <c r="Z283" s="32">
        <f>IFERROR(__xludf.DUMMYFUNCTION("""COMPUTED_VALUE"""),18.040061)</f>
        <v>18.040061</v>
      </c>
      <c r="AA283" s="32">
        <f>IFERROR(__xludf.DUMMYFUNCTION("""COMPUTED_VALUE"""),18.4513)</f>
        <v>18.4513</v>
      </c>
      <c r="AB283" s="32">
        <f>IFERROR(__xludf.DUMMYFUNCTION("""COMPUTED_VALUE"""),7.17935)</f>
        <v>7.17935</v>
      </c>
      <c r="AC283" s="32">
        <f>IFERROR(__xludf.DUMMYFUNCTION("""COMPUTED_VALUE"""),2.6544)</f>
        <v>2.6544</v>
      </c>
      <c r="AD283" s="32">
        <f>IFERROR(__xludf.DUMMYFUNCTION("""COMPUTED_VALUE"""),1.58585)</f>
        <v>1.58585</v>
      </c>
      <c r="AE283" s="32">
        <f>IFERROR(__xludf.DUMMYFUNCTION("""COMPUTED_VALUE"""),6.770218)</f>
        <v>6.770218</v>
      </c>
      <c r="AF283" s="32">
        <f>IFERROR(__xludf.DUMMYFUNCTION("""COMPUTED_VALUE"""),-3.542963)</f>
        <v>-3.542963</v>
      </c>
      <c r="AG283" s="32">
        <f>IFERROR(__xludf.DUMMYFUNCTION("""COMPUTED_VALUE"""),0.6907)</f>
        <v>0.6907</v>
      </c>
      <c r="AH283" s="32">
        <f>IFERROR(__xludf.DUMMYFUNCTION("""COMPUTED_VALUE"""),13.137058)</f>
        <v>13.137058</v>
      </c>
      <c r="AI283" s="32">
        <f>IFERROR(__xludf.DUMMYFUNCTION("""COMPUTED_VALUE"""),1.543837033340814)</f>
        <v>1.543837033</v>
      </c>
      <c r="AJ283" s="32">
        <f>IFERROR(__xludf.DUMMYFUNCTION("""COMPUTED_VALUE"""),10.635951827986462)</f>
        <v>10.63595183</v>
      </c>
      <c r="AK283" s="32">
        <f>IFERROR(__xludf.DUMMYFUNCTION("""COMPUTED_VALUE"""),19.6084)</f>
        <v>19.6084</v>
      </c>
      <c r="AL283" s="32">
        <f>IFERROR(__xludf.DUMMYFUNCTION("""COMPUTED_VALUE"""),136.3015)</f>
        <v>136.3015</v>
      </c>
      <c r="AM283" s="32">
        <f>IFERROR(__xludf.DUMMYFUNCTION("""COMPUTED_VALUE"""),34.044908)</f>
        <v>34.044908</v>
      </c>
      <c r="AN283" s="32">
        <f>IFERROR(__xludf.DUMMYFUNCTION("""COMPUTED_VALUE"""),11.69603)</f>
        <v>11.69603</v>
      </c>
      <c r="AO283" s="32">
        <f>IFERROR(__xludf.DUMMYFUNCTION("""COMPUTED_VALUE"""),2.5)</f>
        <v>2.5</v>
      </c>
      <c r="AP283" s="32">
        <f>IFERROR(__xludf.DUMMYFUNCTION("""COMPUTED_VALUE"""),0.31146605818596684)</f>
        <v>0.3114660582</v>
      </c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>
      <c r="A284" s="13" t="str">
        <f>IFERROR(__xludf.DUMMYFUNCTION("""COMPUTED_VALUE"""),"Crompton Greaves Consumer Electricals Ltd.")</f>
        <v>Crompton Greaves Consumer Electricals Ltd.</v>
      </c>
      <c r="B284" s="30">
        <f>IFERROR(__xludf.DUMMYFUNCTION("""COMPUTED_VALUE"""),539876.0)</f>
        <v>539876</v>
      </c>
      <c r="C284" s="13" t="str">
        <f>IFERROR(__xludf.DUMMYFUNCTION("""COMPUTED_VALUE"""),"CROMPTON")</f>
        <v>CROMPTON</v>
      </c>
      <c r="D284" s="13" t="str">
        <f>IFERROR(__xludf.DUMMYFUNCTION("""COMPUTED_VALUE"""),"INE299U01018")</f>
        <v>INE299U01018</v>
      </c>
      <c r="E284" s="13" t="str">
        <f>IFERROR(__xludf.DUMMYFUNCTION("""COMPUTED_VALUE"""),"Consumer Discretionary")</f>
        <v>Consumer Discretionary</v>
      </c>
      <c r="F284" s="13" t="str">
        <f>IFERROR(__xludf.DUMMYFUNCTION("""COMPUTED_VALUE"""),"Kitchenware &amp; Appliances")</f>
        <v>Kitchenware &amp; Appliances</v>
      </c>
      <c r="G284" s="31">
        <f>IFERROR(__xludf.DUMMYFUNCTION("""COMPUTED_VALUE"""),44809.0)</f>
        <v>44809</v>
      </c>
      <c r="H284" s="32">
        <f>IFERROR(__xludf.DUMMYFUNCTION("""COMPUTED_VALUE"""),392.7)</f>
        <v>392.7</v>
      </c>
      <c r="I284" s="32">
        <f>IFERROR(__xludf.DUMMYFUNCTION("""COMPUTED_VALUE"""),-0.645161)</f>
        <v>-0.645161</v>
      </c>
      <c r="J284" s="32">
        <f>IFERROR(__xludf.DUMMYFUNCTION("""COMPUTED_VALUE"""),312.0)</f>
        <v>312</v>
      </c>
      <c r="K284" s="32">
        <f>IFERROR(__xludf.DUMMYFUNCTION("""COMPUTED_VALUE"""),512.8)</f>
        <v>512.8</v>
      </c>
      <c r="L284" s="32">
        <f>IFERROR(__xludf.DUMMYFUNCTION("""COMPUTED_VALUE"""),177.3)</f>
        <v>177.3</v>
      </c>
      <c r="M284" s="32">
        <f>IFERROR(__xludf.DUMMYFUNCTION("""COMPUTED_VALUE"""),512.8)</f>
        <v>512.8</v>
      </c>
      <c r="N284" s="32">
        <f>IFERROR(__xludf.DUMMYFUNCTION("""COMPUTED_VALUE"""),177.3)</f>
        <v>177.3</v>
      </c>
      <c r="O284" s="32">
        <f>IFERROR(__xludf.DUMMYFUNCTION("""COMPUTED_VALUE"""),512.8)</f>
        <v>512.8</v>
      </c>
      <c r="P284" s="32">
        <f>IFERROR(__xludf.DUMMYFUNCTION("""COMPUTED_VALUE"""),125.0)</f>
        <v>125</v>
      </c>
      <c r="Q284" s="32">
        <f>IFERROR(__xludf.DUMMYFUNCTION("""COMPUTED_VALUE"""),512.8)</f>
        <v>512.8</v>
      </c>
      <c r="R284" s="32">
        <f>IFERROR(__xludf.DUMMYFUNCTION("""COMPUTED_VALUE"""),24965.57357448)</f>
        <v>24965.57357</v>
      </c>
      <c r="S284" s="32">
        <f>IFERROR(__xludf.DUMMYFUNCTION("""COMPUTED_VALUE"""),25192.99898048)</f>
        <v>25192.99898</v>
      </c>
      <c r="T284" s="32">
        <f>IFERROR(__xludf.DUMMYFUNCTION("""COMPUTED_VALUE"""),-5.236486)</f>
        <v>-5.236486</v>
      </c>
      <c r="U284" s="32">
        <f>IFERROR(__xludf.DUMMYFUNCTION("""COMPUTED_VALUE"""),0.990099)</f>
        <v>0.990099</v>
      </c>
      <c r="V284" s="32">
        <f>IFERROR(__xludf.DUMMYFUNCTION("""COMPUTED_VALUE"""),7.766191)</f>
        <v>7.766191</v>
      </c>
      <c r="W284" s="32">
        <f>IFERROR(__xludf.DUMMYFUNCTION("""COMPUTED_VALUE"""),-16.950407)</f>
        <v>-16.950407</v>
      </c>
      <c r="X284" s="32">
        <f>IFERROR(__xludf.DUMMYFUNCTION("""COMPUTED_VALUE"""),19.851978)</f>
        <v>19.851978</v>
      </c>
      <c r="Y284" s="32">
        <f>IFERROR(__xludf.DUMMYFUNCTION("""COMPUTED_VALUE"""),12.517623)</f>
        <v>12.517623</v>
      </c>
      <c r="Z284" s="13"/>
      <c r="AA284" s="32">
        <f>IFERROR(__xludf.DUMMYFUNCTION("""COMPUTED_VALUE"""),41.2907)</f>
        <v>41.2907</v>
      </c>
      <c r="AB284" s="32">
        <f>IFERROR(__xludf.DUMMYFUNCTION("""COMPUTED_VALUE"""),39.6513)</f>
        <v>39.6513</v>
      </c>
      <c r="AC284" s="32">
        <f>IFERROR(__xludf.DUMMYFUNCTION("""COMPUTED_VALUE"""),10.2041)</f>
        <v>10.2041</v>
      </c>
      <c r="AD284" s="32">
        <f>IFERROR(__xludf.DUMMYFUNCTION("""COMPUTED_VALUE"""),13.63255)</f>
        <v>13.63255</v>
      </c>
      <c r="AE284" s="32">
        <f>IFERROR(__xludf.DUMMYFUNCTION("""COMPUTED_VALUE"""),3.710864)</f>
        <v>3.710864</v>
      </c>
      <c r="AF284" s="32">
        <f>IFERROR(__xludf.DUMMYFUNCTION("""COMPUTED_VALUE"""),2.588715)</f>
        <v>2.588715</v>
      </c>
      <c r="AG284" s="32">
        <f>IFERROR(__xludf.DUMMYFUNCTION("""COMPUTED_VALUE"""),0.6365)</f>
        <v>0.6365</v>
      </c>
      <c r="AH284" s="32">
        <f>IFERROR(__xludf.DUMMYFUNCTION("""COMPUTED_VALUE"""),27.153773)</f>
        <v>27.153773</v>
      </c>
      <c r="AI284" s="32">
        <f>IFERROR(__xludf.DUMMYFUNCTION("""COMPUTED_VALUE"""),4.0224429233022425)</f>
        <v>4.022442923</v>
      </c>
      <c r="AJ284" s="32">
        <f>IFERROR(__xludf.DUMMYFUNCTION("""COMPUTED_VALUE"""),34.512391239016836)</f>
        <v>34.51239124</v>
      </c>
      <c r="AK284" s="32">
        <f>IFERROR(__xludf.DUMMYFUNCTION("""COMPUTED_VALUE"""),9.5106)</f>
        <v>9.5106</v>
      </c>
      <c r="AL284" s="32">
        <f>IFERROR(__xludf.DUMMYFUNCTION("""COMPUTED_VALUE"""),38.4845)</f>
        <v>38.4845</v>
      </c>
      <c r="AM284" s="32">
        <f>IFERROR(__xludf.DUMMYFUNCTION("""COMPUTED_VALUE"""),11.420587)</f>
        <v>11.420587</v>
      </c>
      <c r="AN284" s="32">
        <f>IFERROR(__xludf.DUMMYFUNCTION("""COMPUTED_VALUE"""),8.683612)</f>
        <v>8.683612</v>
      </c>
      <c r="AO284" s="32">
        <f>IFERROR(__xludf.DUMMYFUNCTION("""COMPUTED_VALUE"""),2.5)</f>
        <v>2.5</v>
      </c>
      <c r="AP284" s="32">
        <f>IFERROR(__xludf.DUMMYFUNCTION("""COMPUTED_VALUE"""),0.23420436817472695)</f>
        <v>0.2342043682</v>
      </c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>
      <c r="A285" s="13" t="str">
        <f>IFERROR(__xludf.DUMMYFUNCTION("""COMPUTED_VALUE"""),"Glenmark Pharmaceuticals Ltd.")</f>
        <v>Glenmark Pharmaceuticals Ltd.</v>
      </c>
      <c r="B285" s="30">
        <f>IFERROR(__xludf.DUMMYFUNCTION("""COMPUTED_VALUE"""),532296.0)</f>
        <v>532296</v>
      </c>
      <c r="C285" s="13" t="str">
        <f>IFERROR(__xludf.DUMMYFUNCTION("""COMPUTED_VALUE"""),"GLENMARK")</f>
        <v>GLENMARK</v>
      </c>
      <c r="D285" s="13" t="str">
        <f>IFERROR(__xludf.DUMMYFUNCTION("""COMPUTED_VALUE"""),"INE935A01035")</f>
        <v>INE935A01035</v>
      </c>
      <c r="E285" s="13" t="str">
        <f>IFERROR(__xludf.DUMMYFUNCTION("""COMPUTED_VALUE"""),"Healthcare")</f>
        <v>Healthcare</v>
      </c>
      <c r="F285" s="13" t="str">
        <f>IFERROR(__xludf.DUMMYFUNCTION("""COMPUTED_VALUE"""),"Drugs &amp; Pharma")</f>
        <v>Drugs &amp; Pharma</v>
      </c>
      <c r="G285" s="31">
        <f>IFERROR(__xludf.DUMMYFUNCTION("""COMPUTED_VALUE"""),44809.0)</f>
        <v>44809</v>
      </c>
      <c r="H285" s="32">
        <f>IFERROR(__xludf.DUMMYFUNCTION("""COMPUTED_VALUE"""),371.45)</f>
        <v>371.45</v>
      </c>
      <c r="I285" s="32">
        <f>IFERROR(__xludf.DUMMYFUNCTION("""COMPUTED_VALUE"""),0.486947)</f>
        <v>0.486947</v>
      </c>
      <c r="J285" s="32">
        <f>IFERROR(__xludf.DUMMYFUNCTION("""COMPUTED_VALUE"""),348.5)</f>
        <v>348.5</v>
      </c>
      <c r="K285" s="32">
        <f>IFERROR(__xludf.DUMMYFUNCTION("""COMPUTED_VALUE"""),551.8)</f>
        <v>551.8</v>
      </c>
      <c r="L285" s="32">
        <f>IFERROR(__xludf.DUMMYFUNCTION("""COMPUTED_VALUE"""),161.65)</f>
        <v>161.65</v>
      </c>
      <c r="M285" s="32">
        <f>IFERROR(__xludf.DUMMYFUNCTION("""COMPUTED_VALUE"""),690.95)</f>
        <v>690.95</v>
      </c>
      <c r="N285" s="32">
        <f>IFERROR(__xludf.DUMMYFUNCTION("""COMPUTED_VALUE"""),161.65)</f>
        <v>161.65</v>
      </c>
      <c r="O285" s="32">
        <f>IFERROR(__xludf.DUMMYFUNCTION("""COMPUTED_VALUE"""),711.9)</f>
        <v>711.9</v>
      </c>
      <c r="P285" s="32">
        <f>IFERROR(__xludf.DUMMYFUNCTION("""COMPUTED_VALUE"""),1.89)</f>
        <v>1.89</v>
      </c>
      <c r="Q285" s="32">
        <f>IFERROR(__xludf.DUMMYFUNCTION("""COMPUTED_VALUE"""),1262.9)</f>
        <v>1262.9</v>
      </c>
      <c r="R285" s="32">
        <f>IFERROR(__xludf.DUMMYFUNCTION("""COMPUTED_VALUE"""),10485.36867696)</f>
        <v>10485.36868</v>
      </c>
      <c r="S285" s="32">
        <f>IFERROR(__xludf.DUMMYFUNCTION("""COMPUTED_VALUE"""),12690.59072732)</f>
        <v>12690.59073</v>
      </c>
      <c r="T285" s="32">
        <f>IFERROR(__xludf.DUMMYFUNCTION("""COMPUTED_VALUE"""),-1.641732)</f>
        <v>-1.641732</v>
      </c>
      <c r="U285" s="32">
        <f>IFERROR(__xludf.DUMMYFUNCTION("""COMPUTED_VALUE"""),-1.680783)</f>
        <v>-1.680783</v>
      </c>
      <c r="V285" s="32">
        <f>IFERROR(__xludf.DUMMYFUNCTION("""COMPUTED_VALUE"""),-4.548375)</f>
        <v>-4.548375</v>
      </c>
      <c r="W285" s="32">
        <f>IFERROR(__xludf.DUMMYFUNCTION("""COMPUTED_VALUE"""),-30.407494)</f>
        <v>-30.407494</v>
      </c>
      <c r="X285" s="32">
        <f>IFERROR(__xludf.DUMMYFUNCTION("""COMPUTED_VALUE"""),-0.985329)</f>
        <v>-0.985329</v>
      </c>
      <c r="Y285" s="32">
        <f>IFERROR(__xludf.DUMMYFUNCTION("""COMPUTED_VALUE"""),-9.229355)</f>
        <v>-9.229355</v>
      </c>
      <c r="Z285" s="32">
        <f>IFERROR(__xludf.DUMMYFUNCTION("""COMPUTED_VALUE"""),-1.486219)</f>
        <v>-1.486219</v>
      </c>
      <c r="AA285" s="32">
        <f>IFERROR(__xludf.DUMMYFUNCTION("""COMPUTED_VALUE"""),12.6684)</f>
        <v>12.6684</v>
      </c>
      <c r="AB285" s="32">
        <f>IFERROR(__xludf.DUMMYFUNCTION("""COMPUTED_VALUE"""),15.04345)</f>
        <v>15.04345</v>
      </c>
      <c r="AC285" s="32">
        <f>IFERROR(__xludf.DUMMYFUNCTION("""COMPUTED_VALUE"""),1.1297)</f>
        <v>1.1297</v>
      </c>
      <c r="AD285" s="32">
        <f>IFERROR(__xludf.DUMMYFUNCTION("""COMPUTED_VALUE"""),2.1425)</f>
        <v>2.1425</v>
      </c>
      <c r="AE285" s="32">
        <f>IFERROR(__xludf.DUMMYFUNCTION("""COMPUTED_VALUE"""),17.578856)</f>
        <v>17.578856</v>
      </c>
      <c r="AF285" s="32">
        <f>IFERROR(__xludf.DUMMYFUNCTION("""COMPUTED_VALUE"""),-2.144886)</f>
        <v>-2.144886</v>
      </c>
      <c r="AG285" s="32">
        <f>IFERROR(__xludf.DUMMYFUNCTION("""COMPUTED_VALUE"""),0.6731)</f>
        <v>0.6731</v>
      </c>
      <c r="AH285" s="32">
        <f>IFERROR(__xludf.DUMMYFUNCTION("""COMPUTED_VALUE"""),5.138925)</f>
        <v>5.138925</v>
      </c>
      <c r="AI285" s="32">
        <f>IFERROR(__xludf.DUMMYFUNCTION("""COMPUTED_VALUE"""),0.8775727882290032)</f>
        <v>0.8775727882</v>
      </c>
      <c r="AJ285" s="32">
        <f>IFERROR(__xludf.DUMMYFUNCTION("""COMPUTED_VALUE"""),9.457763731955565)</f>
        <v>9.457763732</v>
      </c>
      <c r="AK285" s="32">
        <f>IFERROR(__xludf.DUMMYFUNCTION("""COMPUTED_VALUE"""),29.3328)</f>
        <v>29.3328</v>
      </c>
      <c r="AL285" s="32">
        <f>IFERROR(__xludf.DUMMYFUNCTION("""COMPUTED_VALUE"""),328.9334)</f>
        <v>328.9334</v>
      </c>
      <c r="AM285" s="32">
        <f>IFERROR(__xludf.DUMMYFUNCTION("""COMPUTED_VALUE"""),39.290215)</f>
        <v>39.290215</v>
      </c>
      <c r="AN285" s="32">
        <f>IFERROR(__xludf.DUMMYFUNCTION("""COMPUTED_VALUE"""),4.571216)</f>
        <v>4.571216</v>
      </c>
      <c r="AO285" s="32">
        <f>IFERROR(__xludf.DUMMYFUNCTION("""COMPUTED_VALUE"""),2.5)</f>
        <v>2.5</v>
      </c>
      <c r="AP285" s="32">
        <f>IFERROR(__xludf.DUMMYFUNCTION("""COMPUTED_VALUE"""),0.3268394345777455)</f>
        <v>0.3268394346</v>
      </c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>
      <c r="A286" s="13" t="str">
        <f>IFERROR(__xludf.DUMMYFUNCTION("""COMPUTED_VALUE"""),"Intellect Design Arena Ltd.")</f>
        <v>Intellect Design Arena Ltd.</v>
      </c>
      <c r="B286" s="30">
        <f>IFERROR(__xludf.DUMMYFUNCTION("""COMPUTED_VALUE"""),538835.0)</f>
        <v>538835</v>
      </c>
      <c r="C286" s="13" t="str">
        <f>IFERROR(__xludf.DUMMYFUNCTION("""COMPUTED_VALUE"""),"INTELLECT")</f>
        <v>INTELLECT</v>
      </c>
      <c r="D286" s="13" t="str">
        <f>IFERROR(__xludf.DUMMYFUNCTION("""COMPUTED_VALUE"""),"INE306R01017")</f>
        <v>INE306R01017</v>
      </c>
      <c r="E286" s="13" t="str">
        <f>IFERROR(__xludf.DUMMYFUNCTION("""COMPUTED_VALUE"""),"Technology")</f>
        <v>Technology</v>
      </c>
      <c r="F286" s="13" t="str">
        <f>IFERROR(__xludf.DUMMYFUNCTION("""COMPUTED_VALUE"""),"Software")</f>
        <v>Software</v>
      </c>
      <c r="G286" s="31">
        <f>IFERROR(__xludf.DUMMYFUNCTION("""COMPUTED_VALUE"""),44809.0)</f>
        <v>44809</v>
      </c>
      <c r="H286" s="32">
        <f>IFERROR(__xludf.DUMMYFUNCTION("""COMPUTED_VALUE"""),614.05)</f>
        <v>614.05</v>
      </c>
      <c r="I286" s="32">
        <f>IFERROR(__xludf.DUMMYFUNCTION("""COMPUTED_VALUE"""),2.683946)</f>
        <v>2.683946</v>
      </c>
      <c r="J286" s="32">
        <f>IFERROR(__xludf.DUMMYFUNCTION("""COMPUTED_VALUE"""),562.65)</f>
        <v>562.65</v>
      </c>
      <c r="K286" s="32">
        <f>IFERROR(__xludf.DUMMYFUNCTION("""COMPUTED_VALUE"""),986.65)</f>
        <v>986.65</v>
      </c>
      <c r="L286" s="32">
        <f>IFERROR(__xludf.DUMMYFUNCTION("""COMPUTED_VALUE"""),43.8)</f>
        <v>43.8</v>
      </c>
      <c r="M286" s="32">
        <f>IFERROR(__xludf.DUMMYFUNCTION("""COMPUTED_VALUE"""),986.65)</f>
        <v>986.65</v>
      </c>
      <c r="N286" s="32">
        <f>IFERROR(__xludf.DUMMYFUNCTION("""COMPUTED_VALUE"""),43.8)</f>
        <v>43.8</v>
      </c>
      <c r="O286" s="32">
        <f>IFERROR(__xludf.DUMMYFUNCTION("""COMPUTED_VALUE"""),986.65)</f>
        <v>986.65</v>
      </c>
      <c r="P286" s="32">
        <f>IFERROR(__xludf.DUMMYFUNCTION("""COMPUTED_VALUE"""),43.8)</f>
        <v>43.8</v>
      </c>
      <c r="Q286" s="32">
        <f>IFERROR(__xludf.DUMMYFUNCTION("""COMPUTED_VALUE"""),986.65)</f>
        <v>986.65</v>
      </c>
      <c r="R286" s="32">
        <f>IFERROR(__xludf.DUMMYFUNCTION("""COMPUTED_VALUE"""),8304.26212093)</f>
        <v>8304.262121</v>
      </c>
      <c r="S286" s="32">
        <f>IFERROR(__xludf.DUMMYFUNCTION("""COMPUTED_VALUE"""),7575.54324539)</f>
        <v>7575.543245</v>
      </c>
      <c r="T286" s="32">
        <f>IFERROR(__xludf.DUMMYFUNCTION("""COMPUTED_VALUE"""),4.581453)</f>
        <v>4.581453</v>
      </c>
      <c r="U286" s="32">
        <f>IFERROR(__xludf.DUMMYFUNCTION("""COMPUTED_VALUE"""),-1.007577)</f>
        <v>-1.007577</v>
      </c>
      <c r="V286" s="32">
        <f>IFERROR(__xludf.DUMMYFUNCTION("""COMPUTED_VALUE"""),-9.698529)</f>
        <v>-9.698529</v>
      </c>
      <c r="W286" s="32">
        <f>IFERROR(__xludf.DUMMYFUNCTION("""COMPUTED_VALUE"""),-5.56709)</f>
        <v>-5.56709</v>
      </c>
      <c r="X286" s="32">
        <f>IFERROR(__xludf.DUMMYFUNCTION("""COMPUTED_VALUE"""),43.259386)</f>
        <v>43.259386</v>
      </c>
      <c r="Y286" s="32">
        <f>IFERROR(__xludf.DUMMYFUNCTION("""COMPUTED_VALUE"""),41.084965)</f>
        <v>41.084965</v>
      </c>
      <c r="Z286" s="13"/>
      <c r="AA286" s="32">
        <f>IFERROR(__xludf.DUMMYFUNCTION("""COMPUTED_VALUE"""),24.1315)</f>
        <v>24.1315</v>
      </c>
      <c r="AB286" s="32">
        <f>IFERROR(__xludf.DUMMYFUNCTION("""COMPUTED_VALUE"""),32.70325)</f>
        <v>32.70325</v>
      </c>
      <c r="AC286" s="32">
        <f>IFERROR(__xludf.DUMMYFUNCTION("""COMPUTED_VALUE"""),4.6281)</f>
        <v>4.6281</v>
      </c>
      <c r="AD286" s="32">
        <f>IFERROR(__xludf.DUMMYFUNCTION("""COMPUTED_VALUE"""),3.11115)</f>
        <v>3.11115</v>
      </c>
      <c r="AE286" s="32">
        <f>IFERROR(__xludf.DUMMYFUNCTION("""COMPUTED_VALUE"""),5.830204)</f>
        <v>5.830204</v>
      </c>
      <c r="AF286" s="32">
        <f>IFERROR(__xludf.DUMMYFUNCTION("""COMPUTED_VALUE"""),0.274446)</f>
        <v>0.274446</v>
      </c>
      <c r="AG286" s="32">
        <f>IFERROR(__xludf.DUMMYFUNCTION("""COMPUTED_VALUE"""),0.4069)</f>
        <v>0.4069</v>
      </c>
      <c r="AH286" s="32">
        <f>IFERROR(__xludf.DUMMYFUNCTION("""COMPUTED_VALUE"""),14.491492)</f>
        <v>14.491492</v>
      </c>
      <c r="AI286" s="32">
        <f>IFERROR(__xludf.DUMMYFUNCTION("""COMPUTED_VALUE"""),4.129142062034623)</f>
        <v>4.129142062</v>
      </c>
      <c r="AJ286" s="32">
        <f>IFERROR(__xludf.DUMMYFUNCTION("""COMPUTED_VALUE"""),18.334254258163938)</f>
        <v>18.33425426</v>
      </c>
      <c r="AK286" s="32">
        <f>IFERROR(__xludf.DUMMYFUNCTION("""COMPUTED_VALUE"""),25.4378)</f>
        <v>25.4378</v>
      </c>
      <c r="AL286" s="32">
        <f>IFERROR(__xludf.DUMMYFUNCTION("""COMPUTED_VALUE"""),132.6357)</f>
        <v>132.6357</v>
      </c>
      <c r="AM286" s="32">
        <f>IFERROR(__xludf.DUMMYFUNCTION("""COMPUTED_VALUE"""),33.662098)</f>
        <v>33.662098</v>
      </c>
      <c r="AN286" s="32">
        <f>IFERROR(__xludf.DUMMYFUNCTION("""COMPUTED_VALUE"""),16.4965)</f>
        <v>16.4965</v>
      </c>
      <c r="AO286" s="32">
        <f>IFERROR(__xludf.DUMMYFUNCTION("""COMPUTED_VALUE"""),2.5)</f>
        <v>2.5</v>
      </c>
      <c r="AP286" s="32">
        <f>IFERROR(__xludf.DUMMYFUNCTION("""COMPUTED_VALUE"""),0.37764151421476716)</f>
        <v>0.3776415142</v>
      </c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>
      <c r="A287" s="13" t="str">
        <f>IFERROR(__xludf.DUMMYFUNCTION("""COMPUTED_VALUE"""),"Ircon International Ltd.")</f>
        <v>Ircon International Ltd.</v>
      </c>
      <c r="B287" s="30">
        <f>IFERROR(__xludf.DUMMYFUNCTION("""COMPUTED_VALUE"""),541956.0)</f>
        <v>541956</v>
      </c>
      <c r="C287" s="13" t="str">
        <f>IFERROR(__xludf.DUMMYFUNCTION("""COMPUTED_VALUE"""),"IRCON")</f>
        <v>IRCON</v>
      </c>
      <c r="D287" s="13" t="str">
        <f>IFERROR(__xludf.DUMMYFUNCTION("""COMPUTED_VALUE"""),"INE962Y01021")</f>
        <v>INE962Y01021</v>
      </c>
      <c r="E287" s="13" t="str">
        <f>IFERROR(__xludf.DUMMYFUNCTION("""COMPUTED_VALUE"""),"Construction")</f>
        <v>Construction</v>
      </c>
      <c r="F287" s="13" t="str">
        <f>IFERROR(__xludf.DUMMYFUNCTION("""COMPUTED_VALUE"""),"Construction")</f>
        <v>Construction</v>
      </c>
      <c r="G287" s="31">
        <f>IFERROR(__xludf.DUMMYFUNCTION("""COMPUTED_VALUE"""),44809.0)</f>
        <v>44809</v>
      </c>
      <c r="H287" s="32">
        <f>IFERROR(__xludf.DUMMYFUNCTION("""COMPUTED_VALUE"""),42.6)</f>
        <v>42.6</v>
      </c>
      <c r="I287" s="32">
        <f>IFERROR(__xludf.DUMMYFUNCTION("""COMPUTED_VALUE"""),-1.045296)</f>
        <v>-1.045296</v>
      </c>
      <c r="J287" s="32">
        <f>IFERROR(__xludf.DUMMYFUNCTION("""COMPUTED_VALUE"""),34.8)</f>
        <v>34.8</v>
      </c>
      <c r="K287" s="32">
        <f>IFERROR(__xludf.DUMMYFUNCTION("""COMPUTED_VALUE"""),53.4)</f>
        <v>53.4</v>
      </c>
      <c r="L287" s="32">
        <f>IFERROR(__xludf.DUMMYFUNCTION("""COMPUTED_VALUE"""),29.0)</f>
        <v>29</v>
      </c>
      <c r="M287" s="32">
        <f>IFERROR(__xludf.DUMMYFUNCTION("""COMPUTED_VALUE"""),59.9)</f>
        <v>59.9</v>
      </c>
      <c r="N287" s="13"/>
      <c r="O287" s="13"/>
      <c r="P287" s="32">
        <f>IFERROR(__xludf.DUMMYFUNCTION("""COMPUTED_VALUE"""),29.0)</f>
        <v>29</v>
      </c>
      <c r="Q287" s="32">
        <f>IFERROR(__xludf.DUMMYFUNCTION("""COMPUTED_VALUE"""),59.9)</f>
        <v>59.9</v>
      </c>
      <c r="R287" s="32">
        <f>IFERROR(__xludf.DUMMYFUNCTION("""COMPUTED_VALUE"""),4006.5970524)</f>
        <v>4006.597052</v>
      </c>
      <c r="S287" s="32">
        <f>IFERROR(__xludf.DUMMYFUNCTION("""COMPUTED_VALUE"""),-115.2797393)</f>
        <v>-115.2797393</v>
      </c>
      <c r="T287" s="32">
        <f>IFERROR(__xludf.DUMMYFUNCTION("""COMPUTED_VALUE"""),5.707196)</f>
        <v>5.707196</v>
      </c>
      <c r="U287" s="32">
        <f>IFERROR(__xludf.DUMMYFUNCTION("""COMPUTED_VALUE"""),7.984791)</f>
        <v>7.984791</v>
      </c>
      <c r="V287" s="32">
        <f>IFERROR(__xludf.DUMMYFUNCTION("""COMPUTED_VALUE"""),7.711757)</f>
        <v>7.711757</v>
      </c>
      <c r="W287" s="32">
        <f>IFERROR(__xludf.DUMMYFUNCTION("""COMPUTED_VALUE"""),-1.956272)</f>
        <v>-1.956272</v>
      </c>
      <c r="X287" s="32">
        <f>IFERROR(__xludf.DUMMYFUNCTION("""COMPUTED_VALUE"""),7.606085)</f>
        <v>7.606085</v>
      </c>
      <c r="Y287" s="13"/>
      <c r="Z287" s="13"/>
      <c r="AA287" s="32">
        <f>IFERROR(__xludf.DUMMYFUNCTION("""COMPUTED_VALUE"""),6.1838)</f>
        <v>6.1838</v>
      </c>
      <c r="AB287" s="32">
        <f>IFERROR(__xludf.DUMMYFUNCTION("""COMPUTED_VALUE"""),9.1237)</f>
        <v>9.1237</v>
      </c>
      <c r="AC287" s="32">
        <f>IFERROR(__xludf.DUMMYFUNCTION("""COMPUTED_VALUE"""),0.8351)</f>
        <v>0.8351</v>
      </c>
      <c r="AD287" s="32">
        <f>IFERROR(__xludf.DUMMYFUNCTION("""COMPUTED_VALUE"""),0.9519)</f>
        <v>0.9519</v>
      </c>
      <c r="AE287" s="32">
        <f>IFERROR(__xludf.DUMMYFUNCTION("""COMPUTED_VALUE"""),-646.675722)</f>
        <v>-646.675722</v>
      </c>
      <c r="AF287" s="32">
        <f>IFERROR(__xludf.DUMMYFUNCTION("""COMPUTED_VALUE"""),0.87532)</f>
        <v>0.87532</v>
      </c>
      <c r="AG287" s="32">
        <f>IFERROR(__xludf.DUMMYFUNCTION("""COMPUTED_VALUE"""),5.8685)</f>
        <v>5.8685</v>
      </c>
      <c r="AH287" s="32">
        <f>IFERROR(__xludf.DUMMYFUNCTION("""COMPUTED_VALUE"""),-0.131575)</f>
        <v>-0.131575</v>
      </c>
      <c r="AI287" s="32">
        <f>IFERROR(__xludf.DUMMYFUNCTION("""COMPUTED_VALUE"""),0.48626465220145787)</f>
        <v>0.4862646522</v>
      </c>
      <c r="AJ287" s="32">
        <f>IFERROR(__xludf.DUMMYFUNCTION("""COMPUTED_VALUE"""),2.850858867511029)</f>
        <v>2.850858868</v>
      </c>
      <c r="AK287" s="32">
        <f>IFERROR(__xludf.DUMMYFUNCTION("""COMPUTED_VALUE"""),6.889)</f>
        <v>6.889</v>
      </c>
      <c r="AL287" s="32">
        <f>IFERROR(__xludf.DUMMYFUNCTION("""COMPUTED_VALUE"""),51.0097)</f>
        <v>51.0097</v>
      </c>
      <c r="AM287" s="32">
        <f>IFERROR(__xludf.DUMMYFUNCTION("""COMPUTED_VALUE"""),14.943115)</f>
        <v>14.943115</v>
      </c>
      <c r="AN287" s="32">
        <f>IFERROR(__xludf.DUMMYFUNCTION("""COMPUTED_VALUE"""),14.198618)</f>
        <v>14.198618</v>
      </c>
      <c r="AO287" s="32">
        <f>IFERROR(__xludf.DUMMYFUNCTION("""COMPUTED_VALUE"""),2.5)</f>
        <v>2.5</v>
      </c>
      <c r="AP287" s="32">
        <f>IFERROR(__xludf.DUMMYFUNCTION("""COMPUTED_VALUE"""),0.2022471910112359)</f>
        <v>0.202247191</v>
      </c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>
      <c r="A288" s="13" t="str">
        <f>IFERROR(__xludf.DUMMYFUNCTION("""COMPUTED_VALUE"""),"Jyothy Labs Ltd.")</f>
        <v>Jyothy Labs Ltd.</v>
      </c>
      <c r="B288" s="30">
        <f>IFERROR(__xludf.DUMMYFUNCTION("""COMPUTED_VALUE"""),532926.0)</f>
        <v>532926</v>
      </c>
      <c r="C288" s="13" t="str">
        <f>IFERROR(__xludf.DUMMYFUNCTION("""COMPUTED_VALUE"""),"JYOTHYLAB")</f>
        <v>JYOTHYLAB</v>
      </c>
      <c r="D288" s="13" t="str">
        <f>IFERROR(__xludf.DUMMYFUNCTION("""COMPUTED_VALUE"""),"INE668F01031")</f>
        <v>INE668F01031</v>
      </c>
      <c r="E288" s="13" t="str">
        <f>IFERROR(__xludf.DUMMYFUNCTION("""COMPUTED_VALUE"""),"Consumer Staples")</f>
        <v>Consumer Staples</v>
      </c>
      <c r="F288" s="13" t="str">
        <f>IFERROR(__xludf.DUMMYFUNCTION("""COMPUTED_VALUE"""),"Household &amp; Personal Products")</f>
        <v>Household &amp; Personal Products</v>
      </c>
      <c r="G288" s="31">
        <f>IFERROR(__xludf.DUMMYFUNCTION("""COMPUTED_VALUE"""),44809.0)</f>
        <v>44809</v>
      </c>
      <c r="H288" s="32">
        <f>IFERROR(__xludf.DUMMYFUNCTION("""COMPUTED_VALUE"""),189.3)</f>
        <v>189.3</v>
      </c>
      <c r="I288" s="32">
        <f>IFERROR(__xludf.DUMMYFUNCTION("""COMPUTED_VALUE"""),0.079302)</f>
        <v>0.079302</v>
      </c>
      <c r="J288" s="32">
        <f>IFERROR(__xludf.DUMMYFUNCTION("""COMPUTED_VALUE"""),130.15)</f>
        <v>130.15</v>
      </c>
      <c r="K288" s="32">
        <f>IFERROR(__xludf.DUMMYFUNCTION("""COMPUTED_VALUE"""),198.4)</f>
        <v>198.4</v>
      </c>
      <c r="L288" s="32">
        <f>IFERROR(__xludf.DUMMYFUNCTION("""COMPUTED_VALUE"""),85.0)</f>
        <v>85</v>
      </c>
      <c r="M288" s="32">
        <f>IFERROR(__xludf.DUMMYFUNCTION("""COMPUTED_VALUE"""),198.4)</f>
        <v>198.4</v>
      </c>
      <c r="N288" s="32">
        <f>IFERROR(__xludf.DUMMYFUNCTION("""COMPUTED_VALUE"""),85.0)</f>
        <v>85</v>
      </c>
      <c r="O288" s="32">
        <f>IFERROR(__xludf.DUMMYFUNCTION("""COMPUTED_VALUE"""),249.0)</f>
        <v>249</v>
      </c>
      <c r="P288" s="32">
        <f>IFERROR(__xludf.DUMMYFUNCTION("""COMPUTED_VALUE"""),10.5)</f>
        <v>10.5</v>
      </c>
      <c r="Q288" s="32">
        <f>IFERROR(__xludf.DUMMYFUNCTION("""COMPUTED_VALUE"""),249.0)</f>
        <v>249</v>
      </c>
      <c r="R288" s="32">
        <f>IFERROR(__xludf.DUMMYFUNCTION("""COMPUTED_VALUE"""),6976.964236)</f>
        <v>6976.964236</v>
      </c>
      <c r="S288" s="32">
        <f>IFERROR(__xludf.DUMMYFUNCTION("""COMPUTED_VALUE"""),6861.08780126)</f>
        <v>6861.087801</v>
      </c>
      <c r="T288" s="32">
        <f>IFERROR(__xludf.DUMMYFUNCTION("""COMPUTED_VALUE"""),-0.158228)</f>
        <v>-0.158228</v>
      </c>
      <c r="U288" s="32">
        <f>IFERROR(__xludf.DUMMYFUNCTION("""COMPUTED_VALUE"""),9.930314)</f>
        <v>9.930314</v>
      </c>
      <c r="V288" s="32">
        <f>IFERROR(__xludf.DUMMYFUNCTION("""COMPUTED_VALUE"""),19.923978)</f>
        <v>19.923978</v>
      </c>
      <c r="W288" s="32">
        <f>IFERROR(__xludf.DUMMYFUNCTION("""COMPUTED_VALUE"""),12.444312)</f>
        <v>12.444312</v>
      </c>
      <c r="X288" s="32">
        <f>IFERROR(__xludf.DUMMYFUNCTION("""COMPUTED_VALUE"""),10.500518)</f>
        <v>10.500518</v>
      </c>
      <c r="Y288" s="32">
        <f>IFERROR(__xludf.DUMMYFUNCTION("""COMPUTED_VALUE"""),-0.522609)</f>
        <v>-0.522609</v>
      </c>
      <c r="Z288" s="32">
        <f>IFERROR(__xludf.DUMMYFUNCTION("""COMPUTED_VALUE"""),9.605959)</f>
        <v>9.605959</v>
      </c>
      <c r="AA288" s="32">
        <f>IFERROR(__xludf.DUMMYFUNCTION("""COMPUTED_VALUE"""),41.179)</f>
        <v>41.179</v>
      </c>
      <c r="AB288" s="32">
        <f>IFERROR(__xludf.DUMMYFUNCTION("""COMPUTED_VALUE"""),30.92825)</f>
        <v>30.92825</v>
      </c>
      <c r="AC288" s="32">
        <f>IFERROR(__xludf.DUMMYFUNCTION("""COMPUTED_VALUE"""),4.6785)</f>
        <v>4.6785</v>
      </c>
      <c r="AD288" s="32">
        <f>IFERROR(__xludf.DUMMYFUNCTION("""COMPUTED_VALUE"""),4.31745)</f>
        <v>4.31745</v>
      </c>
      <c r="AE288" s="32">
        <f>IFERROR(__xludf.DUMMYFUNCTION("""COMPUTED_VALUE"""),3.521321)</f>
        <v>3.521321</v>
      </c>
      <c r="AF288" s="32">
        <f>IFERROR(__xludf.DUMMYFUNCTION("""COMPUTED_VALUE"""),-21.632671)</f>
        <v>-21.632671</v>
      </c>
      <c r="AG288" s="32">
        <f>IFERROR(__xludf.DUMMYFUNCTION("""COMPUTED_VALUE"""),1.32)</f>
        <v>1.32</v>
      </c>
      <c r="AH288" s="32">
        <f>IFERROR(__xludf.DUMMYFUNCTION("""COMPUTED_VALUE"""),25.210685)</f>
        <v>25.210685</v>
      </c>
      <c r="AI288" s="32">
        <f>IFERROR(__xludf.DUMMYFUNCTION("""COMPUTED_VALUE"""),3.0758695916307)</f>
        <v>3.075869592</v>
      </c>
      <c r="AJ288" s="32">
        <f>IFERROR(__xludf.DUMMYFUNCTION("""COMPUTED_VALUE"""),34.444142816801836)</f>
        <v>34.44414282</v>
      </c>
      <c r="AK288" s="32">
        <f>IFERROR(__xludf.DUMMYFUNCTION("""COMPUTED_VALUE"""),4.614)</f>
        <v>4.614</v>
      </c>
      <c r="AL288" s="32">
        <f>IFERROR(__xludf.DUMMYFUNCTION("""COMPUTED_VALUE"""),40.6117)</f>
        <v>40.6117</v>
      </c>
      <c r="AM288" s="32">
        <f>IFERROR(__xludf.DUMMYFUNCTION("""COMPUTED_VALUE"""),5.516172)</f>
        <v>5.516172</v>
      </c>
      <c r="AN288" s="32">
        <f>IFERROR(__xludf.DUMMYFUNCTION("""COMPUTED_VALUE"""),4.504359)</f>
        <v>4.504359</v>
      </c>
      <c r="AO288" s="32">
        <f>IFERROR(__xludf.DUMMYFUNCTION("""COMPUTED_VALUE"""),2.5)</f>
        <v>2.5</v>
      </c>
      <c r="AP288" s="32">
        <f>IFERROR(__xludf.DUMMYFUNCTION("""COMPUTED_VALUE"""),0.04586693548387094)</f>
        <v>0.04586693548</v>
      </c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>
      <c r="A289" s="13" t="str">
        <f>IFERROR(__xludf.DUMMYFUNCTION("""COMPUTED_VALUE"""),"KEI Industries Ltd.")</f>
        <v>KEI Industries Ltd.</v>
      </c>
      <c r="B289" s="30">
        <f>IFERROR(__xludf.DUMMYFUNCTION("""COMPUTED_VALUE"""),517569.0)</f>
        <v>517569</v>
      </c>
      <c r="C289" s="13" t="str">
        <f>IFERROR(__xludf.DUMMYFUNCTION("""COMPUTED_VALUE"""),"KEI")</f>
        <v>KEI</v>
      </c>
      <c r="D289" s="13" t="str">
        <f>IFERROR(__xludf.DUMMYFUNCTION("""COMPUTED_VALUE"""),"INE878B01027")</f>
        <v>INE878B01027</v>
      </c>
      <c r="E289" s="13" t="str">
        <f>IFERROR(__xludf.DUMMYFUNCTION("""COMPUTED_VALUE"""),"Capital Goods")</f>
        <v>Capital Goods</v>
      </c>
      <c r="F289" s="13" t="str">
        <f>IFERROR(__xludf.DUMMYFUNCTION("""COMPUTED_VALUE"""),"Wires &amp; cables")</f>
        <v>Wires &amp; cables</v>
      </c>
      <c r="G289" s="31">
        <f>IFERROR(__xludf.DUMMYFUNCTION("""COMPUTED_VALUE"""),44809.0)</f>
        <v>44809</v>
      </c>
      <c r="H289" s="32">
        <f>IFERROR(__xludf.DUMMYFUNCTION("""COMPUTED_VALUE"""),1474.3)</f>
        <v>1474.3</v>
      </c>
      <c r="I289" s="32">
        <f>IFERROR(__xludf.DUMMYFUNCTION("""COMPUTED_VALUE"""),2.084199)</f>
        <v>2.084199</v>
      </c>
      <c r="J289" s="32">
        <f>IFERROR(__xludf.DUMMYFUNCTION("""COMPUTED_VALUE"""),770.0)</f>
        <v>770</v>
      </c>
      <c r="K289" s="32">
        <f>IFERROR(__xludf.DUMMYFUNCTION("""COMPUTED_VALUE"""),1505.0)</f>
        <v>1505</v>
      </c>
      <c r="L289" s="32">
        <f>IFERROR(__xludf.DUMMYFUNCTION("""COMPUTED_VALUE"""),208.3)</f>
        <v>208.3</v>
      </c>
      <c r="M289" s="32">
        <f>IFERROR(__xludf.DUMMYFUNCTION("""COMPUTED_VALUE"""),1505.0)</f>
        <v>1505</v>
      </c>
      <c r="N289" s="32">
        <f>IFERROR(__xludf.DUMMYFUNCTION("""COMPUTED_VALUE"""),208.3)</f>
        <v>208.3</v>
      </c>
      <c r="O289" s="32">
        <f>IFERROR(__xludf.DUMMYFUNCTION("""COMPUTED_VALUE"""),1505.0)</f>
        <v>1505</v>
      </c>
      <c r="P289" s="32">
        <f>IFERROR(__xludf.DUMMYFUNCTION("""COMPUTED_VALUE"""),0.36)</f>
        <v>0.36</v>
      </c>
      <c r="Q289" s="32">
        <f>IFERROR(__xludf.DUMMYFUNCTION("""COMPUTED_VALUE"""),1505.0)</f>
        <v>1505</v>
      </c>
      <c r="R289" s="32">
        <f>IFERROR(__xludf.DUMMYFUNCTION("""COMPUTED_VALUE"""),13297.07113434)</f>
        <v>13297.07113</v>
      </c>
      <c r="S289" s="32">
        <f>IFERROR(__xludf.DUMMYFUNCTION("""COMPUTED_VALUE"""),12998.27978253)</f>
        <v>12998.27978</v>
      </c>
      <c r="T289" s="32">
        <f>IFERROR(__xludf.DUMMYFUNCTION("""COMPUTED_VALUE"""),5.247002)</f>
        <v>5.247002</v>
      </c>
      <c r="U289" s="32">
        <f>IFERROR(__xludf.DUMMYFUNCTION("""COMPUTED_VALUE"""),6.122008)</f>
        <v>6.122008</v>
      </c>
      <c r="V289" s="32">
        <f>IFERROR(__xludf.DUMMYFUNCTION("""COMPUTED_VALUE"""),13.521214)</f>
        <v>13.521214</v>
      </c>
      <c r="W289" s="32">
        <f>IFERROR(__xludf.DUMMYFUNCTION("""COMPUTED_VALUE"""),89.097672)</f>
        <v>89.097672</v>
      </c>
      <c r="X289" s="32">
        <f>IFERROR(__xludf.DUMMYFUNCTION("""COMPUTED_VALUE"""),46.141642)</f>
        <v>46.141642</v>
      </c>
      <c r="Y289" s="32">
        <f>IFERROR(__xludf.DUMMYFUNCTION("""COMPUTED_VALUE"""),41.939449)</f>
        <v>41.939449</v>
      </c>
      <c r="Z289" s="32">
        <f>IFERROR(__xludf.DUMMYFUNCTION("""COMPUTED_VALUE"""),57.197845)</f>
        <v>57.197845</v>
      </c>
      <c r="AA289" s="32">
        <f>IFERROR(__xludf.DUMMYFUNCTION("""COMPUTED_VALUE"""),32.2586)</f>
        <v>32.2586</v>
      </c>
      <c r="AB289" s="32">
        <f>IFERROR(__xludf.DUMMYFUNCTION("""COMPUTED_VALUE"""),20.17215)</f>
        <v>20.17215</v>
      </c>
      <c r="AC289" s="32">
        <f>IFERROR(__xludf.DUMMYFUNCTION("""COMPUTED_VALUE"""),5.9646)</f>
        <v>5.9646</v>
      </c>
      <c r="AD289" s="32">
        <f>IFERROR(__xludf.DUMMYFUNCTION("""COMPUTED_VALUE"""),4.44505)</f>
        <v>4.44505</v>
      </c>
      <c r="AE289" s="32">
        <f>IFERROR(__xludf.DUMMYFUNCTION("""COMPUTED_VALUE"""),4.596445)</f>
        <v>4.596445</v>
      </c>
      <c r="AF289" s="32">
        <f>IFERROR(__xludf.DUMMYFUNCTION("""COMPUTED_VALUE"""),1.008011)</f>
        <v>1.008011</v>
      </c>
      <c r="AG289" s="32">
        <f>IFERROR(__xludf.DUMMYFUNCTION("""COMPUTED_VALUE"""),0.17)</f>
        <v>0.17</v>
      </c>
      <c r="AH289" s="32">
        <f>IFERROR(__xludf.DUMMYFUNCTION("""COMPUTED_VALUE"""),19.997077)</f>
        <v>19.997077</v>
      </c>
      <c r="AI289" s="32">
        <f>IFERROR(__xludf.DUMMYFUNCTION("""COMPUTED_VALUE"""),2.119257799046921)</f>
        <v>2.119257799</v>
      </c>
      <c r="AJ289" s="32">
        <f>IFERROR(__xludf.DUMMYFUNCTION("""COMPUTED_VALUE"""),58.16359877672069)</f>
        <v>58.16359878</v>
      </c>
      <c r="AK289" s="32">
        <f>IFERROR(__xludf.DUMMYFUNCTION("""COMPUTED_VALUE"""),45.7553)</f>
        <v>45.7553</v>
      </c>
      <c r="AL289" s="32">
        <f>IFERROR(__xludf.DUMMYFUNCTION("""COMPUTED_VALUE"""),247.4583)</f>
        <v>247.4583</v>
      </c>
      <c r="AM289" s="32">
        <f>IFERROR(__xludf.DUMMYFUNCTION("""COMPUTED_VALUE"""),25.372066)</f>
        <v>25.372066</v>
      </c>
      <c r="AN289" s="32">
        <f>IFERROR(__xludf.DUMMYFUNCTION("""COMPUTED_VALUE"""),12.900949)</f>
        <v>12.900949</v>
      </c>
      <c r="AO289" s="32">
        <f>IFERROR(__xludf.DUMMYFUNCTION("""COMPUTED_VALUE"""),2.5)</f>
        <v>2.5</v>
      </c>
      <c r="AP289" s="32">
        <f>IFERROR(__xludf.DUMMYFUNCTION("""COMPUTED_VALUE"""),0.020398671096345546)</f>
        <v>0.0203986711</v>
      </c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>
      <c r="A290" s="13" t="str">
        <f>IFERROR(__xludf.DUMMYFUNCTION("""COMPUTED_VALUE"""),"Mahindra CIE Automotive Ltd.")</f>
        <v>Mahindra CIE Automotive Ltd.</v>
      </c>
      <c r="B290" s="30">
        <f>IFERROR(__xludf.DUMMYFUNCTION("""COMPUTED_VALUE"""),532756.0)</f>
        <v>532756</v>
      </c>
      <c r="C290" s="13" t="str">
        <f>IFERROR(__xludf.DUMMYFUNCTION("""COMPUTED_VALUE"""),"MAHINDCIE")</f>
        <v>MAHINDCIE</v>
      </c>
      <c r="D290" s="13" t="str">
        <f>IFERROR(__xludf.DUMMYFUNCTION("""COMPUTED_VALUE"""),"INE536H01010")</f>
        <v>INE536H01010</v>
      </c>
      <c r="E290" s="13" t="str">
        <f>IFERROR(__xludf.DUMMYFUNCTION("""COMPUTED_VALUE"""),"Metals &amp; Mining")</f>
        <v>Metals &amp; Mining</v>
      </c>
      <c r="F290" s="13" t="str">
        <f>IFERROR(__xludf.DUMMYFUNCTION("""COMPUTED_VALUE"""),"Castings &amp; Forgings")</f>
        <v>Castings &amp; Forgings</v>
      </c>
      <c r="G290" s="31">
        <f>IFERROR(__xludf.DUMMYFUNCTION("""COMPUTED_VALUE"""),44809.0)</f>
        <v>44809</v>
      </c>
      <c r="H290" s="32">
        <f>IFERROR(__xludf.DUMMYFUNCTION("""COMPUTED_VALUE"""),273.1)</f>
        <v>273.1</v>
      </c>
      <c r="I290" s="32">
        <f>IFERROR(__xludf.DUMMYFUNCTION("""COMPUTED_VALUE"""),-0.164504)</f>
        <v>-0.164504</v>
      </c>
      <c r="J290" s="32">
        <f>IFERROR(__xludf.DUMMYFUNCTION("""COMPUTED_VALUE"""),163.95)</f>
        <v>163.95</v>
      </c>
      <c r="K290" s="32">
        <f>IFERROR(__xludf.DUMMYFUNCTION("""COMPUTED_VALUE"""),312.0)</f>
        <v>312</v>
      </c>
      <c r="L290" s="32">
        <f>IFERROR(__xludf.DUMMYFUNCTION("""COMPUTED_VALUE"""),58.6)</f>
        <v>58.6</v>
      </c>
      <c r="M290" s="32">
        <f>IFERROR(__xludf.DUMMYFUNCTION("""COMPUTED_VALUE"""),312.0)</f>
        <v>312</v>
      </c>
      <c r="N290" s="32">
        <f>IFERROR(__xludf.DUMMYFUNCTION("""COMPUTED_VALUE"""),58.6)</f>
        <v>58.6</v>
      </c>
      <c r="O290" s="32">
        <f>IFERROR(__xludf.DUMMYFUNCTION("""COMPUTED_VALUE"""),312.0)</f>
        <v>312</v>
      </c>
      <c r="P290" s="32">
        <f>IFERROR(__xludf.DUMMYFUNCTION("""COMPUTED_VALUE"""),34.65)</f>
        <v>34.65</v>
      </c>
      <c r="Q290" s="32">
        <f>IFERROR(__xludf.DUMMYFUNCTION("""COMPUTED_VALUE"""),384.1)</f>
        <v>384.1</v>
      </c>
      <c r="R290" s="32">
        <f>IFERROR(__xludf.DUMMYFUNCTION("""COMPUTED_VALUE"""),10381.91666323)</f>
        <v>10381.91666</v>
      </c>
      <c r="S290" s="32">
        <f>IFERROR(__xludf.DUMMYFUNCTION("""COMPUTED_VALUE"""),11083.03031565)</f>
        <v>11083.03032</v>
      </c>
      <c r="T290" s="32">
        <f>IFERROR(__xludf.DUMMYFUNCTION("""COMPUTED_VALUE"""),-3.327434)</f>
        <v>-3.327434</v>
      </c>
      <c r="U290" s="32">
        <f>IFERROR(__xludf.DUMMYFUNCTION("""COMPUTED_VALUE"""),2.862524)</f>
        <v>2.862524</v>
      </c>
      <c r="V290" s="32">
        <f>IFERROR(__xludf.DUMMYFUNCTION("""COMPUTED_VALUE"""),39.800358)</f>
        <v>39.800358</v>
      </c>
      <c r="W290" s="32">
        <f>IFERROR(__xludf.DUMMYFUNCTION("""COMPUTED_VALUE"""),20.787262)</f>
        <v>20.787262</v>
      </c>
      <c r="X290" s="32">
        <f>IFERROR(__xludf.DUMMYFUNCTION("""COMPUTED_VALUE"""),20.508952)</f>
        <v>20.508952</v>
      </c>
      <c r="Y290" s="32">
        <f>IFERROR(__xludf.DUMMYFUNCTION("""COMPUTED_VALUE"""),2.871802)</f>
        <v>2.871802</v>
      </c>
      <c r="Z290" s="32">
        <f>IFERROR(__xludf.DUMMYFUNCTION("""COMPUTED_VALUE"""),17.585183)</f>
        <v>17.585183</v>
      </c>
      <c r="AA290" s="32">
        <f>IFERROR(__xludf.DUMMYFUNCTION("""COMPUTED_VALUE"""),17.3951)</f>
        <v>17.3951</v>
      </c>
      <c r="AB290" s="32">
        <f>IFERROR(__xludf.DUMMYFUNCTION("""COMPUTED_VALUE"""),62.8612)</f>
        <v>62.8612</v>
      </c>
      <c r="AC290" s="32">
        <f>IFERROR(__xludf.DUMMYFUNCTION("""COMPUTED_VALUE"""),1.9227)</f>
        <v>1.9227</v>
      </c>
      <c r="AD290" s="32">
        <f>IFERROR(__xludf.DUMMYFUNCTION("""COMPUTED_VALUE"""),1.6974)</f>
        <v>1.6974</v>
      </c>
      <c r="AE290" s="32">
        <f>IFERROR(__xludf.DUMMYFUNCTION("""COMPUTED_VALUE"""),7.862935)</f>
        <v>7.862935</v>
      </c>
      <c r="AF290" s="32">
        <f>IFERROR(__xludf.DUMMYFUNCTION("""COMPUTED_VALUE"""),0.950147)</f>
        <v>0.950147</v>
      </c>
      <c r="AG290" s="32">
        <f>IFERROR(__xludf.DUMMYFUNCTION("""COMPUTED_VALUE"""),0.9134)</f>
        <v>0.9134</v>
      </c>
      <c r="AH290" s="32">
        <f>IFERROR(__xludf.DUMMYFUNCTION("""COMPUTED_VALUE"""),9.695456)</f>
        <v>9.695456</v>
      </c>
      <c r="AI290" s="32">
        <f>IFERROR(__xludf.DUMMYFUNCTION("""COMPUTED_VALUE"""),1.098569368379974)</f>
        <v>1.098569368</v>
      </c>
      <c r="AJ290" s="32">
        <f>IFERROR(__xludf.DUMMYFUNCTION("""COMPUTED_VALUE"""),9.876252533514078)</f>
        <v>9.876252534</v>
      </c>
      <c r="AK290" s="32">
        <f>IFERROR(__xludf.DUMMYFUNCTION("""COMPUTED_VALUE"""),15.7343)</f>
        <v>15.7343</v>
      </c>
      <c r="AL290" s="32">
        <f>IFERROR(__xludf.DUMMYFUNCTION("""COMPUTED_VALUE"""),142.3484)</f>
        <v>142.3484</v>
      </c>
      <c r="AM290" s="32">
        <f>IFERROR(__xludf.DUMMYFUNCTION("""COMPUTED_VALUE"""),27.728831)</f>
        <v>27.728831</v>
      </c>
      <c r="AN290" s="32">
        <f>IFERROR(__xludf.DUMMYFUNCTION("""COMPUTED_VALUE"""),9.08995)</f>
        <v>9.08995</v>
      </c>
      <c r="AO290" s="32">
        <f>IFERROR(__xludf.DUMMYFUNCTION("""COMPUTED_VALUE"""),2.5)</f>
        <v>2.5</v>
      </c>
      <c r="AP290" s="32">
        <f>IFERROR(__xludf.DUMMYFUNCTION("""COMPUTED_VALUE"""),0.12467948717948711)</f>
        <v>0.1246794872</v>
      </c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>
      <c r="A291" s="13" t="str">
        <f>IFERROR(__xludf.DUMMYFUNCTION("""COMPUTED_VALUE"""),"NLC India Ltd.")</f>
        <v>NLC India Ltd.</v>
      </c>
      <c r="B291" s="30">
        <f>IFERROR(__xludf.DUMMYFUNCTION("""COMPUTED_VALUE"""),513683.0)</f>
        <v>513683</v>
      </c>
      <c r="C291" s="13" t="str">
        <f>IFERROR(__xludf.DUMMYFUNCTION("""COMPUTED_VALUE"""),"NLCINDIA")</f>
        <v>NLCINDIA</v>
      </c>
      <c r="D291" s="13" t="str">
        <f>IFERROR(__xludf.DUMMYFUNCTION("""COMPUTED_VALUE"""),"INE589A01014")</f>
        <v>INE589A01014</v>
      </c>
      <c r="E291" s="13" t="str">
        <f>IFERROR(__xludf.DUMMYFUNCTION("""COMPUTED_VALUE"""),"Energy")</f>
        <v>Energy</v>
      </c>
      <c r="F291" s="13" t="str">
        <f>IFERROR(__xludf.DUMMYFUNCTION("""COMPUTED_VALUE"""),"Electricity Generation")</f>
        <v>Electricity Generation</v>
      </c>
      <c r="G291" s="31">
        <f>IFERROR(__xludf.DUMMYFUNCTION("""COMPUTED_VALUE"""),44809.0)</f>
        <v>44809</v>
      </c>
      <c r="H291" s="32">
        <f>IFERROR(__xludf.DUMMYFUNCTION("""COMPUTED_VALUE"""),77.9)</f>
        <v>77.9</v>
      </c>
      <c r="I291" s="32">
        <f>IFERROR(__xludf.DUMMYFUNCTION("""COMPUTED_VALUE"""),0.321958)</f>
        <v>0.321958</v>
      </c>
      <c r="J291" s="32">
        <f>IFERROR(__xludf.DUMMYFUNCTION("""COMPUTED_VALUE"""),51.4)</f>
        <v>51.4</v>
      </c>
      <c r="K291" s="32">
        <f>IFERROR(__xludf.DUMMYFUNCTION("""COMPUTED_VALUE"""),92.4)</f>
        <v>92.4</v>
      </c>
      <c r="L291" s="32">
        <f>IFERROR(__xludf.DUMMYFUNCTION("""COMPUTED_VALUE"""),34.95)</f>
        <v>34.95</v>
      </c>
      <c r="M291" s="32">
        <f>IFERROR(__xludf.DUMMYFUNCTION("""COMPUTED_VALUE"""),92.4)</f>
        <v>92.4</v>
      </c>
      <c r="N291" s="32">
        <f>IFERROR(__xludf.DUMMYFUNCTION("""COMPUTED_VALUE"""),34.95)</f>
        <v>34.95</v>
      </c>
      <c r="O291" s="32">
        <f>IFERROR(__xludf.DUMMYFUNCTION("""COMPUTED_VALUE"""),119.75)</f>
        <v>119.75</v>
      </c>
      <c r="P291" s="32">
        <f>IFERROR(__xludf.DUMMYFUNCTION("""COMPUTED_VALUE"""),4.9)</f>
        <v>4.9</v>
      </c>
      <c r="Q291" s="32">
        <f>IFERROR(__xludf.DUMMYFUNCTION("""COMPUTED_VALUE"""),277.95)</f>
        <v>277.95</v>
      </c>
      <c r="R291" s="32">
        <f>IFERROR(__xludf.DUMMYFUNCTION("""COMPUTED_VALUE"""),10801.89918411)</f>
        <v>10801.89918</v>
      </c>
      <c r="S291" s="32">
        <f>IFERROR(__xludf.DUMMYFUNCTION("""COMPUTED_VALUE"""),37205.92008584)</f>
        <v>37205.92009</v>
      </c>
      <c r="T291" s="32">
        <f>IFERROR(__xludf.DUMMYFUNCTION("""COMPUTED_VALUE"""),1.498371)</f>
        <v>1.498371</v>
      </c>
      <c r="U291" s="32">
        <f>IFERROR(__xludf.DUMMYFUNCTION("""COMPUTED_VALUE"""),11.285714)</f>
        <v>11.285714</v>
      </c>
      <c r="V291" s="32">
        <f>IFERROR(__xludf.DUMMYFUNCTION("""COMPUTED_VALUE"""),1.366298)</f>
        <v>1.366298</v>
      </c>
      <c r="W291" s="32">
        <f>IFERROR(__xludf.DUMMYFUNCTION("""COMPUTED_VALUE"""),48.522402)</f>
        <v>48.522402</v>
      </c>
      <c r="X291" s="32">
        <f>IFERROR(__xludf.DUMMYFUNCTION("""COMPUTED_VALUE"""),12.992053)</f>
        <v>12.992053</v>
      </c>
      <c r="Y291" s="32">
        <f>IFERROR(__xludf.DUMMYFUNCTION("""COMPUTED_VALUE"""),-4.843628)</f>
        <v>-4.843628</v>
      </c>
      <c r="Z291" s="32">
        <f>IFERROR(__xludf.DUMMYFUNCTION("""COMPUTED_VALUE"""),0.032149)</f>
        <v>0.032149</v>
      </c>
      <c r="AA291" s="32">
        <f>IFERROR(__xludf.DUMMYFUNCTION("""COMPUTED_VALUE"""),8.2612)</f>
        <v>8.2612</v>
      </c>
      <c r="AB291" s="32">
        <f>IFERROR(__xludf.DUMMYFUNCTION("""COMPUTED_VALUE"""),6.19865)</f>
        <v>6.19865</v>
      </c>
      <c r="AC291" s="32">
        <f>IFERROR(__xludf.DUMMYFUNCTION("""COMPUTED_VALUE"""),0.7315)</f>
        <v>0.7315</v>
      </c>
      <c r="AD291" s="32">
        <f>IFERROR(__xludf.DUMMYFUNCTION("""COMPUTED_VALUE"""),0.6271)</f>
        <v>0.6271</v>
      </c>
      <c r="AE291" s="32">
        <f>IFERROR(__xludf.DUMMYFUNCTION("""COMPUTED_VALUE"""),10.621325)</f>
        <v>10.621325</v>
      </c>
      <c r="AF291" s="32">
        <f>IFERROR(__xludf.DUMMYFUNCTION("""COMPUTED_VALUE"""),0.101142)</f>
        <v>0.101142</v>
      </c>
      <c r="AG291" s="32">
        <f>IFERROR(__xludf.DUMMYFUNCTION("""COMPUTED_VALUE"""),3.2113)</f>
        <v>3.2113</v>
      </c>
      <c r="AH291" s="32">
        <f>IFERROR(__xludf.DUMMYFUNCTION("""COMPUTED_VALUE"""),6.946769)</f>
        <v>6.946769</v>
      </c>
      <c r="AI291" s="32">
        <f>IFERROR(__xludf.DUMMYFUNCTION("""COMPUTED_VALUE"""),0.8455902148055602)</f>
        <v>0.8455902148</v>
      </c>
      <c r="AJ291" s="32">
        <f>IFERROR(__xludf.DUMMYFUNCTION("""COMPUTED_VALUE"""),2.46073744996469)</f>
        <v>2.46073745</v>
      </c>
      <c r="AK291" s="32">
        <f>IFERROR(__xludf.DUMMYFUNCTION("""COMPUTED_VALUE"""),9.4236)</f>
        <v>9.4236</v>
      </c>
      <c r="AL291" s="32">
        <f>IFERROR(__xludf.DUMMYFUNCTION("""COMPUTED_VALUE"""),106.4274)</f>
        <v>106.4274</v>
      </c>
      <c r="AM291" s="32">
        <f>IFERROR(__xludf.DUMMYFUNCTION("""COMPUTED_VALUE"""),31.657099)</f>
        <v>31.657099</v>
      </c>
      <c r="AN291" s="32">
        <f>IFERROR(__xludf.DUMMYFUNCTION("""COMPUTED_VALUE"""),1.94196)</f>
        <v>1.94196</v>
      </c>
      <c r="AO291" s="32">
        <f>IFERROR(__xludf.DUMMYFUNCTION("""COMPUTED_VALUE"""),2.5)</f>
        <v>2.5</v>
      </c>
      <c r="AP291" s="32">
        <f>IFERROR(__xludf.DUMMYFUNCTION("""COMPUTED_VALUE"""),0.15692640692640691)</f>
        <v>0.1569264069</v>
      </c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>
      <c r="A292" s="13" t="str">
        <f>IFERROR(__xludf.DUMMYFUNCTION("""COMPUTED_VALUE"""),"Poly Medicure Ltd.")</f>
        <v>Poly Medicure Ltd.</v>
      </c>
      <c r="B292" s="30">
        <f>IFERROR(__xludf.DUMMYFUNCTION("""COMPUTED_VALUE"""),531768.0)</f>
        <v>531768</v>
      </c>
      <c r="C292" s="13" t="str">
        <f>IFERROR(__xludf.DUMMYFUNCTION("""COMPUTED_VALUE"""),"POLYMED")</f>
        <v>POLYMED</v>
      </c>
      <c r="D292" s="13" t="str">
        <f>IFERROR(__xludf.DUMMYFUNCTION("""COMPUTED_VALUE"""),"INE205C01021")</f>
        <v>INE205C01021</v>
      </c>
      <c r="E292" s="13" t="str">
        <f>IFERROR(__xludf.DUMMYFUNCTION("""COMPUTED_VALUE"""),"Healthcare")</f>
        <v>Healthcare</v>
      </c>
      <c r="F292" s="13" t="str">
        <f>IFERROR(__xludf.DUMMYFUNCTION("""COMPUTED_VALUE"""),"Medical Devices &amp; Equipment")</f>
        <v>Medical Devices &amp; Equipment</v>
      </c>
      <c r="G292" s="31">
        <f>IFERROR(__xludf.DUMMYFUNCTION("""COMPUTED_VALUE"""),44809.0)</f>
        <v>44809</v>
      </c>
      <c r="H292" s="32">
        <f>IFERROR(__xludf.DUMMYFUNCTION("""COMPUTED_VALUE"""),872.25)</f>
        <v>872.25</v>
      </c>
      <c r="I292" s="32">
        <f>IFERROR(__xludf.DUMMYFUNCTION("""COMPUTED_VALUE"""),-3.029461)</f>
        <v>-3.029461</v>
      </c>
      <c r="J292" s="32">
        <f>IFERROR(__xludf.DUMMYFUNCTION("""COMPUTED_VALUE"""),651.1)</f>
        <v>651.1</v>
      </c>
      <c r="K292" s="32">
        <f>IFERROR(__xludf.DUMMYFUNCTION("""COMPUTED_VALUE"""),1078.0)</f>
        <v>1078</v>
      </c>
      <c r="L292" s="32">
        <f>IFERROR(__xludf.DUMMYFUNCTION("""COMPUTED_VALUE"""),190.15)</f>
        <v>190.15</v>
      </c>
      <c r="M292" s="32">
        <f>IFERROR(__xludf.DUMMYFUNCTION("""COMPUTED_VALUE"""),1165.0)</f>
        <v>1165</v>
      </c>
      <c r="N292" s="32">
        <f>IFERROR(__xludf.DUMMYFUNCTION("""COMPUTED_VALUE"""),165.1)</f>
        <v>165.1</v>
      </c>
      <c r="O292" s="32">
        <f>IFERROR(__xludf.DUMMYFUNCTION("""COMPUTED_VALUE"""),1165.0)</f>
        <v>1165</v>
      </c>
      <c r="P292" s="32">
        <f>IFERROR(__xludf.DUMMYFUNCTION("""COMPUTED_VALUE"""),0.5)</f>
        <v>0.5</v>
      </c>
      <c r="Q292" s="32">
        <f>IFERROR(__xludf.DUMMYFUNCTION("""COMPUTED_VALUE"""),1165.0)</f>
        <v>1165</v>
      </c>
      <c r="R292" s="32">
        <f>IFERROR(__xludf.DUMMYFUNCTION("""COMPUTED_VALUE"""),8378.4715412)</f>
        <v>8378.471541</v>
      </c>
      <c r="S292" s="32">
        <f>IFERROR(__xludf.DUMMYFUNCTION("""COMPUTED_VALUE"""),8385.50049256)</f>
        <v>8385.500493</v>
      </c>
      <c r="T292" s="32">
        <f>IFERROR(__xludf.DUMMYFUNCTION("""COMPUTED_VALUE"""),15.01945)</f>
        <v>15.01945</v>
      </c>
      <c r="U292" s="32">
        <f>IFERROR(__xludf.DUMMYFUNCTION("""COMPUTED_VALUE"""),18.255152)</f>
        <v>18.255152</v>
      </c>
      <c r="V292" s="32">
        <f>IFERROR(__xludf.DUMMYFUNCTION("""COMPUTED_VALUE"""),14.408447)</f>
        <v>14.408447</v>
      </c>
      <c r="W292" s="32">
        <f>IFERROR(__xludf.DUMMYFUNCTION("""COMPUTED_VALUE"""),-9.102751)</f>
        <v>-9.102751</v>
      </c>
      <c r="X292" s="32">
        <f>IFERROR(__xludf.DUMMYFUNCTION("""COMPUTED_VALUE"""),63.15099)</f>
        <v>63.15099</v>
      </c>
      <c r="Y292" s="32">
        <f>IFERROR(__xludf.DUMMYFUNCTION("""COMPUTED_VALUE"""),33.813743)</f>
        <v>33.813743</v>
      </c>
      <c r="Z292" s="32">
        <f>IFERROR(__xludf.DUMMYFUNCTION("""COMPUTED_VALUE"""),36.451565)</f>
        <v>36.451565</v>
      </c>
      <c r="AA292" s="32">
        <f>IFERROR(__xludf.DUMMYFUNCTION("""COMPUTED_VALUE"""),61.6635)</f>
        <v>61.6635</v>
      </c>
      <c r="AB292" s="32">
        <f>IFERROR(__xludf.DUMMYFUNCTION("""COMPUTED_VALUE"""),36.8975)</f>
        <v>36.8975</v>
      </c>
      <c r="AC292" s="32">
        <f>IFERROR(__xludf.DUMMYFUNCTION("""COMPUTED_VALUE"""),7.5207)</f>
        <v>7.5207</v>
      </c>
      <c r="AD292" s="32">
        <f>IFERROR(__xludf.DUMMYFUNCTION("""COMPUTED_VALUE"""),7.10895)</f>
        <v>7.10895</v>
      </c>
      <c r="AE292" s="32">
        <f>IFERROR(__xludf.DUMMYFUNCTION("""COMPUTED_VALUE"""),2.624492)</f>
        <v>2.624492</v>
      </c>
      <c r="AF292" s="32">
        <f>IFERROR(__xludf.DUMMYFUNCTION("""COMPUTED_VALUE"""),2.704627)</f>
        <v>2.704627</v>
      </c>
      <c r="AG292" s="32">
        <f>IFERROR(__xludf.DUMMYFUNCTION("""COMPUTED_VALUE"""),0.2862)</f>
        <v>0.2862</v>
      </c>
      <c r="AH292" s="32">
        <f>IFERROR(__xludf.DUMMYFUNCTION("""COMPUTED_VALUE"""),35.466259)</f>
        <v>35.466259</v>
      </c>
      <c r="AI292" s="32">
        <f>IFERROR(__xludf.DUMMYFUNCTION("""COMPUTED_VALUE"""),8.72745633777876)</f>
        <v>8.727456338</v>
      </c>
      <c r="AJ292" s="32">
        <f>IFERROR(__xludf.DUMMYFUNCTION("""COMPUTED_VALUE"""),70.56636504457947)</f>
        <v>70.56636504</v>
      </c>
      <c r="AK292" s="32">
        <f>IFERROR(__xludf.DUMMYFUNCTION("""COMPUTED_VALUE"""),14.1656)</f>
        <v>14.1656</v>
      </c>
      <c r="AL292" s="32">
        <f>IFERROR(__xludf.DUMMYFUNCTION("""COMPUTED_VALUE"""),116.1462)</f>
        <v>116.1462</v>
      </c>
      <c r="AM292" s="32">
        <f>IFERROR(__xludf.DUMMYFUNCTION("""COMPUTED_VALUE"""),12.383298)</f>
        <v>12.383298</v>
      </c>
      <c r="AN292" s="32">
        <f>IFERROR(__xludf.DUMMYFUNCTION("""COMPUTED_VALUE"""),2.479031)</f>
        <v>2.479031</v>
      </c>
      <c r="AO292" s="32">
        <f>IFERROR(__xludf.DUMMYFUNCTION("""COMPUTED_VALUE"""),2.5)</f>
        <v>2.5</v>
      </c>
      <c r="AP292" s="32">
        <f>IFERROR(__xludf.DUMMYFUNCTION("""COMPUTED_VALUE"""),0.1908627087198516)</f>
        <v>0.1908627087</v>
      </c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>
      <c r="A293" s="13" t="str">
        <f>IFERROR(__xludf.DUMMYFUNCTION("""COMPUTED_VALUE"""),"Relaxo Footwears Ltd.")</f>
        <v>Relaxo Footwears Ltd.</v>
      </c>
      <c r="B293" s="30">
        <f>IFERROR(__xludf.DUMMYFUNCTION("""COMPUTED_VALUE"""),530517.0)</f>
        <v>530517</v>
      </c>
      <c r="C293" s="13" t="str">
        <f>IFERROR(__xludf.DUMMYFUNCTION("""COMPUTED_VALUE"""),"RELAXO")</f>
        <v>RELAXO</v>
      </c>
      <c r="D293" s="13" t="str">
        <f>IFERROR(__xludf.DUMMYFUNCTION("""COMPUTED_VALUE"""),"INE131B01039")</f>
        <v>INE131B01039</v>
      </c>
      <c r="E293" s="13" t="str">
        <f>IFERROR(__xludf.DUMMYFUNCTION("""COMPUTED_VALUE"""),"Consumer Discretionary")</f>
        <v>Consumer Discretionary</v>
      </c>
      <c r="F293" s="13" t="str">
        <f>IFERROR(__xludf.DUMMYFUNCTION("""COMPUTED_VALUE"""),"Footwear")</f>
        <v>Footwear</v>
      </c>
      <c r="G293" s="31">
        <f>IFERROR(__xludf.DUMMYFUNCTION("""COMPUTED_VALUE"""),44809.0)</f>
        <v>44809</v>
      </c>
      <c r="H293" s="32">
        <f>IFERROR(__xludf.DUMMYFUNCTION("""COMPUTED_VALUE"""),1010.05)</f>
        <v>1010.05</v>
      </c>
      <c r="I293" s="32">
        <f>IFERROR(__xludf.DUMMYFUNCTION("""COMPUTED_VALUE"""),0.352707)</f>
        <v>0.352707</v>
      </c>
      <c r="J293" s="32">
        <f>IFERROR(__xludf.DUMMYFUNCTION("""COMPUTED_VALUE"""),925.0)</f>
        <v>925</v>
      </c>
      <c r="K293" s="32">
        <f>IFERROR(__xludf.DUMMYFUNCTION("""COMPUTED_VALUE"""),1448.0)</f>
        <v>1448</v>
      </c>
      <c r="L293" s="32">
        <f>IFERROR(__xludf.DUMMYFUNCTION("""COMPUTED_VALUE"""),461.05)</f>
        <v>461.05</v>
      </c>
      <c r="M293" s="32">
        <f>IFERROR(__xludf.DUMMYFUNCTION("""COMPUTED_VALUE"""),1448.0)</f>
        <v>1448</v>
      </c>
      <c r="N293" s="32">
        <f>IFERROR(__xludf.DUMMYFUNCTION("""COMPUTED_VALUE"""),242.375)</f>
        <v>242.375</v>
      </c>
      <c r="O293" s="32">
        <f>IFERROR(__xludf.DUMMYFUNCTION("""COMPUTED_VALUE"""),1448.0)</f>
        <v>1448</v>
      </c>
      <c r="P293" s="32">
        <f>IFERROR(__xludf.DUMMYFUNCTION("""COMPUTED_VALUE"""),0.6575)</f>
        <v>0.6575</v>
      </c>
      <c r="Q293" s="32">
        <f>IFERROR(__xludf.DUMMYFUNCTION("""COMPUTED_VALUE"""),1448.0)</f>
        <v>1448</v>
      </c>
      <c r="R293" s="32">
        <f>IFERROR(__xludf.DUMMYFUNCTION("""COMPUTED_VALUE"""),25127.83971347)</f>
        <v>25127.83971</v>
      </c>
      <c r="S293" s="32">
        <f>IFERROR(__xludf.DUMMYFUNCTION("""COMPUTED_VALUE"""),24927.48617634)</f>
        <v>24927.48618</v>
      </c>
      <c r="T293" s="32">
        <f>IFERROR(__xludf.DUMMYFUNCTION("""COMPUTED_VALUE"""),2.642142)</f>
        <v>2.642142</v>
      </c>
      <c r="U293" s="32">
        <f>IFERROR(__xludf.DUMMYFUNCTION("""COMPUTED_VALUE"""),-0.561162)</f>
        <v>-0.561162</v>
      </c>
      <c r="V293" s="32">
        <f>IFERROR(__xludf.DUMMYFUNCTION("""COMPUTED_VALUE"""),2.605648)</f>
        <v>2.605648</v>
      </c>
      <c r="W293" s="32">
        <f>IFERROR(__xludf.DUMMYFUNCTION("""COMPUTED_VALUE"""),-16.122737)</f>
        <v>-16.122737</v>
      </c>
      <c r="X293" s="32">
        <f>IFERROR(__xludf.DUMMYFUNCTION("""COMPUTED_VALUE"""),29.773686)</f>
        <v>29.773686</v>
      </c>
      <c r="Y293" s="32">
        <f>IFERROR(__xludf.DUMMYFUNCTION("""COMPUTED_VALUE"""),31.530269)</f>
        <v>31.530269</v>
      </c>
      <c r="Z293" s="32">
        <f>IFERROR(__xludf.DUMMYFUNCTION("""COMPUTED_VALUE"""),41.247381)</f>
        <v>41.247381</v>
      </c>
      <c r="AA293" s="32">
        <f>IFERROR(__xludf.DUMMYFUNCTION("""COMPUTED_VALUE"""),104.5295)</f>
        <v>104.5295</v>
      </c>
      <c r="AB293" s="32">
        <f>IFERROR(__xludf.DUMMYFUNCTION("""COMPUTED_VALUE"""),73.13375)</f>
        <v>73.13375</v>
      </c>
      <c r="AC293" s="32">
        <f>IFERROR(__xludf.DUMMYFUNCTION("""COMPUTED_VALUE"""),13.9877)</f>
        <v>13.9877</v>
      </c>
      <c r="AD293" s="32">
        <f>IFERROR(__xludf.DUMMYFUNCTION("""COMPUTED_VALUE"""),12.61165)</f>
        <v>12.61165</v>
      </c>
      <c r="AE293" s="32">
        <f>IFERROR(__xludf.DUMMYFUNCTION("""COMPUTED_VALUE"""),1.462064)</f>
        <v>1.462064</v>
      </c>
      <c r="AF293" s="32">
        <f>IFERROR(__xludf.DUMMYFUNCTION("""COMPUTED_VALUE"""),7.04094)</f>
        <v>7.04094</v>
      </c>
      <c r="AG293" s="32">
        <f>IFERROR(__xludf.DUMMYFUNCTION("""COMPUTED_VALUE"""),0.2477)</f>
        <v>0.2477</v>
      </c>
      <c r="AH293" s="32">
        <f>IFERROR(__xludf.DUMMYFUNCTION("""COMPUTED_VALUE"""),54.388825)</f>
        <v>54.388825</v>
      </c>
      <c r="AI293" s="32">
        <f>IFERROR(__xludf.DUMMYFUNCTION("""COMPUTED_VALUE"""),8.900197894467093)</f>
        <v>8.900197894</v>
      </c>
      <c r="AJ293" s="32">
        <f>IFERROR(__xludf.DUMMYFUNCTION("""COMPUTED_VALUE"""),448.79156480567957)</f>
        <v>448.7915648</v>
      </c>
      <c r="AK293" s="32">
        <f>IFERROR(__xludf.DUMMYFUNCTION("""COMPUTED_VALUE"""),9.6571)</f>
        <v>9.6571</v>
      </c>
      <c r="AL293" s="32">
        <f>IFERROR(__xludf.DUMMYFUNCTION("""COMPUTED_VALUE"""),72.1669)</f>
        <v>72.1669</v>
      </c>
      <c r="AM293" s="32">
        <f>IFERROR(__xludf.DUMMYFUNCTION("""COMPUTED_VALUE"""),2.249498)</f>
        <v>2.249498</v>
      </c>
      <c r="AN293" s="32">
        <f>IFERROR(__xludf.DUMMYFUNCTION("""COMPUTED_VALUE"""),-3.007232)</f>
        <v>-3.007232</v>
      </c>
      <c r="AO293" s="32">
        <f>IFERROR(__xludf.DUMMYFUNCTION("""COMPUTED_VALUE"""),2.5)</f>
        <v>2.5</v>
      </c>
      <c r="AP293" s="32">
        <f>IFERROR(__xludf.DUMMYFUNCTION("""COMPUTED_VALUE"""),0.30245165745856356)</f>
        <v>0.3024516575</v>
      </c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>
      <c r="A294" s="13" t="str">
        <f>IFERROR(__xludf.DUMMYFUNCTION("""COMPUTED_VALUE"""),"RHI Magnesita India Ltd.")</f>
        <v>RHI Magnesita India Ltd.</v>
      </c>
      <c r="B294" s="30">
        <f>IFERROR(__xludf.DUMMYFUNCTION("""COMPUTED_VALUE"""),534076.0)</f>
        <v>534076</v>
      </c>
      <c r="C294" s="13" t="str">
        <f>IFERROR(__xludf.DUMMYFUNCTION("""COMPUTED_VALUE"""),"RHIM")</f>
        <v>RHIM</v>
      </c>
      <c r="D294" s="13" t="str">
        <f>IFERROR(__xludf.DUMMYFUNCTION("""COMPUTED_VALUE"""),"INE743M01012")</f>
        <v>INE743M01012</v>
      </c>
      <c r="E294" s="13" t="str">
        <f>IFERROR(__xludf.DUMMYFUNCTION("""COMPUTED_VALUE"""),"Capital Goods")</f>
        <v>Capital Goods</v>
      </c>
      <c r="F294" s="13" t="str">
        <f>IFERROR(__xludf.DUMMYFUNCTION("""COMPUTED_VALUE"""),"Refractories")</f>
        <v>Refractories</v>
      </c>
      <c r="G294" s="31">
        <f>IFERROR(__xludf.DUMMYFUNCTION("""COMPUTED_VALUE"""),44809.0)</f>
        <v>44809</v>
      </c>
      <c r="H294" s="32">
        <f>IFERROR(__xludf.DUMMYFUNCTION("""COMPUTED_VALUE"""),613.65)</f>
        <v>613.65</v>
      </c>
      <c r="I294" s="32">
        <f>IFERROR(__xludf.DUMMYFUNCTION("""COMPUTED_VALUE"""),-1.548211)</f>
        <v>-1.548211</v>
      </c>
      <c r="J294" s="32">
        <f>IFERROR(__xludf.DUMMYFUNCTION("""COMPUTED_VALUE"""),323.3)</f>
        <v>323.3</v>
      </c>
      <c r="K294" s="32">
        <f>IFERROR(__xludf.DUMMYFUNCTION("""COMPUTED_VALUE"""),675.0)</f>
        <v>675</v>
      </c>
      <c r="L294" s="32">
        <f>IFERROR(__xludf.DUMMYFUNCTION("""COMPUTED_VALUE"""),108.0)</f>
        <v>108</v>
      </c>
      <c r="M294" s="32">
        <f>IFERROR(__xludf.DUMMYFUNCTION("""COMPUTED_VALUE"""),675.0)</f>
        <v>675</v>
      </c>
      <c r="N294" s="32">
        <f>IFERROR(__xludf.DUMMYFUNCTION("""COMPUTED_VALUE"""),108.0)</f>
        <v>108</v>
      </c>
      <c r="O294" s="32">
        <f>IFERROR(__xludf.DUMMYFUNCTION("""COMPUTED_VALUE"""),675.0)</f>
        <v>675</v>
      </c>
      <c r="P294" s="32">
        <f>IFERROR(__xludf.DUMMYFUNCTION("""COMPUTED_VALUE"""),22.75)</f>
        <v>22.75</v>
      </c>
      <c r="Q294" s="32">
        <f>IFERROR(__xludf.DUMMYFUNCTION("""COMPUTED_VALUE"""),675.0)</f>
        <v>675</v>
      </c>
      <c r="R294" s="32">
        <f>IFERROR(__xludf.DUMMYFUNCTION("""COMPUTED_VALUE"""),9846.53560396)</f>
        <v>9846.535604</v>
      </c>
      <c r="S294" s="32">
        <f>IFERROR(__xludf.DUMMYFUNCTION("""COMPUTED_VALUE"""),10033.56150764)</f>
        <v>10033.56151</v>
      </c>
      <c r="T294" s="32">
        <f>IFERROR(__xludf.DUMMYFUNCTION("""COMPUTED_VALUE"""),9.99283)</f>
        <v>9.99283</v>
      </c>
      <c r="U294" s="32">
        <f>IFERROR(__xludf.DUMMYFUNCTION("""COMPUTED_VALUE"""),21.587081)</f>
        <v>21.587081</v>
      </c>
      <c r="V294" s="32">
        <f>IFERROR(__xludf.DUMMYFUNCTION("""COMPUTED_VALUE"""),7.629571)</f>
        <v>7.629571</v>
      </c>
      <c r="W294" s="32">
        <f>IFERROR(__xludf.DUMMYFUNCTION("""COMPUTED_VALUE"""),66.030844)</f>
        <v>66.030844</v>
      </c>
      <c r="X294" s="32">
        <f>IFERROR(__xludf.DUMMYFUNCTION("""COMPUTED_VALUE"""),45.822648)</f>
        <v>45.822648</v>
      </c>
      <c r="Y294" s="32">
        <f>IFERROR(__xludf.DUMMYFUNCTION("""COMPUTED_VALUE"""),32.785656)</f>
        <v>32.785656</v>
      </c>
      <c r="Z294" s="32">
        <f>IFERROR(__xludf.DUMMYFUNCTION("""COMPUTED_VALUE"""),35.808918)</f>
        <v>35.808918</v>
      </c>
      <c r="AA294" s="32">
        <f>IFERROR(__xludf.DUMMYFUNCTION("""COMPUTED_VALUE"""),32.6723)</f>
        <v>32.6723</v>
      </c>
      <c r="AB294" s="32">
        <f>IFERROR(__xludf.DUMMYFUNCTION("""COMPUTED_VALUE"""),30.441)</f>
        <v>30.441</v>
      </c>
      <c r="AC294" s="32">
        <f>IFERROR(__xludf.DUMMYFUNCTION("""COMPUTED_VALUE"""),8.8622)</f>
        <v>8.8622</v>
      </c>
      <c r="AD294" s="32">
        <f>IFERROR(__xludf.DUMMYFUNCTION("""COMPUTED_VALUE"""),6.86065)</f>
        <v>6.86065</v>
      </c>
      <c r="AE294" s="32">
        <f>IFERROR(__xludf.DUMMYFUNCTION("""COMPUTED_VALUE"""),4.1765)</f>
        <v>4.1765</v>
      </c>
      <c r="AF294" s="32">
        <f>IFERROR(__xludf.DUMMYFUNCTION("""COMPUTED_VALUE"""),1.047056)</f>
        <v>1.047056</v>
      </c>
      <c r="AG294" s="32">
        <f>IFERROR(__xludf.DUMMYFUNCTION("""COMPUTED_VALUE"""),0.4073)</f>
        <v>0.4073</v>
      </c>
      <c r="AH294" s="32">
        <f>IFERROR(__xludf.DUMMYFUNCTION("""COMPUTED_VALUE"""),23.040552)</f>
        <v>23.040552</v>
      </c>
      <c r="AI294" s="32">
        <f>IFERROR(__xludf.DUMMYFUNCTION("""COMPUTED_VALUE"""),4.541921278550944)</f>
        <v>4.541921279</v>
      </c>
      <c r="AJ294" s="32">
        <f>IFERROR(__xludf.DUMMYFUNCTION("""COMPUTED_VALUE"""),361.19495264150254)</f>
        <v>361.1949526</v>
      </c>
      <c r="AK294" s="32">
        <f>IFERROR(__xludf.DUMMYFUNCTION("""COMPUTED_VALUE"""),18.7192)</f>
        <v>18.7192</v>
      </c>
      <c r="AL294" s="32">
        <f>IFERROR(__xludf.DUMMYFUNCTION("""COMPUTED_VALUE"""),69.012)</f>
        <v>69.012</v>
      </c>
      <c r="AM294" s="32">
        <f>IFERROR(__xludf.DUMMYFUNCTION("""COMPUTED_VALUE"""),1.693272)</f>
        <v>1.693272</v>
      </c>
      <c r="AN294" s="32">
        <f>IFERROR(__xludf.DUMMYFUNCTION("""COMPUTED_VALUE"""),-2.664787)</f>
        <v>-2.664787</v>
      </c>
      <c r="AO294" s="32">
        <f>IFERROR(__xludf.DUMMYFUNCTION("""COMPUTED_VALUE"""),2.5)</f>
        <v>2.5</v>
      </c>
      <c r="AP294" s="32">
        <f>IFERROR(__xludf.DUMMYFUNCTION("""COMPUTED_VALUE"""),0.09088888888888892)</f>
        <v>0.09088888889</v>
      </c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>
      <c r="A295" s="13" t="str">
        <f>IFERROR(__xludf.DUMMYFUNCTION("""COMPUTED_VALUE"""),"SBI Cards &amp; Payments Services Ltd.")</f>
        <v>SBI Cards &amp; Payments Services Ltd.</v>
      </c>
      <c r="B295" s="30">
        <f>IFERROR(__xludf.DUMMYFUNCTION("""COMPUTED_VALUE"""),543066.0)</f>
        <v>543066</v>
      </c>
      <c r="C295" s="13" t="str">
        <f>IFERROR(__xludf.DUMMYFUNCTION("""COMPUTED_VALUE"""),"SBICARD")</f>
        <v>SBICARD</v>
      </c>
      <c r="D295" s="13" t="str">
        <f>IFERROR(__xludf.DUMMYFUNCTION("""COMPUTED_VALUE"""),"INE018E01016")</f>
        <v>INE018E01016</v>
      </c>
      <c r="E295" s="13" t="str">
        <f>IFERROR(__xludf.DUMMYFUNCTION("""COMPUTED_VALUE"""),"Financial")</f>
        <v>Financial</v>
      </c>
      <c r="F295" s="13" t="str">
        <f>IFERROR(__xludf.DUMMYFUNCTION("""COMPUTED_VALUE"""),"Misc. Fin.services")</f>
        <v>Misc. Fin.services</v>
      </c>
      <c r="G295" s="31">
        <f>IFERROR(__xludf.DUMMYFUNCTION("""COMPUTED_VALUE"""),44809.0)</f>
        <v>44809</v>
      </c>
      <c r="H295" s="32">
        <f>IFERROR(__xludf.DUMMYFUNCTION("""COMPUTED_VALUE"""),936.35)</f>
        <v>936.35</v>
      </c>
      <c r="I295" s="32">
        <f>IFERROR(__xludf.DUMMYFUNCTION("""COMPUTED_VALUE"""),0.412869)</f>
        <v>0.412869</v>
      </c>
      <c r="J295" s="32">
        <f>IFERROR(__xludf.DUMMYFUNCTION("""COMPUTED_VALUE"""),655.7)</f>
        <v>655.7</v>
      </c>
      <c r="K295" s="32">
        <f>IFERROR(__xludf.DUMMYFUNCTION("""COMPUTED_VALUE"""),1160.6)</f>
        <v>1160.6</v>
      </c>
      <c r="L295" s="13"/>
      <c r="M295" s="13"/>
      <c r="N295" s="13"/>
      <c r="O295" s="13"/>
      <c r="P295" s="32">
        <f>IFERROR(__xludf.DUMMYFUNCTION("""COMPUTED_VALUE"""),495.0)</f>
        <v>495</v>
      </c>
      <c r="Q295" s="32">
        <f>IFERROR(__xludf.DUMMYFUNCTION("""COMPUTED_VALUE"""),1165.0)</f>
        <v>1165</v>
      </c>
      <c r="R295" s="32">
        <f>IFERROR(__xludf.DUMMYFUNCTION("""COMPUTED_VALUE"""),88313.61502968)</f>
        <v>88313.61503</v>
      </c>
      <c r="S295" s="32">
        <f>IFERROR(__xludf.DUMMYFUNCTION("""COMPUTED_VALUE"""),108938.7636439)</f>
        <v>108938.7636</v>
      </c>
      <c r="T295" s="32">
        <f>IFERROR(__xludf.DUMMYFUNCTION("""COMPUTED_VALUE"""),3.122247)</f>
        <v>3.122247</v>
      </c>
      <c r="U295" s="32">
        <f>IFERROR(__xludf.DUMMYFUNCTION("""COMPUTED_VALUE"""),-0.847144)</f>
        <v>-0.847144</v>
      </c>
      <c r="V295" s="32">
        <f>IFERROR(__xludf.DUMMYFUNCTION("""COMPUTED_VALUE"""),21.069304)</f>
        <v>21.069304</v>
      </c>
      <c r="W295" s="32">
        <f>IFERROR(__xludf.DUMMYFUNCTION("""COMPUTED_VALUE"""),-15.518564)</f>
        <v>-15.518564</v>
      </c>
      <c r="X295" s="13"/>
      <c r="Y295" s="13"/>
      <c r="Z295" s="13"/>
      <c r="AA295" s="32">
        <f>IFERROR(__xludf.DUMMYFUNCTION("""COMPUTED_VALUE"""),45.5589)</f>
        <v>45.5589</v>
      </c>
      <c r="AB295" s="32">
        <f>IFERROR(__xludf.DUMMYFUNCTION("""COMPUTED_VALUE"""),65.5899)</f>
        <v>65.5899</v>
      </c>
      <c r="AC295" s="32">
        <f>IFERROR(__xludf.DUMMYFUNCTION("""COMPUTED_VALUE"""),10.598)</f>
        <v>10.598</v>
      </c>
      <c r="AD295" s="32">
        <f>IFERROR(__xludf.DUMMYFUNCTION("""COMPUTED_VALUE"""),10.822)</f>
        <v>10.822</v>
      </c>
      <c r="AE295" s="32">
        <f>IFERROR(__xludf.DUMMYFUNCTION("""COMPUTED_VALUE"""),4.173683)</f>
        <v>4.173683</v>
      </c>
      <c r="AF295" s="32">
        <f>IFERROR(__xludf.DUMMYFUNCTION("""COMPUTED_VALUE"""),0.391456)</f>
        <v>0.391456</v>
      </c>
      <c r="AG295" s="32">
        <f>IFERROR(__xludf.DUMMYFUNCTION("""COMPUTED_VALUE"""),0.267)</f>
        <v>0.267</v>
      </c>
      <c r="AH295" s="32">
        <f>IFERROR(__xludf.DUMMYFUNCTION("""COMPUTED_VALUE"""),28.189249)</f>
        <v>28.189249</v>
      </c>
      <c r="AI295" s="32">
        <f>IFERROR(__xludf.DUMMYFUNCTION("""COMPUTED_VALUE"""),8.199987096498877)</f>
        <v>8.199987096</v>
      </c>
      <c r="AJ295" s="32">
        <f>IFERROR(__xludf.DUMMYFUNCTION("""COMPUTED_VALUE"""),-20.110308423549345)</f>
        <v>-20.11030842</v>
      </c>
      <c r="AK295" s="32">
        <f>IFERROR(__xludf.DUMMYFUNCTION("""COMPUTED_VALUE"""),20.5492)</f>
        <v>20.5492</v>
      </c>
      <c r="AL295" s="32">
        <f>IFERROR(__xludf.DUMMYFUNCTION("""COMPUTED_VALUE"""),88.3375)</f>
        <v>88.3375</v>
      </c>
      <c r="AM295" s="32">
        <f>IFERROR(__xludf.DUMMYFUNCTION("""COMPUTED_VALUE"""),-46.560148)</f>
        <v>-46.560148</v>
      </c>
      <c r="AN295" s="32">
        <f>IFERROR(__xludf.DUMMYFUNCTION("""COMPUTED_VALUE"""),-73.755911)</f>
        <v>-73.755911</v>
      </c>
      <c r="AO295" s="32">
        <f>IFERROR(__xludf.DUMMYFUNCTION("""COMPUTED_VALUE"""),2.5)</f>
        <v>2.5</v>
      </c>
      <c r="AP295" s="32">
        <f>IFERROR(__xludf.DUMMYFUNCTION("""COMPUTED_VALUE"""),0.19321902464242624)</f>
        <v>0.1932190246</v>
      </c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>
      <c r="A296" s="13" t="str">
        <f>IFERROR(__xludf.DUMMYFUNCTION("""COMPUTED_VALUE"""),"Varun Beverages Ltd.")</f>
        <v>Varun Beverages Ltd.</v>
      </c>
      <c r="B296" s="30">
        <f>IFERROR(__xludf.DUMMYFUNCTION("""COMPUTED_VALUE"""),540180.0)</f>
        <v>540180</v>
      </c>
      <c r="C296" s="13" t="str">
        <f>IFERROR(__xludf.DUMMYFUNCTION("""COMPUTED_VALUE"""),"VBL")</f>
        <v>VBL</v>
      </c>
      <c r="D296" s="13" t="str">
        <f>IFERROR(__xludf.DUMMYFUNCTION("""COMPUTED_VALUE"""),"INE200M01013")</f>
        <v>INE200M01013</v>
      </c>
      <c r="E296" s="13" t="str">
        <f>IFERROR(__xludf.DUMMYFUNCTION("""COMPUTED_VALUE"""),"Consumer Staples")</f>
        <v>Consumer Staples</v>
      </c>
      <c r="F296" s="13" t="str">
        <f>IFERROR(__xludf.DUMMYFUNCTION("""COMPUTED_VALUE"""),"Food Processing")</f>
        <v>Food Processing</v>
      </c>
      <c r="G296" s="31">
        <f>IFERROR(__xludf.DUMMYFUNCTION("""COMPUTED_VALUE"""),44809.0)</f>
        <v>44809</v>
      </c>
      <c r="H296" s="32">
        <f>IFERROR(__xludf.DUMMYFUNCTION("""COMPUTED_VALUE"""),1033.4)</f>
        <v>1033.4</v>
      </c>
      <c r="I296" s="32">
        <f>IFERROR(__xludf.DUMMYFUNCTION("""COMPUTED_VALUE"""),0.174486)</f>
        <v>0.174486</v>
      </c>
      <c r="J296" s="32">
        <f>IFERROR(__xludf.DUMMYFUNCTION("""COMPUTED_VALUE"""),539.2)</f>
        <v>539.2</v>
      </c>
      <c r="K296" s="32">
        <f>IFERROR(__xludf.DUMMYFUNCTION("""COMPUTED_VALUE"""),1084.15)</f>
        <v>1084.15</v>
      </c>
      <c r="L296" s="32">
        <f>IFERROR(__xludf.DUMMYFUNCTION("""COMPUTED_VALUE"""),214.311111)</f>
        <v>214.311111</v>
      </c>
      <c r="M296" s="32">
        <f>IFERROR(__xludf.DUMMYFUNCTION("""COMPUTED_VALUE"""),1084.15)</f>
        <v>1084.15</v>
      </c>
      <c r="N296" s="32">
        <f>IFERROR(__xludf.DUMMYFUNCTION("""COMPUTED_VALUE"""),143.881481)</f>
        <v>143.881481</v>
      </c>
      <c r="O296" s="32">
        <f>IFERROR(__xludf.DUMMYFUNCTION("""COMPUTED_VALUE"""),1084.15)</f>
        <v>1084.15</v>
      </c>
      <c r="P296" s="32">
        <f>IFERROR(__xludf.DUMMYFUNCTION("""COMPUTED_VALUE"""),100.740741)</f>
        <v>100.740741</v>
      </c>
      <c r="Q296" s="32">
        <f>IFERROR(__xludf.DUMMYFUNCTION("""COMPUTED_VALUE"""),1084.15)</f>
        <v>1084.15</v>
      </c>
      <c r="R296" s="32">
        <f>IFERROR(__xludf.DUMMYFUNCTION("""COMPUTED_VALUE"""),67140.6964713)</f>
        <v>67140.69647</v>
      </c>
      <c r="S296" s="32">
        <f>IFERROR(__xludf.DUMMYFUNCTION("""COMPUTED_VALUE"""),70091.3687612)</f>
        <v>70091.36876</v>
      </c>
      <c r="T296" s="32">
        <f>IFERROR(__xludf.DUMMYFUNCTION("""COMPUTED_VALUE"""),0.977135)</f>
        <v>0.977135</v>
      </c>
      <c r="U296" s="32">
        <f>IFERROR(__xludf.DUMMYFUNCTION("""COMPUTED_VALUE"""),2.953923)</f>
        <v>2.953923</v>
      </c>
      <c r="V296" s="32">
        <f>IFERROR(__xludf.DUMMYFUNCTION("""COMPUTED_VALUE"""),40.860557)</f>
        <v>40.860557</v>
      </c>
      <c r="W296" s="32">
        <f>IFERROR(__xludf.DUMMYFUNCTION("""COMPUTED_VALUE"""),70.762875)</f>
        <v>70.762875</v>
      </c>
      <c r="X296" s="32">
        <f>IFERROR(__xludf.DUMMYFUNCTION("""COMPUTED_VALUE"""),54.245299)</f>
        <v>54.245299</v>
      </c>
      <c r="Y296" s="32">
        <f>IFERROR(__xludf.DUMMYFUNCTION("""COMPUTED_VALUE"""),46.332635)</f>
        <v>46.332635</v>
      </c>
      <c r="Z296" s="13"/>
      <c r="AA296" s="32">
        <f>IFERROR(__xludf.DUMMYFUNCTION("""COMPUTED_VALUE"""),51.7152)</f>
        <v>51.7152</v>
      </c>
      <c r="AB296" s="32">
        <f>IFERROR(__xludf.DUMMYFUNCTION("""COMPUTED_VALUE"""),56.42365)</f>
        <v>56.42365</v>
      </c>
      <c r="AC296" s="32">
        <f>IFERROR(__xludf.DUMMYFUNCTION("""COMPUTED_VALUE"""),13.9445)</f>
        <v>13.9445</v>
      </c>
      <c r="AD296" s="32">
        <f>IFERROR(__xludf.DUMMYFUNCTION("""COMPUTED_VALUE"""),7.1411)</f>
        <v>7.1411</v>
      </c>
      <c r="AE296" s="32">
        <f>IFERROR(__xludf.DUMMYFUNCTION("""COMPUTED_VALUE"""),2.915106)</f>
        <v>2.915106</v>
      </c>
      <c r="AF296" s="32">
        <f>IFERROR(__xludf.DUMMYFUNCTION("""COMPUTED_VALUE"""),0.939478)</f>
        <v>0.939478</v>
      </c>
      <c r="AG296" s="32">
        <f>IFERROR(__xludf.DUMMYFUNCTION("""COMPUTED_VALUE"""),0.1612)</f>
        <v>0.1612</v>
      </c>
      <c r="AH296" s="32">
        <f>IFERROR(__xludf.DUMMYFUNCTION("""COMPUTED_VALUE"""),27.588402)</f>
        <v>27.588402</v>
      </c>
      <c r="AI296" s="32">
        <f>IFERROR(__xludf.DUMMYFUNCTION("""COMPUTED_VALUE"""),5.553213648894968)</f>
        <v>5.553213649</v>
      </c>
      <c r="AJ296" s="32">
        <f>IFERROR(__xludf.DUMMYFUNCTION("""COMPUTED_VALUE"""),54.52289830074499)</f>
        <v>54.5228983</v>
      </c>
      <c r="AK296" s="32">
        <f>IFERROR(__xludf.DUMMYFUNCTION("""COMPUTED_VALUE"""),19.9873)</f>
        <v>19.9873</v>
      </c>
      <c r="AL296" s="32">
        <f>IFERROR(__xludf.DUMMYFUNCTION("""COMPUTED_VALUE"""),74.1261)</f>
        <v>74.1261</v>
      </c>
      <c r="AM296" s="32">
        <f>IFERROR(__xludf.DUMMYFUNCTION("""COMPUTED_VALUE"""),28.43714)</f>
        <v>28.43714</v>
      </c>
      <c r="AN296" s="32">
        <f>IFERROR(__xludf.DUMMYFUNCTION("""COMPUTED_VALUE"""),4.012812)</f>
        <v>4.012812</v>
      </c>
      <c r="AO296" s="32">
        <f>IFERROR(__xludf.DUMMYFUNCTION("""COMPUTED_VALUE"""),2.5)</f>
        <v>2.5</v>
      </c>
      <c r="AP296" s="32">
        <f>IFERROR(__xludf.DUMMYFUNCTION("""COMPUTED_VALUE"""),0.04681086565512152)</f>
        <v>0.04681086566</v>
      </c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>
      <c r="A297" s="13" t="str">
        <f>IFERROR(__xludf.DUMMYFUNCTION("""COMPUTED_VALUE"""),"VIP Industries Ltd.")</f>
        <v>VIP Industries Ltd.</v>
      </c>
      <c r="B297" s="30">
        <f>IFERROR(__xludf.DUMMYFUNCTION("""COMPUTED_VALUE"""),507880.0)</f>
        <v>507880</v>
      </c>
      <c r="C297" s="13" t="str">
        <f>IFERROR(__xludf.DUMMYFUNCTION("""COMPUTED_VALUE"""),"VIPIND")</f>
        <v>VIPIND</v>
      </c>
      <c r="D297" s="13" t="str">
        <f>IFERROR(__xludf.DUMMYFUNCTION("""COMPUTED_VALUE"""),"INE054A01027")</f>
        <v>INE054A01027</v>
      </c>
      <c r="E297" s="13" t="str">
        <f>IFERROR(__xludf.DUMMYFUNCTION("""COMPUTED_VALUE"""),"Materials")</f>
        <v>Materials</v>
      </c>
      <c r="F297" s="13" t="str">
        <f>IFERROR(__xludf.DUMMYFUNCTION("""COMPUTED_VALUE"""),"Packaging &amp; Containers")</f>
        <v>Packaging &amp; Containers</v>
      </c>
      <c r="G297" s="31">
        <f>IFERROR(__xludf.DUMMYFUNCTION("""COMPUTED_VALUE"""),44809.0)</f>
        <v>44809</v>
      </c>
      <c r="H297" s="32">
        <f>IFERROR(__xludf.DUMMYFUNCTION("""COMPUTED_VALUE"""),586.95)</f>
        <v>586.95</v>
      </c>
      <c r="I297" s="32">
        <f>IFERROR(__xludf.DUMMYFUNCTION("""COMPUTED_VALUE"""),-0.693681)</f>
        <v>-0.693681</v>
      </c>
      <c r="J297" s="32">
        <f>IFERROR(__xludf.DUMMYFUNCTION("""COMPUTED_VALUE"""),472.4)</f>
        <v>472.4</v>
      </c>
      <c r="K297" s="32">
        <f>IFERROR(__xludf.DUMMYFUNCTION("""COMPUTED_VALUE"""),774.6)</f>
        <v>774.6</v>
      </c>
      <c r="L297" s="32">
        <f>IFERROR(__xludf.DUMMYFUNCTION("""COMPUTED_VALUE"""),187.65)</f>
        <v>187.65</v>
      </c>
      <c r="M297" s="32">
        <f>IFERROR(__xludf.DUMMYFUNCTION("""COMPUTED_VALUE"""),774.6)</f>
        <v>774.6</v>
      </c>
      <c r="N297" s="32">
        <f>IFERROR(__xludf.DUMMYFUNCTION("""COMPUTED_VALUE"""),187.65)</f>
        <v>187.65</v>
      </c>
      <c r="O297" s="32">
        <f>IFERROR(__xludf.DUMMYFUNCTION("""COMPUTED_VALUE"""),774.6)</f>
        <v>774.6</v>
      </c>
      <c r="P297" s="32">
        <f>IFERROR(__xludf.DUMMYFUNCTION("""COMPUTED_VALUE"""),2.62)</f>
        <v>2.62</v>
      </c>
      <c r="Q297" s="32">
        <f>IFERROR(__xludf.DUMMYFUNCTION("""COMPUTED_VALUE"""),774.6)</f>
        <v>774.6</v>
      </c>
      <c r="R297" s="32">
        <f>IFERROR(__xludf.DUMMYFUNCTION("""COMPUTED_VALUE"""),8310.556552935)</f>
        <v>8310.556553</v>
      </c>
      <c r="S297" s="32">
        <f>IFERROR(__xludf.DUMMYFUNCTION("""COMPUTED_VALUE"""),8441.93302527)</f>
        <v>8441.933025</v>
      </c>
      <c r="T297" s="32">
        <f>IFERROR(__xludf.DUMMYFUNCTION("""COMPUTED_VALUE"""),-0.71048)</f>
        <v>-0.71048</v>
      </c>
      <c r="U297" s="32">
        <f>IFERROR(__xludf.DUMMYFUNCTION("""COMPUTED_VALUE"""),-2.166847)</f>
        <v>-2.166847</v>
      </c>
      <c r="V297" s="32">
        <f>IFERROR(__xludf.DUMMYFUNCTION("""COMPUTED_VALUE"""),-0.83629)</f>
        <v>-0.83629</v>
      </c>
      <c r="W297" s="32">
        <f>IFERROR(__xludf.DUMMYFUNCTION("""COMPUTED_VALUE"""),20.659883)</f>
        <v>20.659883</v>
      </c>
      <c r="X297" s="32">
        <f>IFERROR(__xludf.DUMMYFUNCTION("""COMPUTED_VALUE"""),13.179817)</f>
        <v>13.179817</v>
      </c>
      <c r="Y297" s="32">
        <f>IFERROR(__xludf.DUMMYFUNCTION("""COMPUTED_VALUE"""),19.740414)</f>
        <v>19.740414</v>
      </c>
      <c r="Z297" s="32">
        <f>IFERROR(__xludf.DUMMYFUNCTION("""COMPUTED_VALUE"""),22.681408)</f>
        <v>22.681408</v>
      </c>
      <c r="AA297" s="32">
        <f>IFERROR(__xludf.DUMMYFUNCTION("""COMPUTED_VALUE"""),62.3362)</f>
        <v>62.3362</v>
      </c>
      <c r="AB297" s="32">
        <f>IFERROR(__xludf.DUMMYFUNCTION("""COMPUTED_VALUE"""),50.2356)</f>
        <v>50.2356</v>
      </c>
      <c r="AC297" s="32">
        <f>IFERROR(__xludf.DUMMYFUNCTION("""COMPUTED_VALUE"""),13.4504)</f>
        <v>13.4504</v>
      </c>
      <c r="AD297" s="32">
        <f>IFERROR(__xludf.DUMMYFUNCTION("""COMPUTED_VALUE"""),10.8555)</f>
        <v>10.8555</v>
      </c>
      <c r="AE297" s="32">
        <f>IFERROR(__xludf.DUMMYFUNCTION("""COMPUTED_VALUE"""),2.654731)</f>
        <v>2.654731</v>
      </c>
      <c r="AF297" s="32">
        <f>IFERROR(__xludf.DUMMYFUNCTION("""COMPUTED_VALUE"""),8.785308)</f>
        <v>8.785308</v>
      </c>
      <c r="AG297" s="32">
        <f>IFERROR(__xludf.DUMMYFUNCTION("""COMPUTED_VALUE"""),0.4257)</f>
        <v>0.4257</v>
      </c>
      <c r="AH297" s="32">
        <f>IFERROR(__xludf.DUMMYFUNCTION("""COMPUTED_VALUE"""),32.079089)</f>
        <v>32.079089</v>
      </c>
      <c r="AI297" s="32">
        <f>IFERROR(__xludf.DUMMYFUNCTION("""COMPUTED_VALUE"""),4.964757097415632)</f>
        <v>4.964757097</v>
      </c>
      <c r="AJ297" s="32">
        <f>IFERROR(__xludf.DUMMYFUNCTION("""COMPUTED_VALUE"""),-350.95255713407937)</f>
        <v>-350.9525571</v>
      </c>
      <c r="AK297" s="32">
        <f>IFERROR(__xludf.DUMMYFUNCTION("""COMPUTED_VALUE"""),9.4287)</f>
        <v>9.4287</v>
      </c>
      <c r="AL297" s="32">
        <f>IFERROR(__xludf.DUMMYFUNCTION("""COMPUTED_VALUE"""),43.6975)</f>
        <v>43.6975</v>
      </c>
      <c r="AM297" s="32">
        <f>IFERROR(__xludf.DUMMYFUNCTION("""COMPUTED_VALUE"""),-1.67409)</f>
        <v>-1.67409</v>
      </c>
      <c r="AN297" s="32">
        <f>IFERROR(__xludf.DUMMYFUNCTION("""COMPUTED_VALUE"""),-6.336515)</f>
        <v>-6.336515</v>
      </c>
      <c r="AO297" s="32">
        <f>IFERROR(__xludf.DUMMYFUNCTION("""COMPUTED_VALUE"""),2.5)</f>
        <v>2.5</v>
      </c>
      <c r="AP297" s="32">
        <f>IFERROR(__xludf.DUMMYFUNCTION("""COMPUTED_VALUE"""),0.24225406661502707)</f>
        <v>0.2422540666</v>
      </c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>
      <c r="A298" s="13" t="str">
        <f>IFERROR(__xludf.DUMMYFUNCTION("""COMPUTED_VALUE"""),"Zee Entertainment Enterprises Ltd.")</f>
        <v>Zee Entertainment Enterprises Ltd.</v>
      </c>
      <c r="B298" s="30">
        <f>IFERROR(__xludf.DUMMYFUNCTION("""COMPUTED_VALUE"""),505537.0)</f>
        <v>505537</v>
      </c>
      <c r="C298" s="13" t="str">
        <f>IFERROR(__xludf.DUMMYFUNCTION("""COMPUTED_VALUE"""),"ZEEL")</f>
        <v>ZEEL</v>
      </c>
      <c r="D298" s="13" t="str">
        <f>IFERROR(__xludf.DUMMYFUNCTION("""COMPUTED_VALUE"""),"INE256A01028")</f>
        <v>INE256A01028</v>
      </c>
      <c r="E298" s="13" t="str">
        <f>IFERROR(__xludf.DUMMYFUNCTION("""COMPUTED_VALUE"""),"Services")</f>
        <v>Services</v>
      </c>
      <c r="F298" s="13" t="str">
        <f>IFERROR(__xludf.DUMMYFUNCTION("""COMPUTED_VALUE"""),"Media &amp; Entertainment")</f>
        <v>Media &amp; Entertainment</v>
      </c>
      <c r="G298" s="31">
        <f>IFERROR(__xludf.DUMMYFUNCTION("""COMPUTED_VALUE"""),44809.0)</f>
        <v>44809</v>
      </c>
      <c r="H298" s="32">
        <f>IFERROR(__xludf.DUMMYFUNCTION("""COMPUTED_VALUE"""),251.0)</f>
        <v>251</v>
      </c>
      <c r="I298" s="32">
        <f>IFERROR(__xludf.DUMMYFUNCTION("""COMPUTED_VALUE"""),0.904523)</f>
        <v>0.904523</v>
      </c>
      <c r="J298" s="32">
        <f>IFERROR(__xludf.DUMMYFUNCTION("""COMPUTED_VALUE"""),176.6)</f>
        <v>176.6</v>
      </c>
      <c r="K298" s="32">
        <f>IFERROR(__xludf.DUMMYFUNCTION("""COMPUTED_VALUE"""),378.7)</f>
        <v>378.7</v>
      </c>
      <c r="L298" s="32">
        <f>IFERROR(__xludf.DUMMYFUNCTION("""COMPUTED_VALUE"""),114.0)</f>
        <v>114</v>
      </c>
      <c r="M298" s="32">
        <f>IFERROR(__xludf.DUMMYFUNCTION("""COMPUTED_VALUE"""),378.7)</f>
        <v>378.7</v>
      </c>
      <c r="N298" s="32">
        <f>IFERROR(__xludf.DUMMYFUNCTION("""COMPUTED_VALUE"""),114.0)</f>
        <v>114</v>
      </c>
      <c r="O298" s="32">
        <f>IFERROR(__xludf.DUMMYFUNCTION("""COMPUTED_VALUE"""),619.35)</f>
        <v>619.35</v>
      </c>
      <c r="P298" s="32">
        <f>IFERROR(__xludf.DUMMYFUNCTION("""COMPUTED_VALUE"""),30.05)</f>
        <v>30.05</v>
      </c>
      <c r="Q298" s="32">
        <f>IFERROR(__xludf.DUMMYFUNCTION("""COMPUTED_VALUE"""),822.5)</f>
        <v>822.5</v>
      </c>
      <c r="R298" s="32">
        <f>IFERROR(__xludf.DUMMYFUNCTION("""COMPUTED_VALUE"""),24109.037442)</f>
        <v>24109.03744</v>
      </c>
      <c r="S298" s="32">
        <f>IFERROR(__xludf.DUMMYFUNCTION("""COMPUTED_VALUE"""),22453.8179754)</f>
        <v>22453.81798</v>
      </c>
      <c r="T298" s="32">
        <f>IFERROR(__xludf.DUMMYFUNCTION("""COMPUTED_VALUE"""),-2.769708)</f>
        <v>-2.769708</v>
      </c>
      <c r="U298" s="32">
        <f>IFERROR(__xludf.DUMMYFUNCTION("""COMPUTED_VALUE"""),3.44117)</f>
        <v>3.44117</v>
      </c>
      <c r="V298" s="32">
        <f>IFERROR(__xludf.DUMMYFUNCTION("""COMPUTED_VALUE"""),-0.198807)</f>
        <v>-0.198807</v>
      </c>
      <c r="W298" s="32">
        <f>IFERROR(__xludf.DUMMYFUNCTION("""COMPUTED_VALUE"""),42.290249)</f>
        <v>42.290249</v>
      </c>
      <c r="X298" s="32">
        <f>IFERROR(__xludf.DUMMYFUNCTION("""COMPUTED_VALUE"""),-10.954624)</f>
        <v>-10.954624</v>
      </c>
      <c r="Y298" s="32">
        <f>IFERROR(__xludf.DUMMYFUNCTION("""COMPUTED_VALUE"""),-13.609253)</f>
        <v>-13.609253</v>
      </c>
      <c r="Z298" s="32">
        <f>IFERROR(__xludf.DUMMYFUNCTION("""COMPUTED_VALUE"""),4.034816)</f>
        <v>4.034816</v>
      </c>
      <c r="AA298" s="32">
        <f>IFERROR(__xludf.DUMMYFUNCTION("""COMPUTED_VALUE"""),28.1349)</f>
        <v>28.1349</v>
      </c>
      <c r="AB298" s="32">
        <f>IFERROR(__xludf.DUMMYFUNCTION("""COMPUTED_VALUE"""),25.1791)</f>
        <v>25.1791</v>
      </c>
      <c r="AC298" s="32">
        <f>IFERROR(__xludf.DUMMYFUNCTION("""COMPUTED_VALUE"""),2.1992)</f>
        <v>2.1992</v>
      </c>
      <c r="AD298" s="32">
        <f>IFERROR(__xludf.DUMMYFUNCTION("""COMPUTED_VALUE"""),2.70315)</f>
        <v>2.70315</v>
      </c>
      <c r="AE298" s="32">
        <f>IFERROR(__xludf.DUMMYFUNCTION("""COMPUTED_VALUE"""),7.048637)</f>
        <v>7.048637</v>
      </c>
      <c r="AF298" s="32">
        <f>IFERROR(__xludf.DUMMYFUNCTION("""COMPUTED_VALUE"""),-1.595502)</f>
        <v>-1.595502</v>
      </c>
      <c r="AG298" s="32">
        <f>IFERROR(__xludf.DUMMYFUNCTION("""COMPUTED_VALUE"""),1.1945)</f>
        <v>1.1945</v>
      </c>
      <c r="AH298" s="32">
        <f>IFERROR(__xludf.DUMMYFUNCTION("""COMPUTED_VALUE"""),12.894044)</f>
        <v>12.894044</v>
      </c>
      <c r="AI298" s="32">
        <f>IFERROR(__xludf.DUMMYFUNCTION("""COMPUTED_VALUE"""),2.918744930975161)</f>
        <v>2.918744931</v>
      </c>
      <c r="AJ298" s="32">
        <f>IFERROR(__xludf.DUMMYFUNCTION("""COMPUTED_VALUE"""),15.577332455902306)</f>
        <v>15.57733246</v>
      </c>
      <c r="AK298" s="32">
        <f>IFERROR(__xludf.DUMMYFUNCTION("""COMPUTED_VALUE"""),8.9266)</f>
        <v>8.9266</v>
      </c>
      <c r="AL298" s="32">
        <f>IFERROR(__xludf.DUMMYFUNCTION("""COMPUTED_VALUE"""),114.2014)</f>
        <v>114.2014</v>
      </c>
      <c r="AM298" s="32">
        <f>IFERROR(__xludf.DUMMYFUNCTION("""COMPUTED_VALUE"""),16.105099)</f>
        <v>16.105099</v>
      </c>
      <c r="AN298" s="32">
        <f>IFERROR(__xludf.DUMMYFUNCTION("""COMPUTED_VALUE"""),9.708637)</f>
        <v>9.708637</v>
      </c>
      <c r="AO298" s="32">
        <f>IFERROR(__xludf.DUMMYFUNCTION("""COMPUTED_VALUE"""),2.5)</f>
        <v>2.5</v>
      </c>
      <c r="AP298" s="32">
        <f>IFERROR(__xludf.DUMMYFUNCTION("""COMPUTED_VALUE"""),0.3372062318457882)</f>
        <v>0.3372062318</v>
      </c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>
      <c r="A299" s="13" t="str">
        <f>IFERROR(__xludf.DUMMYFUNCTION("""COMPUTED_VALUE"""),"Zydus Lifesciences Ltd.")</f>
        <v>Zydus Lifesciences Ltd.</v>
      </c>
      <c r="B299" s="30">
        <f>IFERROR(__xludf.DUMMYFUNCTION("""COMPUTED_VALUE"""),532321.0)</f>
        <v>532321</v>
      </c>
      <c r="C299" s="13" t="str">
        <f>IFERROR(__xludf.DUMMYFUNCTION("""COMPUTED_VALUE"""),"ZYDUSLIFE")</f>
        <v>ZYDUSLIFE</v>
      </c>
      <c r="D299" s="13" t="str">
        <f>IFERROR(__xludf.DUMMYFUNCTION("""COMPUTED_VALUE"""),"INE010B01027")</f>
        <v>INE010B01027</v>
      </c>
      <c r="E299" s="13" t="str">
        <f>IFERROR(__xludf.DUMMYFUNCTION("""COMPUTED_VALUE"""),"Healthcare")</f>
        <v>Healthcare</v>
      </c>
      <c r="F299" s="13" t="str">
        <f>IFERROR(__xludf.DUMMYFUNCTION("""COMPUTED_VALUE"""),"Drugs &amp; Pharma")</f>
        <v>Drugs &amp; Pharma</v>
      </c>
      <c r="G299" s="31">
        <f>IFERROR(__xludf.DUMMYFUNCTION("""COMPUTED_VALUE"""),44809.0)</f>
        <v>44809</v>
      </c>
      <c r="H299" s="32">
        <f>IFERROR(__xludf.DUMMYFUNCTION("""COMPUTED_VALUE"""),371.2)</f>
        <v>371.2</v>
      </c>
      <c r="I299" s="32">
        <f>IFERROR(__xludf.DUMMYFUNCTION("""COMPUTED_VALUE"""),0.678058)</f>
        <v>0.678058</v>
      </c>
      <c r="J299" s="32">
        <f>IFERROR(__xludf.DUMMYFUNCTION("""COMPUTED_VALUE"""),319.0)</f>
        <v>319</v>
      </c>
      <c r="K299" s="32">
        <f>IFERROR(__xludf.DUMMYFUNCTION("""COMPUTED_VALUE"""),573.2)</f>
        <v>573.2</v>
      </c>
      <c r="L299" s="32">
        <f>IFERROR(__xludf.DUMMYFUNCTION("""COMPUTED_VALUE"""),202.0)</f>
        <v>202</v>
      </c>
      <c r="M299" s="32">
        <f>IFERROR(__xludf.DUMMYFUNCTION("""COMPUTED_VALUE"""),673.7)</f>
        <v>673.7</v>
      </c>
      <c r="N299" s="32">
        <f>IFERROR(__xludf.DUMMYFUNCTION("""COMPUTED_VALUE"""),202.0)</f>
        <v>202</v>
      </c>
      <c r="O299" s="32">
        <f>IFERROR(__xludf.DUMMYFUNCTION("""COMPUTED_VALUE"""),673.7)</f>
        <v>673.7</v>
      </c>
      <c r="P299" s="32">
        <f>IFERROR(__xludf.DUMMYFUNCTION("""COMPUTED_VALUE"""),5.533333)</f>
        <v>5.533333</v>
      </c>
      <c r="Q299" s="32">
        <f>IFERROR(__xludf.DUMMYFUNCTION("""COMPUTED_VALUE"""),673.7)</f>
        <v>673.7</v>
      </c>
      <c r="R299" s="32">
        <f>IFERROR(__xludf.DUMMYFUNCTION("""COMPUTED_VALUE"""),37557.834577595)</f>
        <v>37557.83458</v>
      </c>
      <c r="S299" s="32">
        <f>IFERROR(__xludf.DUMMYFUNCTION("""COMPUTED_VALUE"""),38106.47681188)</f>
        <v>38106.47681</v>
      </c>
      <c r="T299" s="32">
        <f>IFERROR(__xludf.DUMMYFUNCTION("""COMPUTED_VALUE"""),-2.966932)</f>
        <v>-2.966932</v>
      </c>
      <c r="U299" s="32">
        <f>IFERROR(__xludf.DUMMYFUNCTION("""COMPUTED_VALUE"""),1.810203)</f>
        <v>1.810203</v>
      </c>
      <c r="V299" s="32">
        <f>IFERROR(__xludf.DUMMYFUNCTION("""COMPUTED_VALUE"""),2.202643)</f>
        <v>2.202643</v>
      </c>
      <c r="W299" s="32">
        <f>IFERROR(__xludf.DUMMYFUNCTION("""COMPUTED_VALUE"""),-33.195357)</f>
        <v>-33.195357</v>
      </c>
      <c r="X299" s="32">
        <f>IFERROR(__xludf.DUMMYFUNCTION("""COMPUTED_VALUE"""),17.256279)</f>
        <v>17.256279</v>
      </c>
      <c r="Y299" s="32">
        <f>IFERROR(__xludf.DUMMYFUNCTION("""COMPUTED_VALUE"""),-6.024579)</f>
        <v>-6.024579</v>
      </c>
      <c r="Z299" s="32">
        <f>IFERROR(__xludf.DUMMYFUNCTION("""COMPUTED_VALUE"""),7.475796)</f>
        <v>7.475796</v>
      </c>
      <c r="AA299" s="32">
        <f>IFERROR(__xludf.DUMMYFUNCTION("""COMPUTED_VALUE"""),8.5003)</f>
        <v>8.5003</v>
      </c>
      <c r="AB299" s="32">
        <f>IFERROR(__xludf.DUMMYFUNCTION("""COMPUTED_VALUE"""),20.7291)</f>
        <v>20.7291</v>
      </c>
      <c r="AC299" s="32">
        <f>IFERROR(__xludf.DUMMYFUNCTION("""COMPUTED_VALUE"""),2.234)</f>
        <v>2.234</v>
      </c>
      <c r="AD299" s="32">
        <f>IFERROR(__xludf.DUMMYFUNCTION("""COMPUTED_VALUE"""),3.6685)</f>
        <v>3.6685</v>
      </c>
      <c r="AE299" s="32">
        <f>IFERROR(__xludf.DUMMYFUNCTION("""COMPUTED_VALUE"""),7.698648)</f>
        <v>7.698648</v>
      </c>
      <c r="AF299" s="32">
        <f>IFERROR(__xludf.DUMMYFUNCTION("""COMPUTED_VALUE"""),0.285841)</f>
        <v>0.285841</v>
      </c>
      <c r="AG299" s="32">
        <f>IFERROR(__xludf.DUMMYFUNCTION("""COMPUTED_VALUE"""),0.6738)</f>
        <v>0.6738</v>
      </c>
      <c r="AH299" s="32">
        <f>IFERROR(__xludf.DUMMYFUNCTION("""COMPUTED_VALUE"""),11.132154)</f>
        <v>11.132154</v>
      </c>
      <c r="AI299" s="32">
        <f>IFERROR(__xludf.DUMMYFUNCTION("""COMPUTED_VALUE"""),2.5213199815787353)</f>
        <v>2.521319982</v>
      </c>
      <c r="AJ299" s="32">
        <f>IFERROR(__xludf.DUMMYFUNCTION("""COMPUTED_VALUE"""),17.849833457342807)</f>
        <v>17.84983346</v>
      </c>
      <c r="AK299" s="32">
        <f>IFERROR(__xludf.DUMMYFUNCTION("""COMPUTED_VALUE"""),43.6513)</f>
        <v>43.6513</v>
      </c>
      <c r="AL299" s="32">
        <f>IFERROR(__xludf.DUMMYFUNCTION("""COMPUTED_VALUE"""),166.0947)</f>
        <v>166.0947</v>
      </c>
      <c r="AM299" s="32">
        <f>IFERROR(__xludf.DUMMYFUNCTION("""COMPUTED_VALUE"""),20.547852)</f>
        <v>20.547852</v>
      </c>
      <c r="AN299" s="32">
        <f>IFERROR(__xludf.DUMMYFUNCTION("""COMPUTED_VALUE"""),14.730469)</f>
        <v>14.730469</v>
      </c>
      <c r="AO299" s="32">
        <f>IFERROR(__xludf.DUMMYFUNCTION("""COMPUTED_VALUE"""),2.5)</f>
        <v>2.5</v>
      </c>
      <c r="AP299" s="32">
        <f>IFERROR(__xludf.DUMMYFUNCTION("""COMPUTED_VALUE"""),0.35240753663642715)</f>
        <v>0.3524075366</v>
      </c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>
      <c r="A300" s="13" t="str">
        <f>IFERROR(__xludf.DUMMYFUNCTION("""COMPUTED_VALUE"""),"Phoenix Mills Ltd.")</f>
        <v>Phoenix Mills Ltd.</v>
      </c>
      <c r="B300" s="30">
        <f>IFERROR(__xludf.DUMMYFUNCTION("""COMPUTED_VALUE"""),503100.0)</f>
        <v>503100</v>
      </c>
      <c r="C300" s="13" t="str">
        <f>IFERROR(__xludf.DUMMYFUNCTION("""COMPUTED_VALUE"""),"PHOENIXLTD")</f>
        <v>PHOENIXLTD</v>
      </c>
      <c r="D300" s="13" t="str">
        <f>IFERROR(__xludf.DUMMYFUNCTION("""COMPUTED_VALUE"""),"INE211B01039")</f>
        <v>INE211B01039</v>
      </c>
      <c r="E300" s="13" t="str">
        <f>IFERROR(__xludf.DUMMYFUNCTION("""COMPUTED_VALUE"""),"Construction")</f>
        <v>Construction</v>
      </c>
      <c r="F300" s="13" t="str">
        <f>IFERROR(__xludf.DUMMYFUNCTION("""COMPUTED_VALUE"""),"Real Estate")</f>
        <v>Real Estate</v>
      </c>
      <c r="G300" s="31">
        <f>IFERROR(__xludf.DUMMYFUNCTION("""COMPUTED_VALUE"""),44809.0)</f>
        <v>44809</v>
      </c>
      <c r="H300" s="32">
        <f>IFERROR(__xludf.DUMMYFUNCTION("""COMPUTED_VALUE"""),1389.05)</f>
        <v>1389.05</v>
      </c>
      <c r="I300" s="32">
        <f>IFERROR(__xludf.DUMMYFUNCTION("""COMPUTED_VALUE"""),-0.043176)</f>
        <v>-0.043176</v>
      </c>
      <c r="J300" s="32">
        <f>IFERROR(__xludf.DUMMYFUNCTION("""COMPUTED_VALUE"""),827.25)</f>
        <v>827.25</v>
      </c>
      <c r="K300" s="32">
        <f>IFERROR(__xludf.DUMMYFUNCTION("""COMPUTED_VALUE"""),1448.95)</f>
        <v>1448.95</v>
      </c>
      <c r="L300" s="32">
        <f>IFERROR(__xludf.DUMMYFUNCTION("""COMPUTED_VALUE"""),465.05)</f>
        <v>465.05</v>
      </c>
      <c r="M300" s="32">
        <f>IFERROR(__xludf.DUMMYFUNCTION("""COMPUTED_VALUE"""),1448.95)</f>
        <v>1448.95</v>
      </c>
      <c r="N300" s="32">
        <f>IFERROR(__xludf.DUMMYFUNCTION("""COMPUTED_VALUE"""),452.2)</f>
        <v>452.2</v>
      </c>
      <c r="O300" s="32">
        <f>IFERROR(__xludf.DUMMYFUNCTION("""COMPUTED_VALUE"""),1448.95)</f>
        <v>1448.95</v>
      </c>
      <c r="P300" s="32">
        <f>IFERROR(__xludf.DUMMYFUNCTION("""COMPUTED_VALUE"""),0.776)</f>
        <v>0.776</v>
      </c>
      <c r="Q300" s="32">
        <f>IFERROR(__xludf.DUMMYFUNCTION("""COMPUTED_VALUE"""),1448.95)</f>
        <v>1448.95</v>
      </c>
      <c r="R300" s="32">
        <f>IFERROR(__xludf.DUMMYFUNCTION("""COMPUTED_VALUE"""),24803.326157675)</f>
        <v>24803.32616</v>
      </c>
      <c r="S300" s="32">
        <f>IFERROR(__xludf.DUMMYFUNCTION("""COMPUTED_VALUE"""),26375.819187075)</f>
        <v>26375.81919</v>
      </c>
      <c r="T300" s="32">
        <f>IFERROR(__xludf.DUMMYFUNCTION("""COMPUTED_VALUE"""),-0.615319)</f>
        <v>-0.615319</v>
      </c>
      <c r="U300" s="32">
        <f>IFERROR(__xludf.DUMMYFUNCTION("""COMPUTED_VALUE"""),8.434817)</f>
        <v>8.434817</v>
      </c>
      <c r="V300" s="32">
        <f>IFERROR(__xludf.DUMMYFUNCTION("""COMPUTED_VALUE"""),21.303816)</f>
        <v>21.303816</v>
      </c>
      <c r="W300" s="32">
        <f>IFERROR(__xludf.DUMMYFUNCTION("""COMPUTED_VALUE"""),58.558301)</f>
        <v>58.558301</v>
      </c>
      <c r="X300" s="32">
        <f>IFERROR(__xludf.DUMMYFUNCTION("""COMPUTED_VALUE"""),27.501498)</f>
        <v>27.501498</v>
      </c>
      <c r="Y300" s="32">
        <f>IFERROR(__xludf.DUMMYFUNCTION("""COMPUTED_VALUE"""),22.092668)</f>
        <v>22.092668</v>
      </c>
      <c r="Z300" s="32">
        <f>IFERROR(__xludf.DUMMYFUNCTION("""COMPUTED_VALUE"""),22.968708)</f>
        <v>22.968708</v>
      </c>
      <c r="AA300" s="32">
        <f>IFERROR(__xludf.DUMMYFUNCTION("""COMPUTED_VALUE"""),25.292)</f>
        <v>25.292</v>
      </c>
      <c r="AB300" s="32">
        <f>IFERROR(__xludf.DUMMYFUNCTION("""COMPUTED_VALUE"""),52.08775)</f>
        <v>52.08775</v>
      </c>
      <c r="AC300" s="32">
        <f>IFERROR(__xludf.DUMMYFUNCTION("""COMPUTED_VALUE"""),3.3986)</f>
        <v>3.3986</v>
      </c>
      <c r="AD300" s="32">
        <f>IFERROR(__xludf.DUMMYFUNCTION("""COMPUTED_VALUE"""),2.9969)</f>
        <v>2.9969</v>
      </c>
      <c r="AE300" s="32">
        <f>IFERROR(__xludf.DUMMYFUNCTION("""COMPUTED_VALUE"""),3.657878)</f>
        <v>3.657878</v>
      </c>
      <c r="AF300" s="32">
        <f>IFERROR(__xludf.DUMMYFUNCTION("""COMPUTED_VALUE"""),0.622839)</f>
        <v>0.622839</v>
      </c>
      <c r="AG300" s="32">
        <f>IFERROR(__xludf.DUMMYFUNCTION("""COMPUTED_VALUE"""),0.1737)</f>
        <v>0.1737</v>
      </c>
      <c r="AH300" s="32">
        <f>IFERROR(__xludf.DUMMYFUNCTION("""COMPUTED_VALUE"""),24.731079)</f>
        <v>24.731079</v>
      </c>
      <c r="AI300" s="32">
        <f>IFERROR(__xludf.DUMMYFUNCTION("""COMPUTED_VALUE"""),13.291573820865937)</f>
        <v>13.29157382</v>
      </c>
      <c r="AJ300" s="32">
        <f>IFERROR(__xludf.DUMMYFUNCTION("""COMPUTED_VALUE"""),31.774396880063765)</f>
        <v>31.77439688</v>
      </c>
      <c r="AK300" s="32">
        <f>IFERROR(__xludf.DUMMYFUNCTION("""COMPUTED_VALUE"""),54.9858)</f>
        <v>54.9858</v>
      </c>
      <c r="AL300" s="32">
        <f>IFERROR(__xludf.DUMMYFUNCTION("""COMPUTED_VALUE"""),409.2003)</f>
        <v>409.2003</v>
      </c>
      <c r="AM300" s="32">
        <f>IFERROR(__xludf.DUMMYFUNCTION("""COMPUTED_VALUE"""),43.726725)</f>
        <v>43.726725</v>
      </c>
      <c r="AN300" s="32">
        <f>IFERROR(__xludf.DUMMYFUNCTION("""COMPUTED_VALUE"""),26.137789)</f>
        <v>26.137789</v>
      </c>
      <c r="AO300" s="32">
        <f>IFERROR(__xludf.DUMMYFUNCTION("""COMPUTED_VALUE"""),2.4)</f>
        <v>2.4</v>
      </c>
      <c r="AP300" s="32">
        <f>IFERROR(__xludf.DUMMYFUNCTION("""COMPUTED_VALUE"""),0.041340280893060556)</f>
        <v>0.04134028089</v>
      </c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>
      <c r="A301" s="13" t="str">
        <f>IFERROR(__xludf.DUMMYFUNCTION("""COMPUTED_VALUE"""),"Radico Khaitan Ltd.")</f>
        <v>Radico Khaitan Ltd.</v>
      </c>
      <c r="B301" s="30">
        <f>IFERROR(__xludf.DUMMYFUNCTION("""COMPUTED_VALUE"""),532497.0)</f>
        <v>532497</v>
      </c>
      <c r="C301" s="13" t="str">
        <f>IFERROR(__xludf.DUMMYFUNCTION("""COMPUTED_VALUE"""),"RADICO")</f>
        <v>RADICO</v>
      </c>
      <c r="D301" s="13" t="str">
        <f>IFERROR(__xludf.DUMMYFUNCTION("""COMPUTED_VALUE"""),"INE944F01028")</f>
        <v>INE944F01028</v>
      </c>
      <c r="E301" s="13" t="str">
        <f>IFERROR(__xludf.DUMMYFUNCTION("""COMPUTED_VALUE"""),"Consumer Staples")</f>
        <v>Consumer Staples</v>
      </c>
      <c r="F301" s="13" t="str">
        <f>IFERROR(__xludf.DUMMYFUNCTION("""COMPUTED_VALUE"""),"Liquors")</f>
        <v>Liquors</v>
      </c>
      <c r="G301" s="31">
        <f>IFERROR(__xludf.DUMMYFUNCTION("""COMPUTED_VALUE"""),44809.0)</f>
        <v>44809</v>
      </c>
      <c r="H301" s="32">
        <f>IFERROR(__xludf.DUMMYFUNCTION("""COMPUTED_VALUE"""),1037.85)</f>
        <v>1037.85</v>
      </c>
      <c r="I301" s="32">
        <f>IFERROR(__xludf.DUMMYFUNCTION("""COMPUTED_VALUE"""),1.09585)</f>
        <v>1.09585</v>
      </c>
      <c r="J301" s="32">
        <f>IFERROR(__xludf.DUMMYFUNCTION("""COMPUTED_VALUE"""),723.2)</f>
        <v>723.2</v>
      </c>
      <c r="K301" s="32">
        <f>IFERROR(__xludf.DUMMYFUNCTION("""COMPUTED_VALUE"""),1299.85)</f>
        <v>1299.85</v>
      </c>
      <c r="L301" s="32">
        <f>IFERROR(__xludf.DUMMYFUNCTION("""COMPUTED_VALUE"""),220.0)</f>
        <v>220</v>
      </c>
      <c r="M301" s="32">
        <f>IFERROR(__xludf.DUMMYFUNCTION("""COMPUTED_VALUE"""),1299.85)</f>
        <v>1299.85</v>
      </c>
      <c r="N301" s="32">
        <f>IFERROR(__xludf.DUMMYFUNCTION("""COMPUTED_VALUE"""),147.5)</f>
        <v>147.5</v>
      </c>
      <c r="O301" s="32">
        <f>IFERROR(__xludf.DUMMYFUNCTION("""COMPUTED_VALUE"""),1299.85)</f>
        <v>1299.85</v>
      </c>
      <c r="P301" s="32">
        <f>IFERROR(__xludf.DUMMYFUNCTION("""COMPUTED_VALUE"""),2.4)</f>
        <v>2.4</v>
      </c>
      <c r="Q301" s="32">
        <f>IFERROR(__xludf.DUMMYFUNCTION("""COMPUTED_VALUE"""),1299.85)</f>
        <v>1299.85</v>
      </c>
      <c r="R301" s="32">
        <f>IFERROR(__xludf.DUMMYFUNCTION("""COMPUTED_VALUE"""),13821.867301)</f>
        <v>13821.8673</v>
      </c>
      <c r="S301" s="32">
        <f>IFERROR(__xludf.DUMMYFUNCTION("""COMPUTED_VALUE"""),13883.70510435)</f>
        <v>13883.7051</v>
      </c>
      <c r="T301" s="32">
        <f>IFERROR(__xludf.DUMMYFUNCTION("""COMPUTED_VALUE"""),0.028914)</f>
        <v>0.028914</v>
      </c>
      <c r="U301" s="32">
        <f>IFERROR(__xludf.DUMMYFUNCTION("""COMPUTED_VALUE"""),12.675062)</f>
        <v>12.675062</v>
      </c>
      <c r="V301" s="32">
        <f>IFERROR(__xludf.DUMMYFUNCTION("""COMPUTED_VALUE"""),32.201771)</f>
        <v>32.201771</v>
      </c>
      <c r="W301" s="32">
        <f>IFERROR(__xludf.DUMMYFUNCTION("""COMPUTED_VALUE"""),15.999776)</f>
        <v>15.999776</v>
      </c>
      <c r="X301" s="32">
        <f>IFERROR(__xludf.DUMMYFUNCTION("""COMPUTED_VALUE"""),51.283582)</f>
        <v>51.283582</v>
      </c>
      <c r="Y301" s="32">
        <f>IFERROR(__xludf.DUMMYFUNCTION("""COMPUTED_VALUE"""),44.691732)</f>
        <v>44.691732</v>
      </c>
      <c r="Z301" s="32">
        <f>IFERROR(__xludf.DUMMYFUNCTION("""COMPUTED_VALUE"""),25.438899)</f>
        <v>25.438899</v>
      </c>
      <c r="AA301" s="32">
        <f>IFERROR(__xludf.DUMMYFUNCTION("""COMPUTED_VALUE"""),52.2878)</f>
        <v>52.2878</v>
      </c>
      <c r="AB301" s="32">
        <f>IFERROR(__xludf.DUMMYFUNCTION("""COMPUTED_VALUE"""),32.0015)</f>
        <v>32.0015</v>
      </c>
      <c r="AC301" s="32">
        <f>IFERROR(__xludf.DUMMYFUNCTION("""COMPUTED_VALUE"""),6.7223)</f>
        <v>6.7223</v>
      </c>
      <c r="AD301" s="32">
        <f>IFERROR(__xludf.DUMMYFUNCTION("""COMPUTED_VALUE"""),4.191)</f>
        <v>4.191</v>
      </c>
      <c r="AE301" s="32">
        <f>IFERROR(__xludf.DUMMYFUNCTION("""COMPUTED_VALUE"""),2.549715)</f>
        <v>2.549715</v>
      </c>
      <c r="AF301" s="32">
        <f>IFERROR(__xludf.DUMMYFUNCTION("""COMPUTED_VALUE"""),1.754906)</f>
        <v>1.754906</v>
      </c>
      <c r="AG301" s="32">
        <f>IFERROR(__xludf.DUMMYFUNCTION("""COMPUTED_VALUE"""),0.2889)</f>
        <v>0.2889</v>
      </c>
      <c r="AH301" s="32">
        <f>IFERROR(__xludf.DUMMYFUNCTION("""COMPUTED_VALUE"""),33.661057)</f>
        <v>33.661057</v>
      </c>
      <c r="AI301" s="32">
        <f>IFERROR(__xludf.DUMMYFUNCTION("""COMPUTED_VALUE"""),1.0804993250136743)</f>
        <v>1.080499325</v>
      </c>
      <c r="AJ301" s="32">
        <f>IFERROR(__xludf.DUMMYFUNCTION("""COMPUTED_VALUE"""),36.659676014151586)</f>
        <v>36.65967601</v>
      </c>
      <c r="AK301" s="32">
        <f>IFERROR(__xludf.DUMMYFUNCTION("""COMPUTED_VALUE"""),19.7752)</f>
        <v>19.7752</v>
      </c>
      <c r="AL301" s="32">
        <f>IFERROR(__xludf.DUMMYFUNCTION("""COMPUTED_VALUE"""),153.8163)</f>
        <v>153.8163</v>
      </c>
      <c r="AM301" s="32">
        <f>IFERROR(__xludf.DUMMYFUNCTION("""COMPUTED_VALUE"""),28.227606)</f>
        <v>28.227606</v>
      </c>
      <c r="AN301" s="32">
        <f>IFERROR(__xludf.DUMMYFUNCTION("""COMPUTED_VALUE"""),20.097553)</f>
        <v>20.097553</v>
      </c>
      <c r="AO301" s="32">
        <f>IFERROR(__xludf.DUMMYFUNCTION("""COMPUTED_VALUE"""),2.4)</f>
        <v>2.4</v>
      </c>
      <c r="AP301" s="32">
        <f>IFERROR(__xludf.DUMMYFUNCTION("""COMPUTED_VALUE"""),0.20156171865984537)</f>
        <v>0.2015617187</v>
      </c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>
      <c r="A302" s="13" t="str">
        <f>IFERROR(__xludf.DUMMYFUNCTION("""COMPUTED_VALUE"""),"Indoco Remedies Ltd.")</f>
        <v>Indoco Remedies Ltd.</v>
      </c>
      <c r="B302" s="30">
        <f>IFERROR(__xludf.DUMMYFUNCTION("""COMPUTED_VALUE"""),532612.0)</f>
        <v>532612</v>
      </c>
      <c r="C302" s="13" t="str">
        <f>IFERROR(__xludf.DUMMYFUNCTION("""COMPUTED_VALUE"""),"INDOCO")</f>
        <v>INDOCO</v>
      </c>
      <c r="D302" s="13" t="str">
        <f>IFERROR(__xludf.DUMMYFUNCTION("""COMPUTED_VALUE"""),"INE873D01024")</f>
        <v>INE873D01024</v>
      </c>
      <c r="E302" s="13" t="str">
        <f>IFERROR(__xludf.DUMMYFUNCTION("""COMPUTED_VALUE"""),"Healthcare")</f>
        <v>Healthcare</v>
      </c>
      <c r="F302" s="13" t="str">
        <f>IFERROR(__xludf.DUMMYFUNCTION("""COMPUTED_VALUE"""),"Drugs &amp; Pharma")</f>
        <v>Drugs &amp; Pharma</v>
      </c>
      <c r="G302" s="31">
        <f>IFERROR(__xludf.DUMMYFUNCTION("""COMPUTED_VALUE"""),44809.0)</f>
        <v>44809</v>
      </c>
      <c r="H302" s="32">
        <f>IFERROR(__xludf.DUMMYFUNCTION("""COMPUTED_VALUE"""),368.15)</f>
        <v>368.15</v>
      </c>
      <c r="I302" s="32">
        <f>IFERROR(__xludf.DUMMYFUNCTION("""COMPUTED_VALUE"""),0.918311)</f>
        <v>0.918311</v>
      </c>
      <c r="J302" s="32">
        <f>IFERROR(__xludf.DUMMYFUNCTION("""COMPUTED_VALUE"""),322.7)</f>
        <v>322.7</v>
      </c>
      <c r="K302" s="32">
        <f>IFERROR(__xludf.DUMMYFUNCTION("""COMPUTED_VALUE"""),513.65)</f>
        <v>513.65</v>
      </c>
      <c r="L302" s="32">
        <f>IFERROR(__xludf.DUMMYFUNCTION("""COMPUTED_VALUE"""),132.45)</f>
        <v>132.45</v>
      </c>
      <c r="M302" s="32">
        <f>IFERROR(__xludf.DUMMYFUNCTION("""COMPUTED_VALUE"""),530.25)</f>
        <v>530.25</v>
      </c>
      <c r="N302" s="32">
        <f>IFERROR(__xludf.DUMMYFUNCTION("""COMPUTED_VALUE"""),132.45)</f>
        <v>132.45</v>
      </c>
      <c r="O302" s="32">
        <f>IFERROR(__xludf.DUMMYFUNCTION("""COMPUTED_VALUE"""),530.25)</f>
        <v>530.25</v>
      </c>
      <c r="P302" s="32">
        <f>IFERROR(__xludf.DUMMYFUNCTION("""COMPUTED_VALUE"""),13.866667)</f>
        <v>13.866667</v>
      </c>
      <c r="Q302" s="32">
        <f>IFERROR(__xludf.DUMMYFUNCTION("""COMPUTED_VALUE"""),530.25)</f>
        <v>530.25</v>
      </c>
      <c r="R302" s="32">
        <f>IFERROR(__xludf.DUMMYFUNCTION("""COMPUTED_VALUE"""),3404.95561725)</f>
        <v>3404.955617</v>
      </c>
      <c r="S302" s="32">
        <f>IFERROR(__xludf.DUMMYFUNCTION("""COMPUTED_VALUE"""),3586.0767504)</f>
        <v>3586.07675</v>
      </c>
      <c r="T302" s="32">
        <f>IFERROR(__xludf.DUMMYFUNCTION("""COMPUTED_VALUE"""),2.96462)</f>
        <v>2.96462</v>
      </c>
      <c r="U302" s="32">
        <f>IFERROR(__xludf.DUMMYFUNCTION("""COMPUTED_VALUE"""),-8.397611)</f>
        <v>-8.397611</v>
      </c>
      <c r="V302" s="32">
        <f>IFERROR(__xludf.DUMMYFUNCTION("""COMPUTED_VALUE"""),1.614684)</f>
        <v>1.614684</v>
      </c>
      <c r="W302" s="32">
        <f>IFERROR(__xludf.DUMMYFUNCTION("""COMPUTED_VALUE"""),-23.133939)</f>
        <v>-23.133939</v>
      </c>
      <c r="X302" s="32">
        <f>IFERROR(__xludf.DUMMYFUNCTION("""COMPUTED_VALUE"""),32.741491)</f>
        <v>32.741491</v>
      </c>
      <c r="Y302" s="32">
        <f>IFERROR(__xludf.DUMMYFUNCTION("""COMPUTED_VALUE"""),13.628704)</f>
        <v>13.628704</v>
      </c>
      <c r="Z302" s="32">
        <f>IFERROR(__xludf.DUMMYFUNCTION("""COMPUTED_VALUE"""),18.124928)</f>
        <v>18.124928</v>
      </c>
      <c r="AA302" s="32">
        <f>IFERROR(__xludf.DUMMYFUNCTION("""COMPUTED_VALUE"""),22.1533)</f>
        <v>22.1533</v>
      </c>
      <c r="AB302" s="32">
        <f>IFERROR(__xludf.DUMMYFUNCTION("""COMPUTED_VALUE"""),49.06955)</f>
        <v>49.06955</v>
      </c>
      <c r="AC302" s="32">
        <f>IFERROR(__xludf.DUMMYFUNCTION("""COMPUTED_VALUE"""),3.61)</f>
        <v>3.61</v>
      </c>
      <c r="AD302" s="32">
        <f>IFERROR(__xludf.DUMMYFUNCTION("""COMPUTED_VALUE"""),3.28765)</f>
        <v>3.28765</v>
      </c>
      <c r="AE302" s="32">
        <f>IFERROR(__xludf.DUMMYFUNCTION("""COMPUTED_VALUE"""),6.61985)</f>
        <v>6.61985</v>
      </c>
      <c r="AF302" s="32">
        <f>IFERROR(__xludf.DUMMYFUNCTION("""COMPUTED_VALUE"""),1.479782)</f>
        <v>1.479782</v>
      </c>
      <c r="AG302" s="32">
        <f>IFERROR(__xludf.DUMMYFUNCTION("""COMPUTED_VALUE"""),0.6114)</f>
        <v>0.6114</v>
      </c>
      <c r="AH302" s="32">
        <f>IFERROR(__xludf.DUMMYFUNCTION("""COMPUTED_VALUE"""),11.403195)</f>
        <v>11.403195</v>
      </c>
      <c r="AI302" s="32">
        <f>IFERROR(__xludf.DUMMYFUNCTION("""COMPUTED_VALUE"""),2.2437632566621857)</f>
        <v>2.243763257</v>
      </c>
      <c r="AJ302" s="32">
        <f>IFERROR(__xludf.DUMMYFUNCTION("""COMPUTED_VALUE"""),19.58799448681374)</f>
        <v>19.58799449</v>
      </c>
      <c r="AK302" s="32">
        <f>IFERROR(__xludf.DUMMYFUNCTION("""COMPUTED_VALUE"""),16.6793)</f>
        <v>16.6793</v>
      </c>
      <c r="AL302" s="32">
        <f>IFERROR(__xludf.DUMMYFUNCTION("""COMPUTED_VALUE"""),102.3556)</f>
        <v>102.3556</v>
      </c>
      <c r="AM302" s="32">
        <f>IFERROR(__xludf.DUMMYFUNCTION("""COMPUTED_VALUE"""),18.863566)</f>
        <v>18.863566</v>
      </c>
      <c r="AN302" s="32">
        <f>IFERROR(__xludf.DUMMYFUNCTION("""COMPUTED_VALUE"""),-0.038263)</f>
        <v>-0.038263</v>
      </c>
      <c r="AO302" s="32">
        <f>IFERROR(__xludf.DUMMYFUNCTION("""COMPUTED_VALUE"""),2.25)</f>
        <v>2.25</v>
      </c>
      <c r="AP302" s="32">
        <f>IFERROR(__xludf.DUMMYFUNCTION("""COMPUTED_VALUE"""),0.28326681592524094)</f>
        <v>0.2832668159</v>
      </c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>
      <c r="A303" s="13" t="str">
        <f>IFERROR(__xludf.DUMMYFUNCTION("""COMPUTED_VALUE"""),"Kansai Nerolac Paints Ltd.")</f>
        <v>Kansai Nerolac Paints Ltd.</v>
      </c>
      <c r="B303" s="30">
        <f>IFERROR(__xludf.DUMMYFUNCTION("""COMPUTED_VALUE"""),500165.0)</f>
        <v>500165</v>
      </c>
      <c r="C303" s="13" t="str">
        <f>IFERROR(__xludf.DUMMYFUNCTION("""COMPUTED_VALUE"""),"KANSAINER")</f>
        <v>KANSAINER</v>
      </c>
      <c r="D303" s="13" t="str">
        <f>IFERROR(__xludf.DUMMYFUNCTION("""COMPUTED_VALUE"""),"INE531A01024")</f>
        <v>INE531A01024</v>
      </c>
      <c r="E303" s="13" t="str">
        <f>IFERROR(__xludf.DUMMYFUNCTION("""COMPUTED_VALUE"""),"Materials")</f>
        <v>Materials</v>
      </c>
      <c r="F303" s="13" t="str">
        <f>IFERROR(__xludf.DUMMYFUNCTION("""COMPUTED_VALUE"""),"Paints &amp; Varnishes")</f>
        <v>Paints &amp; Varnishes</v>
      </c>
      <c r="G303" s="31">
        <f>IFERROR(__xludf.DUMMYFUNCTION("""COMPUTED_VALUE"""),44809.0)</f>
        <v>44809</v>
      </c>
      <c r="H303" s="32">
        <f>IFERROR(__xludf.DUMMYFUNCTION("""COMPUTED_VALUE"""),497.1)</f>
        <v>497.1</v>
      </c>
      <c r="I303" s="32">
        <f>IFERROR(__xludf.DUMMYFUNCTION("""COMPUTED_VALUE"""),-0.520312)</f>
        <v>-0.520312</v>
      </c>
      <c r="J303" s="32">
        <f>IFERROR(__xludf.DUMMYFUNCTION("""COMPUTED_VALUE"""),358.15)</f>
        <v>358.15</v>
      </c>
      <c r="K303" s="32">
        <f>IFERROR(__xludf.DUMMYFUNCTION("""COMPUTED_VALUE"""),675.0)</f>
        <v>675</v>
      </c>
      <c r="L303" s="32">
        <f>IFERROR(__xludf.DUMMYFUNCTION("""COMPUTED_VALUE"""),293.7)</f>
        <v>293.7</v>
      </c>
      <c r="M303" s="32">
        <f>IFERROR(__xludf.DUMMYFUNCTION("""COMPUTED_VALUE"""),680.0)</f>
        <v>680</v>
      </c>
      <c r="N303" s="32">
        <f>IFERROR(__xludf.DUMMYFUNCTION("""COMPUTED_VALUE"""),293.7)</f>
        <v>293.7</v>
      </c>
      <c r="O303" s="32">
        <f>IFERROR(__xludf.DUMMYFUNCTION("""COMPUTED_VALUE"""),680.0)</f>
        <v>680</v>
      </c>
      <c r="P303" s="32">
        <f>IFERROR(__xludf.DUMMYFUNCTION("""COMPUTED_VALUE"""),2.1615)</f>
        <v>2.1615</v>
      </c>
      <c r="Q303" s="32">
        <f>IFERROR(__xludf.DUMMYFUNCTION("""COMPUTED_VALUE"""),680.0)</f>
        <v>680</v>
      </c>
      <c r="R303" s="32">
        <f>IFERROR(__xludf.DUMMYFUNCTION("""COMPUTED_VALUE"""),26789.6992812)</f>
        <v>26789.69928</v>
      </c>
      <c r="S303" s="32">
        <f>IFERROR(__xludf.DUMMYFUNCTION("""COMPUTED_VALUE"""),26798.4962182)</f>
        <v>26798.49622</v>
      </c>
      <c r="T303" s="32">
        <f>IFERROR(__xludf.DUMMYFUNCTION("""COMPUTED_VALUE"""),0.8521)</f>
        <v>0.8521</v>
      </c>
      <c r="U303" s="32">
        <f>IFERROR(__xludf.DUMMYFUNCTION("""COMPUTED_VALUE"""),-0.58)</f>
        <v>-0.58</v>
      </c>
      <c r="V303" s="32">
        <f>IFERROR(__xludf.DUMMYFUNCTION("""COMPUTED_VALUE"""),20.406927)</f>
        <v>20.406927</v>
      </c>
      <c r="W303" s="32">
        <f>IFERROR(__xludf.DUMMYFUNCTION("""COMPUTED_VALUE"""),-19.764345)</f>
        <v>-19.764345</v>
      </c>
      <c r="X303" s="32">
        <f>IFERROR(__xludf.DUMMYFUNCTION("""COMPUTED_VALUE"""),2.275735)</f>
        <v>2.275735</v>
      </c>
      <c r="Y303" s="32">
        <f>IFERROR(__xludf.DUMMYFUNCTION("""COMPUTED_VALUE"""),0.658559)</f>
        <v>0.658559</v>
      </c>
      <c r="Z303" s="32">
        <f>IFERROR(__xludf.DUMMYFUNCTION("""COMPUTED_VALUE"""),18.78498)</f>
        <v>18.78498</v>
      </c>
      <c r="AA303" s="32">
        <f>IFERROR(__xludf.DUMMYFUNCTION("""COMPUTED_VALUE"""),66.6444)</f>
        <v>66.6444</v>
      </c>
      <c r="AB303" s="32">
        <f>IFERROR(__xludf.DUMMYFUNCTION("""COMPUTED_VALUE"""),53.46645)</f>
        <v>53.46645</v>
      </c>
      <c r="AC303" s="32">
        <f>IFERROR(__xludf.DUMMYFUNCTION("""COMPUTED_VALUE"""),6.2392)</f>
        <v>6.2392</v>
      </c>
      <c r="AD303" s="32">
        <f>IFERROR(__xludf.DUMMYFUNCTION("""COMPUTED_VALUE"""),7.5569)</f>
        <v>7.5569</v>
      </c>
      <c r="AE303" s="32">
        <f>IFERROR(__xludf.DUMMYFUNCTION("""COMPUTED_VALUE"""),2.186508)</f>
        <v>2.186508</v>
      </c>
      <c r="AF303" s="32">
        <f>IFERROR(__xludf.DUMMYFUNCTION("""COMPUTED_VALUE"""),-8.743833)</f>
        <v>-8.743833</v>
      </c>
      <c r="AG303" s="32">
        <f>IFERROR(__xludf.DUMMYFUNCTION("""COMPUTED_VALUE"""),0.452)</f>
        <v>0.452</v>
      </c>
      <c r="AH303" s="32">
        <f>IFERROR(__xludf.DUMMYFUNCTION("""COMPUTED_VALUE"""),36.501262)</f>
        <v>36.501262</v>
      </c>
      <c r="AI303" s="32">
        <f>IFERROR(__xludf.DUMMYFUNCTION("""COMPUTED_VALUE"""),3.817305781338167)</f>
        <v>3.817305781</v>
      </c>
      <c r="AJ303" s="32">
        <f>IFERROR(__xludf.DUMMYFUNCTION("""COMPUTED_VALUE"""),1081.538121970125)</f>
        <v>1081.538122</v>
      </c>
      <c r="AK303" s="32">
        <f>IFERROR(__xludf.DUMMYFUNCTION("""COMPUTED_VALUE"""),7.4425)</f>
        <v>7.4425</v>
      </c>
      <c r="AL303" s="32">
        <f>IFERROR(__xludf.DUMMYFUNCTION("""COMPUTED_VALUE"""),79.4974)</f>
        <v>79.4974</v>
      </c>
      <c r="AM303" s="32">
        <f>IFERROR(__xludf.DUMMYFUNCTION("""COMPUTED_VALUE"""),0.45964)</f>
        <v>0.45964</v>
      </c>
      <c r="AN303" s="32">
        <f>IFERROR(__xludf.DUMMYFUNCTION("""COMPUTED_VALUE"""),-2.446651)</f>
        <v>-2.446651</v>
      </c>
      <c r="AO303" s="32">
        <f>IFERROR(__xludf.DUMMYFUNCTION("""COMPUTED_VALUE"""),2.25)</f>
        <v>2.25</v>
      </c>
      <c r="AP303" s="32">
        <f>IFERROR(__xludf.DUMMYFUNCTION("""COMPUTED_VALUE"""),0.26355555555555554)</f>
        <v>0.2635555556</v>
      </c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>
      <c r="A304" s="13" t="str">
        <f>IFERROR(__xludf.DUMMYFUNCTION("""COMPUTED_VALUE"""),"Metro Brands Ltd.")</f>
        <v>Metro Brands Ltd.</v>
      </c>
      <c r="B304" s="30">
        <f>IFERROR(__xludf.DUMMYFUNCTION("""COMPUTED_VALUE"""),543426.0)</f>
        <v>543426</v>
      </c>
      <c r="C304" s="13" t="str">
        <f>IFERROR(__xludf.DUMMYFUNCTION("""COMPUTED_VALUE"""),"METROBRAND")</f>
        <v>METROBRAND</v>
      </c>
      <c r="D304" s="13" t="str">
        <f>IFERROR(__xludf.DUMMYFUNCTION("""COMPUTED_VALUE"""),"INE317I01021")</f>
        <v>INE317I01021</v>
      </c>
      <c r="E304" s="13" t="str">
        <f>IFERROR(__xludf.DUMMYFUNCTION("""COMPUTED_VALUE"""),"Consumer Discretionary")</f>
        <v>Consumer Discretionary</v>
      </c>
      <c r="F304" s="13" t="str">
        <f>IFERROR(__xludf.DUMMYFUNCTION("""COMPUTED_VALUE"""),"Footwear")</f>
        <v>Footwear</v>
      </c>
      <c r="G304" s="31">
        <f>IFERROR(__xludf.DUMMYFUNCTION("""COMPUTED_VALUE"""),44809.0)</f>
        <v>44809</v>
      </c>
      <c r="H304" s="32">
        <f>IFERROR(__xludf.DUMMYFUNCTION("""COMPUTED_VALUE"""),830.2)</f>
        <v>830.2</v>
      </c>
      <c r="I304" s="32">
        <f>IFERROR(__xludf.DUMMYFUNCTION("""COMPUTED_VALUE"""),4.453951)</f>
        <v>4.453951</v>
      </c>
      <c r="J304" s="32">
        <f>IFERROR(__xludf.DUMMYFUNCTION("""COMPUTED_VALUE"""),426.0)</f>
        <v>426</v>
      </c>
      <c r="K304" s="32">
        <f>IFERROR(__xludf.DUMMYFUNCTION("""COMPUTED_VALUE"""),939.9)</f>
        <v>939.9</v>
      </c>
      <c r="L304" s="13"/>
      <c r="M304" s="13"/>
      <c r="N304" s="13"/>
      <c r="O304" s="13"/>
      <c r="P304" s="32">
        <f>IFERROR(__xludf.DUMMYFUNCTION("""COMPUTED_VALUE"""),426.0)</f>
        <v>426</v>
      </c>
      <c r="Q304" s="32">
        <f>IFERROR(__xludf.DUMMYFUNCTION("""COMPUTED_VALUE"""),939.9)</f>
        <v>939.9</v>
      </c>
      <c r="R304" s="32">
        <f>IFERROR(__xludf.DUMMYFUNCTION("""COMPUTED_VALUE"""),22445.474322145)</f>
        <v>22445.47432</v>
      </c>
      <c r="S304" s="32">
        <f>IFERROR(__xludf.DUMMYFUNCTION("""COMPUTED_VALUE"""),20733.173081545)</f>
        <v>20733.17308</v>
      </c>
      <c r="T304" s="32">
        <f>IFERROR(__xludf.DUMMYFUNCTION("""COMPUTED_VALUE"""),6.695797)</f>
        <v>6.695797</v>
      </c>
      <c r="U304" s="32">
        <f>IFERROR(__xludf.DUMMYFUNCTION("""COMPUTED_VALUE"""),12.55423)</f>
        <v>12.55423</v>
      </c>
      <c r="V304" s="32">
        <f>IFERROR(__xludf.DUMMYFUNCTION("""COMPUTED_VALUE"""),43.496673)</f>
        <v>43.496673</v>
      </c>
      <c r="W304" s="13"/>
      <c r="X304" s="13"/>
      <c r="Y304" s="13"/>
      <c r="Z304" s="13"/>
      <c r="AA304" s="32">
        <f>IFERROR(__xludf.DUMMYFUNCTION("""COMPUTED_VALUE"""),106.0796)</f>
        <v>106.0796</v>
      </c>
      <c r="AB304" s="32">
        <f>IFERROR(__xludf.DUMMYFUNCTION("""COMPUTED_VALUE"""),194.10875)</f>
        <v>194.10875</v>
      </c>
      <c r="AC304" s="32">
        <f>IFERROR(__xludf.DUMMYFUNCTION("""COMPUTED_VALUE"""),16.4235)</f>
        <v>16.4235</v>
      </c>
      <c r="AD304" s="32">
        <f>IFERROR(__xludf.DUMMYFUNCTION("""COMPUTED_VALUE"""),7.14215)</f>
        <v>7.14215</v>
      </c>
      <c r="AE304" s="32">
        <f>IFERROR(__xludf.DUMMYFUNCTION("""COMPUTED_VALUE"""),1.540278)</f>
        <v>1.540278</v>
      </c>
      <c r="AF304" s="13"/>
      <c r="AG304" s="32">
        <f>IFERROR(__xludf.DUMMYFUNCTION("""COMPUTED_VALUE"""),0.2722)</f>
        <v>0.2722</v>
      </c>
      <c r="AH304" s="32">
        <f>IFERROR(__xludf.DUMMYFUNCTION("""COMPUTED_VALUE"""),44.320119)</f>
        <v>44.320119</v>
      </c>
      <c r="AI304" s="32">
        <f>IFERROR(__xludf.DUMMYFUNCTION("""COMPUTED_VALUE"""),16.713810596909088)</f>
        <v>16.7138106</v>
      </c>
      <c r="AJ304" s="32">
        <f>IFERROR(__xludf.DUMMYFUNCTION("""COMPUTED_VALUE"""),102.16605819926171)</f>
        <v>102.1660582</v>
      </c>
      <c r="AK304" s="13"/>
      <c r="AL304" s="13"/>
      <c r="AM304" s="32">
        <f>IFERROR(__xludf.DUMMYFUNCTION("""COMPUTED_VALUE"""),8.091713)</f>
        <v>8.091713</v>
      </c>
      <c r="AN304" s="32">
        <f>IFERROR(__xludf.DUMMYFUNCTION("""COMPUTED_VALUE"""),6.377009)</f>
        <v>6.377009</v>
      </c>
      <c r="AO304" s="32">
        <f>IFERROR(__xludf.DUMMYFUNCTION("""COMPUTED_VALUE"""),2.25)</f>
        <v>2.25</v>
      </c>
      <c r="AP304" s="32">
        <f>IFERROR(__xludf.DUMMYFUNCTION("""COMPUTED_VALUE"""),0.11671454410043615)</f>
        <v>0.1167145441</v>
      </c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>
      <c r="A305" s="13" t="str">
        <f>IFERROR(__xludf.DUMMYFUNCTION("""COMPUTED_VALUE"""),"Gujarat State Fertilizers &amp; Chemicals Ltd.")</f>
        <v>Gujarat State Fertilizers &amp; Chemicals Ltd.</v>
      </c>
      <c r="B305" s="30">
        <f>IFERROR(__xludf.DUMMYFUNCTION("""COMPUTED_VALUE"""),500690.0)</f>
        <v>500690</v>
      </c>
      <c r="C305" s="13" t="str">
        <f>IFERROR(__xludf.DUMMYFUNCTION("""COMPUTED_VALUE"""),"GSFC")</f>
        <v>GSFC</v>
      </c>
      <c r="D305" s="13" t="str">
        <f>IFERROR(__xludf.DUMMYFUNCTION("""COMPUTED_VALUE"""),"INE026A01025")</f>
        <v>INE026A01025</v>
      </c>
      <c r="E305" s="13" t="str">
        <f>IFERROR(__xludf.DUMMYFUNCTION("""COMPUTED_VALUE"""),"Chemicals")</f>
        <v>Chemicals</v>
      </c>
      <c r="F305" s="13" t="str">
        <f>IFERROR(__xludf.DUMMYFUNCTION("""COMPUTED_VALUE"""),"Nitrogenous Fertilizer.")</f>
        <v>Nitrogenous Fertilizer.</v>
      </c>
      <c r="G305" s="31">
        <f>IFERROR(__xludf.DUMMYFUNCTION("""COMPUTED_VALUE"""),44809.0)</f>
        <v>44809</v>
      </c>
      <c r="H305" s="32">
        <f>IFERROR(__xludf.DUMMYFUNCTION("""COMPUTED_VALUE"""),157.2)</f>
        <v>157.2</v>
      </c>
      <c r="I305" s="32">
        <f>IFERROR(__xludf.DUMMYFUNCTION("""COMPUTED_VALUE"""),0.191205)</f>
        <v>0.191205</v>
      </c>
      <c r="J305" s="32">
        <f>IFERROR(__xludf.DUMMYFUNCTION("""COMPUTED_VALUE"""),102.15)</f>
        <v>102.15</v>
      </c>
      <c r="K305" s="32">
        <f>IFERROR(__xludf.DUMMYFUNCTION("""COMPUTED_VALUE"""),198.8)</f>
        <v>198.8</v>
      </c>
      <c r="L305" s="32">
        <f>IFERROR(__xludf.DUMMYFUNCTION("""COMPUTED_VALUE"""),29.8)</f>
        <v>29.8</v>
      </c>
      <c r="M305" s="32">
        <f>IFERROR(__xludf.DUMMYFUNCTION("""COMPUTED_VALUE"""),198.8)</f>
        <v>198.8</v>
      </c>
      <c r="N305" s="32">
        <f>IFERROR(__xludf.DUMMYFUNCTION("""COMPUTED_VALUE"""),29.8)</f>
        <v>29.8</v>
      </c>
      <c r="O305" s="32">
        <f>IFERROR(__xludf.DUMMYFUNCTION("""COMPUTED_VALUE"""),198.8)</f>
        <v>198.8</v>
      </c>
      <c r="P305" s="32">
        <f>IFERROR(__xludf.DUMMYFUNCTION("""COMPUTED_VALUE"""),1.62)</f>
        <v>1.62</v>
      </c>
      <c r="Q305" s="32">
        <f>IFERROR(__xludf.DUMMYFUNCTION("""COMPUTED_VALUE"""),198.8)</f>
        <v>198.8</v>
      </c>
      <c r="R305" s="32">
        <f>IFERROR(__xludf.DUMMYFUNCTION("""COMPUTED_VALUE"""),6264.0667716)</f>
        <v>6264.066772</v>
      </c>
      <c r="S305" s="32">
        <f>IFERROR(__xludf.DUMMYFUNCTION("""COMPUTED_VALUE"""),6039.3156457)</f>
        <v>6039.315646</v>
      </c>
      <c r="T305" s="32">
        <f>IFERROR(__xludf.DUMMYFUNCTION("""COMPUTED_VALUE"""),-5.043793)</f>
        <v>-5.043793</v>
      </c>
      <c r="U305" s="32">
        <f>IFERROR(__xludf.DUMMYFUNCTION("""COMPUTED_VALUE"""),-2.812983)</f>
        <v>-2.812983</v>
      </c>
      <c r="V305" s="32">
        <f>IFERROR(__xludf.DUMMYFUNCTION("""COMPUTED_VALUE"""),-5.386699)</f>
        <v>-5.386699</v>
      </c>
      <c r="W305" s="32">
        <f>IFERROR(__xludf.DUMMYFUNCTION("""COMPUTED_VALUE"""),49.287749)</f>
        <v>49.287749</v>
      </c>
      <c r="X305" s="32">
        <f>IFERROR(__xludf.DUMMYFUNCTION("""COMPUTED_VALUE"""),28.23354)</f>
        <v>28.23354</v>
      </c>
      <c r="Y305" s="32">
        <f>IFERROR(__xludf.DUMMYFUNCTION("""COMPUTED_VALUE"""),2.366538)</f>
        <v>2.366538</v>
      </c>
      <c r="Z305" s="32">
        <f>IFERROR(__xludf.DUMMYFUNCTION("""COMPUTED_VALUE"""),8.028819)</f>
        <v>8.028819</v>
      </c>
      <c r="AA305" s="32">
        <f>IFERROR(__xludf.DUMMYFUNCTION("""COMPUTED_VALUE"""),5.6485)</f>
        <v>5.6485</v>
      </c>
      <c r="AB305" s="32">
        <f>IFERROR(__xludf.DUMMYFUNCTION("""COMPUTED_VALUE"""),9.07135)</f>
        <v>9.07135</v>
      </c>
      <c r="AC305" s="32">
        <f>IFERROR(__xludf.DUMMYFUNCTION("""COMPUTED_VALUE"""),0.5166)</f>
        <v>0.5166</v>
      </c>
      <c r="AD305" s="32">
        <f>IFERROR(__xludf.DUMMYFUNCTION("""COMPUTED_VALUE"""),0.4924)</f>
        <v>0.4924</v>
      </c>
      <c r="AE305" s="32">
        <f>IFERROR(__xludf.DUMMYFUNCTION("""COMPUTED_VALUE"""),30.534582)</f>
        <v>30.534582</v>
      </c>
      <c r="AF305" s="32">
        <f>IFERROR(__xludf.DUMMYFUNCTION("""COMPUTED_VALUE"""),2.918987)</f>
        <v>2.918987</v>
      </c>
      <c r="AG305" s="32">
        <f>IFERROR(__xludf.DUMMYFUNCTION("""COMPUTED_VALUE"""),1.5913)</f>
        <v>1.5913</v>
      </c>
      <c r="AH305" s="32">
        <f>IFERROR(__xludf.DUMMYFUNCTION("""COMPUTED_VALUE"""),3.291144)</f>
        <v>3.291144</v>
      </c>
      <c r="AI305" s="32">
        <f>IFERROR(__xludf.DUMMYFUNCTION("""COMPUTED_VALUE"""),0.6111356202804326)</f>
        <v>0.6111356203</v>
      </c>
      <c r="AJ305" s="32">
        <f>IFERROR(__xludf.DUMMYFUNCTION("""COMPUTED_VALUE"""),3.506111069436995)</f>
        <v>3.506111069</v>
      </c>
      <c r="AK305" s="32">
        <f>IFERROR(__xludf.DUMMYFUNCTION("""COMPUTED_VALUE"""),27.8129)</f>
        <v>27.8129</v>
      </c>
      <c r="AL305" s="32">
        <f>IFERROR(__xludf.DUMMYFUNCTION("""COMPUTED_VALUE"""),304.0788)</f>
        <v>304.0788</v>
      </c>
      <c r="AM305" s="32">
        <f>IFERROR(__xludf.DUMMYFUNCTION("""COMPUTED_VALUE"""),44.836005)</f>
        <v>44.836005</v>
      </c>
      <c r="AN305" s="32">
        <f>IFERROR(__xludf.DUMMYFUNCTION("""COMPUTED_VALUE"""),39.958186)</f>
        <v>39.958186</v>
      </c>
      <c r="AO305" s="32">
        <f>IFERROR(__xludf.DUMMYFUNCTION("""COMPUTED_VALUE"""),2.2)</f>
        <v>2.2</v>
      </c>
      <c r="AP305" s="32">
        <f>IFERROR(__xludf.DUMMYFUNCTION("""COMPUTED_VALUE"""),0.20925553319919526)</f>
        <v>0.2092555332</v>
      </c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>
      <c r="A306" s="13" t="str">
        <f>IFERROR(__xludf.DUMMYFUNCTION("""COMPUTED_VALUE"""),"SJVN Ltd.")</f>
        <v>SJVN Ltd.</v>
      </c>
      <c r="B306" s="30">
        <f>IFERROR(__xludf.DUMMYFUNCTION("""COMPUTED_VALUE"""),533206.0)</f>
        <v>533206</v>
      </c>
      <c r="C306" s="13" t="str">
        <f>IFERROR(__xludf.DUMMYFUNCTION("""COMPUTED_VALUE"""),"SJVN")</f>
        <v>SJVN</v>
      </c>
      <c r="D306" s="13" t="str">
        <f>IFERROR(__xludf.DUMMYFUNCTION("""COMPUTED_VALUE"""),"INE002L01015")</f>
        <v>INE002L01015</v>
      </c>
      <c r="E306" s="13" t="str">
        <f>IFERROR(__xludf.DUMMYFUNCTION("""COMPUTED_VALUE"""),"Energy")</f>
        <v>Energy</v>
      </c>
      <c r="F306" s="13" t="str">
        <f>IFERROR(__xludf.DUMMYFUNCTION("""COMPUTED_VALUE"""),"Electricity Generation")</f>
        <v>Electricity Generation</v>
      </c>
      <c r="G306" s="31">
        <f>IFERROR(__xludf.DUMMYFUNCTION("""COMPUTED_VALUE"""),44809.0)</f>
        <v>44809</v>
      </c>
      <c r="H306" s="32">
        <f>IFERROR(__xludf.DUMMYFUNCTION("""COMPUTED_VALUE"""),31.2)</f>
        <v>31.2</v>
      </c>
      <c r="I306" s="32">
        <f>IFERROR(__xludf.DUMMYFUNCTION("""COMPUTED_VALUE"""),-0.16)</f>
        <v>-0.16</v>
      </c>
      <c r="J306" s="32">
        <f>IFERROR(__xludf.DUMMYFUNCTION("""COMPUTED_VALUE"""),25.45)</f>
        <v>25.45</v>
      </c>
      <c r="K306" s="32">
        <f>IFERROR(__xludf.DUMMYFUNCTION("""COMPUTED_VALUE"""),33.8)</f>
        <v>33.8</v>
      </c>
      <c r="L306" s="32">
        <f>IFERROR(__xludf.DUMMYFUNCTION("""COMPUTED_VALUE"""),17.15)</f>
        <v>17.15</v>
      </c>
      <c r="M306" s="32">
        <f>IFERROR(__xludf.DUMMYFUNCTION("""COMPUTED_VALUE"""),33.8)</f>
        <v>33.8</v>
      </c>
      <c r="N306" s="32">
        <f>IFERROR(__xludf.DUMMYFUNCTION("""COMPUTED_VALUE"""),17.15)</f>
        <v>17.15</v>
      </c>
      <c r="O306" s="32">
        <f>IFERROR(__xludf.DUMMYFUNCTION("""COMPUTED_VALUE"""),40.15)</f>
        <v>40.15</v>
      </c>
      <c r="P306" s="32">
        <f>IFERROR(__xludf.DUMMYFUNCTION("""COMPUTED_VALUE"""),17.15)</f>
        <v>17.15</v>
      </c>
      <c r="Q306" s="32">
        <f>IFERROR(__xludf.DUMMYFUNCTION("""COMPUTED_VALUE"""),40.15)</f>
        <v>40.15</v>
      </c>
      <c r="R306" s="32">
        <f>IFERROR(__xludf.DUMMYFUNCTION("""COMPUTED_VALUE"""),12260.960946)</f>
        <v>12260.96095</v>
      </c>
      <c r="S306" s="32">
        <f>IFERROR(__xludf.DUMMYFUNCTION("""COMPUTED_VALUE"""),13109.880946)</f>
        <v>13109.88095</v>
      </c>
      <c r="T306" s="32">
        <f>IFERROR(__xludf.DUMMYFUNCTION("""COMPUTED_VALUE"""),7.958478)</f>
        <v>7.958478</v>
      </c>
      <c r="U306" s="32">
        <f>IFERROR(__xludf.DUMMYFUNCTION("""COMPUTED_VALUE"""),9.859155)</f>
        <v>9.859155</v>
      </c>
      <c r="V306" s="32">
        <f>IFERROR(__xludf.DUMMYFUNCTION("""COMPUTED_VALUE"""),12.432432)</f>
        <v>12.432432</v>
      </c>
      <c r="W306" s="32">
        <f>IFERROR(__xludf.DUMMYFUNCTION("""COMPUTED_VALUE"""),15.769944)</f>
        <v>15.769944</v>
      </c>
      <c r="X306" s="32">
        <f>IFERROR(__xludf.DUMMYFUNCTION("""COMPUTED_VALUE"""),8.837797)</f>
        <v>8.837797</v>
      </c>
      <c r="Y306" s="32">
        <f>IFERROR(__xludf.DUMMYFUNCTION("""COMPUTED_VALUE"""),-0.127714)</f>
        <v>-0.127714</v>
      </c>
      <c r="Z306" s="32">
        <f>IFERROR(__xludf.DUMMYFUNCTION("""COMPUTED_VALUE"""),5.002244)</f>
        <v>5.002244</v>
      </c>
      <c r="AA306" s="32">
        <f>IFERROR(__xludf.DUMMYFUNCTION("""COMPUTED_VALUE"""),10.2457)</f>
        <v>10.2457</v>
      </c>
      <c r="AB306" s="32">
        <f>IFERROR(__xludf.DUMMYFUNCTION("""COMPUTED_VALUE"""),7.1581)</f>
        <v>7.1581</v>
      </c>
      <c r="AC306" s="32">
        <f>IFERROR(__xludf.DUMMYFUNCTION("""COMPUTED_VALUE"""),0.8924)</f>
        <v>0.8924</v>
      </c>
      <c r="AD306" s="32">
        <f>IFERROR(__xludf.DUMMYFUNCTION("""COMPUTED_VALUE"""),0.8378)</f>
        <v>0.8378</v>
      </c>
      <c r="AE306" s="32">
        <f>IFERROR(__xludf.DUMMYFUNCTION("""COMPUTED_VALUE"""),16.208919)</f>
        <v>16.208919</v>
      </c>
      <c r="AF306" s="32">
        <f>IFERROR(__xludf.DUMMYFUNCTION("""COMPUTED_VALUE"""),3.255233)</f>
        <v>3.255233</v>
      </c>
      <c r="AG306" s="32">
        <f>IFERROR(__xludf.DUMMYFUNCTION("""COMPUTED_VALUE"""),5.4487)</f>
        <v>5.4487</v>
      </c>
      <c r="AH306" s="32">
        <f>IFERROR(__xludf.DUMMYFUNCTION("""COMPUTED_VALUE"""),5.725489)</f>
        <v>5.725489</v>
      </c>
      <c r="AI306" s="32">
        <f>IFERROR(__xludf.DUMMYFUNCTION("""COMPUTED_VALUE"""),4.4445833424562196)</f>
        <v>4.444583342</v>
      </c>
      <c r="AJ306" s="32">
        <f>IFERROR(__xludf.DUMMYFUNCTION("""COMPUTED_VALUE"""),6.184127781504552)</f>
        <v>6.184127782</v>
      </c>
      <c r="AK306" s="32">
        <f>IFERROR(__xludf.DUMMYFUNCTION("""COMPUTED_VALUE"""),3.0452)</f>
        <v>3.0452</v>
      </c>
      <c r="AL306" s="32">
        <f>IFERROR(__xludf.DUMMYFUNCTION("""COMPUTED_VALUE"""),34.9631)</f>
        <v>34.9631</v>
      </c>
      <c r="AM306" s="32">
        <f>IFERROR(__xludf.DUMMYFUNCTION("""COMPUTED_VALUE"""),5.045168)</f>
        <v>5.045168</v>
      </c>
      <c r="AN306" s="32">
        <f>IFERROR(__xludf.DUMMYFUNCTION("""COMPUTED_VALUE"""),-0.534048)</f>
        <v>-0.534048</v>
      </c>
      <c r="AO306" s="32">
        <f>IFERROR(__xludf.DUMMYFUNCTION("""COMPUTED_VALUE"""),2.2)</f>
        <v>2.2</v>
      </c>
      <c r="AP306" s="32">
        <f>IFERROR(__xludf.DUMMYFUNCTION("""COMPUTED_VALUE"""),0.07692307692307687)</f>
        <v>0.07692307692</v>
      </c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>
      <c r="A307" s="13" t="str">
        <f>IFERROR(__xludf.DUMMYFUNCTION("""COMPUTED_VALUE"""),"Asahi India Glass Ltd.")</f>
        <v>Asahi India Glass Ltd.</v>
      </c>
      <c r="B307" s="30">
        <f>IFERROR(__xludf.DUMMYFUNCTION("""COMPUTED_VALUE"""),515030.0)</f>
        <v>515030</v>
      </c>
      <c r="C307" s="13" t="str">
        <f>IFERROR(__xludf.DUMMYFUNCTION("""COMPUTED_VALUE"""),"ASAHIINDIA")</f>
        <v>ASAHIINDIA</v>
      </c>
      <c r="D307" s="13" t="str">
        <f>IFERROR(__xludf.DUMMYFUNCTION("""COMPUTED_VALUE"""),"INE439A01020")</f>
        <v>INE439A01020</v>
      </c>
      <c r="E307" s="13" t="str">
        <f>IFERROR(__xludf.DUMMYFUNCTION("""COMPUTED_VALUE"""),"Materials")</f>
        <v>Materials</v>
      </c>
      <c r="F307" s="13" t="str">
        <f>IFERROR(__xludf.DUMMYFUNCTION("""COMPUTED_VALUE"""),"Glass &amp; Glassware")</f>
        <v>Glass &amp; Glassware</v>
      </c>
      <c r="G307" s="31">
        <f>IFERROR(__xludf.DUMMYFUNCTION("""COMPUTED_VALUE"""),44809.0)</f>
        <v>44809</v>
      </c>
      <c r="H307" s="32">
        <f>IFERROR(__xludf.DUMMYFUNCTION("""COMPUTED_VALUE"""),663.85)</f>
        <v>663.85</v>
      </c>
      <c r="I307" s="32">
        <f>IFERROR(__xludf.DUMMYFUNCTION("""COMPUTED_VALUE"""),3.042297)</f>
        <v>3.042297</v>
      </c>
      <c r="J307" s="32">
        <f>IFERROR(__xludf.DUMMYFUNCTION("""COMPUTED_VALUE"""),345.25)</f>
        <v>345.25</v>
      </c>
      <c r="K307" s="32">
        <f>IFERROR(__xludf.DUMMYFUNCTION("""COMPUTED_VALUE"""),673.15)</f>
        <v>673.15</v>
      </c>
      <c r="L307" s="32">
        <f>IFERROR(__xludf.DUMMYFUNCTION("""COMPUTED_VALUE"""),118.4)</f>
        <v>118.4</v>
      </c>
      <c r="M307" s="32">
        <f>IFERROR(__xludf.DUMMYFUNCTION("""COMPUTED_VALUE"""),673.15)</f>
        <v>673.15</v>
      </c>
      <c r="N307" s="32">
        <f>IFERROR(__xludf.DUMMYFUNCTION("""COMPUTED_VALUE"""),118.4)</f>
        <v>118.4</v>
      </c>
      <c r="O307" s="32">
        <f>IFERROR(__xludf.DUMMYFUNCTION("""COMPUTED_VALUE"""),673.15)</f>
        <v>673.15</v>
      </c>
      <c r="P307" s="32">
        <f>IFERROR(__xludf.DUMMYFUNCTION("""COMPUTED_VALUE"""),5.942968)</f>
        <v>5.942968</v>
      </c>
      <c r="Q307" s="32">
        <f>IFERROR(__xludf.DUMMYFUNCTION("""COMPUTED_VALUE"""),673.15)</f>
        <v>673.15</v>
      </c>
      <c r="R307" s="32">
        <f>IFERROR(__xludf.DUMMYFUNCTION("""COMPUTED_VALUE"""),16137.525069435)</f>
        <v>16137.52507</v>
      </c>
      <c r="S307" s="32">
        <f>IFERROR(__xludf.DUMMYFUNCTION("""COMPUTED_VALUE"""),16770.1915564)</f>
        <v>16770.19156</v>
      </c>
      <c r="T307" s="32">
        <f>IFERROR(__xludf.DUMMYFUNCTION("""COMPUTED_VALUE"""),5.222698)</f>
        <v>5.222698</v>
      </c>
      <c r="U307" s="32">
        <f>IFERROR(__xludf.DUMMYFUNCTION("""COMPUTED_VALUE"""),15.042024)</f>
        <v>15.042024</v>
      </c>
      <c r="V307" s="32">
        <f>IFERROR(__xludf.DUMMYFUNCTION("""COMPUTED_VALUE"""),46.399824)</f>
        <v>46.399824</v>
      </c>
      <c r="W307" s="32">
        <f>IFERROR(__xludf.DUMMYFUNCTION("""COMPUTED_VALUE"""),81.231231)</f>
        <v>81.231231</v>
      </c>
      <c r="X307" s="32">
        <f>IFERROR(__xludf.DUMMYFUNCTION("""COMPUTED_VALUE"""),54.659107)</f>
        <v>54.659107</v>
      </c>
      <c r="Y307" s="32">
        <f>IFERROR(__xludf.DUMMYFUNCTION("""COMPUTED_VALUE"""),12.172431)</f>
        <v>12.172431</v>
      </c>
      <c r="Z307" s="32">
        <f>IFERROR(__xludf.DUMMYFUNCTION("""COMPUTED_VALUE"""),26.175352)</f>
        <v>26.175352</v>
      </c>
      <c r="AA307" s="32">
        <f>IFERROR(__xludf.DUMMYFUNCTION("""COMPUTED_VALUE"""),38.7692)</f>
        <v>38.7692</v>
      </c>
      <c r="AB307" s="32">
        <f>IFERROR(__xludf.DUMMYFUNCTION("""COMPUTED_VALUE"""),38.7007)</f>
        <v>38.7007</v>
      </c>
      <c r="AC307" s="32">
        <f>IFERROR(__xludf.DUMMYFUNCTION("""COMPUTED_VALUE"""),8.6576)</f>
        <v>8.6576</v>
      </c>
      <c r="AD307" s="32">
        <f>IFERROR(__xludf.DUMMYFUNCTION("""COMPUTED_VALUE"""),5.61795)</f>
        <v>5.61795</v>
      </c>
      <c r="AE307" s="32">
        <f>IFERROR(__xludf.DUMMYFUNCTION("""COMPUTED_VALUE"""),4.293293)</f>
        <v>4.293293</v>
      </c>
      <c r="AF307" s="32">
        <f>IFERROR(__xludf.DUMMYFUNCTION("""COMPUTED_VALUE"""),1.879993)</f>
        <v>1.879993</v>
      </c>
      <c r="AG307" s="32">
        <f>IFERROR(__xludf.DUMMYFUNCTION("""COMPUTED_VALUE"""),0.3012)</f>
        <v>0.3012</v>
      </c>
      <c r="AH307" s="32">
        <f>IFERROR(__xludf.DUMMYFUNCTION("""COMPUTED_VALUE"""),18.957723)</f>
        <v>18.957723</v>
      </c>
      <c r="AI307" s="32">
        <f>IFERROR(__xludf.DUMMYFUNCTION("""COMPUTED_VALUE"""),4.635288477339902)</f>
        <v>4.635288477</v>
      </c>
      <c r="AJ307" s="32">
        <f>IFERROR(__xludf.DUMMYFUNCTION("""COMPUTED_VALUE"""),27.535619338352728)</f>
        <v>27.53561934</v>
      </c>
      <c r="AK307" s="32">
        <f>IFERROR(__xludf.DUMMYFUNCTION("""COMPUTED_VALUE"""),17.127)</f>
        <v>17.127</v>
      </c>
      <c r="AL307" s="32">
        <f>IFERROR(__xludf.DUMMYFUNCTION("""COMPUTED_VALUE"""),76.6954)</f>
        <v>76.6954</v>
      </c>
      <c r="AM307" s="32">
        <f>IFERROR(__xludf.DUMMYFUNCTION("""COMPUTED_VALUE"""),24.107775)</f>
        <v>24.107775</v>
      </c>
      <c r="AN307" s="32">
        <f>IFERROR(__xludf.DUMMYFUNCTION("""COMPUTED_VALUE"""),15.284245)</f>
        <v>15.284245</v>
      </c>
      <c r="AO307" s="32">
        <f>IFERROR(__xludf.DUMMYFUNCTION("""COMPUTED_VALUE"""),2.0)</f>
        <v>2</v>
      </c>
      <c r="AP307" s="32">
        <f>IFERROR(__xludf.DUMMYFUNCTION("""COMPUTED_VALUE"""),0.01381564287305943)</f>
        <v>0.01381564287</v>
      </c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>
      <c r="A308" s="13" t="str">
        <f>IFERROR(__xludf.DUMMYFUNCTION("""COMPUTED_VALUE"""),"Bank Of India")</f>
        <v>Bank Of India</v>
      </c>
      <c r="B308" s="30">
        <f>IFERROR(__xludf.DUMMYFUNCTION("""COMPUTED_VALUE"""),532149.0)</f>
        <v>532149</v>
      </c>
      <c r="C308" s="13" t="str">
        <f>IFERROR(__xludf.DUMMYFUNCTION("""COMPUTED_VALUE"""),"BANKINDIA")</f>
        <v>BANKINDIA</v>
      </c>
      <c r="D308" s="13" t="str">
        <f>IFERROR(__xludf.DUMMYFUNCTION("""COMPUTED_VALUE"""),"INE084A01016")</f>
        <v>INE084A01016</v>
      </c>
      <c r="E308" s="13" t="str">
        <f>IFERROR(__xludf.DUMMYFUNCTION("""COMPUTED_VALUE"""),"Financial")</f>
        <v>Financial</v>
      </c>
      <c r="F308" s="13" t="str">
        <f>IFERROR(__xludf.DUMMYFUNCTION("""COMPUTED_VALUE"""),"Banking")</f>
        <v>Banking</v>
      </c>
      <c r="G308" s="31">
        <f>IFERROR(__xludf.DUMMYFUNCTION("""COMPUTED_VALUE"""),44809.0)</f>
        <v>44809</v>
      </c>
      <c r="H308" s="32">
        <f>IFERROR(__xludf.DUMMYFUNCTION("""COMPUTED_VALUE"""),50.9)</f>
        <v>50.9</v>
      </c>
      <c r="I308" s="32">
        <f>IFERROR(__xludf.DUMMYFUNCTION("""COMPUTED_VALUE"""),0.0)</f>
        <v>0</v>
      </c>
      <c r="J308" s="32">
        <f>IFERROR(__xludf.DUMMYFUNCTION("""COMPUTED_VALUE"""),40.4)</f>
        <v>40.4</v>
      </c>
      <c r="K308" s="32">
        <f>IFERROR(__xludf.DUMMYFUNCTION("""COMPUTED_VALUE"""),65.8)</f>
        <v>65.8</v>
      </c>
      <c r="L308" s="32">
        <f>IFERROR(__xludf.DUMMYFUNCTION("""COMPUTED_VALUE"""),30.4)</f>
        <v>30.4</v>
      </c>
      <c r="M308" s="32">
        <f>IFERROR(__xludf.DUMMYFUNCTION("""COMPUTED_VALUE"""),101.45)</f>
        <v>101.45</v>
      </c>
      <c r="N308" s="32">
        <f>IFERROR(__xludf.DUMMYFUNCTION("""COMPUTED_VALUE"""),30.4)</f>
        <v>30.4</v>
      </c>
      <c r="O308" s="32">
        <f>IFERROR(__xludf.DUMMYFUNCTION("""COMPUTED_VALUE"""),216.8)</f>
        <v>216.8</v>
      </c>
      <c r="P308" s="32">
        <f>IFERROR(__xludf.DUMMYFUNCTION("""COMPUTED_VALUE"""),8.75)</f>
        <v>8.75</v>
      </c>
      <c r="Q308" s="32">
        <f>IFERROR(__xludf.DUMMYFUNCTION("""COMPUTED_VALUE"""),589.0)</f>
        <v>589</v>
      </c>
      <c r="R308" s="32">
        <f>IFERROR(__xludf.DUMMYFUNCTION("""COMPUTED_VALUE"""),20887.1512963)</f>
        <v>20887.1513</v>
      </c>
      <c r="S308" s="32">
        <f>IFERROR(__xludf.DUMMYFUNCTION("""COMPUTED_VALUE"""),-44000.6228037)</f>
        <v>-44000.6228</v>
      </c>
      <c r="T308" s="32">
        <f>IFERROR(__xludf.DUMMYFUNCTION("""COMPUTED_VALUE"""),-1.926782)</f>
        <v>-1.926782</v>
      </c>
      <c r="U308" s="32">
        <f>IFERROR(__xludf.DUMMYFUNCTION("""COMPUTED_VALUE"""),4.410256)</f>
        <v>4.410256</v>
      </c>
      <c r="V308" s="32">
        <f>IFERROR(__xludf.DUMMYFUNCTION("""COMPUTED_VALUE"""),7.383966)</f>
        <v>7.383966</v>
      </c>
      <c r="W308" s="32">
        <f>IFERROR(__xludf.DUMMYFUNCTION("""COMPUTED_VALUE"""),-14.165261)</f>
        <v>-14.165261</v>
      </c>
      <c r="X308" s="32">
        <f>IFERROR(__xludf.DUMMYFUNCTION("""COMPUTED_VALUE"""),-7.277394)</f>
        <v>-7.277394</v>
      </c>
      <c r="Y308" s="32">
        <f>IFERROR(__xludf.DUMMYFUNCTION("""COMPUTED_VALUE"""),-18.591067)</f>
        <v>-18.591067</v>
      </c>
      <c r="Z308" s="32">
        <f>IFERROR(__xludf.DUMMYFUNCTION("""COMPUTED_VALUE"""),-15.122623)</f>
        <v>-15.122623</v>
      </c>
      <c r="AA308" s="32">
        <f>IFERROR(__xludf.DUMMYFUNCTION("""COMPUTED_VALUE"""),6.1166)</f>
        <v>6.1166</v>
      </c>
      <c r="AB308" s="32">
        <f>IFERROR(__xludf.DUMMYFUNCTION("""COMPUTED_VALUE"""),10.31665)</f>
        <v>10.31665</v>
      </c>
      <c r="AC308" s="32">
        <f>IFERROR(__xludf.DUMMYFUNCTION("""COMPUTED_VALUE"""),0.4144)</f>
        <v>0.4144</v>
      </c>
      <c r="AD308" s="32">
        <f>IFERROR(__xludf.DUMMYFUNCTION("""COMPUTED_VALUE"""),0.5108)</f>
        <v>0.5108</v>
      </c>
      <c r="AE308" s="32">
        <f>IFERROR(__xludf.DUMMYFUNCTION("""COMPUTED_VALUE"""),-69.641969)</f>
        <v>-69.641969</v>
      </c>
      <c r="AF308" s="32">
        <f>IFERROR(__xludf.DUMMYFUNCTION("""COMPUTED_VALUE"""),1.769979)</f>
        <v>1.769979</v>
      </c>
      <c r="AG308" s="32">
        <f>IFERROR(__xludf.DUMMYFUNCTION("""COMPUTED_VALUE"""),3.9293)</f>
        <v>3.9293</v>
      </c>
      <c r="AH308" s="32">
        <f>IFERROR(__xludf.DUMMYFUNCTION("""COMPUTED_VALUE"""),-4.624426)</f>
        <v>-4.624426</v>
      </c>
      <c r="AI308" s="32">
        <f>IFERROR(__xludf.DUMMYFUNCTION("""COMPUTED_VALUE"""),0.5362627860225055)</f>
        <v>0.536262786</v>
      </c>
      <c r="AJ308" s="32">
        <f>IFERROR(__xludf.DUMMYFUNCTION("""COMPUTED_VALUE"""),-0.5885875102285607)</f>
        <v>-0.5885875102</v>
      </c>
      <c r="AK308" s="32">
        <f>IFERROR(__xludf.DUMMYFUNCTION("""COMPUTED_VALUE"""),8.3216)</f>
        <v>8.3216</v>
      </c>
      <c r="AL308" s="32">
        <f>IFERROR(__xludf.DUMMYFUNCTION("""COMPUTED_VALUE"""),122.8158)</f>
        <v>122.8158</v>
      </c>
      <c r="AM308" s="32">
        <f>IFERROR(__xludf.DUMMYFUNCTION("""COMPUTED_VALUE"""),-86.478219)</f>
        <v>-86.478219</v>
      </c>
      <c r="AN308" s="32">
        <f>IFERROR(__xludf.DUMMYFUNCTION("""COMPUTED_VALUE"""),-105.957345)</f>
        <v>-105.957345</v>
      </c>
      <c r="AO308" s="32">
        <f>IFERROR(__xludf.DUMMYFUNCTION("""COMPUTED_VALUE"""),2.0)</f>
        <v>2</v>
      </c>
      <c r="AP308" s="32">
        <f>IFERROR(__xludf.DUMMYFUNCTION("""COMPUTED_VALUE"""),0.22644376899696048)</f>
        <v>0.226443769</v>
      </c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>
      <c r="A309" s="13" t="str">
        <f>IFERROR(__xludf.DUMMYFUNCTION("""COMPUTED_VALUE"""),"C.E. Info Systems Ltd.")</f>
        <v>C.E. Info Systems Ltd.</v>
      </c>
      <c r="B309" s="30">
        <f>IFERROR(__xludf.DUMMYFUNCTION("""COMPUTED_VALUE"""),543425.0)</f>
        <v>543425</v>
      </c>
      <c r="C309" s="13" t="str">
        <f>IFERROR(__xludf.DUMMYFUNCTION("""COMPUTED_VALUE"""),"MAPMYINDIA")</f>
        <v>MAPMYINDIA</v>
      </c>
      <c r="D309" s="13" t="str">
        <f>IFERROR(__xludf.DUMMYFUNCTION("""COMPUTED_VALUE"""),"INE0BV301023")</f>
        <v>INE0BV301023</v>
      </c>
      <c r="E309" s="13" t="str">
        <f>IFERROR(__xludf.DUMMYFUNCTION("""COMPUTED_VALUE"""),"Technology")</f>
        <v>Technology</v>
      </c>
      <c r="F309" s="13" t="str">
        <f>IFERROR(__xludf.DUMMYFUNCTION("""COMPUTED_VALUE"""),"Software")</f>
        <v>Software</v>
      </c>
      <c r="G309" s="31">
        <f>IFERROR(__xludf.DUMMYFUNCTION("""COMPUTED_VALUE"""),44809.0)</f>
        <v>44809</v>
      </c>
      <c r="H309" s="32">
        <f>IFERROR(__xludf.DUMMYFUNCTION("""COMPUTED_VALUE"""),1370.1)</f>
        <v>1370.1</v>
      </c>
      <c r="I309" s="32">
        <f>IFERROR(__xludf.DUMMYFUNCTION("""COMPUTED_VALUE"""),1.794272)</f>
        <v>1.794272</v>
      </c>
      <c r="J309" s="32">
        <f>IFERROR(__xludf.DUMMYFUNCTION("""COMPUTED_VALUE"""),1128.8)</f>
        <v>1128.8</v>
      </c>
      <c r="K309" s="32">
        <f>IFERROR(__xludf.DUMMYFUNCTION("""COMPUTED_VALUE"""),1918.35)</f>
        <v>1918.35</v>
      </c>
      <c r="L309" s="13"/>
      <c r="M309" s="13"/>
      <c r="N309" s="13"/>
      <c r="O309" s="13"/>
      <c r="P309" s="32">
        <f>IFERROR(__xludf.DUMMYFUNCTION("""COMPUTED_VALUE"""),1128.8)</f>
        <v>1128.8</v>
      </c>
      <c r="Q309" s="32">
        <f>IFERROR(__xludf.DUMMYFUNCTION("""COMPUTED_VALUE"""),1918.35)</f>
        <v>1918.35</v>
      </c>
      <c r="R309" s="32">
        <f>IFERROR(__xludf.DUMMYFUNCTION("""COMPUTED_VALUE"""),7344.86156001)</f>
        <v>7344.86156</v>
      </c>
      <c r="S309" s="32">
        <f>IFERROR(__xludf.DUMMYFUNCTION("""COMPUTED_VALUE"""),7026.82762079)</f>
        <v>7026.827621</v>
      </c>
      <c r="T309" s="32">
        <f>IFERROR(__xludf.DUMMYFUNCTION("""COMPUTED_VALUE"""),6.926289)</f>
        <v>6.926289</v>
      </c>
      <c r="U309" s="32">
        <f>IFERROR(__xludf.DUMMYFUNCTION("""COMPUTED_VALUE"""),4.839882)</f>
        <v>4.839882</v>
      </c>
      <c r="V309" s="32">
        <f>IFERROR(__xludf.DUMMYFUNCTION("""COMPUTED_VALUE"""),4.892053)</f>
        <v>4.892053</v>
      </c>
      <c r="W309" s="13"/>
      <c r="X309" s="13"/>
      <c r="Y309" s="13"/>
      <c r="Z309" s="13"/>
      <c r="AA309" s="32">
        <f>IFERROR(__xludf.DUMMYFUNCTION("""COMPUTED_VALUE"""),84.4023)</f>
        <v>84.4023</v>
      </c>
      <c r="AB309" s="32">
        <f>IFERROR(__xludf.DUMMYFUNCTION("""COMPUTED_VALUE"""),124.3259)</f>
        <v>124.3259</v>
      </c>
      <c r="AC309" s="32">
        <f>IFERROR(__xludf.DUMMYFUNCTION("""COMPUTED_VALUE"""),16.1429)</f>
        <v>16.1429</v>
      </c>
      <c r="AD309" s="32">
        <f>IFERROR(__xludf.DUMMYFUNCTION("""COMPUTED_VALUE"""),6.0583)</f>
        <v>6.0583</v>
      </c>
      <c r="AE309" s="32">
        <f>IFERROR(__xludf.DUMMYFUNCTION("""COMPUTED_VALUE"""),1.667652)</f>
        <v>1.667652</v>
      </c>
      <c r="AF309" s="13"/>
      <c r="AG309" s="32">
        <f>IFERROR(__xludf.DUMMYFUNCTION("""COMPUTED_VALUE"""),0.1461)</f>
        <v>0.1461</v>
      </c>
      <c r="AH309" s="32">
        <f>IFERROR(__xludf.DUMMYFUNCTION("""COMPUTED_VALUE"""),55.005512)</f>
        <v>55.005512</v>
      </c>
      <c r="AI309" s="32">
        <f>IFERROR(__xludf.DUMMYFUNCTION("""COMPUTED_VALUE"""),36.6435637074207)</f>
        <v>36.64356371</v>
      </c>
      <c r="AJ309" s="32">
        <f>IFERROR(__xludf.DUMMYFUNCTION("""COMPUTED_VALUE"""),255.41836404010266)</f>
        <v>255.418364</v>
      </c>
      <c r="AK309" s="13"/>
      <c r="AL309" s="13"/>
      <c r="AM309" s="32">
        <f>IFERROR(__xludf.DUMMYFUNCTION("""COMPUTED_VALUE"""),5.400935)</f>
        <v>5.400935</v>
      </c>
      <c r="AN309" s="32">
        <f>IFERROR(__xludf.DUMMYFUNCTION("""COMPUTED_VALUE"""),0.500347)</f>
        <v>0.500347</v>
      </c>
      <c r="AO309" s="32">
        <f>IFERROR(__xludf.DUMMYFUNCTION("""COMPUTED_VALUE"""),2.0)</f>
        <v>2</v>
      </c>
      <c r="AP309" s="32">
        <f>IFERROR(__xludf.DUMMYFUNCTION("""COMPUTED_VALUE"""),0.2857924779107045)</f>
        <v>0.2857924779</v>
      </c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>
      <c r="A310" s="13" t="str">
        <f>IFERROR(__xludf.DUMMYFUNCTION("""COMPUTED_VALUE"""),"Cholamandalam Investment &amp; Finance Company Ltd.")</f>
        <v>Cholamandalam Investment &amp; Finance Company Ltd.</v>
      </c>
      <c r="B310" s="30">
        <f>IFERROR(__xludf.DUMMYFUNCTION("""COMPUTED_VALUE"""),511243.0)</f>
        <v>511243</v>
      </c>
      <c r="C310" s="13" t="str">
        <f>IFERROR(__xludf.DUMMYFUNCTION("""COMPUTED_VALUE"""),"CHOLAFIN")</f>
        <v>CHOLAFIN</v>
      </c>
      <c r="D310" s="13" t="str">
        <f>IFERROR(__xludf.DUMMYFUNCTION("""COMPUTED_VALUE"""),"INE121A01016")</f>
        <v>INE121A01016</v>
      </c>
      <c r="E310" s="13" t="str">
        <f>IFERROR(__xludf.DUMMYFUNCTION("""COMPUTED_VALUE"""),"Financial")</f>
        <v>Financial</v>
      </c>
      <c r="F310" s="13" t="str">
        <f>IFERROR(__xludf.DUMMYFUNCTION("""COMPUTED_VALUE"""),"Hire Purchase")</f>
        <v>Hire Purchase</v>
      </c>
      <c r="G310" s="31">
        <f>IFERROR(__xludf.DUMMYFUNCTION("""COMPUTED_VALUE"""),44809.0)</f>
        <v>44809</v>
      </c>
      <c r="H310" s="32">
        <f>IFERROR(__xludf.DUMMYFUNCTION("""COMPUTED_VALUE"""),799.75)</f>
        <v>799.75</v>
      </c>
      <c r="I310" s="32">
        <f>IFERROR(__xludf.DUMMYFUNCTION("""COMPUTED_VALUE"""),1.170145)</f>
        <v>1.170145</v>
      </c>
      <c r="J310" s="32">
        <f>IFERROR(__xludf.DUMMYFUNCTION("""COMPUTED_VALUE"""),469.25)</f>
        <v>469.25</v>
      </c>
      <c r="K310" s="32">
        <f>IFERROR(__xludf.DUMMYFUNCTION("""COMPUTED_VALUE"""),814.4)</f>
        <v>814.4</v>
      </c>
      <c r="L310" s="32">
        <f>IFERROR(__xludf.DUMMYFUNCTION("""COMPUTED_VALUE"""),117.4)</f>
        <v>117.4</v>
      </c>
      <c r="M310" s="32">
        <f>IFERROR(__xludf.DUMMYFUNCTION("""COMPUTED_VALUE"""),814.4)</f>
        <v>814.4</v>
      </c>
      <c r="N310" s="32">
        <f>IFERROR(__xludf.DUMMYFUNCTION("""COMPUTED_VALUE"""),117.4)</f>
        <v>117.4</v>
      </c>
      <c r="O310" s="32">
        <f>IFERROR(__xludf.DUMMYFUNCTION("""COMPUTED_VALUE"""),814.4)</f>
        <v>814.4</v>
      </c>
      <c r="P310" s="32">
        <f>IFERROR(__xludf.DUMMYFUNCTION("""COMPUTED_VALUE"""),4.05)</f>
        <v>4.05</v>
      </c>
      <c r="Q310" s="32">
        <f>IFERROR(__xludf.DUMMYFUNCTION("""COMPUTED_VALUE"""),814.4)</f>
        <v>814.4</v>
      </c>
      <c r="R310" s="32">
        <f>IFERROR(__xludf.DUMMYFUNCTION("""COMPUTED_VALUE"""),65707.081798225)</f>
        <v>65707.0818</v>
      </c>
      <c r="S310" s="32">
        <f>IFERROR(__xludf.DUMMYFUNCTION("""COMPUTED_VALUE"""),129826.98212526)</f>
        <v>129826.9821</v>
      </c>
      <c r="T310" s="32">
        <f>IFERROR(__xludf.DUMMYFUNCTION("""COMPUTED_VALUE"""),0.445868)</f>
        <v>0.445868</v>
      </c>
      <c r="U310" s="32">
        <f>IFERROR(__xludf.DUMMYFUNCTION("""COMPUTED_VALUE"""),4.809646)</f>
        <v>4.809646</v>
      </c>
      <c r="V310" s="32">
        <f>IFERROR(__xludf.DUMMYFUNCTION("""COMPUTED_VALUE"""),21.468712)</f>
        <v>21.468712</v>
      </c>
      <c r="W310" s="32">
        <f>IFERROR(__xludf.DUMMYFUNCTION("""COMPUTED_VALUE"""),39.951002)</f>
        <v>39.951002</v>
      </c>
      <c r="X310" s="32">
        <f>IFERROR(__xludf.DUMMYFUNCTION("""COMPUTED_VALUE"""),43.658369)</f>
        <v>43.658369</v>
      </c>
      <c r="Y310" s="32">
        <f>IFERROR(__xludf.DUMMYFUNCTION("""COMPUTED_VALUE"""),28.639458)</f>
        <v>28.639458</v>
      </c>
      <c r="Z310" s="32">
        <f>IFERROR(__xludf.DUMMYFUNCTION("""COMPUTED_VALUE"""),34.532369)</f>
        <v>34.532369</v>
      </c>
      <c r="AA310" s="32">
        <f>IFERROR(__xludf.DUMMYFUNCTION("""COMPUTED_VALUE"""),27.524)</f>
        <v>27.524</v>
      </c>
      <c r="AB310" s="32">
        <f>IFERROR(__xludf.DUMMYFUNCTION("""COMPUTED_VALUE"""),22.8925)</f>
        <v>22.8925</v>
      </c>
      <c r="AC310" s="32">
        <f>IFERROR(__xludf.DUMMYFUNCTION("""COMPUTED_VALUE"""),5.3495)</f>
        <v>5.3495</v>
      </c>
      <c r="AD310" s="32">
        <f>IFERROR(__xludf.DUMMYFUNCTION("""COMPUTED_VALUE"""),4.15215)</f>
        <v>4.15215</v>
      </c>
      <c r="AE310" s="32">
        <f>IFERROR(__xludf.DUMMYFUNCTION("""COMPUTED_VALUE"""),5.922564)</f>
        <v>5.922564</v>
      </c>
      <c r="AF310" s="32">
        <f>IFERROR(__xludf.DUMMYFUNCTION("""COMPUTED_VALUE"""),1.062745)</f>
        <v>1.062745</v>
      </c>
      <c r="AG310" s="32">
        <f>IFERROR(__xludf.DUMMYFUNCTION("""COMPUTED_VALUE"""),0.2501)</f>
        <v>0.2501</v>
      </c>
      <c r="AH310" s="32">
        <f>IFERROR(__xludf.DUMMYFUNCTION("""COMPUTED_VALUE"""),16.958588)</f>
        <v>16.958588</v>
      </c>
      <c r="AI310" s="32">
        <f>IFERROR(__xludf.DUMMYFUNCTION("""COMPUTED_VALUE"""),6.351928699621439)</f>
        <v>6.3519287</v>
      </c>
      <c r="AJ310" s="32">
        <f>IFERROR(__xludf.DUMMYFUNCTION("""COMPUTED_VALUE"""),-11.793787443613105)</f>
        <v>-11.79378744</v>
      </c>
      <c r="AK310" s="32">
        <f>IFERROR(__xludf.DUMMYFUNCTION("""COMPUTED_VALUE"""),29.0529)</f>
        <v>29.0529</v>
      </c>
      <c r="AL310" s="32">
        <f>IFERROR(__xludf.DUMMYFUNCTION("""COMPUTED_VALUE"""),149.4823)</f>
        <v>149.4823</v>
      </c>
      <c r="AM310" s="32">
        <f>IFERROR(__xludf.DUMMYFUNCTION("""COMPUTED_VALUE"""),-67.85616)</f>
        <v>-67.85616</v>
      </c>
      <c r="AN310" s="32">
        <f>IFERROR(__xludf.DUMMYFUNCTION("""COMPUTED_VALUE"""),-80.64247)</f>
        <v>-80.64247</v>
      </c>
      <c r="AO310" s="32">
        <f>IFERROR(__xludf.DUMMYFUNCTION("""COMPUTED_VALUE"""),2.0)</f>
        <v>2</v>
      </c>
      <c r="AP310" s="32">
        <f>IFERROR(__xludf.DUMMYFUNCTION("""COMPUTED_VALUE"""),0.017988703339882093)</f>
        <v>0.01798870334</v>
      </c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>
      <c r="A311" s="13" t="str">
        <f>IFERROR(__xludf.DUMMYFUNCTION("""COMPUTED_VALUE"""),"Dixon Technologies (India) Ltd.")</f>
        <v>Dixon Technologies (India) Ltd.</v>
      </c>
      <c r="B311" s="30">
        <f>IFERROR(__xludf.DUMMYFUNCTION("""COMPUTED_VALUE"""),540699.0)</f>
        <v>540699</v>
      </c>
      <c r="C311" s="13" t="str">
        <f>IFERROR(__xludf.DUMMYFUNCTION("""COMPUTED_VALUE"""),"DIXON")</f>
        <v>DIXON</v>
      </c>
      <c r="D311" s="13" t="str">
        <f>IFERROR(__xludf.DUMMYFUNCTION("""COMPUTED_VALUE"""),"INE935N01020")</f>
        <v>INE935N01020</v>
      </c>
      <c r="E311" s="13" t="str">
        <f>IFERROR(__xludf.DUMMYFUNCTION("""COMPUTED_VALUE"""),"Capital Goods")</f>
        <v>Capital Goods</v>
      </c>
      <c r="F311" s="13" t="str">
        <f>IFERROR(__xludf.DUMMYFUNCTION("""COMPUTED_VALUE"""),"Electronic Components")</f>
        <v>Electronic Components</v>
      </c>
      <c r="G311" s="31">
        <f>IFERROR(__xludf.DUMMYFUNCTION("""COMPUTED_VALUE"""),44809.0)</f>
        <v>44809</v>
      </c>
      <c r="H311" s="32">
        <f>IFERROR(__xludf.DUMMYFUNCTION("""COMPUTED_VALUE"""),4204.7)</f>
        <v>4204.7</v>
      </c>
      <c r="I311" s="32">
        <f>IFERROR(__xludf.DUMMYFUNCTION("""COMPUTED_VALUE"""),2.321563)</f>
        <v>2.321563</v>
      </c>
      <c r="J311" s="32">
        <f>IFERROR(__xludf.DUMMYFUNCTION("""COMPUTED_VALUE"""),3180.55)</f>
        <v>3180.55</v>
      </c>
      <c r="K311" s="32">
        <f>IFERROR(__xludf.DUMMYFUNCTION("""COMPUTED_VALUE"""),6243.6)</f>
        <v>6243.6</v>
      </c>
      <c r="L311" s="32">
        <f>IFERROR(__xludf.DUMMYFUNCTION("""COMPUTED_VALUE"""),486.0)</f>
        <v>486</v>
      </c>
      <c r="M311" s="32">
        <f>IFERROR(__xludf.DUMMYFUNCTION("""COMPUTED_VALUE"""),6243.6)</f>
        <v>6243.6</v>
      </c>
      <c r="N311" s="13"/>
      <c r="O311" s="13"/>
      <c r="P311" s="32">
        <f>IFERROR(__xludf.DUMMYFUNCTION("""COMPUTED_VALUE"""),312.0)</f>
        <v>312</v>
      </c>
      <c r="Q311" s="32">
        <f>IFERROR(__xludf.DUMMYFUNCTION("""COMPUTED_VALUE"""),6243.6)</f>
        <v>6243.6</v>
      </c>
      <c r="R311" s="32">
        <f>IFERROR(__xludf.DUMMYFUNCTION("""COMPUTED_VALUE"""),24950.019861075)</f>
        <v>24950.01986</v>
      </c>
      <c r="S311" s="32">
        <f>IFERROR(__xludf.DUMMYFUNCTION("""COMPUTED_VALUE"""),24510.285736775)</f>
        <v>24510.28574</v>
      </c>
      <c r="T311" s="32">
        <f>IFERROR(__xludf.DUMMYFUNCTION("""COMPUTED_VALUE"""),3.223351)</f>
        <v>3.223351</v>
      </c>
      <c r="U311" s="32">
        <f>IFERROR(__xludf.DUMMYFUNCTION("""COMPUTED_VALUE"""),9.58872)</f>
        <v>9.58872</v>
      </c>
      <c r="V311" s="32">
        <f>IFERROR(__xludf.DUMMYFUNCTION("""COMPUTED_VALUE"""),15.37269)</f>
        <v>15.37269</v>
      </c>
      <c r="W311" s="32">
        <f>IFERROR(__xludf.DUMMYFUNCTION("""COMPUTED_VALUE"""),-0.837225)</f>
        <v>-0.837225</v>
      </c>
      <c r="X311" s="32">
        <f>IFERROR(__xludf.DUMMYFUNCTION("""COMPUTED_VALUE"""),100.578881)</f>
        <v>100.578881</v>
      </c>
      <c r="Y311" s="13"/>
      <c r="Z311" s="13"/>
      <c r="AA311" s="32">
        <f>IFERROR(__xludf.DUMMYFUNCTION("""COMPUTED_VALUE"""),114.6126)</f>
        <v>114.6126</v>
      </c>
      <c r="AB311" s="32">
        <f>IFERROR(__xludf.DUMMYFUNCTION("""COMPUTED_VALUE"""),77.6977)</f>
        <v>77.6977</v>
      </c>
      <c r="AC311" s="32">
        <f>IFERROR(__xludf.DUMMYFUNCTION("""COMPUTED_VALUE"""),24.1919)</f>
        <v>24.1919</v>
      </c>
      <c r="AD311" s="32">
        <f>IFERROR(__xludf.DUMMYFUNCTION("""COMPUTED_VALUE"""),13.5963)</f>
        <v>13.5963</v>
      </c>
      <c r="AE311" s="32">
        <f>IFERROR(__xludf.DUMMYFUNCTION("""COMPUTED_VALUE"""),1.379279)</f>
        <v>1.379279</v>
      </c>
      <c r="AF311" s="32">
        <f>IFERROR(__xludf.DUMMYFUNCTION("""COMPUTED_VALUE"""),3.295251)</f>
        <v>3.295251</v>
      </c>
      <c r="AG311" s="32">
        <f>IFERROR(__xludf.DUMMYFUNCTION("""COMPUTED_VALUE"""),0.0476)</f>
        <v>0.0476</v>
      </c>
      <c r="AH311" s="32">
        <f>IFERROR(__xludf.DUMMYFUNCTION("""COMPUTED_VALUE"""),56.320885)</f>
        <v>56.320885</v>
      </c>
      <c r="AI311" s="32">
        <f>IFERROR(__xludf.DUMMYFUNCTION("""COMPUTED_VALUE"""),2.135245198789458)</f>
        <v>2.135245199</v>
      </c>
      <c r="AJ311" s="32">
        <f>IFERROR(__xludf.DUMMYFUNCTION("""COMPUTED_VALUE"""),91.47913713087556)</f>
        <v>91.47913713</v>
      </c>
      <c r="AK311" s="32">
        <f>IFERROR(__xludf.DUMMYFUNCTION("""COMPUTED_VALUE"""),36.684)</f>
        <v>36.684</v>
      </c>
      <c r="AL311" s="32">
        <f>IFERROR(__xludf.DUMMYFUNCTION("""COMPUTED_VALUE"""),173.7959)</f>
        <v>173.7959</v>
      </c>
      <c r="AM311" s="32">
        <f>IFERROR(__xludf.DUMMYFUNCTION("""COMPUTED_VALUE"""),45.954507)</f>
        <v>45.954507</v>
      </c>
      <c r="AN311" s="32">
        <f>IFERROR(__xludf.DUMMYFUNCTION("""COMPUTED_VALUE"""),-35.449031)</f>
        <v>-35.449031</v>
      </c>
      <c r="AO311" s="32">
        <f>IFERROR(__xludf.DUMMYFUNCTION("""COMPUTED_VALUE"""),2.0)</f>
        <v>2</v>
      </c>
      <c r="AP311" s="32">
        <f>IFERROR(__xludf.DUMMYFUNCTION("""COMPUTED_VALUE"""),0.3265583957972965)</f>
        <v>0.3265583958</v>
      </c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>
      <c r="A312" s="13" t="str">
        <f>IFERROR(__xludf.DUMMYFUNCTION("""COMPUTED_VALUE"""),"Engineers India Ltd.")</f>
        <v>Engineers India Ltd.</v>
      </c>
      <c r="B312" s="30">
        <f>IFERROR(__xludf.DUMMYFUNCTION("""COMPUTED_VALUE"""),532178.0)</f>
        <v>532178</v>
      </c>
      <c r="C312" s="13" t="str">
        <f>IFERROR(__xludf.DUMMYFUNCTION("""COMPUTED_VALUE"""),"ENGINERSIN")</f>
        <v>ENGINERSIN</v>
      </c>
      <c r="D312" s="13" t="str">
        <f>IFERROR(__xludf.DUMMYFUNCTION("""COMPUTED_VALUE"""),"INE510A01028")</f>
        <v>INE510A01028</v>
      </c>
      <c r="E312" s="13" t="str">
        <f>IFERROR(__xludf.DUMMYFUNCTION("""COMPUTED_VALUE"""),"Construction")</f>
        <v>Construction</v>
      </c>
      <c r="F312" s="13" t="str">
        <f>IFERROR(__xludf.DUMMYFUNCTION("""COMPUTED_VALUE"""),"Construction")</f>
        <v>Construction</v>
      </c>
      <c r="G312" s="31">
        <f>IFERROR(__xludf.DUMMYFUNCTION("""COMPUTED_VALUE"""),44809.0)</f>
        <v>44809</v>
      </c>
      <c r="H312" s="32">
        <f>IFERROR(__xludf.DUMMYFUNCTION("""COMPUTED_VALUE"""),71.9)</f>
        <v>71.9</v>
      </c>
      <c r="I312" s="32">
        <f>IFERROR(__xludf.DUMMYFUNCTION("""COMPUTED_VALUE"""),6.047198)</f>
        <v>6.047198</v>
      </c>
      <c r="J312" s="32">
        <f>IFERROR(__xludf.DUMMYFUNCTION("""COMPUTED_VALUE"""),56.0)</f>
        <v>56</v>
      </c>
      <c r="K312" s="32">
        <f>IFERROR(__xludf.DUMMYFUNCTION("""COMPUTED_VALUE"""),82.5)</f>
        <v>82.5</v>
      </c>
      <c r="L312" s="32">
        <f>IFERROR(__xludf.DUMMYFUNCTION("""COMPUTED_VALUE"""),49.2)</f>
        <v>49.2</v>
      </c>
      <c r="M312" s="32">
        <f>IFERROR(__xludf.DUMMYFUNCTION("""COMPUTED_VALUE"""),123.0)</f>
        <v>123</v>
      </c>
      <c r="N312" s="32">
        <f>IFERROR(__xludf.DUMMYFUNCTION("""COMPUTED_VALUE"""),49.2)</f>
        <v>49.2</v>
      </c>
      <c r="O312" s="32">
        <f>IFERROR(__xludf.DUMMYFUNCTION("""COMPUTED_VALUE"""),206.4)</f>
        <v>206.4</v>
      </c>
      <c r="P312" s="32">
        <f>IFERROR(__xludf.DUMMYFUNCTION("""COMPUTED_VALUE"""),4.75)</f>
        <v>4.75</v>
      </c>
      <c r="Q312" s="32">
        <f>IFERROR(__xludf.DUMMYFUNCTION("""COMPUTED_VALUE"""),269.0)</f>
        <v>269</v>
      </c>
      <c r="R312" s="32">
        <f>IFERROR(__xludf.DUMMYFUNCTION("""COMPUTED_VALUE"""),4041.08466187)</f>
        <v>4041.084662</v>
      </c>
      <c r="S312" s="32">
        <f>IFERROR(__xludf.DUMMYFUNCTION("""COMPUTED_VALUE"""),2284.771700805)</f>
        <v>2284.771701</v>
      </c>
      <c r="T312" s="32">
        <f>IFERROR(__xludf.DUMMYFUNCTION("""COMPUTED_VALUE"""),5.735294)</f>
        <v>5.735294</v>
      </c>
      <c r="U312" s="32">
        <f>IFERROR(__xludf.DUMMYFUNCTION("""COMPUTED_VALUE"""),3.378864)</f>
        <v>3.378864</v>
      </c>
      <c r="V312" s="32">
        <f>IFERROR(__xludf.DUMMYFUNCTION("""COMPUTED_VALUE"""),17.772318)</f>
        <v>17.772318</v>
      </c>
      <c r="W312" s="32">
        <f>IFERROR(__xludf.DUMMYFUNCTION("""COMPUTED_VALUE"""),0.0)</f>
        <v>0</v>
      </c>
      <c r="X312" s="32">
        <f>IFERROR(__xludf.DUMMYFUNCTION("""COMPUTED_VALUE"""),-12.067483)</f>
        <v>-12.067483</v>
      </c>
      <c r="Y312" s="32">
        <f>IFERROR(__xludf.DUMMYFUNCTION("""COMPUTED_VALUE"""),-14.224445)</f>
        <v>-14.224445</v>
      </c>
      <c r="Z312" s="32">
        <f>IFERROR(__xludf.DUMMYFUNCTION("""COMPUTED_VALUE"""),-3.745788)</f>
        <v>-3.745788</v>
      </c>
      <c r="AA312" s="32">
        <f>IFERROR(__xludf.DUMMYFUNCTION("""COMPUTED_VALUE"""),20.0401)</f>
        <v>20.0401</v>
      </c>
      <c r="AB312" s="32">
        <f>IFERROR(__xludf.DUMMYFUNCTION("""COMPUTED_VALUE"""),19.62845)</f>
        <v>19.62845</v>
      </c>
      <c r="AC312" s="32">
        <f>IFERROR(__xludf.DUMMYFUNCTION("""COMPUTED_VALUE"""),2.2185)</f>
        <v>2.2185</v>
      </c>
      <c r="AD312" s="32">
        <f>IFERROR(__xludf.DUMMYFUNCTION("""COMPUTED_VALUE"""),2.3996)</f>
        <v>2.3996</v>
      </c>
      <c r="AE312" s="32">
        <f>IFERROR(__xludf.DUMMYFUNCTION("""COMPUTED_VALUE"""),21.097247)</f>
        <v>21.097247</v>
      </c>
      <c r="AF312" s="32">
        <f>IFERROR(__xludf.DUMMYFUNCTION("""COMPUTED_VALUE"""),-13.715218)</f>
        <v>-13.715218</v>
      </c>
      <c r="AG312" s="32">
        <f>IFERROR(__xludf.DUMMYFUNCTION("""COMPUTED_VALUE"""),4.1725)</f>
        <v>4.1725</v>
      </c>
      <c r="AH312" s="32">
        <f>IFERROR(__xludf.DUMMYFUNCTION("""COMPUTED_VALUE"""),5.450223)</f>
        <v>5.450223</v>
      </c>
      <c r="AI312" s="32">
        <f>IFERROR(__xludf.DUMMYFUNCTION("""COMPUTED_VALUE"""),1.3553891645832592)</f>
        <v>1.355389165</v>
      </c>
      <c r="AJ312" s="32">
        <f>IFERROR(__xludf.DUMMYFUNCTION("""COMPUTED_VALUE"""),23.572357407258338)</f>
        <v>23.57235741</v>
      </c>
      <c r="AK312" s="32">
        <f>IFERROR(__xludf.DUMMYFUNCTION("""COMPUTED_VALUE"""),3.5878)</f>
        <v>3.5878</v>
      </c>
      <c r="AL312" s="32">
        <f>IFERROR(__xludf.DUMMYFUNCTION("""COMPUTED_VALUE"""),32.4091)</f>
        <v>32.4091</v>
      </c>
      <c r="AM312" s="32">
        <f>IFERROR(__xludf.DUMMYFUNCTION("""COMPUTED_VALUE"""),3.050183)</f>
        <v>3.050183</v>
      </c>
      <c r="AN312" s="32">
        <f>IFERROR(__xludf.DUMMYFUNCTION("""COMPUTED_VALUE"""),3.728411)</f>
        <v>3.728411</v>
      </c>
      <c r="AO312" s="32">
        <f>IFERROR(__xludf.DUMMYFUNCTION("""COMPUTED_VALUE"""),2.0)</f>
        <v>2</v>
      </c>
      <c r="AP312" s="32">
        <f>IFERROR(__xludf.DUMMYFUNCTION("""COMPUTED_VALUE"""),0.12848484848484842)</f>
        <v>0.1284848485</v>
      </c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>
      <c r="A313" s="13" t="str">
        <f>IFERROR(__xludf.DUMMYFUNCTION("""COMPUTED_VALUE"""),"Exide Industries Ltd.")</f>
        <v>Exide Industries Ltd.</v>
      </c>
      <c r="B313" s="30">
        <f>IFERROR(__xludf.DUMMYFUNCTION("""COMPUTED_VALUE"""),500086.0)</f>
        <v>500086</v>
      </c>
      <c r="C313" s="13" t="str">
        <f>IFERROR(__xludf.DUMMYFUNCTION("""COMPUTED_VALUE"""),"EXIDEIND")</f>
        <v>EXIDEIND</v>
      </c>
      <c r="D313" s="13" t="str">
        <f>IFERROR(__xludf.DUMMYFUNCTION("""COMPUTED_VALUE"""),"INE302A01020")</f>
        <v>INE302A01020</v>
      </c>
      <c r="E313" s="13" t="str">
        <f>IFERROR(__xludf.DUMMYFUNCTION("""COMPUTED_VALUE"""),"Capital Goods")</f>
        <v>Capital Goods</v>
      </c>
      <c r="F313" s="13" t="str">
        <f>IFERROR(__xludf.DUMMYFUNCTION("""COMPUTED_VALUE"""),"Storage Batteries")</f>
        <v>Storage Batteries</v>
      </c>
      <c r="G313" s="31">
        <f>IFERROR(__xludf.DUMMYFUNCTION("""COMPUTED_VALUE"""),44809.0)</f>
        <v>44809</v>
      </c>
      <c r="H313" s="32">
        <f>IFERROR(__xludf.DUMMYFUNCTION("""COMPUTED_VALUE"""),172.4)</f>
        <v>172.4</v>
      </c>
      <c r="I313" s="32">
        <f>IFERROR(__xludf.DUMMYFUNCTION("""COMPUTED_VALUE"""),8.155583)</f>
        <v>8.155583</v>
      </c>
      <c r="J313" s="32">
        <f>IFERROR(__xludf.DUMMYFUNCTION("""COMPUTED_VALUE"""),130.25)</f>
        <v>130.25</v>
      </c>
      <c r="K313" s="32">
        <f>IFERROR(__xludf.DUMMYFUNCTION("""COMPUTED_VALUE"""),193.8)</f>
        <v>193.8</v>
      </c>
      <c r="L313" s="32">
        <f>IFERROR(__xludf.DUMMYFUNCTION("""COMPUTED_VALUE"""),121.9)</f>
        <v>121.9</v>
      </c>
      <c r="M313" s="32">
        <f>IFERROR(__xludf.DUMMYFUNCTION("""COMPUTED_VALUE"""),220.6)</f>
        <v>220.6</v>
      </c>
      <c r="N313" s="32">
        <f>IFERROR(__xludf.DUMMYFUNCTION("""COMPUTED_VALUE"""),121.9)</f>
        <v>121.9</v>
      </c>
      <c r="O313" s="32">
        <f>IFERROR(__xludf.DUMMYFUNCTION("""COMPUTED_VALUE"""),304.7)</f>
        <v>304.7</v>
      </c>
      <c r="P313" s="32">
        <f>IFERROR(__xludf.DUMMYFUNCTION("""COMPUTED_VALUE"""),3.84952)</f>
        <v>3.84952</v>
      </c>
      <c r="Q313" s="32">
        <f>IFERROR(__xludf.DUMMYFUNCTION("""COMPUTED_VALUE"""),304.7)</f>
        <v>304.7</v>
      </c>
      <c r="R313" s="32">
        <f>IFERROR(__xludf.DUMMYFUNCTION("""COMPUTED_VALUE"""),14654.0)</f>
        <v>14654</v>
      </c>
      <c r="S313" s="32">
        <f>IFERROR(__xludf.DUMMYFUNCTION("""COMPUTED_VALUE"""),12843.45)</f>
        <v>12843.45</v>
      </c>
      <c r="T313" s="32">
        <f>IFERROR(__xludf.DUMMYFUNCTION("""COMPUTED_VALUE"""),7.147296)</f>
        <v>7.147296</v>
      </c>
      <c r="U313" s="32">
        <f>IFERROR(__xludf.DUMMYFUNCTION("""COMPUTED_VALUE"""),10.159744)</f>
        <v>10.159744</v>
      </c>
      <c r="V313" s="32">
        <f>IFERROR(__xludf.DUMMYFUNCTION("""COMPUTED_VALUE"""),17.040054)</f>
        <v>17.040054</v>
      </c>
      <c r="W313" s="32">
        <f>IFERROR(__xludf.DUMMYFUNCTION("""COMPUTED_VALUE"""),-9.095703)</f>
        <v>-9.095703</v>
      </c>
      <c r="X313" s="32">
        <f>IFERROR(__xludf.DUMMYFUNCTION("""COMPUTED_VALUE"""),-0.134979)</f>
        <v>-0.134979</v>
      </c>
      <c r="Y313" s="32">
        <f>IFERROR(__xludf.DUMMYFUNCTION("""COMPUTED_VALUE"""),-3.267318)</f>
        <v>-3.267318</v>
      </c>
      <c r="Z313" s="32">
        <f>IFERROR(__xludf.DUMMYFUNCTION("""COMPUTED_VALUE"""),1.880194)</f>
        <v>1.880194</v>
      </c>
      <c r="AA313" s="32">
        <f>IFERROR(__xludf.DUMMYFUNCTION("""COMPUTED_VALUE"""),3.231)</f>
        <v>3.231</v>
      </c>
      <c r="AB313" s="32">
        <f>IFERROR(__xludf.DUMMYFUNCTION("""COMPUTED_VALUE"""),20.24245)</f>
        <v>20.24245</v>
      </c>
      <c r="AC313" s="32">
        <f>IFERROR(__xludf.DUMMYFUNCTION("""COMPUTED_VALUE"""),1.359)</f>
        <v>1.359</v>
      </c>
      <c r="AD313" s="32">
        <f>IFERROR(__xludf.DUMMYFUNCTION("""COMPUTED_VALUE"""),2.3872)</f>
        <v>2.3872</v>
      </c>
      <c r="AE313" s="32">
        <f>IFERROR(__xludf.DUMMYFUNCTION("""COMPUTED_VALUE"""),8.723831)</f>
        <v>8.723831</v>
      </c>
      <c r="AF313" s="32">
        <f>IFERROR(__xludf.DUMMYFUNCTION("""COMPUTED_VALUE"""),-1.117419)</f>
        <v>-1.117419</v>
      </c>
      <c r="AG313" s="32">
        <f>IFERROR(__xludf.DUMMYFUNCTION("""COMPUTED_VALUE"""),1.1598)</f>
        <v>1.1598</v>
      </c>
      <c r="AH313" s="32">
        <f>IFERROR(__xludf.DUMMYFUNCTION("""COMPUTED_VALUE"""),8.010784)</f>
        <v>8.010784</v>
      </c>
      <c r="AI313" s="32">
        <f>IFERROR(__xludf.DUMMYFUNCTION("""COMPUTED_VALUE"""),0.9385028912728965)</f>
        <v>0.9385028913</v>
      </c>
      <c r="AJ313" s="32">
        <f>IFERROR(__xludf.DUMMYFUNCTION("""COMPUTED_VALUE"""),239.24897959183673)</f>
        <v>239.2489796</v>
      </c>
      <c r="AK313" s="32">
        <f>IFERROR(__xludf.DUMMYFUNCTION("""COMPUTED_VALUE"""),53.3744)</f>
        <v>53.3744</v>
      </c>
      <c r="AL313" s="32">
        <f>IFERROR(__xludf.DUMMYFUNCTION("""COMPUTED_VALUE"""),126.8928)</f>
        <v>126.8928</v>
      </c>
      <c r="AM313" s="32">
        <f>IFERROR(__xludf.DUMMYFUNCTION("""COMPUTED_VALUE"""),0.720588)</f>
        <v>0.720588</v>
      </c>
      <c r="AN313" s="32">
        <f>IFERROR(__xludf.DUMMYFUNCTION("""COMPUTED_VALUE"""),0.812471)</f>
        <v>0.812471</v>
      </c>
      <c r="AO313" s="32">
        <f>IFERROR(__xludf.DUMMYFUNCTION("""COMPUTED_VALUE"""),2.0)</f>
        <v>2</v>
      </c>
      <c r="AP313" s="32">
        <f>IFERROR(__xludf.DUMMYFUNCTION("""COMPUTED_VALUE"""),0.1104231166150671)</f>
        <v>0.1104231166</v>
      </c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>
      <c r="A314" s="13" t="str">
        <f>IFERROR(__xludf.DUMMYFUNCTION("""COMPUTED_VALUE"""),"Gujarat Gas Ltd.")</f>
        <v>Gujarat Gas Ltd.</v>
      </c>
      <c r="B314" s="30">
        <f>IFERROR(__xludf.DUMMYFUNCTION("""COMPUTED_VALUE"""),539336.0)</f>
        <v>539336</v>
      </c>
      <c r="C314" s="13" t="str">
        <f>IFERROR(__xludf.DUMMYFUNCTION("""COMPUTED_VALUE"""),"GUJGASLTD")</f>
        <v>GUJGASLTD</v>
      </c>
      <c r="D314" s="13" t="str">
        <f>IFERROR(__xludf.DUMMYFUNCTION("""COMPUTED_VALUE"""),"INE844O01030")</f>
        <v>INE844O01030</v>
      </c>
      <c r="E314" s="13" t="str">
        <f>IFERROR(__xludf.DUMMYFUNCTION("""COMPUTED_VALUE"""),"Energy")</f>
        <v>Energy</v>
      </c>
      <c r="F314" s="13" t="str">
        <f>IFERROR(__xludf.DUMMYFUNCTION("""COMPUTED_VALUE"""),"Natural Gas Utilities")</f>
        <v>Natural Gas Utilities</v>
      </c>
      <c r="G314" s="31">
        <f>IFERROR(__xludf.DUMMYFUNCTION("""COMPUTED_VALUE"""),44809.0)</f>
        <v>44809</v>
      </c>
      <c r="H314" s="32">
        <f>IFERROR(__xludf.DUMMYFUNCTION("""COMPUTED_VALUE"""),483.2)</f>
        <v>483.2</v>
      </c>
      <c r="I314" s="32">
        <f>IFERROR(__xludf.DUMMYFUNCTION("""COMPUTED_VALUE"""),0.384336)</f>
        <v>0.384336</v>
      </c>
      <c r="J314" s="32">
        <f>IFERROR(__xludf.DUMMYFUNCTION("""COMPUTED_VALUE"""),403.55)</f>
        <v>403.55</v>
      </c>
      <c r="K314" s="32">
        <f>IFERROR(__xludf.DUMMYFUNCTION("""COMPUTED_VALUE"""),721.8)</f>
        <v>721.8</v>
      </c>
      <c r="L314" s="32">
        <f>IFERROR(__xludf.DUMMYFUNCTION("""COMPUTED_VALUE"""),162.2)</f>
        <v>162.2</v>
      </c>
      <c r="M314" s="32">
        <f>IFERROR(__xludf.DUMMYFUNCTION("""COMPUTED_VALUE"""),786.65)</f>
        <v>786.65</v>
      </c>
      <c r="N314" s="32">
        <f>IFERROR(__xludf.DUMMYFUNCTION("""COMPUTED_VALUE"""),115.0)</f>
        <v>115</v>
      </c>
      <c r="O314" s="32">
        <f>IFERROR(__xludf.DUMMYFUNCTION("""COMPUTED_VALUE"""),786.65)</f>
        <v>786.65</v>
      </c>
      <c r="P314" s="32">
        <f>IFERROR(__xludf.DUMMYFUNCTION("""COMPUTED_VALUE"""),90.64)</f>
        <v>90.64</v>
      </c>
      <c r="Q314" s="32">
        <f>IFERROR(__xludf.DUMMYFUNCTION("""COMPUTED_VALUE"""),786.65)</f>
        <v>786.65</v>
      </c>
      <c r="R314" s="32">
        <f>IFERROR(__xludf.DUMMYFUNCTION("""COMPUTED_VALUE"""),33225.149383125)</f>
        <v>33225.14938</v>
      </c>
      <c r="S314" s="32">
        <f>IFERROR(__xludf.DUMMYFUNCTION("""COMPUTED_VALUE"""),33595.428666875)</f>
        <v>33595.42867</v>
      </c>
      <c r="T314" s="32">
        <f>IFERROR(__xludf.DUMMYFUNCTION("""COMPUTED_VALUE"""),5.421621)</f>
        <v>5.421621</v>
      </c>
      <c r="U314" s="32">
        <f>IFERROR(__xludf.DUMMYFUNCTION("""COMPUTED_VALUE"""),8.718641)</f>
        <v>8.718641</v>
      </c>
      <c r="V314" s="32">
        <f>IFERROR(__xludf.DUMMYFUNCTION("""COMPUTED_VALUE"""),-13.226183)</f>
        <v>-13.226183</v>
      </c>
      <c r="W314" s="32">
        <f>IFERROR(__xludf.DUMMYFUNCTION("""COMPUTED_VALUE"""),-31.025623)</f>
        <v>-31.025623</v>
      </c>
      <c r="X314" s="32">
        <f>IFERROR(__xludf.DUMMYFUNCTION("""COMPUTED_VALUE"""),42.581696)</f>
        <v>42.581696</v>
      </c>
      <c r="Y314" s="32">
        <f>IFERROR(__xludf.DUMMYFUNCTION("""COMPUTED_VALUE"""),24.744988)</f>
        <v>24.744988</v>
      </c>
      <c r="Z314" s="13"/>
      <c r="AA314" s="32">
        <f>IFERROR(__xludf.DUMMYFUNCTION("""COMPUTED_VALUE"""),27.7255)</f>
        <v>27.7255</v>
      </c>
      <c r="AB314" s="32">
        <f>IFERROR(__xludf.DUMMYFUNCTION("""COMPUTED_VALUE"""),28.40265)</f>
        <v>28.40265</v>
      </c>
      <c r="AC314" s="32">
        <f>IFERROR(__xludf.DUMMYFUNCTION("""COMPUTED_VALUE"""),5.5273)</f>
        <v>5.5273</v>
      </c>
      <c r="AD314" s="32">
        <f>IFERROR(__xludf.DUMMYFUNCTION("""COMPUTED_VALUE"""),6.233)</f>
        <v>6.233</v>
      </c>
      <c r="AE314" s="32">
        <f>IFERROR(__xludf.DUMMYFUNCTION("""COMPUTED_VALUE"""),5.192709)</f>
        <v>5.192709</v>
      </c>
      <c r="AF314" s="32">
        <f>IFERROR(__xludf.DUMMYFUNCTION("""COMPUTED_VALUE"""),0.653209)</f>
        <v>0.653209</v>
      </c>
      <c r="AG314" s="32">
        <f>IFERROR(__xludf.DUMMYFUNCTION("""COMPUTED_VALUE"""),0.4139)</f>
        <v>0.4139</v>
      </c>
      <c r="AH314" s="32">
        <f>IFERROR(__xludf.DUMMYFUNCTION("""COMPUTED_VALUE"""),16.358091)</f>
        <v>16.358091</v>
      </c>
      <c r="AI314" s="32">
        <f>IFERROR(__xludf.DUMMYFUNCTION("""COMPUTED_VALUE"""),1.748355284357066)</f>
        <v>1.748355284</v>
      </c>
      <c r="AJ314" s="32">
        <f>IFERROR(__xludf.DUMMYFUNCTION("""COMPUTED_VALUE"""),19.994192462795024)</f>
        <v>19.99419246</v>
      </c>
      <c r="AK314" s="32">
        <f>IFERROR(__xludf.DUMMYFUNCTION("""COMPUTED_VALUE"""),17.4082)</f>
        <v>17.4082</v>
      </c>
      <c r="AL314" s="32">
        <f>IFERROR(__xludf.DUMMYFUNCTION("""COMPUTED_VALUE"""),87.3204)</f>
        <v>87.3204</v>
      </c>
      <c r="AM314" s="32">
        <f>IFERROR(__xludf.DUMMYFUNCTION("""COMPUTED_VALUE"""),24.139163)</f>
        <v>24.139163</v>
      </c>
      <c r="AN314" s="32">
        <f>IFERROR(__xludf.DUMMYFUNCTION("""COMPUTED_VALUE"""),4.28312)</f>
        <v>4.28312</v>
      </c>
      <c r="AO314" s="32">
        <f>IFERROR(__xludf.DUMMYFUNCTION("""COMPUTED_VALUE"""),2.0)</f>
        <v>2</v>
      </c>
      <c r="AP314" s="32">
        <f>IFERROR(__xludf.DUMMYFUNCTION("""COMPUTED_VALUE"""),0.3305624826821834)</f>
        <v>0.3305624827</v>
      </c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>
      <c r="A315" s="13" t="str">
        <f>IFERROR(__xludf.DUMMYFUNCTION("""COMPUTED_VALUE"""),"Gujarat State Petronet Ltd.")</f>
        <v>Gujarat State Petronet Ltd.</v>
      </c>
      <c r="B315" s="30">
        <f>IFERROR(__xludf.DUMMYFUNCTION("""COMPUTED_VALUE"""),532702.0)</f>
        <v>532702</v>
      </c>
      <c r="C315" s="13" t="str">
        <f>IFERROR(__xludf.DUMMYFUNCTION("""COMPUTED_VALUE"""),"GSPL")</f>
        <v>GSPL</v>
      </c>
      <c r="D315" s="13" t="str">
        <f>IFERROR(__xludf.DUMMYFUNCTION("""COMPUTED_VALUE"""),"INE246F01010")</f>
        <v>INE246F01010</v>
      </c>
      <c r="E315" s="13" t="str">
        <f>IFERROR(__xludf.DUMMYFUNCTION("""COMPUTED_VALUE"""),"Energy")</f>
        <v>Energy</v>
      </c>
      <c r="F315" s="13" t="str">
        <f>IFERROR(__xludf.DUMMYFUNCTION("""COMPUTED_VALUE"""),"Natural Gas Utilities")</f>
        <v>Natural Gas Utilities</v>
      </c>
      <c r="G315" s="31">
        <f>IFERROR(__xludf.DUMMYFUNCTION("""COMPUTED_VALUE"""),44809.0)</f>
        <v>44809</v>
      </c>
      <c r="H315" s="32">
        <f>IFERROR(__xludf.DUMMYFUNCTION("""COMPUTED_VALUE"""),233.7)</f>
        <v>233.7</v>
      </c>
      <c r="I315" s="32">
        <f>IFERROR(__xludf.DUMMYFUNCTION("""COMPUTED_VALUE"""),-1.57928)</f>
        <v>-1.57928</v>
      </c>
      <c r="J315" s="32">
        <f>IFERROR(__xludf.DUMMYFUNCTION("""COMPUTED_VALUE"""),209.45)</f>
        <v>209.45</v>
      </c>
      <c r="K315" s="32">
        <f>IFERROR(__xludf.DUMMYFUNCTION("""COMPUTED_VALUE"""),357.6)</f>
        <v>357.6</v>
      </c>
      <c r="L315" s="32">
        <f>IFERROR(__xludf.DUMMYFUNCTION("""COMPUTED_VALUE"""),146.0)</f>
        <v>146</v>
      </c>
      <c r="M315" s="32">
        <f>IFERROR(__xludf.DUMMYFUNCTION("""COMPUTED_VALUE"""),383.0)</f>
        <v>383</v>
      </c>
      <c r="N315" s="32">
        <f>IFERROR(__xludf.DUMMYFUNCTION("""COMPUTED_VALUE"""),146.0)</f>
        <v>146</v>
      </c>
      <c r="O315" s="32">
        <f>IFERROR(__xludf.DUMMYFUNCTION("""COMPUTED_VALUE"""),383.0)</f>
        <v>383</v>
      </c>
      <c r="P315" s="32">
        <f>IFERROR(__xludf.DUMMYFUNCTION("""COMPUTED_VALUE"""),25.25)</f>
        <v>25.25</v>
      </c>
      <c r="Q315" s="32">
        <f>IFERROR(__xludf.DUMMYFUNCTION("""COMPUTED_VALUE"""),383.0)</f>
        <v>383</v>
      </c>
      <c r="R315" s="32">
        <f>IFERROR(__xludf.DUMMYFUNCTION("""COMPUTED_VALUE"""),13182.79880024)</f>
        <v>13182.7988</v>
      </c>
      <c r="S315" s="32">
        <f>IFERROR(__xludf.DUMMYFUNCTION("""COMPUTED_VALUE"""),13861.12878)</f>
        <v>13861.12878</v>
      </c>
      <c r="T315" s="32">
        <f>IFERROR(__xludf.DUMMYFUNCTION("""COMPUTED_VALUE"""),-3.409795)</f>
        <v>-3.409795</v>
      </c>
      <c r="U315" s="32">
        <f>IFERROR(__xludf.DUMMYFUNCTION("""COMPUTED_VALUE"""),-1.971477)</f>
        <v>-1.971477</v>
      </c>
      <c r="V315" s="32">
        <f>IFERROR(__xludf.DUMMYFUNCTION("""COMPUTED_VALUE"""),-8.370908)</f>
        <v>-8.370908</v>
      </c>
      <c r="W315" s="32">
        <f>IFERROR(__xludf.DUMMYFUNCTION("""COMPUTED_VALUE"""),-33.304795)</f>
        <v>-33.304795</v>
      </c>
      <c r="X315" s="32">
        <f>IFERROR(__xludf.DUMMYFUNCTION("""COMPUTED_VALUE"""),2.596801)</f>
        <v>2.596801</v>
      </c>
      <c r="Y315" s="32">
        <f>IFERROR(__xludf.DUMMYFUNCTION("""COMPUTED_VALUE"""),4.503657)</f>
        <v>4.503657</v>
      </c>
      <c r="Z315" s="32">
        <f>IFERROR(__xludf.DUMMYFUNCTION("""COMPUTED_VALUE"""),11.505425)</f>
        <v>11.505425</v>
      </c>
      <c r="AA315" s="32">
        <f>IFERROR(__xludf.DUMMYFUNCTION("""COMPUTED_VALUE"""),8.2292)</f>
        <v>8.2292</v>
      </c>
      <c r="AB315" s="32">
        <f>IFERROR(__xludf.DUMMYFUNCTION("""COMPUTED_VALUE"""),10.36915)</f>
        <v>10.36915</v>
      </c>
      <c r="AC315" s="32">
        <f>IFERROR(__xludf.DUMMYFUNCTION("""COMPUTED_VALUE"""),1.5446)</f>
        <v>1.5446</v>
      </c>
      <c r="AD315" s="32">
        <f>IFERROR(__xludf.DUMMYFUNCTION("""COMPUTED_VALUE"""),2.24285)</f>
        <v>2.24285</v>
      </c>
      <c r="AE315" s="32">
        <f>IFERROR(__xludf.DUMMYFUNCTION("""COMPUTED_VALUE"""),21.89891)</f>
        <v>21.89891</v>
      </c>
      <c r="AF315" s="32">
        <f>IFERROR(__xludf.DUMMYFUNCTION("""COMPUTED_VALUE"""),0.324975)</f>
        <v>0.324975</v>
      </c>
      <c r="AG315" s="32">
        <f>IFERROR(__xludf.DUMMYFUNCTION("""COMPUTED_VALUE"""),0.856)</f>
        <v>0.856</v>
      </c>
      <c r="AH315" s="32">
        <f>IFERROR(__xludf.DUMMYFUNCTION("""COMPUTED_VALUE"""),3.988073)</f>
        <v>3.988073</v>
      </c>
      <c r="AI315" s="32">
        <f>IFERROR(__xludf.DUMMYFUNCTION("""COMPUTED_VALUE"""),0.6427523580293028)</f>
        <v>0.642752358</v>
      </c>
      <c r="AJ315" s="32">
        <f>IFERROR(__xludf.DUMMYFUNCTION("""COMPUTED_VALUE"""),4.801539400828815)</f>
        <v>4.801539401</v>
      </c>
      <c r="AK315" s="32">
        <f>IFERROR(__xludf.DUMMYFUNCTION("""COMPUTED_VALUE"""),28.3929)</f>
        <v>28.3929</v>
      </c>
      <c r="AL315" s="32">
        <f>IFERROR(__xludf.DUMMYFUNCTION("""COMPUTED_VALUE"""),151.2716)</f>
        <v>151.2716</v>
      </c>
      <c r="AM315" s="32">
        <f>IFERROR(__xludf.DUMMYFUNCTION("""COMPUTED_VALUE"""),48.661475)</f>
        <v>48.661475</v>
      </c>
      <c r="AN315" s="32">
        <f>IFERROR(__xludf.DUMMYFUNCTION("""COMPUTED_VALUE"""),25.310907)</f>
        <v>25.310907</v>
      </c>
      <c r="AO315" s="32">
        <f>IFERROR(__xludf.DUMMYFUNCTION("""COMPUTED_VALUE"""),2.0)</f>
        <v>2</v>
      </c>
      <c r="AP315" s="32">
        <f>IFERROR(__xludf.DUMMYFUNCTION("""COMPUTED_VALUE"""),0.34647651006711416)</f>
        <v>0.3464765101</v>
      </c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>
      <c r="A316" s="13" t="str">
        <f>IFERROR(__xludf.DUMMYFUNCTION("""COMPUTED_VALUE"""),"Indiamart Intermesh Ltd.")</f>
        <v>Indiamart Intermesh Ltd.</v>
      </c>
      <c r="B316" s="30">
        <f>IFERROR(__xludf.DUMMYFUNCTION("""COMPUTED_VALUE"""),542726.0)</f>
        <v>542726</v>
      </c>
      <c r="C316" s="13" t="str">
        <f>IFERROR(__xludf.DUMMYFUNCTION("""COMPUTED_VALUE"""),"INDIAMART")</f>
        <v>INDIAMART</v>
      </c>
      <c r="D316" s="13" t="str">
        <f>IFERROR(__xludf.DUMMYFUNCTION("""COMPUTED_VALUE"""),"INE933S01016")</f>
        <v>INE933S01016</v>
      </c>
      <c r="E316" s="13" t="str">
        <f>IFERROR(__xludf.DUMMYFUNCTION("""COMPUTED_VALUE"""),"Services")</f>
        <v>Services</v>
      </c>
      <c r="F316" s="13" t="str">
        <f>IFERROR(__xludf.DUMMYFUNCTION("""COMPUTED_VALUE"""),"E-Commerce")</f>
        <v>E-Commerce</v>
      </c>
      <c r="G316" s="31">
        <f>IFERROR(__xludf.DUMMYFUNCTION("""COMPUTED_VALUE"""),44809.0)</f>
        <v>44809</v>
      </c>
      <c r="H316" s="32">
        <f>IFERROR(__xludf.DUMMYFUNCTION("""COMPUTED_VALUE"""),4660.75)</f>
        <v>4660.75</v>
      </c>
      <c r="I316" s="32">
        <f>IFERROR(__xludf.DUMMYFUNCTION("""COMPUTED_VALUE"""),-1.926436)</f>
        <v>-1.926436</v>
      </c>
      <c r="J316" s="32">
        <f>IFERROR(__xludf.DUMMYFUNCTION("""COMPUTED_VALUE"""),3676.0)</f>
        <v>3676</v>
      </c>
      <c r="K316" s="32">
        <f>IFERROR(__xludf.DUMMYFUNCTION("""COMPUTED_VALUE"""),9710.7)</f>
        <v>9710.7</v>
      </c>
      <c r="L316" s="32">
        <f>IFERROR(__xludf.DUMMYFUNCTION("""COMPUTED_VALUE"""),1201.5)</f>
        <v>1201.5</v>
      </c>
      <c r="M316" s="32">
        <f>IFERROR(__xludf.DUMMYFUNCTION("""COMPUTED_VALUE"""),9951.95)</f>
        <v>9951.95</v>
      </c>
      <c r="N316" s="13"/>
      <c r="O316" s="13"/>
      <c r="P316" s="32">
        <f>IFERROR(__xludf.DUMMYFUNCTION("""COMPUTED_VALUE"""),952.0)</f>
        <v>952</v>
      </c>
      <c r="Q316" s="32">
        <f>IFERROR(__xludf.DUMMYFUNCTION("""COMPUTED_VALUE"""),9951.95)</f>
        <v>9951.95</v>
      </c>
      <c r="R316" s="32">
        <f>IFERROR(__xludf.DUMMYFUNCTION("""COMPUTED_VALUE"""),14249.5534683)</f>
        <v>14249.55347</v>
      </c>
      <c r="S316" s="32">
        <f>IFERROR(__xludf.DUMMYFUNCTION("""COMPUTED_VALUE"""),12183.31468588)</f>
        <v>12183.31469</v>
      </c>
      <c r="T316" s="32">
        <f>IFERROR(__xludf.DUMMYFUNCTION("""COMPUTED_VALUE"""),6.497349)</f>
        <v>6.497349</v>
      </c>
      <c r="U316" s="32">
        <f>IFERROR(__xludf.DUMMYFUNCTION("""COMPUTED_VALUE"""),3.883874)</f>
        <v>3.883874</v>
      </c>
      <c r="V316" s="32">
        <f>IFERROR(__xludf.DUMMYFUNCTION("""COMPUTED_VALUE"""),3.36893)</f>
        <v>3.36893</v>
      </c>
      <c r="W316" s="32">
        <f>IFERROR(__xludf.DUMMYFUNCTION("""COMPUTED_VALUE"""),-42.725038)</f>
        <v>-42.725038</v>
      </c>
      <c r="X316" s="32">
        <f>IFERROR(__xludf.DUMMYFUNCTION("""COMPUTED_VALUE"""),56.311333)</f>
        <v>56.311333</v>
      </c>
      <c r="Y316" s="13"/>
      <c r="Z316" s="13"/>
      <c r="AA316" s="32">
        <f>IFERROR(__xludf.DUMMYFUNCTION("""COMPUTED_VALUE"""),55.5538)</f>
        <v>55.5538</v>
      </c>
      <c r="AB316" s="32">
        <f>IFERROR(__xludf.DUMMYFUNCTION("""COMPUTED_VALUE"""),71.3116)</f>
        <v>71.3116</v>
      </c>
      <c r="AC316" s="32">
        <f>IFERROR(__xludf.DUMMYFUNCTION("""COMPUTED_VALUE"""),7.8512)</f>
        <v>7.8512</v>
      </c>
      <c r="AD316" s="32">
        <f>IFERROR(__xludf.DUMMYFUNCTION("""COMPUTED_VALUE"""),16.09025)</f>
        <v>16.09025</v>
      </c>
      <c r="AE316" s="32">
        <f>IFERROR(__xludf.DUMMYFUNCTION("""COMPUTED_VALUE"""),3.672518)</f>
        <v>3.672518</v>
      </c>
      <c r="AF316" s="32">
        <f>IFERROR(__xludf.DUMMYFUNCTION("""COMPUTED_VALUE"""),1.537714)</f>
        <v>1.537714</v>
      </c>
      <c r="AG316" s="32">
        <f>IFERROR(__xludf.DUMMYFUNCTION("""COMPUTED_VALUE"""),0.043)</f>
        <v>0.043</v>
      </c>
      <c r="AH316" s="32">
        <f>IFERROR(__xludf.DUMMYFUNCTION("""COMPUTED_VALUE"""),33.178962)</f>
        <v>33.178962</v>
      </c>
      <c r="AI316" s="32">
        <f>IFERROR(__xludf.DUMMYFUNCTION("""COMPUTED_VALUE"""),17.890211510734463)</f>
        <v>17.89021151</v>
      </c>
      <c r="AJ316" s="32">
        <f>IFERROR(__xludf.DUMMYFUNCTION("""COMPUTED_VALUE"""),35.418984843430756)</f>
        <v>35.41898484</v>
      </c>
      <c r="AK316" s="32">
        <f>IFERROR(__xludf.DUMMYFUNCTION("""COMPUTED_VALUE"""),83.7836)</f>
        <v>83.7836</v>
      </c>
      <c r="AL316" s="32">
        <f>IFERROR(__xludf.DUMMYFUNCTION("""COMPUTED_VALUE"""),592.8414)</f>
        <v>592.8414</v>
      </c>
      <c r="AM316" s="32">
        <f>IFERROR(__xludf.DUMMYFUNCTION("""COMPUTED_VALUE"""),131.677413)</f>
        <v>131.677413</v>
      </c>
      <c r="AN316" s="32">
        <f>IFERROR(__xludf.DUMMYFUNCTION("""COMPUTED_VALUE"""),162.796125)</f>
        <v>162.796125</v>
      </c>
      <c r="AO316" s="32">
        <f>IFERROR(__xludf.DUMMYFUNCTION("""COMPUTED_VALUE"""),2.0)</f>
        <v>2</v>
      </c>
      <c r="AP316" s="32">
        <f>IFERROR(__xludf.DUMMYFUNCTION("""COMPUTED_VALUE"""),0.5200397499665318)</f>
        <v>0.52003975</v>
      </c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>
      <c r="A317" s="13" t="str">
        <f>IFERROR(__xludf.DUMMYFUNCTION("""COMPUTED_VALUE"""),"Indian Energy Exchange Ltd.")</f>
        <v>Indian Energy Exchange Ltd.</v>
      </c>
      <c r="B317" s="30">
        <f>IFERROR(__xludf.DUMMYFUNCTION("""COMPUTED_VALUE"""),540750.0)</f>
        <v>540750</v>
      </c>
      <c r="C317" s="13" t="str">
        <f>IFERROR(__xludf.DUMMYFUNCTION("""COMPUTED_VALUE"""),"IEX")</f>
        <v>IEX</v>
      </c>
      <c r="D317" s="13" t="str">
        <f>IFERROR(__xludf.DUMMYFUNCTION("""COMPUTED_VALUE"""),"INE022Q01020")</f>
        <v>INE022Q01020</v>
      </c>
      <c r="E317" s="13" t="str">
        <f>IFERROR(__xludf.DUMMYFUNCTION("""COMPUTED_VALUE"""),"Services")</f>
        <v>Services</v>
      </c>
      <c r="F317" s="13" t="str">
        <f>IFERROR(__xludf.DUMMYFUNCTION("""COMPUTED_VALUE"""),"Exchange Services")</f>
        <v>Exchange Services</v>
      </c>
      <c r="G317" s="31">
        <f>IFERROR(__xludf.DUMMYFUNCTION("""COMPUTED_VALUE"""),44809.0)</f>
        <v>44809</v>
      </c>
      <c r="H317" s="32">
        <f>IFERROR(__xludf.DUMMYFUNCTION("""COMPUTED_VALUE"""),160.65)</f>
        <v>160.65</v>
      </c>
      <c r="I317" s="32">
        <f>IFERROR(__xludf.DUMMYFUNCTION("""COMPUTED_VALUE"""),1.677215)</f>
        <v>1.677215</v>
      </c>
      <c r="J317" s="32">
        <f>IFERROR(__xludf.DUMMYFUNCTION("""COMPUTED_VALUE"""),150.7)</f>
        <v>150.7</v>
      </c>
      <c r="K317" s="32">
        <f>IFERROR(__xludf.DUMMYFUNCTION("""COMPUTED_VALUE"""),318.716667)</f>
        <v>318.716667</v>
      </c>
      <c r="L317" s="32">
        <f>IFERROR(__xludf.DUMMYFUNCTION("""COMPUTED_VALUE"""),37.016667)</f>
        <v>37.016667</v>
      </c>
      <c r="M317" s="32">
        <f>IFERROR(__xludf.DUMMYFUNCTION("""COMPUTED_VALUE"""),318.716667)</f>
        <v>318.716667</v>
      </c>
      <c r="N317" s="13"/>
      <c r="O317" s="13"/>
      <c r="P317" s="32">
        <f>IFERROR(__xludf.DUMMYFUNCTION("""COMPUTED_VALUE"""),37.016667)</f>
        <v>37.016667</v>
      </c>
      <c r="Q317" s="32">
        <f>IFERROR(__xludf.DUMMYFUNCTION("""COMPUTED_VALUE"""),318.716667)</f>
        <v>318.716667</v>
      </c>
      <c r="R317" s="32">
        <f>IFERROR(__xludf.DUMMYFUNCTION("""COMPUTED_VALUE"""),14432.63269998)</f>
        <v>14432.6327</v>
      </c>
      <c r="S317" s="32">
        <f>IFERROR(__xludf.DUMMYFUNCTION("""COMPUTED_VALUE"""),12819.820373735)</f>
        <v>12819.82037</v>
      </c>
      <c r="T317" s="32">
        <f>IFERROR(__xludf.DUMMYFUNCTION("""COMPUTED_VALUE"""),0.752587)</f>
        <v>0.752587</v>
      </c>
      <c r="U317" s="32">
        <f>IFERROR(__xludf.DUMMYFUNCTION("""COMPUTED_VALUE"""),-1.62278)</f>
        <v>-1.62278</v>
      </c>
      <c r="V317" s="32">
        <f>IFERROR(__xludf.DUMMYFUNCTION("""COMPUTED_VALUE"""),-11.876029)</f>
        <v>-11.876029</v>
      </c>
      <c r="W317" s="32">
        <f>IFERROR(__xludf.DUMMYFUNCTION("""COMPUTED_VALUE"""),-10.625869)</f>
        <v>-10.625869</v>
      </c>
      <c r="X317" s="32">
        <f>IFERROR(__xludf.DUMMYFUNCTION("""COMPUTED_VALUE"""),52.986218)</f>
        <v>52.986218</v>
      </c>
      <c r="Y317" s="13"/>
      <c r="Z317" s="13"/>
      <c r="AA317" s="32">
        <f>IFERROR(__xludf.DUMMYFUNCTION("""COMPUTED_VALUE"""),45.7356)</f>
        <v>45.7356</v>
      </c>
      <c r="AB317" s="32">
        <f>IFERROR(__xludf.DUMMYFUNCTION("""COMPUTED_VALUE"""),45.47215)</f>
        <v>45.47215</v>
      </c>
      <c r="AC317" s="32">
        <f>IFERROR(__xludf.DUMMYFUNCTION("""COMPUTED_VALUE"""),19.0467)</f>
        <v>19.0467</v>
      </c>
      <c r="AD317" s="32">
        <f>IFERROR(__xludf.DUMMYFUNCTION("""COMPUTED_VALUE"""),16.60865)</f>
        <v>16.60865</v>
      </c>
      <c r="AE317" s="32">
        <f>IFERROR(__xludf.DUMMYFUNCTION("""COMPUTED_VALUE"""),3.567041)</f>
        <v>3.567041</v>
      </c>
      <c r="AF317" s="32">
        <f>IFERROR(__xludf.DUMMYFUNCTION("""COMPUTED_VALUE"""),2.043327)</f>
        <v>2.043327</v>
      </c>
      <c r="AG317" s="32">
        <f>IFERROR(__xludf.DUMMYFUNCTION("""COMPUTED_VALUE"""),1.2453)</f>
        <v>1.2453</v>
      </c>
      <c r="AH317" s="32">
        <f>IFERROR(__xludf.DUMMYFUNCTION("""COMPUTED_VALUE"""),30.067219)</f>
        <v>30.067219</v>
      </c>
      <c r="AI317" s="32">
        <f>IFERROR(__xludf.DUMMYFUNCTION("""COMPUTED_VALUE"""),32.92430547630019)</f>
        <v>32.92430548</v>
      </c>
      <c r="AJ317" s="32">
        <f>IFERROR(__xludf.DUMMYFUNCTION("""COMPUTED_VALUE"""),18.932497298354523)</f>
        <v>18.9324973</v>
      </c>
      <c r="AK317" s="32">
        <f>IFERROR(__xludf.DUMMYFUNCTION("""COMPUTED_VALUE"""),3.5115)</f>
        <v>3.5115</v>
      </c>
      <c r="AL317" s="32">
        <f>IFERROR(__xludf.DUMMYFUNCTION("""COMPUTED_VALUE"""),8.4319)</f>
        <v>8.4319</v>
      </c>
      <c r="AM317" s="32">
        <f>IFERROR(__xludf.DUMMYFUNCTION("""COMPUTED_VALUE"""),8.491098)</f>
        <v>8.491098</v>
      </c>
      <c r="AN317" s="32">
        <f>IFERROR(__xludf.DUMMYFUNCTION("""COMPUTED_VALUE"""),8.931705)</f>
        <v>8.931705</v>
      </c>
      <c r="AO317" s="32">
        <f>IFERROR(__xludf.DUMMYFUNCTION("""COMPUTED_VALUE"""),2.0)</f>
        <v>2</v>
      </c>
      <c r="AP317" s="32">
        <f>IFERROR(__xludf.DUMMYFUNCTION("""COMPUTED_VALUE"""),0.4959525602409639)</f>
        <v>0.4959525602</v>
      </c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>
      <c r="A318" s="13" t="str">
        <f>IFERROR(__xludf.DUMMYFUNCTION("""COMPUTED_VALUE"""),"JSW Energy Ltd.")</f>
        <v>JSW Energy Ltd.</v>
      </c>
      <c r="B318" s="30">
        <f>IFERROR(__xludf.DUMMYFUNCTION("""COMPUTED_VALUE"""),533148.0)</f>
        <v>533148</v>
      </c>
      <c r="C318" s="13" t="str">
        <f>IFERROR(__xludf.DUMMYFUNCTION("""COMPUTED_VALUE"""),"JSWENERGY")</f>
        <v>JSWENERGY</v>
      </c>
      <c r="D318" s="13" t="str">
        <f>IFERROR(__xludf.DUMMYFUNCTION("""COMPUTED_VALUE"""),"INE121E01018")</f>
        <v>INE121E01018</v>
      </c>
      <c r="E318" s="13" t="str">
        <f>IFERROR(__xludf.DUMMYFUNCTION("""COMPUTED_VALUE"""),"Capital Goods")</f>
        <v>Capital Goods</v>
      </c>
      <c r="F318" s="13" t="str">
        <f>IFERROR(__xludf.DUMMYFUNCTION("""COMPUTED_VALUE"""),"Power Projects")</f>
        <v>Power Projects</v>
      </c>
      <c r="G318" s="31">
        <f>IFERROR(__xludf.DUMMYFUNCTION("""COMPUTED_VALUE"""),44809.0)</f>
        <v>44809</v>
      </c>
      <c r="H318" s="32">
        <f>IFERROR(__xludf.DUMMYFUNCTION("""COMPUTED_VALUE"""),355.9)</f>
        <v>355.9</v>
      </c>
      <c r="I318" s="32">
        <f>IFERROR(__xludf.DUMMYFUNCTION("""COMPUTED_VALUE"""),2.03555)</f>
        <v>2.03555</v>
      </c>
      <c r="J318" s="32">
        <f>IFERROR(__xludf.DUMMYFUNCTION("""COMPUTED_VALUE"""),182.05)</f>
        <v>182.05</v>
      </c>
      <c r="K318" s="32">
        <f>IFERROR(__xludf.DUMMYFUNCTION("""COMPUTED_VALUE"""),408.7)</f>
        <v>408.7</v>
      </c>
      <c r="L318" s="32">
        <f>IFERROR(__xludf.DUMMYFUNCTION("""COMPUTED_VALUE"""),34.75)</f>
        <v>34.75</v>
      </c>
      <c r="M318" s="32">
        <f>IFERROR(__xludf.DUMMYFUNCTION("""COMPUTED_VALUE"""),408.7)</f>
        <v>408.7</v>
      </c>
      <c r="N318" s="32">
        <f>IFERROR(__xludf.DUMMYFUNCTION("""COMPUTED_VALUE"""),34.75)</f>
        <v>34.75</v>
      </c>
      <c r="O318" s="32">
        <f>IFERROR(__xludf.DUMMYFUNCTION("""COMPUTED_VALUE"""),408.7)</f>
        <v>408.7</v>
      </c>
      <c r="P318" s="32">
        <f>IFERROR(__xludf.DUMMYFUNCTION("""COMPUTED_VALUE"""),33.65)</f>
        <v>33.65</v>
      </c>
      <c r="Q318" s="32">
        <f>IFERROR(__xludf.DUMMYFUNCTION("""COMPUTED_VALUE"""),408.7)</f>
        <v>408.7</v>
      </c>
      <c r="R318" s="32">
        <f>IFERROR(__xludf.DUMMYFUNCTION("""COMPUTED_VALUE"""),58215.16093896001)</f>
        <v>58215.16094</v>
      </c>
      <c r="S318" s="32">
        <f>IFERROR(__xludf.DUMMYFUNCTION("""COMPUTED_VALUE"""),63824.9863772)</f>
        <v>63824.98638</v>
      </c>
      <c r="T318" s="32">
        <f>IFERROR(__xludf.DUMMYFUNCTION("""COMPUTED_VALUE"""),11.410236)</f>
        <v>11.410236</v>
      </c>
      <c r="U318" s="32">
        <f>IFERROR(__xludf.DUMMYFUNCTION("""COMPUTED_VALUE"""),30.032883)</f>
        <v>30.032883</v>
      </c>
      <c r="V318" s="32">
        <f>IFERROR(__xludf.DUMMYFUNCTION("""COMPUTED_VALUE"""),36.595663)</f>
        <v>36.595663</v>
      </c>
      <c r="W318" s="32">
        <f>IFERROR(__xludf.DUMMYFUNCTION("""COMPUTED_VALUE"""),39.568627)</f>
        <v>39.568627</v>
      </c>
      <c r="X318" s="32">
        <f>IFERROR(__xludf.DUMMYFUNCTION("""COMPUTED_VALUE"""),75.050096)</f>
        <v>75.050096</v>
      </c>
      <c r="Y318" s="32">
        <f>IFERROR(__xludf.DUMMYFUNCTION("""COMPUTED_VALUE"""),39.778518)</f>
        <v>39.778518</v>
      </c>
      <c r="Z318" s="32">
        <f>IFERROR(__xludf.DUMMYFUNCTION("""COMPUTED_VALUE"""),22.439913)</f>
        <v>22.439913</v>
      </c>
      <c r="AA318" s="32">
        <f>IFERROR(__xludf.DUMMYFUNCTION("""COMPUTED_VALUE"""),27.8815)</f>
        <v>27.8815</v>
      </c>
      <c r="AB318" s="32">
        <f>IFERROR(__xludf.DUMMYFUNCTION("""COMPUTED_VALUE"""),23.49745)</f>
        <v>23.49745</v>
      </c>
      <c r="AC318" s="32">
        <f>IFERROR(__xludf.DUMMYFUNCTION("""COMPUTED_VALUE"""),3.2467)</f>
        <v>3.2467</v>
      </c>
      <c r="AD318" s="32">
        <f>IFERROR(__xludf.DUMMYFUNCTION("""COMPUTED_VALUE"""),0.9825)</f>
        <v>0.9825</v>
      </c>
      <c r="AE318" s="32">
        <f>IFERROR(__xludf.DUMMYFUNCTION("""COMPUTED_VALUE"""),5.931645)</f>
        <v>5.931645</v>
      </c>
      <c r="AF318" s="32">
        <f>IFERROR(__xludf.DUMMYFUNCTION("""COMPUTED_VALUE"""),0.810143)</f>
        <v>0.810143</v>
      </c>
      <c r="AG318" s="32">
        <f>IFERROR(__xludf.DUMMYFUNCTION("""COMPUTED_VALUE"""),0.5648)</f>
        <v>0.5648</v>
      </c>
      <c r="AH318" s="32">
        <f>IFERROR(__xludf.DUMMYFUNCTION("""COMPUTED_VALUE"""),14.445239)</f>
        <v>14.445239</v>
      </c>
      <c r="AI318" s="32">
        <f>IFERROR(__xludf.DUMMYFUNCTION("""COMPUTED_VALUE"""),6.161671149716077)</f>
        <v>6.16167115</v>
      </c>
      <c r="AJ318" s="32">
        <f>IFERROR(__xludf.DUMMYFUNCTION("""COMPUTED_VALUE"""),19.720382563510537)</f>
        <v>19.72038256</v>
      </c>
      <c r="AK318" s="32">
        <f>IFERROR(__xludf.DUMMYFUNCTION("""COMPUTED_VALUE"""),12.7002)</f>
        <v>12.7002</v>
      </c>
      <c r="AL318" s="32">
        <f>IFERROR(__xludf.DUMMYFUNCTION("""COMPUTED_VALUE"""),109.0632)</f>
        <v>109.0632</v>
      </c>
      <c r="AM318" s="32">
        <f>IFERROR(__xludf.DUMMYFUNCTION("""COMPUTED_VALUE"""),18.003806)</f>
        <v>18.003806</v>
      </c>
      <c r="AN318" s="32">
        <f>IFERROR(__xludf.DUMMYFUNCTION("""COMPUTED_VALUE"""),0.819555)</f>
        <v>0.819555</v>
      </c>
      <c r="AO318" s="32">
        <f>IFERROR(__xludf.DUMMYFUNCTION("""COMPUTED_VALUE"""),2.0)</f>
        <v>2</v>
      </c>
      <c r="AP318" s="32">
        <f>IFERROR(__xludf.DUMMYFUNCTION("""COMPUTED_VALUE"""),0.12919011499877664)</f>
        <v>0.129190115</v>
      </c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>
      <c r="A319" s="13" t="str">
        <f>IFERROR(__xludf.DUMMYFUNCTION("""COMPUTED_VALUE"""),"Laurus Labs Ltd.")</f>
        <v>Laurus Labs Ltd.</v>
      </c>
      <c r="B319" s="30">
        <f>IFERROR(__xludf.DUMMYFUNCTION("""COMPUTED_VALUE"""),540222.0)</f>
        <v>540222</v>
      </c>
      <c r="C319" s="13" t="str">
        <f>IFERROR(__xludf.DUMMYFUNCTION("""COMPUTED_VALUE"""),"LAURUSLABS")</f>
        <v>LAURUSLABS</v>
      </c>
      <c r="D319" s="13" t="str">
        <f>IFERROR(__xludf.DUMMYFUNCTION("""COMPUTED_VALUE"""),"INE947Q01028")</f>
        <v>INE947Q01028</v>
      </c>
      <c r="E319" s="13" t="str">
        <f>IFERROR(__xludf.DUMMYFUNCTION("""COMPUTED_VALUE"""),"Healthcare")</f>
        <v>Healthcare</v>
      </c>
      <c r="F319" s="13" t="str">
        <f>IFERROR(__xludf.DUMMYFUNCTION("""COMPUTED_VALUE"""),"Drugs &amp; Pharma")</f>
        <v>Drugs &amp; Pharma</v>
      </c>
      <c r="G319" s="31">
        <f>IFERROR(__xludf.DUMMYFUNCTION("""COMPUTED_VALUE"""),44809.0)</f>
        <v>44809</v>
      </c>
      <c r="H319" s="32">
        <f>IFERROR(__xludf.DUMMYFUNCTION("""COMPUTED_VALUE"""),562.85)</f>
        <v>562.85</v>
      </c>
      <c r="I319" s="32">
        <f>IFERROR(__xludf.DUMMYFUNCTION("""COMPUTED_VALUE"""),-1.089535)</f>
        <v>-1.089535</v>
      </c>
      <c r="J319" s="32">
        <f>IFERROR(__xludf.DUMMYFUNCTION("""COMPUTED_VALUE"""),436.8)</f>
        <v>436.8</v>
      </c>
      <c r="K319" s="32">
        <f>IFERROR(__xludf.DUMMYFUNCTION("""COMPUTED_VALUE"""),669.15)</f>
        <v>669.15</v>
      </c>
      <c r="L319" s="32">
        <f>IFERROR(__xludf.DUMMYFUNCTION("""COMPUTED_VALUE"""),59.0)</f>
        <v>59</v>
      </c>
      <c r="M319" s="32">
        <f>IFERROR(__xludf.DUMMYFUNCTION("""COMPUTED_VALUE"""),723.75)</f>
        <v>723.75</v>
      </c>
      <c r="N319" s="32">
        <f>IFERROR(__xludf.DUMMYFUNCTION("""COMPUTED_VALUE"""),59.0)</f>
        <v>59</v>
      </c>
      <c r="O319" s="32">
        <f>IFERROR(__xludf.DUMMYFUNCTION("""COMPUTED_VALUE"""),723.75)</f>
        <v>723.75</v>
      </c>
      <c r="P319" s="32">
        <f>IFERROR(__xludf.DUMMYFUNCTION("""COMPUTED_VALUE"""),59.0)</f>
        <v>59</v>
      </c>
      <c r="Q319" s="32">
        <f>IFERROR(__xludf.DUMMYFUNCTION("""COMPUTED_VALUE"""),723.75)</f>
        <v>723.75</v>
      </c>
      <c r="R319" s="32">
        <f>IFERROR(__xludf.DUMMYFUNCTION("""COMPUTED_VALUE"""),30237.20978045)</f>
        <v>30237.20978</v>
      </c>
      <c r="S319" s="32">
        <f>IFERROR(__xludf.DUMMYFUNCTION("""COMPUTED_VALUE"""),32264.0777216)</f>
        <v>32264.07772</v>
      </c>
      <c r="T319" s="32">
        <f>IFERROR(__xludf.DUMMYFUNCTION("""COMPUTED_VALUE"""),-0.775672)</f>
        <v>-0.775672</v>
      </c>
      <c r="U319" s="32">
        <f>IFERROR(__xludf.DUMMYFUNCTION("""COMPUTED_VALUE"""),3.49361)</f>
        <v>3.49361</v>
      </c>
      <c r="V319" s="32">
        <f>IFERROR(__xludf.DUMMYFUNCTION("""COMPUTED_VALUE"""),1.597473)</f>
        <v>1.597473</v>
      </c>
      <c r="W319" s="32">
        <f>IFERROR(__xludf.DUMMYFUNCTION("""COMPUTED_VALUE"""),-13.713015)</f>
        <v>-13.713015</v>
      </c>
      <c r="X319" s="32">
        <f>IFERROR(__xludf.DUMMYFUNCTION("""COMPUTED_VALUE"""),105.307137)</f>
        <v>105.307137</v>
      </c>
      <c r="Y319" s="32">
        <f>IFERROR(__xludf.DUMMYFUNCTION("""COMPUTED_VALUE"""),38.753299)</f>
        <v>38.753299</v>
      </c>
      <c r="Z319" s="13"/>
      <c r="AA319" s="32">
        <f>IFERROR(__xludf.DUMMYFUNCTION("""COMPUTED_VALUE"""),36.108)</f>
        <v>36.108</v>
      </c>
      <c r="AB319" s="32">
        <f>IFERROR(__xludf.DUMMYFUNCTION("""COMPUTED_VALUE"""),31.1561)</f>
        <v>31.1561</v>
      </c>
      <c r="AC319" s="32">
        <f>IFERROR(__xludf.DUMMYFUNCTION("""COMPUTED_VALUE"""),8.4119)</f>
        <v>8.4119</v>
      </c>
      <c r="AD319" s="32">
        <f>IFERROR(__xludf.DUMMYFUNCTION("""COMPUTED_VALUE"""),3.7506)</f>
        <v>3.7506</v>
      </c>
      <c r="AE319" s="32">
        <f>IFERROR(__xludf.DUMMYFUNCTION("""COMPUTED_VALUE"""),3.887682)</f>
        <v>3.887682</v>
      </c>
      <c r="AF319" s="32">
        <f>IFERROR(__xludf.DUMMYFUNCTION("""COMPUTED_VALUE"""),1.098077)</f>
        <v>1.098077</v>
      </c>
      <c r="AG319" s="32">
        <f>IFERROR(__xludf.DUMMYFUNCTION("""COMPUTED_VALUE"""),0.3554)</f>
        <v>0.3554</v>
      </c>
      <c r="AH319" s="32">
        <f>IFERROR(__xludf.DUMMYFUNCTION("""COMPUTED_VALUE"""),21.618197)</f>
        <v>21.618197</v>
      </c>
      <c r="AI319" s="32">
        <f>IFERROR(__xludf.DUMMYFUNCTION("""COMPUTED_VALUE"""),5.819313238513783)</f>
        <v>5.819313239</v>
      </c>
      <c r="AJ319" s="32">
        <f>IFERROR(__xludf.DUMMYFUNCTION("""COMPUTED_VALUE"""),33.18758619300845)</f>
        <v>33.18758619</v>
      </c>
      <c r="AK319" s="32">
        <f>IFERROR(__xludf.DUMMYFUNCTION("""COMPUTED_VALUE"""),15.5838)</f>
        <v>15.5838</v>
      </c>
      <c r="AL319" s="32">
        <f>IFERROR(__xludf.DUMMYFUNCTION("""COMPUTED_VALUE"""),66.8931)</f>
        <v>66.8931</v>
      </c>
      <c r="AM319" s="32">
        <f>IFERROR(__xludf.DUMMYFUNCTION("""COMPUTED_VALUE"""),16.955429)</f>
        <v>16.955429</v>
      </c>
      <c r="AN319" s="32">
        <f>IFERROR(__xludf.DUMMYFUNCTION("""COMPUTED_VALUE"""),-2.503582)</f>
        <v>-2.503582</v>
      </c>
      <c r="AO319" s="32">
        <f>IFERROR(__xludf.DUMMYFUNCTION("""COMPUTED_VALUE"""),2.0)</f>
        <v>2</v>
      </c>
      <c r="AP319" s="32">
        <f>IFERROR(__xludf.DUMMYFUNCTION("""COMPUTED_VALUE"""),0.15885825300754683)</f>
        <v>0.158858253</v>
      </c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>
      <c r="A320" s="13" t="str">
        <f>IFERROR(__xludf.DUMMYFUNCTION("""COMPUTED_VALUE"""),"Mahindra Lifespace Developers Ltd.")</f>
        <v>Mahindra Lifespace Developers Ltd.</v>
      </c>
      <c r="B320" s="30">
        <f>IFERROR(__xludf.DUMMYFUNCTION("""COMPUTED_VALUE"""),532313.0)</f>
        <v>532313</v>
      </c>
      <c r="C320" s="13" t="str">
        <f>IFERROR(__xludf.DUMMYFUNCTION("""COMPUTED_VALUE"""),"MAHLIFE")</f>
        <v>MAHLIFE</v>
      </c>
      <c r="D320" s="13" t="str">
        <f>IFERROR(__xludf.DUMMYFUNCTION("""COMPUTED_VALUE"""),"INE813A01018")</f>
        <v>INE813A01018</v>
      </c>
      <c r="E320" s="13" t="str">
        <f>IFERROR(__xludf.DUMMYFUNCTION("""COMPUTED_VALUE"""),"Construction")</f>
        <v>Construction</v>
      </c>
      <c r="F320" s="13" t="str">
        <f>IFERROR(__xludf.DUMMYFUNCTION("""COMPUTED_VALUE"""),"Real Estate")</f>
        <v>Real Estate</v>
      </c>
      <c r="G320" s="31">
        <f>IFERROR(__xludf.DUMMYFUNCTION("""COMPUTED_VALUE"""),44809.0)</f>
        <v>44809</v>
      </c>
      <c r="H320" s="32">
        <f>IFERROR(__xludf.DUMMYFUNCTION("""COMPUTED_VALUE"""),519.55)</f>
        <v>519.55</v>
      </c>
      <c r="I320" s="32">
        <f>IFERROR(__xludf.DUMMYFUNCTION("""COMPUTED_VALUE"""),0.629479)</f>
        <v>0.629479</v>
      </c>
      <c r="J320" s="32">
        <f>IFERROR(__xludf.DUMMYFUNCTION("""COMPUTED_VALUE"""),218.5)</f>
        <v>218.5</v>
      </c>
      <c r="K320" s="32">
        <f>IFERROR(__xludf.DUMMYFUNCTION("""COMPUTED_VALUE"""),533.0)</f>
        <v>533</v>
      </c>
      <c r="L320" s="32">
        <f>IFERROR(__xludf.DUMMYFUNCTION("""COMPUTED_VALUE"""),57.066667)</f>
        <v>57.066667</v>
      </c>
      <c r="M320" s="32">
        <f>IFERROR(__xludf.DUMMYFUNCTION("""COMPUTED_VALUE"""),533.0)</f>
        <v>533</v>
      </c>
      <c r="N320" s="32">
        <f>IFERROR(__xludf.DUMMYFUNCTION("""COMPUTED_VALUE"""),57.066667)</f>
        <v>57.066667</v>
      </c>
      <c r="O320" s="32">
        <f>IFERROR(__xludf.DUMMYFUNCTION("""COMPUTED_VALUE"""),533.0)</f>
        <v>533</v>
      </c>
      <c r="P320" s="32">
        <f>IFERROR(__xludf.DUMMYFUNCTION("""COMPUTED_VALUE"""),2.895611)</f>
        <v>2.895611</v>
      </c>
      <c r="Q320" s="32">
        <f>IFERROR(__xludf.DUMMYFUNCTION("""COMPUTED_VALUE"""),533.0)</f>
        <v>533</v>
      </c>
      <c r="R320" s="32">
        <f>IFERROR(__xludf.DUMMYFUNCTION("""COMPUTED_VALUE"""),8041.01240679)</f>
        <v>8041.012407</v>
      </c>
      <c r="S320" s="32">
        <f>IFERROR(__xludf.DUMMYFUNCTION("""COMPUTED_VALUE"""),8034.16562959)</f>
        <v>8034.16563</v>
      </c>
      <c r="T320" s="32">
        <f>IFERROR(__xludf.DUMMYFUNCTION("""COMPUTED_VALUE"""),1.872549)</f>
        <v>1.872549</v>
      </c>
      <c r="U320" s="32">
        <f>IFERROR(__xludf.DUMMYFUNCTION("""COMPUTED_VALUE"""),25.313555)</f>
        <v>25.313555</v>
      </c>
      <c r="V320" s="32">
        <f>IFERROR(__xludf.DUMMYFUNCTION("""COMPUTED_VALUE"""),27.044871)</f>
        <v>27.044871</v>
      </c>
      <c r="W320" s="32">
        <f>IFERROR(__xludf.DUMMYFUNCTION("""COMPUTED_VALUE"""),95.23392)</f>
        <v>95.23392</v>
      </c>
      <c r="X320" s="32">
        <f>IFERROR(__xludf.DUMMYFUNCTION("""COMPUTED_VALUE"""),61.257039)</f>
        <v>61.257039</v>
      </c>
      <c r="Y320" s="32">
        <f>IFERROR(__xludf.DUMMYFUNCTION("""COMPUTED_VALUE"""),28.259866)</f>
        <v>28.259866</v>
      </c>
      <c r="Z320" s="32">
        <f>IFERROR(__xludf.DUMMYFUNCTION("""COMPUTED_VALUE"""),17.121875)</f>
        <v>17.121875</v>
      </c>
      <c r="AA320" s="32">
        <f>IFERROR(__xludf.DUMMYFUNCTION("""COMPUTED_VALUE"""),32.9861)</f>
        <v>32.9861</v>
      </c>
      <c r="AB320" s="32">
        <f>IFERROR(__xludf.DUMMYFUNCTION("""COMPUTED_VALUE"""),24.1364)</f>
        <v>24.1364</v>
      </c>
      <c r="AC320" s="32">
        <f>IFERROR(__xludf.DUMMYFUNCTION("""COMPUTED_VALUE"""),4.4747)</f>
        <v>4.4747</v>
      </c>
      <c r="AD320" s="32">
        <f>IFERROR(__xludf.DUMMYFUNCTION("""COMPUTED_VALUE"""),1.14135)</f>
        <v>1.14135</v>
      </c>
      <c r="AE320" s="32">
        <f>IFERROR(__xludf.DUMMYFUNCTION("""COMPUTED_VALUE"""),-0.474062)</f>
        <v>-0.474062</v>
      </c>
      <c r="AF320" s="32">
        <f>IFERROR(__xludf.DUMMYFUNCTION("""COMPUTED_VALUE"""),2.666744)</f>
        <v>2.666744</v>
      </c>
      <c r="AG320" s="32">
        <f>IFERROR(__xludf.DUMMYFUNCTION("""COMPUTED_VALUE"""),0.3849)</f>
        <v>0.3849</v>
      </c>
      <c r="AH320" s="32">
        <f>IFERROR(__xludf.DUMMYFUNCTION("""COMPUTED_VALUE"""),-128.711401)</f>
        <v>-128.711401</v>
      </c>
      <c r="AI320" s="32">
        <f>IFERROR(__xludf.DUMMYFUNCTION("""COMPUTED_VALUE"""),23.657690449233577)</f>
        <v>23.65769045</v>
      </c>
      <c r="AJ320" s="32">
        <f>IFERROR(__xludf.DUMMYFUNCTION("""COMPUTED_VALUE"""),-154.6458576242925)</f>
        <v>-154.6458576</v>
      </c>
      <c r="AK320" s="32">
        <f>IFERROR(__xludf.DUMMYFUNCTION("""COMPUTED_VALUE"""),15.7733)</f>
        <v>15.7733</v>
      </c>
      <c r="AL320" s="32">
        <f>IFERROR(__xludf.DUMMYFUNCTION("""COMPUTED_VALUE"""),116.2754)</f>
        <v>116.2754</v>
      </c>
      <c r="AM320" s="32">
        <f>IFERROR(__xludf.DUMMYFUNCTION("""COMPUTED_VALUE"""),-3.36508)</f>
        <v>-3.36508</v>
      </c>
      <c r="AN320" s="32">
        <f>IFERROR(__xludf.DUMMYFUNCTION("""COMPUTED_VALUE"""),12.315262)</f>
        <v>12.315262</v>
      </c>
      <c r="AO320" s="32">
        <f>IFERROR(__xludf.DUMMYFUNCTION("""COMPUTED_VALUE"""),2.0)</f>
        <v>2</v>
      </c>
      <c r="AP320" s="32">
        <f>IFERROR(__xludf.DUMMYFUNCTION("""COMPUTED_VALUE"""),0.025234521575985075)</f>
        <v>0.02523452158</v>
      </c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>
      <c r="A321" s="13" t="str">
        <f>IFERROR(__xludf.DUMMYFUNCTION("""COMPUTED_VALUE"""),"Mahindra Logistics Ltd.")</f>
        <v>Mahindra Logistics Ltd.</v>
      </c>
      <c r="B321" s="30">
        <f>IFERROR(__xludf.DUMMYFUNCTION("""COMPUTED_VALUE"""),540768.0)</f>
        <v>540768</v>
      </c>
      <c r="C321" s="13" t="str">
        <f>IFERROR(__xludf.DUMMYFUNCTION("""COMPUTED_VALUE"""),"MAHLOG")</f>
        <v>MAHLOG</v>
      </c>
      <c r="D321" s="13" t="str">
        <f>IFERROR(__xludf.DUMMYFUNCTION("""COMPUTED_VALUE"""),"INE766P01016")</f>
        <v>INE766P01016</v>
      </c>
      <c r="E321" s="13" t="str">
        <f>IFERROR(__xludf.DUMMYFUNCTION("""COMPUTED_VALUE"""),"Services")</f>
        <v>Services</v>
      </c>
      <c r="F321" s="13" t="str">
        <f>IFERROR(__xludf.DUMMYFUNCTION("""COMPUTED_VALUE"""),"Logistics")</f>
        <v>Logistics</v>
      </c>
      <c r="G321" s="31">
        <f>IFERROR(__xludf.DUMMYFUNCTION("""COMPUTED_VALUE"""),44809.0)</f>
        <v>44809</v>
      </c>
      <c r="H321" s="32">
        <f>IFERROR(__xludf.DUMMYFUNCTION("""COMPUTED_VALUE"""),493.5)</f>
        <v>493.5</v>
      </c>
      <c r="I321" s="32">
        <f>IFERROR(__xludf.DUMMYFUNCTION("""COMPUTED_VALUE"""),2.279793)</f>
        <v>2.279793</v>
      </c>
      <c r="J321" s="32">
        <f>IFERROR(__xludf.DUMMYFUNCTION("""COMPUTED_VALUE"""),391.1)</f>
        <v>391.1</v>
      </c>
      <c r="K321" s="32">
        <f>IFERROR(__xludf.DUMMYFUNCTION("""COMPUTED_VALUE"""),814.0)</f>
        <v>814</v>
      </c>
      <c r="L321" s="32">
        <f>IFERROR(__xludf.DUMMYFUNCTION("""COMPUTED_VALUE"""),195.0)</f>
        <v>195</v>
      </c>
      <c r="M321" s="32">
        <f>IFERROR(__xludf.DUMMYFUNCTION("""COMPUTED_VALUE"""),821.0)</f>
        <v>821</v>
      </c>
      <c r="N321" s="13"/>
      <c r="O321" s="13"/>
      <c r="P321" s="32">
        <f>IFERROR(__xludf.DUMMYFUNCTION("""COMPUTED_VALUE"""),195.0)</f>
        <v>195</v>
      </c>
      <c r="Q321" s="32">
        <f>IFERROR(__xludf.DUMMYFUNCTION("""COMPUTED_VALUE"""),821.0)</f>
        <v>821</v>
      </c>
      <c r="R321" s="32">
        <f>IFERROR(__xludf.DUMMYFUNCTION("""COMPUTED_VALUE"""),3512.53106607)</f>
        <v>3512.531066</v>
      </c>
      <c r="S321" s="32">
        <f>IFERROR(__xludf.DUMMYFUNCTION("""COMPUTED_VALUE"""),3262.99483795)</f>
        <v>3262.994838</v>
      </c>
      <c r="T321" s="32">
        <f>IFERROR(__xludf.DUMMYFUNCTION("""COMPUTED_VALUE"""),0.458015)</f>
        <v>0.458015</v>
      </c>
      <c r="U321" s="32">
        <f>IFERROR(__xludf.DUMMYFUNCTION("""COMPUTED_VALUE"""),3.091707)</f>
        <v>3.091707</v>
      </c>
      <c r="V321" s="32">
        <f>IFERROR(__xludf.DUMMYFUNCTION("""COMPUTED_VALUE"""),3.611169)</f>
        <v>3.611169</v>
      </c>
      <c r="W321" s="32">
        <f>IFERROR(__xludf.DUMMYFUNCTION("""COMPUTED_VALUE"""),-31.756897)</f>
        <v>-31.756897</v>
      </c>
      <c r="X321" s="32">
        <f>IFERROR(__xludf.DUMMYFUNCTION("""COMPUTED_VALUE"""),14.188678)</f>
        <v>14.188678</v>
      </c>
      <c r="Y321" s="13"/>
      <c r="Z321" s="13"/>
      <c r="AA321" s="32">
        <f>IFERROR(__xludf.DUMMYFUNCTION("""COMPUTED_VALUE"""),85.1729)</f>
        <v>85.1729</v>
      </c>
      <c r="AB321" s="32">
        <f>IFERROR(__xludf.DUMMYFUNCTION("""COMPUTED_VALUE"""),94.43125)</f>
        <v>94.43125</v>
      </c>
      <c r="AC321" s="32">
        <f>IFERROR(__xludf.DUMMYFUNCTION("""COMPUTED_VALUE"""),5.8151)</f>
        <v>5.8151</v>
      </c>
      <c r="AD321" s="32">
        <f>IFERROR(__xludf.DUMMYFUNCTION("""COMPUTED_VALUE"""),5.6951)</f>
        <v>5.6951</v>
      </c>
      <c r="AE321" s="32">
        <f>IFERROR(__xludf.DUMMYFUNCTION("""COMPUTED_VALUE"""),2.975906)</f>
        <v>2.975906</v>
      </c>
      <c r="AF321" s="32">
        <f>IFERROR(__xludf.DUMMYFUNCTION("""COMPUTED_VALUE"""),-3.951419)</f>
        <v>-3.951419</v>
      </c>
      <c r="AG321" s="32">
        <f>IFERROR(__xludf.DUMMYFUNCTION("""COMPUTED_VALUE"""),0.4064)</f>
        <v>0.4064</v>
      </c>
      <c r="AH321" s="32">
        <f>IFERROR(__xludf.DUMMYFUNCTION("""COMPUTED_VALUE"""),14.081628)</f>
        <v>14.081628</v>
      </c>
      <c r="AI321" s="32">
        <f>IFERROR(__xludf.DUMMYFUNCTION("""COMPUTED_VALUE"""),0.796569975319589)</f>
        <v>0.7965699753</v>
      </c>
      <c r="AJ321" s="32">
        <f>IFERROR(__xludf.DUMMYFUNCTION("""COMPUTED_VALUE"""),17.507506684294473)</f>
        <v>17.50750668</v>
      </c>
      <c r="AK321" s="32">
        <f>IFERROR(__xludf.DUMMYFUNCTION("""COMPUTED_VALUE"""),5.7313)</f>
        <v>5.7313</v>
      </c>
      <c r="AL321" s="32">
        <f>IFERROR(__xludf.DUMMYFUNCTION("""COMPUTED_VALUE"""),83.9452)</f>
        <v>83.9452</v>
      </c>
      <c r="AM321" s="32">
        <f>IFERROR(__xludf.DUMMYFUNCTION("""COMPUTED_VALUE"""),27.915681)</f>
        <v>27.915681</v>
      </c>
      <c r="AN321" s="32">
        <f>IFERROR(__xludf.DUMMYFUNCTION("""COMPUTED_VALUE"""),15.626826)</f>
        <v>15.626826</v>
      </c>
      <c r="AO321" s="32">
        <f>IFERROR(__xludf.DUMMYFUNCTION("""COMPUTED_VALUE"""),2.0)</f>
        <v>2</v>
      </c>
      <c r="AP321" s="32">
        <f>IFERROR(__xludf.DUMMYFUNCTION("""COMPUTED_VALUE"""),0.39373464373464373)</f>
        <v>0.3937346437</v>
      </c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>
      <c r="A322" s="13" t="str">
        <f>IFERROR(__xludf.DUMMYFUNCTION("""COMPUTED_VALUE"""),"NCC Ltd.")</f>
        <v>NCC Ltd.</v>
      </c>
      <c r="B322" s="30">
        <f>IFERROR(__xludf.DUMMYFUNCTION("""COMPUTED_VALUE"""),500294.0)</f>
        <v>500294</v>
      </c>
      <c r="C322" s="13" t="str">
        <f>IFERROR(__xludf.DUMMYFUNCTION("""COMPUTED_VALUE"""),"NCC")</f>
        <v>NCC</v>
      </c>
      <c r="D322" s="13" t="str">
        <f>IFERROR(__xludf.DUMMYFUNCTION("""COMPUTED_VALUE"""),"INE868B01028")</f>
        <v>INE868B01028</v>
      </c>
      <c r="E322" s="13" t="str">
        <f>IFERROR(__xludf.DUMMYFUNCTION("""COMPUTED_VALUE"""),"Construction")</f>
        <v>Construction</v>
      </c>
      <c r="F322" s="13" t="str">
        <f>IFERROR(__xludf.DUMMYFUNCTION("""COMPUTED_VALUE"""),"Construction")</f>
        <v>Construction</v>
      </c>
      <c r="G322" s="31">
        <f>IFERROR(__xludf.DUMMYFUNCTION("""COMPUTED_VALUE"""),44809.0)</f>
        <v>44809</v>
      </c>
      <c r="H322" s="32">
        <f>IFERROR(__xludf.DUMMYFUNCTION("""COMPUTED_VALUE"""),74.2)</f>
        <v>74.2</v>
      </c>
      <c r="I322" s="32">
        <f>IFERROR(__xludf.DUMMYFUNCTION("""COMPUTED_VALUE"""),-0.13459)</f>
        <v>-0.13459</v>
      </c>
      <c r="J322" s="32">
        <f>IFERROR(__xludf.DUMMYFUNCTION("""COMPUTED_VALUE"""),52.2)</f>
        <v>52.2</v>
      </c>
      <c r="K322" s="32">
        <f>IFERROR(__xludf.DUMMYFUNCTION("""COMPUTED_VALUE"""),87.5)</f>
        <v>87.5</v>
      </c>
      <c r="L322" s="32">
        <f>IFERROR(__xludf.DUMMYFUNCTION("""COMPUTED_VALUE"""),15.85)</f>
        <v>15.85</v>
      </c>
      <c r="M322" s="32">
        <f>IFERROR(__xludf.DUMMYFUNCTION("""COMPUTED_VALUE"""),100.0)</f>
        <v>100</v>
      </c>
      <c r="N322" s="32">
        <f>IFERROR(__xludf.DUMMYFUNCTION("""COMPUTED_VALUE"""),15.85)</f>
        <v>15.85</v>
      </c>
      <c r="O322" s="32">
        <f>IFERROR(__xludf.DUMMYFUNCTION("""COMPUTED_VALUE"""),141.85)</f>
        <v>141.85</v>
      </c>
      <c r="P322" s="32">
        <f>IFERROR(__xludf.DUMMYFUNCTION("""COMPUTED_VALUE"""),0.759651)</f>
        <v>0.759651</v>
      </c>
      <c r="Q322" s="32">
        <f>IFERROR(__xludf.DUMMYFUNCTION("""COMPUTED_VALUE"""),260.835779)</f>
        <v>260.835779</v>
      </c>
      <c r="R322" s="32">
        <f>IFERROR(__xludf.DUMMYFUNCTION("""COMPUTED_VALUE"""),4658.62168296)</f>
        <v>4658.621683</v>
      </c>
      <c r="S322" s="32">
        <f>IFERROR(__xludf.DUMMYFUNCTION("""COMPUTED_VALUE"""),5338.66245002)</f>
        <v>5338.66245</v>
      </c>
      <c r="T322" s="32">
        <f>IFERROR(__xludf.DUMMYFUNCTION("""COMPUTED_VALUE"""),7.225434)</f>
        <v>7.225434</v>
      </c>
      <c r="U322" s="32">
        <f>IFERROR(__xludf.DUMMYFUNCTION("""COMPUTED_VALUE"""),20.552396)</f>
        <v>20.552396</v>
      </c>
      <c r="V322" s="32">
        <f>IFERROR(__xludf.DUMMYFUNCTION("""COMPUTED_VALUE"""),15.396579)</f>
        <v>15.396579</v>
      </c>
      <c r="W322" s="32">
        <f>IFERROR(__xludf.DUMMYFUNCTION("""COMPUTED_VALUE"""),-7.940447)</f>
        <v>-7.940447</v>
      </c>
      <c r="X322" s="32">
        <f>IFERROR(__xludf.DUMMYFUNCTION("""COMPUTED_VALUE"""),10.596765)</f>
        <v>10.596765</v>
      </c>
      <c r="Y322" s="32">
        <f>IFERROR(__xludf.DUMMYFUNCTION("""COMPUTED_VALUE"""),-2.806599)</f>
        <v>-2.806599</v>
      </c>
      <c r="Z322" s="32">
        <f>IFERROR(__xludf.DUMMYFUNCTION("""COMPUTED_VALUE"""),12.849933)</f>
        <v>12.849933</v>
      </c>
      <c r="AA322" s="32">
        <f>IFERROR(__xludf.DUMMYFUNCTION("""COMPUTED_VALUE"""),8.2879)</f>
        <v>8.2879</v>
      </c>
      <c r="AB322" s="32">
        <f>IFERROR(__xludf.DUMMYFUNCTION("""COMPUTED_VALUE"""),12.08515)</f>
        <v>12.08515</v>
      </c>
      <c r="AC322" s="32">
        <f>IFERROR(__xludf.DUMMYFUNCTION("""COMPUTED_VALUE"""),0.8008)</f>
        <v>0.8008</v>
      </c>
      <c r="AD322" s="32">
        <f>IFERROR(__xludf.DUMMYFUNCTION("""COMPUTED_VALUE"""),0.9015)</f>
        <v>0.9015</v>
      </c>
      <c r="AE322" s="32">
        <f>IFERROR(__xludf.DUMMYFUNCTION("""COMPUTED_VALUE"""),20.481854)</f>
        <v>20.481854</v>
      </c>
      <c r="AF322" s="32">
        <f>IFERROR(__xludf.DUMMYFUNCTION("""COMPUTED_VALUE"""),0.126399)</f>
        <v>0.126399</v>
      </c>
      <c r="AG322" s="32">
        <f>IFERROR(__xludf.DUMMYFUNCTION("""COMPUTED_VALUE"""),2.6954)</f>
        <v>2.6954</v>
      </c>
      <c r="AH322" s="32">
        <f>IFERROR(__xludf.DUMMYFUNCTION("""COMPUTED_VALUE"""),4.442259)</f>
        <v>4.442259</v>
      </c>
      <c r="AI322" s="32">
        <f>IFERROR(__xludf.DUMMYFUNCTION("""COMPUTED_VALUE"""),0.3758465449370351)</f>
        <v>0.3758465449</v>
      </c>
      <c r="AJ322" s="32">
        <f>IFERROR(__xludf.DUMMYFUNCTION("""COMPUTED_VALUE"""),3.291032943350641)</f>
        <v>3.291032943</v>
      </c>
      <c r="AK322" s="32">
        <f>IFERROR(__xludf.DUMMYFUNCTION("""COMPUTED_VALUE"""),8.9528)</f>
        <v>8.9528</v>
      </c>
      <c r="AL322" s="32">
        <f>IFERROR(__xludf.DUMMYFUNCTION("""COMPUTED_VALUE"""),92.6532)</f>
        <v>92.6532</v>
      </c>
      <c r="AM322" s="32">
        <f>IFERROR(__xludf.DUMMYFUNCTION("""COMPUTED_VALUE"""),23.211445)</f>
        <v>23.211445</v>
      </c>
      <c r="AN322" s="32">
        <f>IFERROR(__xludf.DUMMYFUNCTION("""COMPUTED_VALUE"""),15.823071)</f>
        <v>15.823071</v>
      </c>
      <c r="AO322" s="32">
        <f>IFERROR(__xludf.DUMMYFUNCTION("""COMPUTED_VALUE"""),2.0)</f>
        <v>2</v>
      </c>
      <c r="AP322" s="32">
        <f>IFERROR(__xludf.DUMMYFUNCTION("""COMPUTED_VALUE"""),0.15199999999999997)</f>
        <v>0.152</v>
      </c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>
      <c r="A323" s="13" t="str">
        <f>IFERROR(__xludf.DUMMYFUNCTION("""COMPUTED_VALUE"""),"Orient Electric Ltd.")</f>
        <v>Orient Electric Ltd.</v>
      </c>
      <c r="B323" s="30">
        <f>IFERROR(__xludf.DUMMYFUNCTION("""COMPUTED_VALUE"""),541301.0)</f>
        <v>541301</v>
      </c>
      <c r="C323" s="13" t="str">
        <f>IFERROR(__xludf.DUMMYFUNCTION("""COMPUTED_VALUE"""),"ORIENTELEC")</f>
        <v>ORIENTELEC</v>
      </c>
      <c r="D323" s="13" t="str">
        <f>IFERROR(__xludf.DUMMYFUNCTION("""COMPUTED_VALUE"""),"INE142Z01019")</f>
        <v>INE142Z01019</v>
      </c>
      <c r="E323" s="13" t="str">
        <f>IFERROR(__xludf.DUMMYFUNCTION("""COMPUTED_VALUE"""),"Consumer Discretionary")</f>
        <v>Consumer Discretionary</v>
      </c>
      <c r="F323" s="13" t="str">
        <f>IFERROR(__xludf.DUMMYFUNCTION("""COMPUTED_VALUE"""),"Kitchenware &amp; Appliances")</f>
        <v>Kitchenware &amp; Appliances</v>
      </c>
      <c r="G323" s="31">
        <f>IFERROR(__xludf.DUMMYFUNCTION("""COMPUTED_VALUE"""),44809.0)</f>
        <v>44809</v>
      </c>
      <c r="H323" s="32">
        <f>IFERROR(__xludf.DUMMYFUNCTION("""COMPUTED_VALUE"""),257.0)</f>
        <v>257</v>
      </c>
      <c r="I323" s="32">
        <f>IFERROR(__xludf.DUMMYFUNCTION("""COMPUTED_VALUE"""),1.181102)</f>
        <v>1.181102</v>
      </c>
      <c r="J323" s="32">
        <f>IFERROR(__xludf.DUMMYFUNCTION("""COMPUTED_VALUE"""),244.0)</f>
        <v>244</v>
      </c>
      <c r="K323" s="32">
        <f>IFERROR(__xludf.DUMMYFUNCTION("""COMPUTED_VALUE"""),408.2)</f>
        <v>408.2</v>
      </c>
      <c r="L323" s="32">
        <f>IFERROR(__xludf.DUMMYFUNCTION("""COMPUTED_VALUE"""),138.15)</f>
        <v>138.15</v>
      </c>
      <c r="M323" s="32">
        <f>IFERROR(__xludf.DUMMYFUNCTION("""COMPUTED_VALUE"""),408.2)</f>
        <v>408.2</v>
      </c>
      <c r="N323" s="13"/>
      <c r="O323" s="13"/>
      <c r="P323" s="32">
        <f>IFERROR(__xludf.DUMMYFUNCTION("""COMPUTED_VALUE"""),103.25)</f>
        <v>103.25</v>
      </c>
      <c r="Q323" s="32">
        <f>IFERROR(__xludf.DUMMYFUNCTION("""COMPUTED_VALUE"""),408.2)</f>
        <v>408.2</v>
      </c>
      <c r="R323" s="32">
        <f>IFERROR(__xludf.DUMMYFUNCTION("""COMPUTED_VALUE"""),5463.688979045)</f>
        <v>5463.688979</v>
      </c>
      <c r="S323" s="32">
        <f>IFERROR(__xludf.DUMMYFUNCTION("""COMPUTED_VALUE"""),5270.454833655)</f>
        <v>5270.454834</v>
      </c>
      <c r="T323" s="32">
        <f>IFERROR(__xludf.DUMMYFUNCTION("""COMPUTED_VALUE"""),-2.225604)</f>
        <v>-2.225604</v>
      </c>
      <c r="U323" s="32">
        <f>IFERROR(__xludf.DUMMYFUNCTION("""COMPUTED_VALUE"""),-2.281369)</f>
        <v>-2.281369</v>
      </c>
      <c r="V323" s="32">
        <f>IFERROR(__xludf.DUMMYFUNCTION("""COMPUTED_VALUE"""),-6.153003)</f>
        <v>-6.153003</v>
      </c>
      <c r="W323" s="32">
        <f>IFERROR(__xludf.DUMMYFUNCTION("""COMPUTED_VALUE"""),-22.109411)</f>
        <v>-22.109411</v>
      </c>
      <c r="X323" s="32">
        <f>IFERROR(__xludf.DUMMYFUNCTION("""COMPUTED_VALUE"""),18.65295)</f>
        <v>18.65295</v>
      </c>
      <c r="Y323" s="13"/>
      <c r="Z323" s="13"/>
      <c r="AA323" s="32">
        <f>IFERROR(__xludf.DUMMYFUNCTION("""COMPUTED_VALUE"""),38.8653)</f>
        <v>38.8653</v>
      </c>
      <c r="AB323" s="32">
        <f>IFERROR(__xludf.DUMMYFUNCTION("""COMPUTED_VALUE"""),52.03185)</f>
        <v>52.03185</v>
      </c>
      <c r="AC323" s="32">
        <f>IFERROR(__xludf.DUMMYFUNCTION("""COMPUTED_VALUE"""),9.7664)</f>
        <v>9.7664</v>
      </c>
      <c r="AD323" s="32">
        <f>IFERROR(__xludf.DUMMYFUNCTION("""COMPUTED_VALUE"""),13.5134)</f>
        <v>13.5134</v>
      </c>
      <c r="AE323" s="32">
        <f>IFERROR(__xludf.DUMMYFUNCTION("""COMPUTED_VALUE"""),4.111948)</f>
        <v>4.111948</v>
      </c>
      <c r="AF323" s="32">
        <f>IFERROR(__xludf.DUMMYFUNCTION("""COMPUTED_VALUE"""),1.712902)</f>
        <v>1.712902</v>
      </c>
      <c r="AG323" s="32">
        <f>IFERROR(__xludf.DUMMYFUNCTION("""COMPUTED_VALUE"""),0.7787)</f>
        <v>0.7787</v>
      </c>
      <c r="AH323" s="32">
        <f>IFERROR(__xludf.DUMMYFUNCTION("""COMPUTED_VALUE"""),20.488473)</f>
        <v>20.488473</v>
      </c>
      <c r="AI323" s="32">
        <f>IFERROR(__xludf.DUMMYFUNCTION("""COMPUTED_VALUE"""),2.0635760284645426)</f>
        <v>2.063576028</v>
      </c>
      <c r="AJ323" s="32">
        <f>IFERROR(__xludf.DUMMYFUNCTION("""COMPUTED_VALUE"""),480.53553025901493)</f>
        <v>480.5355303</v>
      </c>
      <c r="AK323" s="32">
        <f>IFERROR(__xludf.DUMMYFUNCTION("""COMPUTED_VALUE"""),6.6087)</f>
        <v>6.6087</v>
      </c>
      <c r="AL323" s="32">
        <f>IFERROR(__xludf.DUMMYFUNCTION("""COMPUTED_VALUE"""),26.2993)</f>
        <v>26.2993</v>
      </c>
      <c r="AM323" s="32">
        <f>IFERROR(__xludf.DUMMYFUNCTION("""COMPUTED_VALUE"""),0.535815)</f>
        <v>0.535815</v>
      </c>
      <c r="AN323" s="32">
        <f>IFERROR(__xludf.DUMMYFUNCTION("""COMPUTED_VALUE"""),-2.806786)</f>
        <v>-2.806786</v>
      </c>
      <c r="AO323" s="32">
        <f>IFERROR(__xludf.DUMMYFUNCTION("""COMPUTED_VALUE"""),2.0)</f>
        <v>2</v>
      </c>
      <c r="AP323" s="32">
        <f>IFERROR(__xludf.DUMMYFUNCTION("""COMPUTED_VALUE"""),0.37040666340029393)</f>
        <v>0.3704066634</v>
      </c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>
      <c r="A324" s="13" t="str">
        <f>IFERROR(__xludf.DUMMYFUNCTION("""COMPUTED_VALUE"""),"Privi Speciality Chemicals Ltd.")</f>
        <v>Privi Speciality Chemicals Ltd.</v>
      </c>
      <c r="B324" s="30">
        <f>IFERROR(__xludf.DUMMYFUNCTION("""COMPUTED_VALUE"""),530117.0)</f>
        <v>530117</v>
      </c>
      <c r="C324" s="13" t="str">
        <f>IFERROR(__xludf.DUMMYFUNCTION("""COMPUTED_VALUE"""),"PRIVISCL")</f>
        <v>PRIVISCL</v>
      </c>
      <c r="D324" s="13" t="str">
        <f>IFERROR(__xludf.DUMMYFUNCTION("""COMPUTED_VALUE"""),"INE959A01019")</f>
        <v>INE959A01019</v>
      </c>
      <c r="E324" s="13" t="str">
        <f>IFERROR(__xludf.DUMMYFUNCTION("""COMPUTED_VALUE"""),"Chemicals")</f>
        <v>Chemicals</v>
      </c>
      <c r="F324" s="13" t="str">
        <f>IFERROR(__xludf.DUMMYFUNCTION("""COMPUTED_VALUE"""),"Organic Chemicals")</f>
        <v>Organic Chemicals</v>
      </c>
      <c r="G324" s="31">
        <f>IFERROR(__xludf.DUMMYFUNCTION("""COMPUTED_VALUE"""),44809.0)</f>
        <v>44809</v>
      </c>
      <c r="H324" s="32">
        <f>IFERROR(__xludf.DUMMYFUNCTION("""COMPUTED_VALUE"""),1389.95)</f>
        <v>1389.95</v>
      </c>
      <c r="I324" s="32">
        <f>IFERROR(__xludf.DUMMYFUNCTION("""COMPUTED_VALUE"""),-2.27792)</f>
        <v>-2.27792</v>
      </c>
      <c r="J324" s="32">
        <f>IFERROR(__xludf.DUMMYFUNCTION("""COMPUTED_VALUE"""),1015.3)</f>
        <v>1015.3</v>
      </c>
      <c r="K324" s="32">
        <f>IFERROR(__xludf.DUMMYFUNCTION("""COMPUTED_VALUE"""),2268.0)</f>
        <v>2268</v>
      </c>
      <c r="L324" s="32">
        <f>IFERROR(__xludf.DUMMYFUNCTION("""COMPUTED_VALUE"""),355.05)</f>
        <v>355.05</v>
      </c>
      <c r="M324" s="32">
        <f>IFERROR(__xludf.DUMMYFUNCTION("""COMPUTED_VALUE"""),2268.0)</f>
        <v>2268</v>
      </c>
      <c r="N324" s="32">
        <f>IFERROR(__xludf.DUMMYFUNCTION("""COMPUTED_VALUE"""),319.55)</f>
        <v>319.55</v>
      </c>
      <c r="O324" s="32">
        <f>IFERROR(__xludf.DUMMYFUNCTION("""COMPUTED_VALUE"""),2268.0)</f>
        <v>2268</v>
      </c>
      <c r="P324" s="32">
        <f>IFERROR(__xludf.DUMMYFUNCTION("""COMPUTED_VALUE"""),1.756198)</f>
        <v>1.756198</v>
      </c>
      <c r="Q324" s="32">
        <f>IFERROR(__xludf.DUMMYFUNCTION("""COMPUTED_VALUE"""),2268.0)</f>
        <v>2268</v>
      </c>
      <c r="R324" s="32">
        <f>IFERROR(__xludf.DUMMYFUNCTION("""COMPUTED_VALUE"""),5430.10676106)</f>
        <v>5430.106761</v>
      </c>
      <c r="S324" s="32">
        <f>IFERROR(__xludf.DUMMYFUNCTION("""COMPUTED_VALUE"""),6391.37291843)</f>
        <v>6391.372918</v>
      </c>
      <c r="T324" s="32">
        <f>IFERROR(__xludf.DUMMYFUNCTION("""COMPUTED_VALUE"""),0.201853)</f>
        <v>0.201853</v>
      </c>
      <c r="U324" s="32">
        <f>IFERROR(__xludf.DUMMYFUNCTION("""COMPUTED_VALUE"""),11.988881)</f>
        <v>11.988881</v>
      </c>
      <c r="V324" s="32">
        <f>IFERROR(__xludf.DUMMYFUNCTION("""COMPUTED_VALUE"""),17.627893)</f>
        <v>17.627893</v>
      </c>
      <c r="W324" s="32">
        <f>IFERROR(__xludf.DUMMYFUNCTION("""COMPUTED_VALUE"""),-14.732225)</f>
        <v>-14.732225</v>
      </c>
      <c r="X324" s="32">
        <f>IFERROR(__xludf.DUMMYFUNCTION("""COMPUTED_VALUE"""),42.430496)</f>
        <v>42.430496</v>
      </c>
      <c r="Y324" s="32">
        <f>IFERROR(__xludf.DUMMYFUNCTION("""COMPUTED_VALUE"""),27.656539)</f>
        <v>27.656539</v>
      </c>
      <c r="Z324" s="13"/>
      <c r="AA324" s="32">
        <f>IFERROR(__xludf.DUMMYFUNCTION("""COMPUTED_VALUE"""),60.0125)</f>
        <v>60.0125</v>
      </c>
      <c r="AB324" s="32">
        <f>IFERROR(__xludf.DUMMYFUNCTION("""COMPUTED_VALUE"""),29.5656)</f>
        <v>29.5656</v>
      </c>
      <c r="AC324" s="32">
        <f>IFERROR(__xludf.DUMMYFUNCTION("""COMPUTED_VALUE"""),6.5097)</f>
        <v>6.5097</v>
      </c>
      <c r="AD324" s="32">
        <f>IFERROR(__xludf.DUMMYFUNCTION("""COMPUTED_VALUE"""),3.46445)</f>
        <v>3.46445</v>
      </c>
      <c r="AE324" s="32">
        <f>IFERROR(__xludf.DUMMYFUNCTION("""COMPUTED_VALUE"""),2.854668)</f>
        <v>2.854668</v>
      </c>
      <c r="AF324" s="32">
        <f>IFERROR(__xludf.DUMMYFUNCTION("""COMPUTED_VALUE"""),2.545903)</f>
        <v>2.545903</v>
      </c>
      <c r="AG324" s="32">
        <f>IFERROR(__xludf.DUMMYFUNCTION("""COMPUTED_VALUE"""),0.1425)</f>
        <v>0.1425</v>
      </c>
      <c r="AH324" s="32">
        <f>IFERROR(__xludf.DUMMYFUNCTION("""COMPUTED_VALUE"""),28.334698)</f>
        <v>28.334698</v>
      </c>
      <c r="AI324" s="32">
        <f>IFERROR(__xludf.DUMMYFUNCTION("""COMPUTED_VALUE"""),3.7186373763371936)</f>
        <v>3.718637376</v>
      </c>
      <c r="AJ324" s="32">
        <f>IFERROR(__xludf.DUMMYFUNCTION("""COMPUTED_VALUE"""),1146.5354956736555)</f>
        <v>1146.535496</v>
      </c>
      <c r="AK324" s="32">
        <f>IFERROR(__xludf.DUMMYFUNCTION("""COMPUTED_VALUE"""),23.1635)</f>
        <v>23.1635</v>
      </c>
      <c r="AL324" s="32">
        <f>IFERROR(__xludf.DUMMYFUNCTION("""COMPUTED_VALUE"""),213.5415)</f>
        <v>213.5415</v>
      </c>
      <c r="AM324" s="32">
        <f>IFERROR(__xludf.DUMMYFUNCTION("""COMPUTED_VALUE"""),1.212435)</f>
        <v>1.212435</v>
      </c>
      <c r="AN324" s="32">
        <f>IFERROR(__xludf.DUMMYFUNCTION("""COMPUTED_VALUE"""),-84.61453)</f>
        <v>-84.61453</v>
      </c>
      <c r="AO324" s="32">
        <f>IFERROR(__xludf.DUMMYFUNCTION("""COMPUTED_VALUE"""),2.0)</f>
        <v>2</v>
      </c>
      <c r="AP324" s="32">
        <f>IFERROR(__xludf.DUMMYFUNCTION("""COMPUTED_VALUE"""),0.387147266313933)</f>
        <v>0.3871472663</v>
      </c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>
      <c r="A325" s="13" t="str">
        <f>IFERROR(__xludf.DUMMYFUNCTION("""COMPUTED_VALUE"""),"SBI Life Insurance Company Ltd.")</f>
        <v>SBI Life Insurance Company Ltd.</v>
      </c>
      <c r="B325" s="30">
        <f>IFERROR(__xludf.DUMMYFUNCTION("""COMPUTED_VALUE"""),540719.0)</f>
        <v>540719</v>
      </c>
      <c r="C325" s="13" t="str">
        <f>IFERROR(__xludf.DUMMYFUNCTION("""COMPUTED_VALUE"""),"SBILIFE")</f>
        <v>SBILIFE</v>
      </c>
      <c r="D325" s="13" t="str">
        <f>IFERROR(__xludf.DUMMYFUNCTION("""COMPUTED_VALUE"""),"INE123W01016")</f>
        <v>INE123W01016</v>
      </c>
      <c r="E325" s="13" t="str">
        <f>IFERROR(__xludf.DUMMYFUNCTION("""COMPUTED_VALUE"""),"Insurance")</f>
        <v>Insurance</v>
      </c>
      <c r="F325" s="13" t="str">
        <f>IFERROR(__xludf.DUMMYFUNCTION("""COMPUTED_VALUE"""),"Life Insurance")</f>
        <v>Life Insurance</v>
      </c>
      <c r="G325" s="31">
        <f>IFERROR(__xludf.DUMMYFUNCTION("""COMPUTED_VALUE"""),44809.0)</f>
        <v>44809</v>
      </c>
      <c r="H325" s="32">
        <f>IFERROR(__xludf.DUMMYFUNCTION("""COMPUTED_VALUE"""),1293.4)</f>
        <v>1293.4</v>
      </c>
      <c r="I325" s="32">
        <f>IFERROR(__xludf.DUMMYFUNCTION("""COMPUTED_VALUE"""),0.403664)</f>
        <v>0.403664</v>
      </c>
      <c r="J325" s="32">
        <f>IFERROR(__xludf.DUMMYFUNCTION("""COMPUTED_VALUE"""),1003.5)</f>
        <v>1003.5</v>
      </c>
      <c r="K325" s="32">
        <f>IFERROR(__xludf.DUMMYFUNCTION("""COMPUTED_VALUE"""),1334.7)</f>
        <v>1334.7</v>
      </c>
      <c r="L325" s="32">
        <f>IFERROR(__xludf.DUMMYFUNCTION("""COMPUTED_VALUE"""),519.4)</f>
        <v>519.4</v>
      </c>
      <c r="M325" s="32">
        <f>IFERROR(__xludf.DUMMYFUNCTION("""COMPUTED_VALUE"""),1334.7)</f>
        <v>1334.7</v>
      </c>
      <c r="N325" s="13"/>
      <c r="O325" s="13"/>
      <c r="P325" s="32">
        <f>IFERROR(__xludf.DUMMYFUNCTION("""COMPUTED_VALUE"""),485.0)</f>
        <v>485</v>
      </c>
      <c r="Q325" s="32">
        <f>IFERROR(__xludf.DUMMYFUNCTION("""COMPUTED_VALUE"""),1334.7)</f>
        <v>1334.7</v>
      </c>
      <c r="R325" s="32">
        <f>IFERROR(__xludf.DUMMYFUNCTION("""COMPUTED_VALUE"""),129452.38242789001)</f>
        <v>129452.3824</v>
      </c>
      <c r="S325" s="32">
        <f>IFERROR(__xludf.DUMMYFUNCTION("""COMPUTED_VALUE"""),125742.841545405)</f>
        <v>125742.8415</v>
      </c>
      <c r="T325" s="32">
        <f>IFERROR(__xludf.DUMMYFUNCTION("""COMPUTED_VALUE"""),-1.545254)</f>
        <v>-1.545254</v>
      </c>
      <c r="U325" s="32">
        <f>IFERROR(__xludf.DUMMYFUNCTION("""COMPUTED_VALUE"""),1.141695)</f>
        <v>1.141695</v>
      </c>
      <c r="V325" s="32">
        <f>IFERROR(__xludf.DUMMYFUNCTION("""COMPUTED_VALUE"""),13.341804)</f>
        <v>13.341804</v>
      </c>
      <c r="W325" s="32">
        <f>IFERROR(__xludf.DUMMYFUNCTION("""COMPUTED_VALUE"""),3.958526)</f>
        <v>3.958526</v>
      </c>
      <c r="X325" s="32">
        <f>IFERROR(__xludf.DUMMYFUNCTION("""COMPUTED_VALUE"""),16.104089)</f>
        <v>16.104089</v>
      </c>
      <c r="Y325" s="13"/>
      <c r="Z325" s="13"/>
      <c r="AA325" s="32">
        <f>IFERROR(__xludf.DUMMYFUNCTION("""COMPUTED_VALUE"""),83.7511)</f>
        <v>83.7511</v>
      </c>
      <c r="AB325" s="32">
        <f>IFERROR(__xludf.DUMMYFUNCTION("""COMPUTED_VALUE"""),67.9165)</f>
        <v>67.9165</v>
      </c>
      <c r="AC325" s="32">
        <f>IFERROR(__xludf.DUMMYFUNCTION("""COMPUTED_VALUE"""),11.0079)</f>
        <v>11.0079</v>
      </c>
      <c r="AD325" s="32">
        <f>IFERROR(__xludf.DUMMYFUNCTION("""COMPUTED_VALUE"""),9.85215)</f>
        <v>9.85215</v>
      </c>
      <c r="AE325" s="32">
        <f>IFERROR(__xludf.DUMMYFUNCTION("""COMPUTED_VALUE"""),9.791041)</f>
        <v>9.791041</v>
      </c>
      <c r="AF325" s="32">
        <f>IFERROR(__xludf.DUMMYFUNCTION("""COMPUTED_VALUE"""),17.592437)</f>
        <v>17.592437</v>
      </c>
      <c r="AG325" s="32">
        <f>IFERROR(__xludf.DUMMYFUNCTION("""COMPUTED_VALUE"""),0.1546)</f>
        <v>0.1546</v>
      </c>
      <c r="AH325" s="32">
        <f>IFERROR(__xludf.DUMMYFUNCTION("""COMPUTED_VALUE"""),74.507654)</f>
        <v>74.507654</v>
      </c>
      <c r="AI325" s="32">
        <f>IFERROR(__xludf.DUMMYFUNCTION("""COMPUTED_VALUE"""),2.116764819213134)</f>
        <v>2.116764819</v>
      </c>
      <c r="AJ325" s="32">
        <f>IFERROR(__xludf.DUMMYFUNCTION("""COMPUTED_VALUE"""),5.924069508511858)</f>
        <v>5.924069509</v>
      </c>
      <c r="AK325" s="32">
        <f>IFERROR(__xludf.DUMMYFUNCTION("""COMPUTED_VALUE"""),15.447)</f>
        <v>15.447</v>
      </c>
      <c r="AL325" s="32">
        <f>IFERROR(__xludf.DUMMYFUNCTION("""COMPUTED_VALUE"""),117.5251)</f>
        <v>117.5251</v>
      </c>
      <c r="AM325" s="32">
        <f>IFERROR(__xludf.DUMMYFUNCTION("""COMPUTED_VALUE"""),218.438398)</f>
        <v>218.438398</v>
      </c>
      <c r="AN325" s="32">
        <f>IFERROR(__xludf.DUMMYFUNCTION("""COMPUTED_VALUE"""),14.496733)</f>
        <v>14.496733</v>
      </c>
      <c r="AO325" s="32">
        <f>IFERROR(__xludf.DUMMYFUNCTION("""COMPUTED_VALUE"""),2.0)</f>
        <v>2</v>
      </c>
      <c r="AP325" s="32">
        <f>IFERROR(__xludf.DUMMYFUNCTION("""COMPUTED_VALUE"""),0.03094328313478681)</f>
        <v>0.03094328313</v>
      </c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>
      <c r="A326" s="13" t="str">
        <f>IFERROR(__xludf.DUMMYFUNCTION("""COMPUTED_VALUE"""),"Tanla Platforms Ltd.")</f>
        <v>Tanla Platforms Ltd.</v>
      </c>
      <c r="B326" s="30">
        <f>IFERROR(__xludf.DUMMYFUNCTION("""COMPUTED_VALUE"""),532790.0)</f>
        <v>532790</v>
      </c>
      <c r="C326" s="13" t="str">
        <f>IFERROR(__xludf.DUMMYFUNCTION("""COMPUTED_VALUE"""),"TANLA")</f>
        <v>TANLA</v>
      </c>
      <c r="D326" s="13" t="str">
        <f>IFERROR(__xludf.DUMMYFUNCTION("""COMPUTED_VALUE"""),"INE483C01032")</f>
        <v>INE483C01032</v>
      </c>
      <c r="E326" s="13" t="str">
        <f>IFERROR(__xludf.DUMMYFUNCTION("""COMPUTED_VALUE"""),"Technology")</f>
        <v>Technology</v>
      </c>
      <c r="F326" s="13" t="str">
        <f>IFERROR(__xludf.DUMMYFUNCTION("""COMPUTED_VALUE"""),"Software")</f>
        <v>Software</v>
      </c>
      <c r="G326" s="31">
        <f>IFERROR(__xludf.DUMMYFUNCTION("""COMPUTED_VALUE"""),44809.0)</f>
        <v>44809</v>
      </c>
      <c r="H326" s="32">
        <f>IFERROR(__xludf.DUMMYFUNCTION("""COMPUTED_VALUE"""),744.15)</f>
        <v>744.15</v>
      </c>
      <c r="I326" s="32">
        <f>IFERROR(__xludf.DUMMYFUNCTION("""COMPUTED_VALUE"""),0.215474)</f>
        <v>0.215474</v>
      </c>
      <c r="J326" s="32">
        <f>IFERROR(__xludf.DUMMYFUNCTION("""COMPUTED_VALUE"""),584.5)</f>
        <v>584.5</v>
      </c>
      <c r="K326" s="32">
        <f>IFERROR(__xludf.DUMMYFUNCTION("""COMPUTED_VALUE"""),2096.75)</f>
        <v>2096.75</v>
      </c>
      <c r="L326" s="32">
        <f>IFERROR(__xludf.DUMMYFUNCTION("""COMPUTED_VALUE"""),37.1)</f>
        <v>37.1</v>
      </c>
      <c r="M326" s="32">
        <f>IFERROR(__xludf.DUMMYFUNCTION("""COMPUTED_VALUE"""),2096.75)</f>
        <v>2096.75</v>
      </c>
      <c r="N326" s="32">
        <f>IFERROR(__xludf.DUMMYFUNCTION("""COMPUTED_VALUE"""),26.35)</f>
        <v>26.35</v>
      </c>
      <c r="O326" s="32">
        <f>IFERROR(__xludf.DUMMYFUNCTION("""COMPUTED_VALUE"""),2096.75)</f>
        <v>2096.75</v>
      </c>
      <c r="P326" s="32">
        <f>IFERROR(__xludf.DUMMYFUNCTION("""COMPUTED_VALUE"""),2.4)</f>
        <v>2.4</v>
      </c>
      <c r="Q326" s="32">
        <f>IFERROR(__xludf.DUMMYFUNCTION("""COMPUTED_VALUE"""),2096.75)</f>
        <v>2096.75</v>
      </c>
      <c r="R326" s="32">
        <f>IFERROR(__xludf.DUMMYFUNCTION("""COMPUTED_VALUE"""),10099.4669112)</f>
        <v>10099.46691</v>
      </c>
      <c r="S326" s="32">
        <f>IFERROR(__xludf.DUMMYFUNCTION("""COMPUTED_VALUE"""),9209.369578985)</f>
        <v>9209.369579</v>
      </c>
      <c r="T326" s="32">
        <f>IFERROR(__xludf.DUMMYFUNCTION("""COMPUTED_VALUE"""),1.861611)</f>
        <v>1.861611</v>
      </c>
      <c r="U326" s="32">
        <f>IFERROR(__xludf.DUMMYFUNCTION("""COMPUTED_VALUE"""),-2.858821)</f>
        <v>-2.858821</v>
      </c>
      <c r="V326" s="32">
        <f>IFERROR(__xludf.DUMMYFUNCTION("""COMPUTED_VALUE"""),-47.035587)</f>
        <v>-47.035587</v>
      </c>
      <c r="W326" s="32">
        <f>IFERROR(__xludf.DUMMYFUNCTION("""COMPUTED_VALUE"""),-18.252225)</f>
        <v>-18.252225</v>
      </c>
      <c r="X326" s="32">
        <f>IFERROR(__xludf.DUMMYFUNCTION("""COMPUTED_VALUE"""),137.854726)</f>
        <v>137.854726</v>
      </c>
      <c r="Y326" s="32">
        <f>IFERROR(__xludf.DUMMYFUNCTION("""COMPUTED_VALUE"""),87.106622)</f>
        <v>87.106622</v>
      </c>
      <c r="Z326" s="32">
        <f>IFERROR(__xludf.DUMMYFUNCTION("""COMPUTED_VALUE"""),63.354002)</f>
        <v>63.354002</v>
      </c>
      <c r="AA326" s="32">
        <f>IFERROR(__xludf.DUMMYFUNCTION("""COMPUTED_VALUE"""),18.8702)</f>
        <v>18.8702</v>
      </c>
      <c r="AB326" s="32">
        <f>IFERROR(__xludf.DUMMYFUNCTION("""COMPUTED_VALUE"""),32.8411)</f>
        <v>32.8411</v>
      </c>
      <c r="AC326" s="32">
        <f>IFERROR(__xludf.DUMMYFUNCTION("""COMPUTED_VALUE"""),6.9874)</f>
        <v>6.9874</v>
      </c>
      <c r="AD326" s="32">
        <f>IFERROR(__xludf.DUMMYFUNCTION("""COMPUTED_VALUE"""),1.3233)</f>
        <v>1.3233</v>
      </c>
      <c r="AE326" s="32">
        <f>IFERROR(__xludf.DUMMYFUNCTION("""COMPUTED_VALUE"""),7.447952)</f>
        <v>7.447952</v>
      </c>
      <c r="AF326" s="32">
        <f>IFERROR(__xludf.DUMMYFUNCTION("""COMPUTED_VALUE"""),0.307069)</f>
        <v>0.307069</v>
      </c>
      <c r="AG326" s="32">
        <f>IFERROR(__xludf.DUMMYFUNCTION("""COMPUTED_VALUE"""),0.2688)</f>
        <v>0.2688</v>
      </c>
      <c r="AH326" s="32">
        <f>IFERROR(__xludf.DUMMYFUNCTION("""COMPUTED_VALUE"""),12.922583)</f>
        <v>12.922583</v>
      </c>
      <c r="AI326" s="32">
        <f>IFERROR(__xludf.DUMMYFUNCTION("""COMPUTED_VALUE"""),2.988243131323353)</f>
        <v>2.988243131</v>
      </c>
      <c r="AJ326" s="32">
        <f>IFERROR(__xludf.DUMMYFUNCTION("""COMPUTED_VALUE"""),20.76275473225631)</f>
        <v>20.76275473</v>
      </c>
      <c r="AK326" s="32">
        <f>IFERROR(__xludf.DUMMYFUNCTION("""COMPUTED_VALUE"""),39.4273)</f>
        <v>39.4273</v>
      </c>
      <c r="AL326" s="32">
        <f>IFERROR(__xludf.DUMMYFUNCTION("""COMPUTED_VALUE"""),106.4777)</f>
        <v>106.4777</v>
      </c>
      <c r="AM326" s="32">
        <f>IFERROR(__xludf.DUMMYFUNCTION("""COMPUTED_VALUE"""),35.833269)</f>
        <v>35.833269</v>
      </c>
      <c r="AN326" s="32">
        <f>IFERROR(__xludf.DUMMYFUNCTION("""COMPUTED_VALUE"""),29.207763)</f>
        <v>29.207763</v>
      </c>
      <c r="AO326" s="32">
        <f>IFERROR(__xludf.DUMMYFUNCTION("""COMPUTED_VALUE"""),2.0)</f>
        <v>2</v>
      </c>
      <c r="AP326" s="32">
        <f>IFERROR(__xludf.DUMMYFUNCTION("""COMPUTED_VALUE"""),0.6450935972338142)</f>
        <v>0.6450935972</v>
      </c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>
      <c r="A327" s="13" t="str">
        <f>IFERROR(__xludf.DUMMYFUNCTION("""COMPUTED_VALUE"""),"Tata Coffee Ltd.")</f>
        <v>Tata Coffee Ltd.</v>
      </c>
      <c r="B327" s="30">
        <f>IFERROR(__xludf.DUMMYFUNCTION("""COMPUTED_VALUE"""),532301.0)</f>
        <v>532301</v>
      </c>
      <c r="C327" s="13" t="str">
        <f>IFERROR(__xludf.DUMMYFUNCTION("""COMPUTED_VALUE"""),"TATACOFFEE")</f>
        <v>TATACOFFEE</v>
      </c>
      <c r="D327" s="13" t="str">
        <f>IFERROR(__xludf.DUMMYFUNCTION("""COMPUTED_VALUE"""),"INE493A01027")</f>
        <v>INE493A01027</v>
      </c>
      <c r="E327" s="13" t="str">
        <f>IFERROR(__xludf.DUMMYFUNCTION("""COMPUTED_VALUE"""),"Consumer Staples")</f>
        <v>Consumer Staples</v>
      </c>
      <c r="F327" s="13" t="str">
        <f>IFERROR(__xludf.DUMMYFUNCTION("""COMPUTED_VALUE"""),"Tea &amp; Coffee")</f>
        <v>Tea &amp; Coffee</v>
      </c>
      <c r="G327" s="31">
        <f>IFERROR(__xludf.DUMMYFUNCTION("""COMPUTED_VALUE"""),44809.0)</f>
        <v>44809</v>
      </c>
      <c r="H327" s="32">
        <f>IFERROR(__xludf.DUMMYFUNCTION("""COMPUTED_VALUE"""),243.1)</f>
        <v>243.1</v>
      </c>
      <c r="I327" s="32">
        <f>IFERROR(__xludf.DUMMYFUNCTION("""COMPUTED_VALUE"""),-0.572597)</f>
        <v>-0.572597</v>
      </c>
      <c r="J327" s="32">
        <f>IFERROR(__xludf.DUMMYFUNCTION("""COMPUTED_VALUE"""),181.65)</f>
        <v>181.65</v>
      </c>
      <c r="K327" s="32">
        <f>IFERROR(__xludf.DUMMYFUNCTION("""COMPUTED_VALUE"""),254.4)</f>
        <v>254.4</v>
      </c>
      <c r="L327" s="32">
        <f>IFERROR(__xludf.DUMMYFUNCTION("""COMPUTED_VALUE"""),47.1)</f>
        <v>47.1</v>
      </c>
      <c r="M327" s="32">
        <f>IFERROR(__xludf.DUMMYFUNCTION("""COMPUTED_VALUE"""),254.4)</f>
        <v>254.4</v>
      </c>
      <c r="N327" s="32">
        <f>IFERROR(__xludf.DUMMYFUNCTION("""COMPUTED_VALUE"""),47.1)</f>
        <v>47.1</v>
      </c>
      <c r="O327" s="32">
        <f>IFERROR(__xludf.DUMMYFUNCTION("""COMPUTED_VALUE"""),254.4)</f>
        <v>254.4</v>
      </c>
      <c r="P327" s="32">
        <f>IFERROR(__xludf.DUMMYFUNCTION("""COMPUTED_VALUE"""),4.95)</f>
        <v>4.95</v>
      </c>
      <c r="Q327" s="32">
        <f>IFERROR(__xludf.DUMMYFUNCTION("""COMPUTED_VALUE"""),254.4)</f>
        <v>254.4</v>
      </c>
      <c r="R327" s="32">
        <f>IFERROR(__xludf.DUMMYFUNCTION("""COMPUTED_VALUE"""),4536.6522873)</f>
        <v>4536.652287</v>
      </c>
      <c r="S327" s="32">
        <f>IFERROR(__xludf.DUMMYFUNCTION("""COMPUTED_VALUE"""),5357.4237354)</f>
        <v>5357.423735</v>
      </c>
      <c r="T327" s="32">
        <f>IFERROR(__xludf.DUMMYFUNCTION("""COMPUTED_VALUE"""),2.660473)</f>
        <v>2.660473</v>
      </c>
      <c r="U327" s="32">
        <f>IFERROR(__xludf.DUMMYFUNCTION("""COMPUTED_VALUE"""),10.852713)</f>
        <v>10.852713</v>
      </c>
      <c r="V327" s="32">
        <f>IFERROR(__xludf.DUMMYFUNCTION("""COMPUTED_VALUE"""),17.723971)</f>
        <v>17.723971</v>
      </c>
      <c r="W327" s="32">
        <f>IFERROR(__xludf.DUMMYFUNCTION("""COMPUTED_VALUE"""),17.100193)</f>
        <v>17.100193</v>
      </c>
      <c r="X327" s="32">
        <f>IFERROR(__xludf.DUMMYFUNCTION("""COMPUTED_VALUE"""),49.230253)</f>
        <v>49.230253</v>
      </c>
      <c r="Y327" s="32">
        <f>IFERROR(__xludf.DUMMYFUNCTION("""COMPUTED_VALUE"""),11.557346)</f>
        <v>11.557346</v>
      </c>
      <c r="Z327" s="32">
        <f>IFERROR(__xludf.DUMMYFUNCTION("""COMPUTED_VALUE"""),9.655737)</f>
        <v>9.655737</v>
      </c>
      <c r="AA327" s="32">
        <f>IFERROR(__xludf.DUMMYFUNCTION("""COMPUTED_VALUE"""),27.6457)</f>
        <v>27.6457</v>
      </c>
      <c r="AB327" s="32">
        <f>IFERROR(__xludf.DUMMYFUNCTION("""COMPUTED_VALUE"""),21.6715)</f>
        <v>21.6715</v>
      </c>
      <c r="AC327" s="32">
        <f>IFERROR(__xludf.DUMMYFUNCTION("""COMPUTED_VALUE"""),2.8644)</f>
        <v>2.8644</v>
      </c>
      <c r="AD327" s="32">
        <f>IFERROR(__xludf.DUMMYFUNCTION("""COMPUTED_VALUE"""),1.6465)</f>
        <v>1.6465</v>
      </c>
      <c r="AE327" s="32">
        <f>IFERROR(__xludf.DUMMYFUNCTION("""COMPUTED_VALUE"""),7.733713)</f>
        <v>7.733713</v>
      </c>
      <c r="AF327" s="32">
        <f>IFERROR(__xludf.DUMMYFUNCTION("""COMPUTED_VALUE"""),4.730537)</f>
        <v>4.730537</v>
      </c>
      <c r="AG327" s="32">
        <f>IFERROR(__xludf.DUMMYFUNCTION("""COMPUTED_VALUE"""),0.8234)</f>
        <v>0.8234</v>
      </c>
      <c r="AH327" s="32">
        <f>IFERROR(__xludf.DUMMYFUNCTION("""COMPUTED_VALUE"""),11.406297)</f>
        <v>11.406297</v>
      </c>
      <c r="AI327" s="32">
        <f>IFERROR(__xludf.DUMMYFUNCTION("""COMPUTED_VALUE"""),1.8196978385370706)</f>
        <v>1.819697839</v>
      </c>
      <c r="AJ327" s="32">
        <f>IFERROR(__xludf.DUMMYFUNCTION("""COMPUTED_VALUE"""),31.660833149904633)</f>
        <v>31.66083315</v>
      </c>
      <c r="AK327" s="32">
        <f>IFERROR(__xludf.DUMMYFUNCTION("""COMPUTED_VALUE"""),8.7862)</f>
        <v>8.7862</v>
      </c>
      <c r="AL327" s="32">
        <f>IFERROR(__xludf.DUMMYFUNCTION("""COMPUTED_VALUE"""),84.7989)</f>
        <v>84.7989</v>
      </c>
      <c r="AM327" s="32">
        <f>IFERROR(__xludf.DUMMYFUNCTION("""COMPUTED_VALUE"""),7.671955)</f>
        <v>7.671955</v>
      </c>
      <c r="AN327" s="32">
        <f>IFERROR(__xludf.DUMMYFUNCTION("""COMPUTED_VALUE"""),2.441431)</f>
        <v>2.441431</v>
      </c>
      <c r="AO327" s="32">
        <f>IFERROR(__xludf.DUMMYFUNCTION("""COMPUTED_VALUE"""),2.0)</f>
        <v>2</v>
      </c>
      <c r="AP327" s="32">
        <f>IFERROR(__xludf.DUMMYFUNCTION("""COMPUTED_VALUE"""),0.04441823899371074)</f>
        <v>0.04441823899</v>
      </c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>
      <c r="A328" s="13" t="str">
        <f>IFERROR(__xludf.DUMMYFUNCTION("""COMPUTED_VALUE"""),"Union Bank Of India")</f>
        <v>Union Bank Of India</v>
      </c>
      <c r="B328" s="30">
        <f>IFERROR(__xludf.DUMMYFUNCTION("""COMPUTED_VALUE"""),532477.0)</f>
        <v>532477</v>
      </c>
      <c r="C328" s="13" t="str">
        <f>IFERROR(__xludf.DUMMYFUNCTION("""COMPUTED_VALUE"""),"UNIONBANK")</f>
        <v>UNIONBANK</v>
      </c>
      <c r="D328" s="13" t="str">
        <f>IFERROR(__xludf.DUMMYFUNCTION("""COMPUTED_VALUE"""),"INE692A01016")</f>
        <v>INE692A01016</v>
      </c>
      <c r="E328" s="13" t="str">
        <f>IFERROR(__xludf.DUMMYFUNCTION("""COMPUTED_VALUE"""),"Financial")</f>
        <v>Financial</v>
      </c>
      <c r="F328" s="13" t="str">
        <f>IFERROR(__xludf.DUMMYFUNCTION("""COMPUTED_VALUE"""),"Banking")</f>
        <v>Banking</v>
      </c>
      <c r="G328" s="31">
        <f>IFERROR(__xludf.DUMMYFUNCTION("""COMPUTED_VALUE"""),44809.0)</f>
        <v>44809</v>
      </c>
      <c r="H328" s="32">
        <f>IFERROR(__xludf.DUMMYFUNCTION("""COMPUTED_VALUE"""),42.9)</f>
        <v>42.9</v>
      </c>
      <c r="I328" s="32">
        <f>IFERROR(__xludf.DUMMYFUNCTION("""COMPUTED_VALUE"""),0.941176)</f>
        <v>0.941176</v>
      </c>
      <c r="J328" s="32">
        <f>IFERROR(__xludf.DUMMYFUNCTION("""COMPUTED_VALUE"""),33.5)</f>
        <v>33.5</v>
      </c>
      <c r="K328" s="32">
        <f>IFERROR(__xludf.DUMMYFUNCTION("""COMPUTED_VALUE"""),54.8)</f>
        <v>54.8</v>
      </c>
      <c r="L328" s="32">
        <f>IFERROR(__xludf.DUMMYFUNCTION("""COMPUTED_VALUE"""),22.6)</f>
        <v>22.6</v>
      </c>
      <c r="M328" s="32">
        <f>IFERROR(__xludf.DUMMYFUNCTION("""COMPUTED_VALUE"""),65.8)</f>
        <v>65.8</v>
      </c>
      <c r="N328" s="32">
        <f>IFERROR(__xludf.DUMMYFUNCTION("""COMPUTED_VALUE"""),22.6)</f>
        <v>22.6</v>
      </c>
      <c r="O328" s="32">
        <f>IFERROR(__xludf.DUMMYFUNCTION("""COMPUTED_VALUE"""),196.05)</f>
        <v>196.05</v>
      </c>
      <c r="P328" s="32">
        <f>IFERROR(__xludf.DUMMYFUNCTION("""COMPUTED_VALUE"""),13.55)</f>
        <v>13.55</v>
      </c>
      <c r="Q328" s="32">
        <f>IFERROR(__xludf.DUMMYFUNCTION("""COMPUTED_VALUE"""),426.95)</f>
        <v>426.95</v>
      </c>
      <c r="R328" s="32">
        <f>IFERROR(__xludf.DUMMYFUNCTION("""COMPUTED_VALUE"""),29286.89289181)</f>
        <v>29286.89289</v>
      </c>
      <c r="S328" s="32">
        <f>IFERROR(__xludf.DUMMYFUNCTION("""COMPUTED_VALUE"""),-39465.3442695)</f>
        <v>-39465.34427</v>
      </c>
      <c r="T328" s="32">
        <f>IFERROR(__xludf.DUMMYFUNCTION("""COMPUTED_VALUE"""),0.822562)</f>
        <v>0.822562</v>
      </c>
      <c r="U328" s="32">
        <f>IFERROR(__xludf.DUMMYFUNCTION("""COMPUTED_VALUE"""),10.709677)</f>
        <v>10.709677</v>
      </c>
      <c r="V328" s="32">
        <f>IFERROR(__xludf.DUMMYFUNCTION("""COMPUTED_VALUE"""),11.284047)</f>
        <v>11.284047</v>
      </c>
      <c r="W328" s="32">
        <f>IFERROR(__xludf.DUMMYFUNCTION("""COMPUTED_VALUE"""),21.35785)</f>
        <v>21.35785</v>
      </c>
      <c r="X328" s="32">
        <f>IFERROR(__xludf.DUMMYFUNCTION("""COMPUTED_VALUE"""),-7.211461)</f>
        <v>-7.211461</v>
      </c>
      <c r="Y328" s="32">
        <f>IFERROR(__xludf.DUMMYFUNCTION("""COMPUTED_VALUE"""),-20.595052)</f>
        <v>-20.595052</v>
      </c>
      <c r="Z328" s="32">
        <f>IFERROR(__xludf.DUMMYFUNCTION("""COMPUTED_VALUE"""),-12.231473)</f>
        <v>-12.231473</v>
      </c>
      <c r="AA328" s="32">
        <f>IFERROR(__xludf.DUMMYFUNCTION("""COMPUTED_VALUE"""),5.1127)</f>
        <v>5.1127</v>
      </c>
      <c r="AB328" s="32">
        <f>IFERROR(__xludf.DUMMYFUNCTION("""COMPUTED_VALUE"""),6.42855)</f>
        <v>6.42855</v>
      </c>
      <c r="AC328" s="32">
        <f>IFERROR(__xludf.DUMMYFUNCTION("""COMPUTED_VALUE"""),0.4321)</f>
        <v>0.4321</v>
      </c>
      <c r="AD328" s="32">
        <f>IFERROR(__xludf.DUMMYFUNCTION("""COMPUTED_VALUE"""),0.42725)</f>
        <v>0.42725</v>
      </c>
      <c r="AE328" s="32">
        <f>IFERROR(__xludf.DUMMYFUNCTION("""COMPUTED_VALUE"""),-137.295146)</f>
        <v>-137.295146</v>
      </c>
      <c r="AF328" s="32">
        <f>IFERROR(__xludf.DUMMYFUNCTION("""COMPUTED_VALUE"""),0.201167)</f>
        <v>0.201167</v>
      </c>
      <c r="AG328" s="32">
        <f>IFERROR(__xludf.DUMMYFUNCTION("""COMPUTED_VALUE"""),4.4341)</f>
        <v>4.4341</v>
      </c>
      <c r="AH328" s="32">
        <f>IFERROR(__xludf.DUMMYFUNCTION("""COMPUTED_VALUE"""),-1.782281)</f>
        <v>-1.782281</v>
      </c>
      <c r="AI328" s="32">
        <f>IFERROR(__xludf.DUMMYFUNCTION("""COMPUTED_VALUE"""),0.4231783719444732)</f>
        <v>0.4231783719</v>
      </c>
      <c r="AJ328" s="32">
        <f>IFERROR(__xludf.DUMMYFUNCTION("""COMPUTED_VALUE"""),0.8059384590607798)</f>
        <v>0.8059384591</v>
      </c>
      <c r="AK328" s="32">
        <f>IFERROR(__xludf.DUMMYFUNCTION("""COMPUTED_VALUE"""),8.3811)</f>
        <v>8.3811</v>
      </c>
      <c r="AL328" s="32">
        <f>IFERROR(__xludf.DUMMYFUNCTION("""COMPUTED_VALUE"""),99.1588)</f>
        <v>99.1588</v>
      </c>
      <c r="AM328" s="32">
        <f>IFERROR(__xludf.DUMMYFUNCTION("""COMPUTED_VALUE"""),53.167831)</f>
        <v>53.167831</v>
      </c>
      <c r="AN328" s="32">
        <f>IFERROR(__xludf.DUMMYFUNCTION("""COMPUTED_VALUE"""),25.202953)</f>
        <v>25.202953</v>
      </c>
      <c r="AO328" s="32">
        <f>IFERROR(__xludf.DUMMYFUNCTION("""COMPUTED_VALUE"""),1.9)</f>
        <v>1.9</v>
      </c>
      <c r="AP328" s="32">
        <f>IFERROR(__xludf.DUMMYFUNCTION("""COMPUTED_VALUE"""),0.21715328467153283)</f>
        <v>0.2171532847</v>
      </c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>
      <c r="A329" s="13" t="str">
        <f>IFERROR(__xludf.DUMMYFUNCTION("""COMPUTED_VALUE"""),"NHPC Ltd.")</f>
        <v>NHPC Ltd.</v>
      </c>
      <c r="B329" s="30">
        <f>IFERROR(__xludf.DUMMYFUNCTION("""COMPUTED_VALUE"""),533098.0)</f>
        <v>533098</v>
      </c>
      <c r="C329" s="13" t="str">
        <f>IFERROR(__xludf.DUMMYFUNCTION("""COMPUTED_VALUE"""),"NHPC")</f>
        <v>NHPC</v>
      </c>
      <c r="D329" s="13" t="str">
        <f>IFERROR(__xludf.DUMMYFUNCTION("""COMPUTED_VALUE"""),"INE848E01016")</f>
        <v>INE848E01016</v>
      </c>
      <c r="E329" s="13" t="str">
        <f>IFERROR(__xludf.DUMMYFUNCTION("""COMPUTED_VALUE"""),"Energy")</f>
        <v>Energy</v>
      </c>
      <c r="F329" s="13" t="str">
        <f>IFERROR(__xludf.DUMMYFUNCTION("""COMPUTED_VALUE"""),"Electricity Generation")</f>
        <v>Electricity Generation</v>
      </c>
      <c r="G329" s="31">
        <f>IFERROR(__xludf.DUMMYFUNCTION("""COMPUTED_VALUE"""),44809.0)</f>
        <v>44809</v>
      </c>
      <c r="H329" s="32">
        <f>IFERROR(__xludf.DUMMYFUNCTION("""COMPUTED_VALUE"""),38.9)</f>
        <v>38.9</v>
      </c>
      <c r="I329" s="32">
        <f>IFERROR(__xludf.DUMMYFUNCTION("""COMPUTED_VALUE"""),0.1287)</f>
        <v>0.1287</v>
      </c>
      <c r="J329" s="32">
        <f>IFERROR(__xludf.DUMMYFUNCTION("""COMPUTED_VALUE"""),26.9)</f>
        <v>26.9</v>
      </c>
      <c r="K329" s="32">
        <f>IFERROR(__xludf.DUMMYFUNCTION("""COMPUTED_VALUE"""),40.4)</f>
        <v>40.4</v>
      </c>
      <c r="L329" s="32">
        <f>IFERROR(__xludf.DUMMYFUNCTION("""COMPUTED_VALUE"""),15.1)</f>
        <v>15.1</v>
      </c>
      <c r="M329" s="32">
        <f>IFERROR(__xludf.DUMMYFUNCTION("""COMPUTED_VALUE"""),40.4)</f>
        <v>40.4</v>
      </c>
      <c r="N329" s="32">
        <f>IFERROR(__xludf.DUMMYFUNCTION("""COMPUTED_VALUE"""),15.1)</f>
        <v>15.1</v>
      </c>
      <c r="O329" s="32">
        <f>IFERROR(__xludf.DUMMYFUNCTION("""COMPUTED_VALUE"""),40.4)</f>
        <v>40.4</v>
      </c>
      <c r="P329" s="32">
        <f>IFERROR(__xludf.DUMMYFUNCTION("""COMPUTED_VALUE"""),14.65)</f>
        <v>14.65</v>
      </c>
      <c r="Q329" s="32">
        <f>IFERROR(__xludf.DUMMYFUNCTION("""COMPUTED_VALUE"""),42.0)</f>
        <v>42</v>
      </c>
      <c r="R329" s="32">
        <f>IFERROR(__xludf.DUMMYFUNCTION("""COMPUTED_VALUE"""),39024.960217425)</f>
        <v>39024.96022</v>
      </c>
      <c r="S329" s="32">
        <f>IFERROR(__xludf.DUMMYFUNCTION("""COMPUTED_VALUE"""),63195.32539145)</f>
        <v>63195.32539</v>
      </c>
      <c r="T329" s="32">
        <f>IFERROR(__xludf.DUMMYFUNCTION("""COMPUTED_VALUE"""),9.423347)</f>
        <v>9.423347</v>
      </c>
      <c r="U329" s="32">
        <f>IFERROR(__xludf.DUMMYFUNCTION("""COMPUTED_VALUE"""),9.11641)</f>
        <v>9.11641</v>
      </c>
      <c r="V329" s="32">
        <f>IFERROR(__xludf.DUMMYFUNCTION("""COMPUTED_VALUE"""),19.508449)</f>
        <v>19.508449</v>
      </c>
      <c r="W329" s="32">
        <f>IFERROR(__xludf.DUMMYFUNCTION("""COMPUTED_VALUE"""),40.433213)</f>
        <v>40.433213</v>
      </c>
      <c r="X329" s="32">
        <f>IFERROR(__xludf.DUMMYFUNCTION("""COMPUTED_VALUE"""),18.293418)</f>
        <v>18.293418</v>
      </c>
      <c r="Y329" s="32">
        <f>IFERROR(__xludf.DUMMYFUNCTION("""COMPUTED_VALUE"""),6.307767)</f>
        <v>6.307767</v>
      </c>
      <c r="Z329" s="32">
        <f>IFERROR(__xludf.DUMMYFUNCTION("""COMPUTED_VALUE"""),8.131682)</f>
        <v>8.131682</v>
      </c>
      <c r="AA329" s="32">
        <f>IFERROR(__xludf.DUMMYFUNCTION("""COMPUTED_VALUE"""),8.0171)</f>
        <v>8.0171</v>
      </c>
      <c r="AB329" s="32">
        <f>IFERROR(__xludf.DUMMYFUNCTION("""COMPUTED_VALUE"""),9.5657)</f>
        <v>9.5657</v>
      </c>
      <c r="AC329" s="32">
        <f>IFERROR(__xludf.DUMMYFUNCTION("""COMPUTED_VALUE"""),1.3842)</f>
        <v>1.3842</v>
      </c>
      <c r="AD329" s="32">
        <f>IFERROR(__xludf.DUMMYFUNCTION("""COMPUTED_VALUE"""),0.977)</f>
        <v>0.977</v>
      </c>
      <c r="AE329" s="32">
        <f>IFERROR(__xludf.DUMMYFUNCTION("""COMPUTED_VALUE"""),9.528293)</f>
        <v>9.528293</v>
      </c>
      <c r="AF329" s="32">
        <f>IFERROR(__xludf.DUMMYFUNCTION("""COMPUTED_VALUE"""),4.83355)</f>
        <v>4.83355</v>
      </c>
      <c r="AG329" s="32">
        <f>IFERROR(__xludf.DUMMYFUNCTION("""COMPUTED_VALUE"""),4.6589)</f>
        <v>4.6589</v>
      </c>
      <c r="AH329" s="32">
        <f>IFERROR(__xludf.DUMMYFUNCTION("""COMPUTED_VALUE"""),10.167785)</f>
        <v>10.167785</v>
      </c>
      <c r="AI329" s="32">
        <f>IFERROR(__xludf.DUMMYFUNCTION("""COMPUTED_VALUE"""),4.083475663132534)</f>
        <v>4.083475663</v>
      </c>
      <c r="AJ329" s="32">
        <f>IFERROR(__xludf.DUMMYFUNCTION("""COMPUTED_VALUE"""),6.030010278056767)</f>
        <v>6.030010278</v>
      </c>
      <c r="AK329" s="32">
        <f>IFERROR(__xludf.DUMMYFUNCTION("""COMPUTED_VALUE"""),4.8459)</f>
        <v>4.8459</v>
      </c>
      <c r="AL329" s="32">
        <f>IFERROR(__xludf.DUMMYFUNCTION("""COMPUTED_VALUE"""),28.0661)</f>
        <v>28.0661</v>
      </c>
      <c r="AM329" s="32">
        <f>IFERROR(__xludf.DUMMYFUNCTION("""COMPUTED_VALUE"""),6.442778)</f>
        <v>6.442778</v>
      </c>
      <c r="AN329" s="32">
        <f>IFERROR(__xludf.DUMMYFUNCTION("""COMPUTED_VALUE"""),1.702902)</f>
        <v>1.702902</v>
      </c>
      <c r="AO329" s="32">
        <f>IFERROR(__xludf.DUMMYFUNCTION("""COMPUTED_VALUE"""),1.81)</f>
        <v>1.81</v>
      </c>
      <c r="AP329" s="32">
        <f>IFERROR(__xludf.DUMMYFUNCTION("""COMPUTED_VALUE"""),0.03712871287128713)</f>
        <v>0.03712871287</v>
      </c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>
      <c r="A330" s="13" t="str">
        <f>IFERROR(__xludf.DUMMYFUNCTION("""COMPUTED_VALUE"""),"The Federal Bank Ltd.")</f>
        <v>The Federal Bank Ltd.</v>
      </c>
      <c r="B330" s="30">
        <f>IFERROR(__xludf.DUMMYFUNCTION("""COMPUTED_VALUE"""),500469.0)</f>
        <v>500469</v>
      </c>
      <c r="C330" s="13" t="str">
        <f>IFERROR(__xludf.DUMMYFUNCTION("""COMPUTED_VALUE"""),"FEDERALBNK")</f>
        <v>FEDERALBNK</v>
      </c>
      <c r="D330" s="13" t="str">
        <f>IFERROR(__xludf.DUMMYFUNCTION("""COMPUTED_VALUE"""),"INE171A01029")</f>
        <v>INE171A01029</v>
      </c>
      <c r="E330" s="13" t="str">
        <f>IFERROR(__xludf.DUMMYFUNCTION("""COMPUTED_VALUE"""),"Financial")</f>
        <v>Financial</v>
      </c>
      <c r="F330" s="13" t="str">
        <f>IFERROR(__xludf.DUMMYFUNCTION("""COMPUTED_VALUE"""),"Banking")</f>
        <v>Banking</v>
      </c>
      <c r="G330" s="31">
        <f>IFERROR(__xludf.DUMMYFUNCTION("""COMPUTED_VALUE"""),44809.0)</f>
        <v>44809</v>
      </c>
      <c r="H330" s="32">
        <f>IFERROR(__xludf.DUMMYFUNCTION("""COMPUTED_VALUE"""),123.55)</f>
        <v>123.55</v>
      </c>
      <c r="I330" s="32">
        <f>IFERROR(__xludf.DUMMYFUNCTION("""COMPUTED_VALUE"""),3.34588)</f>
        <v>3.34588</v>
      </c>
      <c r="J330" s="32">
        <f>IFERROR(__xludf.DUMMYFUNCTION("""COMPUTED_VALUE"""),78.15)</f>
        <v>78.15</v>
      </c>
      <c r="K330" s="32">
        <f>IFERROR(__xludf.DUMMYFUNCTION("""COMPUTED_VALUE"""),129.75)</f>
        <v>129.75</v>
      </c>
      <c r="L330" s="32">
        <f>IFERROR(__xludf.DUMMYFUNCTION("""COMPUTED_VALUE"""),35.7)</f>
        <v>35.7</v>
      </c>
      <c r="M330" s="32">
        <f>IFERROR(__xludf.DUMMYFUNCTION("""COMPUTED_VALUE"""),129.75)</f>
        <v>129.75</v>
      </c>
      <c r="N330" s="32">
        <f>IFERROR(__xludf.DUMMYFUNCTION("""COMPUTED_VALUE"""),35.7)</f>
        <v>35.7</v>
      </c>
      <c r="O330" s="32">
        <f>IFERROR(__xludf.DUMMYFUNCTION("""COMPUTED_VALUE"""),129.75)</f>
        <v>129.75</v>
      </c>
      <c r="P330" s="32">
        <f>IFERROR(__xludf.DUMMYFUNCTION("""COMPUTED_VALUE"""),0.82884)</f>
        <v>0.82884</v>
      </c>
      <c r="Q330" s="32">
        <f>IFERROR(__xludf.DUMMYFUNCTION("""COMPUTED_VALUE"""),129.75)</f>
        <v>129.75</v>
      </c>
      <c r="R330" s="32">
        <f>IFERROR(__xludf.DUMMYFUNCTION("""COMPUTED_VALUE"""),26017.730579365)</f>
        <v>26017.73058</v>
      </c>
      <c r="S330" s="32">
        <f>IFERROR(__xludf.DUMMYFUNCTION("""COMPUTED_VALUE"""),23605.614411535)</f>
        <v>23605.61441</v>
      </c>
      <c r="T330" s="32">
        <f>IFERROR(__xludf.DUMMYFUNCTION("""COMPUTED_VALUE"""),8.472344)</f>
        <v>8.472344</v>
      </c>
      <c r="U330" s="32">
        <f>IFERROR(__xludf.DUMMYFUNCTION("""COMPUTED_VALUE"""),14.451135)</f>
        <v>14.451135</v>
      </c>
      <c r="V330" s="32">
        <f>IFERROR(__xludf.DUMMYFUNCTION("""COMPUTED_VALUE"""),37.049362)</f>
        <v>37.049362</v>
      </c>
      <c r="W330" s="32">
        <f>IFERROR(__xludf.DUMMYFUNCTION("""COMPUTED_VALUE"""),49.124925)</f>
        <v>49.124925</v>
      </c>
      <c r="X330" s="32">
        <f>IFERROR(__xludf.DUMMYFUNCTION("""COMPUTED_VALUE"""),14.665103)</f>
        <v>14.665103</v>
      </c>
      <c r="Y330" s="32">
        <f>IFERROR(__xludf.DUMMYFUNCTION("""COMPUTED_VALUE"""),2.037055)</f>
        <v>2.037055</v>
      </c>
      <c r="Z330" s="32">
        <f>IFERROR(__xludf.DUMMYFUNCTION("""COMPUTED_VALUE"""),11.7524)</f>
        <v>11.7524</v>
      </c>
      <c r="AA330" s="32">
        <f>IFERROR(__xludf.DUMMYFUNCTION("""COMPUTED_VALUE"""),11.5776)</f>
        <v>11.5776</v>
      </c>
      <c r="AB330" s="32">
        <f>IFERROR(__xludf.DUMMYFUNCTION("""COMPUTED_VALUE"""),11.1583)</f>
        <v>11.1583</v>
      </c>
      <c r="AC330" s="32">
        <f>IFERROR(__xludf.DUMMYFUNCTION("""COMPUTED_VALUE"""),1.308)</f>
        <v>1.308</v>
      </c>
      <c r="AD330" s="32">
        <f>IFERROR(__xludf.DUMMYFUNCTION("""COMPUTED_VALUE"""),1.14195)</f>
        <v>1.14195</v>
      </c>
      <c r="AE330" s="32">
        <f>IFERROR(__xludf.DUMMYFUNCTION("""COMPUTED_VALUE"""),40.830501)</f>
        <v>40.830501</v>
      </c>
      <c r="AF330" s="32">
        <f>IFERROR(__xludf.DUMMYFUNCTION("""COMPUTED_VALUE"""),0.749178)</f>
        <v>0.749178</v>
      </c>
      <c r="AG330" s="32">
        <f>IFERROR(__xludf.DUMMYFUNCTION("""COMPUTED_VALUE"""),1.4569)</f>
        <v>1.4569</v>
      </c>
      <c r="AH330" s="32">
        <f>IFERROR(__xludf.DUMMYFUNCTION("""COMPUTED_VALUE"""),6.23481)</f>
        <v>6.23481</v>
      </c>
      <c r="AI330" s="32">
        <f>IFERROR(__xludf.DUMMYFUNCTION("""COMPUTED_VALUE"""),1.7699569907402495)</f>
        <v>1.769956991</v>
      </c>
      <c r="AJ330" s="32">
        <f>IFERROR(__xludf.DUMMYFUNCTION("""COMPUTED_VALUE"""),-3.3469120530853944)</f>
        <v>-3.346912053</v>
      </c>
      <c r="AK330" s="32">
        <f>IFERROR(__xludf.DUMMYFUNCTION("""COMPUTED_VALUE"""),10.6715)</f>
        <v>10.6715</v>
      </c>
      <c r="AL330" s="32">
        <f>IFERROR(__xludf.DUMMYFUNCTION("""COMPUTED_VALUE"""),94.4603)</f>
        <v>94.4603</v>
      </c>
      <c r="AM330" s="32">
        <f>IFERROR(__xludf.DUMMYFUNCTION("""COMPUTED_VALUE"""),-36.972593)</f>
        <v>-36.972593</v>
      </c>
      <c r="AN330" s="32">
        <f>IFERROR(__xludf.DUMMYFUNCTION("""COMPUTED_VALUE"""),-44.763096)</f>
        <v>-44.763096</v>
      </c>
      <c r="AO330" s="32">
        <f>IFERROR(__xludf.DUMMYFUNCTION("""COMPUTED_VALUE"""),1.8)</f>
        <v>1.8</v>
      </c>
      <c r="AP330" s="32">
        <f>IFERROR(__xludf.DUMMYFUNCTION("""COMPUTED_VALUE"""),0.047784200385356475)</f>
        <v>0.04778420039</v>
      </c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>
      <c r="A331" s="13" t="str">
        <f>IFERROR(__xludf.DUMMYFUNCTION("""COMPUTED_VALUE"""),"KIOCL Ltd")</f>
        <v>KIOCL Ltd</v>
      </c>
      <c r="B331" s="30">
        <f>IFERROR(__xludf.DUMMYFUNCTION("""COMPUTED_VALUE"""),540680.0)</f>
        <v>540680</v>
      </c>
      <c r="C331" s="13" t="str">
        <f>IFERROR(__xludf.DUMMYFUNCTION("""COMPUTED_VALUE"""),"KIOCL")</f>
        <v>KIOCL</v>
      </c>
      <c r="D331" s="13" t="str">
        <f>IFERROR(__xludf.DUMMYFUNCTION("""COMPUTED_VALUE"""),"INE880L01014")</f>
        <v>INE880L01014</v>
      </c>
      <c r="E331" s="13" t="str">
        <f>IFERROR(__xludf.DUMMYFUNCTION("""COMPUTED_VALUE"""),"Metals &amp; Mining")</f>
        <v>Metals &amp; Mining</v>
      </c>
      <c r="F331" s="13" t="str">
        <f>IFERROR(__xludf.DUMMYFUNCTION("""COMPUTED_VALUE"""),"Minerals")</f>
        <v>Minerals</v>
      </c>
      <c r="G331" s="31">
        <f>IFERROR(__xludf.DUMMYFUNCTION("""COMPUTED_VALUE"""),44809.0)</f>
        <v>44809</v>
      </c>
      <c r="H331" s="32">
        <f>IFERROR(__xludf.DUMMYFUNCTION("""COMPUTED_VALUE"""),205.05)</f>
        <v>205.05</v>
      </c>
      <c r="I331" s="32">
        <f>IFERROR(__xludf.DUMMYFUNCTION("""COMPUTED_VALUE"""),2.653317)</f>
        <v>2.653317</v>
      </c>
      <c r="J331" s="32">
        <f>IFERROR(__xludf.DUMMYFUNCTION("""COMPUTED_VALUE"""),166.65)</f>
        <v>166.65</v>
      </c>
      <c r="K331" s="32">
        <f>IFERROR(__xludf.DUMMYFUNCTION("""COMPUTED_VALUE"""),319.0)</f>
        <v>319</v>
      </c>
      <c r="L331" s="32">
        <f>IFERROR(__xludf.DUMMYFUNCTION("""COMPUTED_VALUE"""),44.7)</f>
        <v>44.7</v>
      </c>
      <c r="M331" s="32">
        <f>IFERROR(__xludf.DUMMYFUNCTION("""COMPUTED_VALUE"""),319.0)</f>
        <v>319</v>
      </c>
      <c r="N331" s="32">
        <f>IFERROR(__xludf.DUMMYFUNCTION("""COMPUTED_VALUE"""),44.7)</f>
        <v>44.7</v>
      </c>
      <c r="O331" s="32">
        <f>IFERROR(__xludf.DUMMYFUNCTION("""COMPUTED_VALUE"""),506.45)</f>
        <v>506.45</v>
      </c>
      <c r="P331" s="32">
        <f>IFERROR(__xludf.DUMMYFUNCTION("""COMPUTED_VALUE"""),10.5)</f>
        <v>10.5</v>
      </c>
      <c r="Q331" s="32">
        <f>IFERROR(__xludf.DUMMYFUNCTION("""COMPUTED_VALUE"""),506.45)</f>
        <v>506.45</v>
      </c>
      <c r="R331" s="32">
        <f>IFERROR(__xludf.DUMMYFUNCTION("""COMPUTED_VALUE"""),12446.74244608)</f>
        <v>12446.74245</v>
      </c>
      <c r="S331" s="32">
        <f>IFERROR(__xludf.DUMMYFUNCTION("""COMPUTED_VALUE"""),11053.40396452)</f>
        <v>11053.40396</v>
      </c>
      <c r="T331" s="32">
        <f>IFERROR(__xludf.DUMMYFUNCTION("""COMPUTED_VALUE"""),0.416259)</f>
        <v>0.416259</v>
      </c>
      <c r="U331" s="32">
        <f>IFERROR(__xludf.DUMMYFUNCTION("""COMPUTED_VALUE"""),2.833501)</f>
        <v>2.833501</v>
      </c>
      <c r="V331" s="32">
        <f>IFERROR(__xludf.DUMMYFUNCTION("""COMPUTED_VALUE"""),3.901697)</f>
        <v>3.901697</v>
      </c>
      <c r="W331" s="32">
        <f>IFERROR(__xludf.DUMMYFUNCTION("""COMPUTED_VALUE"""),-19.271654)</f>
        <v>-19.271654</v>
      </c>
      <c r="X331" s="32">
        <f>IFERROR(__xludf.DUMMYFUNCTION("""COMPUTED_VALUE"""),20.275378)</f>
        <v>20.275378</v>
      </c>
      <c r="Y331" s="32">
        <f>IFERROR(__xludf.DUMMYFUNCTION("""COMPUTED_VALUE"""),9.960286)</f>
        <v>9.960286</v>
      </c>
      <c r="Z331" s="13"/>
      <c r="AA331" s="32">
        <f>IFERROR(__xludf.DUMMYFUNCTION("""COMPUTED_VALUE"""),231.7829)</f>
        <v>231.7829</v>
      </c>
      <c r="AB331" s="32">
        <f>IFERROR(__xludf.DUMMYFUNCTION("""COMPUTED_VALUE"""),76.30205)</f>
        <v>76.30205</v>
      </c>
      <c r="AC331" s="32">
        <f>IFERROR(__xludf.DUMMYFUNCTION("""COMPUTED_VALUE"""),5.9274)</f>
        <v>5.9274</v>
      </c>
      <c r="AD331" s="32">
        <f>IFERROR(__xludf.DUMMYFUNCTION("""COMPUTED_VALUE"""),4.8807)</f>
        <v>4.8807</v>
      </c>
      <c r="AE331" s="32">
        <f>IFERROR(__xludf.DUMMYFUNCTION("""COMPUTED_VALUE"""),1.392825)</f>
        <v>1.392825</v>
      </c>
      <c r="AF331" s="32">
        <f>IFERROR(__xludf.DUMMYFUNCTION("""COMPUTED_VALUE"""),96.832896)</f>
        <v>96.832896</v>
      </c>
      <c r="AG331" s="32">
        <f>IFERROR(__xludf.DUMMYFUNCTION("""COMPUTED_VALUE"""),0.8643)</f>
        <v>0.8643</v>
      </c>
      <c r="AH331" s="32">
        <f>IFERROR(__xludf.DUMMYFUNCTION("""COMPUTED_VALUE"""),96.342752)</f>
        <v>96.342752</v>
      </c>
      <c r="AI331" s="32">
        <f>IFERROR(__xludf.DUMMYFUNCTION("""COMPUTED_VALUE"""),5.339543315707513)</f>
        <v>5.339543316</v>
      </c>
      <c r="AJ331" s="32">
        <f>IFERROR(__xludf.DUMMYFUNCTION("""COMPUTED_VALUE"""),178.02321695739482)</f>
        <v>178.023217</v>
      </c>
      <c r="AK331" s="32">
        <f>IFERROR(__xludf.DUMMYFUNCTION("""COMPUTED_VALUE"""),0.8836)</f>
        <v>0.8836</v>
      </c>
      <c r="AL331" s="32">
        <f>IFERROR(__xludf.DUMMYFUNCTION("""COMPUTED_VALUE"""),34.5513)</f>
        <v>34.5513</v>
      </c>
      <c r="AM331" s="32">
        <f>IFERROR(__xludf.DUMMYFUNCTION("""COMPUTED_VALUE"""),1.150412)</f>
        <v>1.150412</v>
      </c>
      <c r="AN331" s="32">
        <f>IFERROR(__xludf.DUMMYFUNCTION("""COMPUTED_VALUE"""),1.942305)</f>
        <v>1.942305</v>
      </c>
      <c r="AO331" s="32">
        <f>IFERROR(__xludf.DUMMYFUNCTION("""COMPUTED_VALUE"""),1.77)</f>
        <v>1.77</v>
      </c>
      <c r="AP331" s="32">
        <f>IFERROR(__xludf.DUMMYFUNCTION("""COMPUTED_VALUE"""),0.35721003134796236)</f>
        <v>0.3572100313</v>
      </c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>
      <c r="A332" s="13" t="str">
        <f>IFERROR(__xludf.DUMMYFUNCTION("""COMPUTED_VALUE"""),"Tata Power Company Ltd.")</f>
        <v>Tata Power Company Ltd.</v>
      </c>
      <c r="B332" s="30">
        <f>IFERROR(__xludf.DUMMYFUNCTION("""COMPUTED_VALUE"""),500400.0)</f>
        <v>500400</v>
      </c>
      <c r="C332" s="13" t="str">
        <f>IFERROR(__xludf.DUMMYFUNCTION("""COMPUTED_VALUE"""),"TATAPOWER")</f>
        <v>TATAPOWER</v>
      </c>
      <c r="D332" s="13" t="str">
        <f>IFERROR(__xludf.DUMMYFUNCTION("""COMPUTED_VALUE"""),"INE245A01021")</f>
        <v>INE245A01021</v>
      </c>
      <c r="E332" s="13" t="str">
        <f>IFERROR(__xludf.DUMMYFUNCTION("""COMPUTED_VALUE"""),"Energy")</f>
        <v>Energy</v>
      </c>
      <c r="F332" s="13" t="str">
        <f>IFERROR(__xludf.DUMMYFUNCTION("""COMPUTED_VALUE"""),"Electricity Generation")</f>
        <v>Electricity Generation</v>
      </c>
      <c r="G332" s="31">
        <f>IFERROR(__xludf.DUMMYFUNCTION("""COMPUTED_VALUE"""),44809.0)</f>
        <v>44809</v>
      </c>
      <c r="H332" s="32">
        <f>IFERROR(__xludf.DUMMYFUNCTION("""COMPUTED_VALUE"""),236.45)</f>
        <v>236.45</v>
      </c>
      <c r="I332" s="32">
        <f>IFERROR(__xludf.DUMMYFUNCTION("""COMPUTED_VALUE"""),0.531463)</f>
        <v>0.531463</v>
      </c>
      <c r="J332" s="32">
        <f>IFERROR(__xludf.DUMMYFUNCTION("""COMPUTED_VALUE"""),129.25)</f>
        <v>129.25</v>
      </c>
      <c r="K332" s="32">
        <f>IFERROR(__xludf.DUMMYFUNCTION("""COMPUTED_VALUE"""),298.05)</f>
        <v>298.05</v>
      </c>
      <c r="L332" s="32">
        <f>IFERROR(__xludf.DUMMYFUNCTION("""COMPUTED_VALUE"""),27.0)</f>
        <v>27</v>
      </c>
      <c r="M332" s="32">
        <f>IFERROR(__xludf.DUMMYFUNCTION("""COMPUTED_VALUE"""),298.05)</f>
        <v>298.05</v>
      </c>
      <c r="N332" s="32">
        <f>IFERROR(__xludf.DUMMYFUNCTION("""COMPUTED_VALUE"""),27.0)</f>
        <v>27</v>
      </c>
      <c r="O332" s="32">
        <f>IFERROR(__xludf.DUMMYFUNCTION("""COMPUTED_VALUE"""),298.05)</f>
        <v>298.05</v>
      </c>
      <c r="P332" s="32">
        <f>IFERROR(__xludf.DUMMYFUNCTION("""COMPUTED_VALUE"""),4.270199)</f>
        <v>4.270199</v>
      </c>
      <c r="Q332" s="32">
        <f>IFERROR(__xludf.DUMMYFUNCTION("""COMPUTED_VALUE"""),298.05)</f>
        <v>298.05</v>
      </c>
      <c r="R332" s="32">
        <f>IFERROR(__xludf.DUMMYFUNCTION("""COMPUTED_VALUE"""),75553.803588815)</f>
        <v>75553.80359</v>
      </c>
      <c r="S332" s="32">
        <f>IFERROR(__xludf.DUMMYFUNCTION("""COMPUTED_VALUE"""),115629.2593545)</f>
        <v>115629.2594</v>
      </c>
      <c r="T332" s="32">
        <f>IFERROR(__xludf.DUMMYFUNCTION("""COMPUTED_VALUE"""),0.574224)</f>
        <v>0.574224</v>
      </c>
      <c r="U332" s="32">
        <f>IFERROR(__xludf.DUMMYFUNCTION("""COMPUTED_VALUE"""),3.865583)</f>
        <v>3.865583</v>
      </c>
      <c r="V332" s="32">
        <f>IFERROR(__xludf.DUMMYFUNCTION("""COMPUTED_VALUE"""),2.337156)</f>
        <v>2.337156</v>
      </c>
      <c r="W332" s="32">
        <f>IFERROR(__xludf.DUMMYFUNCTION("""COMPUTED_VALUE"""),76.65297)</f>
        <v>76.65297</v>
      </c>
      <c r="X332" s="32">
        <f>IFERROR(__xludf.DUMMYFUNCTION("""COMPUTED_VALUE"""),63.498592)</f>
        <v>63.498592</v>
      </c>
      <c r="Y332" s="32">
        <f>IFERROR(__xludf.DUMMYFUNCTION("""COMPUTED_VALUE"""),24.689325)</f>
        <v>24.689325</v>
      </c>
      <c r="Z332" s="32">
        <f>IFERROR(__xludf.DUMMYFUNCTION("""COMPUTED_VALUE"""),9.777349)</f>
        <v>9.777349</v>
      </c>
      <c r="AA332" s="32">
        <f>IFERROR(__xludf.DUMMYFUNCTION("""COMPUTED_VALUE"""),35.2153)</f>
        <v>35.2153</v>
      </c>
      <c r="AB332" s="32">
        <f>IFERROR(__xludf.DUMMYFUNCTION("""COMPUTED_VALUE"""),23.9634)</f>
        <v>23.9634</v>
      </c>
      <c r="AC332" s="32">
        <f>IFERROR(__xludf.DUMMYFUNCTION("""COMPUTED_VALUE"""),3.3539)</f>
        <v>3.3539</v>
      </c>
      <c r="AD332" s="32">
        <f>IFERROR(__xludf.DUMMYFUNCTION("""COMPUTED_VALUE"""),1.2079)</f>
        <v>1.2079</v>
      </c>
      <c r="AE332" s="32">
        <f>IFERROR(__xludf.DUMMYFUNCTION("""COMPUTED_VALUE"""),4.842928)</f>
        <v>4.842928</v>
      </c>
      <c r="AF332" s="32">
        <f>IFERROR(__xludf.DUMMYFUNCTION("""COMPUTED_VALUE"""),0.959436)</f>
        <v>0.959436</v>
      </c>
      <c r="AG332" s="32">
        <f>IFERROR(__xludf.DUMMYFUNCTION("""COMPUTED_VALUE"""),0.7403)</f>
        <v>0.7403</v>
      </c>
      <c r="AH332" s="32">
        <f>IFERROR(__xludf.DUMMYFUNCTION("""COMPUTED_VALUE"""),14.574094)</f>
        <v>14.574094</v>
      </c>
      <c r="AI332" s="32">
        <f>IFERROR(__xludf.DUMMYFUNCTION("""COMPUTED_VALUE"""),1.601435466540374)</f>
        <v>1.601435467</v>
      </c>
      <c r="AJ332" s="32">
        <f>IFERROR(__xludf.DUMMYFUNCTION("""COMPUTED_VALUE"""),11.288936441304967)</f>
        <v>11.28893644</v>
      </c>
      <c r="AK332" s="32">
        <f>IFERROR(__xludf.DUMMYFUNCTION("""COMPUTED_VALUE"""),6.713)</f>
        <v>6.713</v>
      </c>
      <c r="AL332" s="32">
        <f>IFERROR(__xludf.DUMMYFUNCTION("""COMPUTED_VALUE"""),70.4841)</f>
        <v>70.4841</v>
      </c>
      <c r="AM332" s="32">
        <f>IFERROR(__xludf.DUMMYFUNCTION("""COMPUTED_VALUE"""),20.947512)</f>
        <v>20.947512</v>
      </c>
      <c r="AN332" s="32">
        <f>IFERROR(__xludf.DUMMYFUNCTION("""COMPUTED_VALUE"""),-11.435587)</f>
        <v>-11.435587</v>
      </c>
      <c r="AO332" s="32">
        <f>IFERROR(__xludf.DUMMYFUNCTION("""COMPUTED_VALUE"""),1.75)</f>
        <v>1.75</v>
      </c>
      <c r="AP332" s="32">
        <f>IFERROR(__xludf.DUMMYFUNCTION("""COMPUTED_VALUE"""),0.20667673209193096)</f>
        <v>0.2066767321</v>
      </c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>
      <c r="A333" s="13" t="str">
        <f>IFERROR(__xludf.DUMMYFUNCTION("""COMPUTED_VALUE"""),"HDFC Life Insurance Co Ltd.")</f>
        <v>HDFC Life Insurance Co Ltd.</v>
      </c>
      <c r="B333" s="30">
        <f>IFERROR(__xludf.DUMMYFUNCTION("""COMPUTED_VALUE"""),540777.0)</f>
        <v>540777</v>
      </c>
      <c r="C333" s="13" t="str">
        <f>IFERROR(__xludf.DUMMYFUNCTION("""COMPUTED_VALUE"""),"HDFCLIFE")</f>
        <v>HDFCLIFE</v>
      </c>
      <c r="D333" s="13" t="str">
        <f>IFERROR(__xludf.DUMMYFUNCTION("""COMPUTED_VALUE"""),"INE795G01014")</f>
        <v>INE795G01014</v>
      </c>
      <c r="E333" s="13" t="str">
        <f>IFERROR(__xludf.DUMMYFUNCTION("""COMPUTED_VALUE"""),"Insurance")</f>
        <v>Insurance</v>
      </c>
      <c r="F333" s="13" t="str">
        <f>IFERROR(__xludf.DUMMYFUNCTION("""COMPUTED_VALUE"""),"Life Insurance")</f>
        <v>Life Insurance</v>
      </c>
      <c r="G333" s="31">
        <f>IFERROR(__xludf.DUMMYFUNCTION("""COMPUTED_VALUE"""),44809.0)</f>
        <v>44809</v>
      </c>
      <c r="H333" s="32">
        <f>IFERROR(__xludf.DUMMYFUNCTION("""COMPUTED_VALUE"""),573.65)</f>
        <v>573.65</v>
      </c>
      <c r="I333" s="32">
        <f>IFERROR(__xludf.DUMMYFUNCTION("""COMPUTED_VALUE"""),-0.20875)</f>
        <v>-0.20875</v>
      </c>
      <c r="J333" s="32">
        <f>IFERROR(__xludf.DUMMYFUNCTION("""COMPUTED_VALUE"""),497.05)</f>
        <v>497.05</v>
      </c>
      <c r="K333" s="32">
        <f>IFERROR(__xludf.DUMMYFUNCTION("""COMPUTED_VALUE"""),759.6)</f>
        <v>759.6</v>
      </c>
      <c r="L333" s="32">
        <f>IFERROR(__xludf.DUMMYFUNCTION("""COMPUTED_VALUE"""),339.15)</f>
        <v>339.15</v>
      </c>
      <c r="M333" s="32">
        <f>IFERROR(__xludf.DUMMYFUNCTION("""COMPUTED_VALUE"""),775.65)</f>
        <v>775.65</v>
      </c>
      <c r="N333" s="13"/>
      <c r="O333" s="13"/>
      <c r="P333" s="32">
        <f>IFERROR(__xludf.DUMMYFUNCTION("""COMPUTED_VALUE"""),307.0)</f>
        <v>307</v>
      </c>
      <c r="Q333" s="32">
        <f>IFERROR(__xludf.DUMMYFUNCTION("""COMPUTED_VALUE"""),775.65)</f>
        <v>775.65</v>
      </c>
      <c r="R333" s="32">
        <f>IFERROR(__xludf.DUMMYFUNCTION("""COMPUTED_VALUE"""),121174.32421418)</f>
        <v>121174.3242</v>
      </c>
      <c r="S333" s="32">
        <f>IFERROR(__xludf.DUMMYFUNCTION("""COMPUTED_VALUE"""),120716.16290323)</f>
        <v>120716.1629</v>
      </c>
      <c r="T333" s="32">
        <f>IFERROR(__xludf.DUMMYFUNCTION("""COMPUTED_VALUE"""),1.190686)</f>
        <v>1.190686</v>
      </c>
      <c r="U333" s="32">
        <f>IFERROR(__xludf.DUMMYFUNCTION("""COMPUTED_VALUE"""),7.244345)</f>
        <v>7.244345</v>
      </c>
      <c r="V333" s="32">
        <f>IFERROR(__xludf.DUMMYFUNCTION("""COMPUTED_VALUE"""),-4.819977)</f>
        <v>-4.819977</v>
      </c>
      <c r="W333" s="32">
        <f>IFERROR(__xludf.DUMMYFUNCTION("""COMPUTED_VALUE"""),-21.888617)</f>
        <v>-21.888617</v>
      </c>
      <c r="X333" s="32">
        <f>IFERROR(__xludf.DUMMYFUNCTION("""COMPUTED_VALUE"""),2.310914)</f>
        <v>2.310914</v>
      </c>
      <c r="Y333" s="13"/>
      <c r="Z333" s="13"/>
      <c r="AA333" s="32">
        <f>IFERROR(__xludf.DUMMYFUNCTION("""COMPUTED_VALUE"""),87.4166)</f>
        <v>87.4166</v>
      </c>
      <c r="AB333" s="32">
        <f>IFERROR(__xludf.DUMMYFUNCTION("""COMPUTED_VALUE"""),97.9866)</f>
        <v>97.9866</v>
      </c>
      <c r="AC333" s="32">
        <f>IFERROR(__xludf.DUMMYFUNCTION("""COMPUTED_VALUE"""),7.6428)</f>
        <v>7.6428</v>
      </c>
      <c r="AD333" s="32">
        <f>IFERROR(__xludf.DUMMYFUNCTION("""COMPUTED_VALUE"""),17.38755)</f>
        <v>17.38755</v>
      </c>
      <c r="AE333" s="32">
        <f>IFERROR(__xludf.DUMMYFUNCTION("""COMPUTED_VALUE"""),10.173201)</f>
        <v>10.173201</v>
      </c>
      <c r="AF333" s="32">
        <f>IFERROR(__xludf.DUMMYFUNCTION("""COMPUTED_VALUE"""),55.789343)</f>
        <v>55.789343</v>
      </c>
      <c r="AG333" s="32">
        <f>IFERROR(__xludf.DUMMYFUNCTION("""COMPUTED_VALUE"""),0.2965)</f>
        <v>0.2965</v>
      </c>
      <c r="AH333" s="32">
        <f>IFERROR(__xludf.DUMMYFUNCTION("""COMPUTED_VALUE"""),77.804093)</f>
        <v>77.804093</v>
      </c>
      <c r="AI333" s="32">
        <f>IFERROR(__xludf.DUMMYFUNCTION("""COMPUTED_VALUE"""),2.4695983303889566)</f>
        <v>2.46959833</v>
      </c>
      <c r="AJ333" s="32">
        <f>IFERROR(__xludf.DUMMYFUNCTION("""COMPUTED_VALUE"""),20.390994380346914)</f>
        <v>20.39099438</v>
      </c>
      <c r="AK333" s="32">
        <f>IFERROR(__xludf.DUMMYFUNCTION("""COMPUTED_VALUE"""),6.5594)</f>
        <v>6.5594</v>
      </c>
      <c r="AL333" s="32">
        <f>IFERROR(__xludf.DUMMYFUNCTION("""COMPUTED_VALUE"""),75.0246)</f>
        <v>75.0246</v>
      </c>
      <c r="AM333" s="32">
        <f>IFERROR(__xludf.DUMMYFUNCTION("""COMPUTED_VALUE"""),28.128785)</f>
        <v>28.128785</v>
      </c>
      <c r="AN333" s="32">
        <f>IFERROR(__xludf.DUMMYFUNCTION("""COMPUTED_VALUE"""),5.901261)</f>
        <v>5.901261</v>
      </c>
      <c r="AO333" s="32">
        <f>IFERROR(__xludf.DUMMYFUNCTION("""COMPUTED_VALUE"""),1.7)</f>
        <v>1.7</v>
      </c>
      <c r="AP333" s="32">
        <f>IFERROR(__xludf.DUMMYFUNCTION("""COMPUTED_VALUE"""),0.24479989468141133)</f>
        <v>0.2447998947</v>
      </c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>
      <c r="A334" s="13" t="str">
        <f>IFERROR(__xludf.DUMMYFUNCTION("""COMPUTED_VALUE"""),"Trent Ltd.")</f>
        <v>Trent Ltd.</v>
      </c>
      <c r="B334" s="30">
        <f>IFERROR(__xludf.DUMMYFUNCTION("""COMPUTED_VALUE"""),500251.0)</f>
        <v>500251</v>
      </c>
      <c r="C334" s="13" t="str">
        <f>IFERROR(__xludf.DUMMYFUNCTION("""COMPUTED_VALUE"""),"TRENT")</f>
        <v>TRENT</v>
      </c>
      <c r="D334" s="13" t="str">
        <f>IFERROR(__xludf.DUMMYFUNCTION("""COMPUTED_VALUE"""),"INE849A01020")</f>
        <v>INE849A01020</v>
      </c>
      <c r="E334" s="13" t="str">
        <f>IFERROR(__xludf.DUMMYFUNCTION("""COMPUTED_VALUE"""),"Services")</f>
        <v>Services</v>
      </c>
      <c r="F334" s="13" t="str">
        <f>IFERROR(__xludf.DUMMYFUNCTION("""COMPUTED_VALUE"""),"Retailing")</f>
        <v>Retailing</v>
      </c>
      <c r="G334" s="31">
        <f>IFERROR(__xludf.DUMMYFUNCTION("""COMPUTED_VALUE"""),44809.0)</f>
        <v>44809</v>
      </c>
      <c r="H334" s="32">
        <f>IFERROR(__xludf.DUMMYFUNCTION("""COMPUTED_VALUE"""),1398.25)</f>
        <v>1398.25</v>
      </c>
      <c r="I334" s="32">
        <f>IFERROR(__xludf.DUMMYFUNCTION("""COMPUTED_VALUE"""),0.513982)</f>
        <v>0.513982</v>
      </c>
      <c r="J334" s="32">
        <f>IFERROR(__xludf.DUMMYFUNCTION("""COMPUTED_VALUE"""),953.0)</f>
        <v>953</v>
      </c>
      <c r="K334" s="32">
        <f>IFERROR(__xludf.DUMMYFUNCTION("""COMPUTED_VALUE"""),1522.8)</f>
        <v>1522.8</v>
      </c>
      <c r="L334" s="32">
        <f>IFERROR(__xludf.DUMMYFUNCTION("""COMPUTED_VALUE"""),365.0)</f>
        <v>365</v>
      </c>
      <c r="M334" s="32">
        <f>IFERROR(__xludf.DUMMYFUNCTION("""COMPUTED_VALUE"""),1522.8)</f>
        <v>1522.8</v>
      </c>
      <c r="N334" s="32">
        <f>IFERROR(__xludf.DUMMYFUNCTION("""COMPUTED_VALUE"""),281.2)</f>
        <v>281.2</v>
      </c>
      <c r="O334" s="32">
        <f>IFERROR(__xludf.DUMMYFUNCTION("""COMPUTED_VALUE"""),1522.8)</f>
        <v>1522.8</v>
      </c>
      <c r="P334" s="32">
        <f>IFERROR(__xludf.DUMMYFUNCTION("""COMPUTED_VALUE"""),5.425)</f>
        <v>5.425</v>
      </c>
      <c r="Q334" s="32">
        <f>IFERROR(__xludf.DUMMYFUNCTION("""COMPUTED_VALUE"""),1522.8)</f>
        <v>1522.8</v>
      </c>
      <c r="R334" s="32">
        <f>IFERROR(__xludf.DUMMYFUNCTION("""COMPUTED_VALUE"""),49706.034234325)</f>
        <v>49706.03423</v>
      </c>
      <c r="S334" s="32">
        <f>IFERROR(__xludf.DUMMYFUNCTION("""COMPUTED_VALUE"""),49338.318137015)</f>
        <v>49338.31814</v>
      </c>
      <c r="T334" s="32">
        <f>IFERROR(__xludf.DUMMYFUNCTION("""COMPUTED_VALUE"""),0.550122)</f>
        <v>0.550122</v>
      </c>
      <c r="U334" s="32">
        <f>IFERROR(__xludf.DUMMYFUNCTION("""COMPUTED_VALUE"""),6.189482)</f>
        <v>6.189482</v>
      </c>
      <c r="V334" s="32">
        <f>IFERROR(__xludf.DUMMYFUNCTION("""COMPUTED_VALUE"""),23.815638)</f>
        <v>23.815638</v>
      </c>
      <c r="W334" s="32">
        <f>IFERROR(__xludf.DUMMYFUNCTION("""COMPUTED_VALUE"""),40.428844)</f>
        <v>40.428844</v>
      </c>
      <c r="X334" s="32">
        <f>IFERROR(__xludf.DUMMYFUNCTION("""COMPUTED_VALUE"""),44.09968)</f>
        <v>44.09968</v>
      </c>
      <c r="Y334" s="32">
        <f>IFERROR(__xludf.DUMMYFUNCTION("""COMPUTED_VALUE"""),37.18253)</f>
        <v>37.18253</v>
      </c>
      <c r="Z334" s="32">
        <f>IFERROR(__xludf.DUMMYFUNCTION("""COMPUTED_VALUE"""),29.681529)</f>
        <v>29.681529</v>
      </c>
      <c r="AA334" s="32">
        <f>IFERROR(__xludf.DUMMYFUNCTION("""COMPUTED_VALUE"""),136.9802)</f>
        <v>136.9802</v>
      </c>
      <c r="AB334" s="32">
        <f>IFERROR(__xludf.DUMMYFUNCTION("""COMPUTED_VALUE"""),128.179)</f>
        <v>128.179</v>
      </c>
      <c r="AC334" s="32">
        <f>IFERROR(__xludf.DUMMYFUNCTION("""COMPUTED_VALUE"""),20.334)</f>
        <v>20.334</v>
      </c>
      <c r="AD334" s="32">
        <f>IFERROR(__xludf.DUMMYFUNCTION("""COMPUTED_VALUE"""),8.5965)</f>
        <v>8.5965</v>
      </c>
      <c r="AE334" s="32">
        <f>IFERROR(__xludf.DUMMYFUNCTION("""COMPUTED_VALUE"""),1.75233)</f>
        <v>1.75233</v>
      </c>
      <c r="AF334" s="32">
        <f>IFERROR(__xludf.DUMMYFUNCTION("""COMPUTED_VALUE"""),-6.618671)</f>
        <v>-6.618671</v>
      </c>
      <c r="AG334" s="32">
        <f>IFERROR(__xludf.DUMMYFUNCTION("""COMPUTED_VALUE"""),0.1216)</f>
        <v>0.1216</v>
      </c>
      <c r="AH334" s="32">
        <f>IFERROR(__xludf.DUMMYFUNCTION("""COMPUTED_VALUE"""),45.901661)</f>
        <v>45.901661</v>
      </c>
      <c r="AI334" s="32">
        <f>IFERROR(__xludf.DUMMYFUNCTION("""COMPUTED_VALUE"""),8.556464559677883)</f>
        <v>8.55646456</v>
      </c>
      <c r="AJ334" s="32">
        <f>IFERROR(__xludf.DUMMYFUNCTION("""COMPUTED_VALUE"""),849.9663856758721)</f>
        <v>849.9663857</v>
      </c>
      <c r="AK334" s="32">
        <f>IFERROR(__xludf.DUMMYFUNCTION("""COMPUTED_VALUE"""),10.2095)</f>
        <v>10.2095</v>
      </c>
      <c r="AL334" s="32">
        <f>IFERROR(__xludf.DUMMYFUNCTION("""COMPUTED_VALUE"""),68.7765)</f>
        <v>68.7765</v>
      </c>
      <c r="AM334" s="32">
        <f>IFERROR(__xludf.DUMMYFUNCTION("""COMPUTED_VALUE"""),1.645007)</f>
        <v>1.645007</v>
      </c>
      <c r="AN334" s="32">
        <f>IFERROR(__xludf.DUMMYFUNCTION("""COMPUTED_VALUE"""),-10.12602)</f>
        <v>-10.12602</v>
      </c>
      <c r="AO334" s="32">
        <f>IFERROR(__xludf.DUMMYFUNCTION("""COMPUTED_VALUE"""),1.7)</f>
        <v>1.7</v>
      </c>
      <c r="AP334" s="32">
        <f>IFERROR(__xludf.DUMMYFUNCTION("""COMPUTED_VALUE"""),0.0817901234567901)</f>
        <v>0.08179012346</v>
      </c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>
      <c r="A335" s="13" t="str">
        <f>IFERROR(__xludf.DUMMYFUNCTION("""COMPUTED_VALUE"""),"JM Financial Ltd.")</f>
        <v>JM Financial Ltd.</v>
      </c>
      <c r="B335" s="30">
        <f>IFERROR(__xludf.DUMMYFUNCTION("""COMPUTED_VALUE"""),523405.0)</f>
        <v>523405</v>
      </c>
      <c r="C335" s="13" t="str">
        <f>IFERROR(__xludf.DUMMYFUNCTION("""COMPUTED_VALUE"""),"JMFINANCIL")</f>
        <v>JMFINANCIL</v>
      </c>
      <c r="D335" s="13" t="str">
        <f>IFERROR(__xludf.DUMMYFUNCTION("""COMPUTED_VALUE"""),"INE780C01023")</f>
        <v>INE780C01023</v>
      </c>
      <c r="E335" s="13" t="str">
        <f>IFERROR(__xludf.DUMMYFUNCTION("""COMPUTED_VALUE"""),"Financial")</f>
        <v>Financial</v>
      </c>
      <c r="F335" s="13" t="str">
        <f>IFERROR(__xludf.DUMMYFUNCTION("""COMPUTED_VALUE"""),"Misc. Fin.services")</f>
        <v>Misc. Fin.services</v>
      </c>
      <c r="G335" s="31">
        <f>IFERROR(__xludf.DUMMYFUNCTION("""COMPUTED_VALUE"""),44809.0)</f>
        <v>44809</v>
      </c>
      <c r="H335" s="32">
        <f>IFERROR(__xludf.DUMMYFUNCTION("""COMPUTED_VALUE"""),65.05)</f>
        <v>65.05</v>
      </c>
      <c r="I335" s="32">
        <f>IFERROR(__xludf.DUMMYFUNCTION("""COMPUTED_VALUE"""),1.799687)</f>
        <v>1.799687</v>
      </c>
      <c r="J335" s="32">
        <f>IFERROR(__xludf.DUMMYFUNCTION("""COMPUTED_VALUE"""),57.1)</f>
        <v>57.1</v>
      </c>
      <c r="K335" s="32">
        <f>IFERROR(__xludf.DUMMYFUNCTION("""COMPUTED_VALUE"""),96.9)</f>
        <v>96.9</v>
      </c>
      <c r="L335" s="32">
        <f>IFERROR(__xludf.DUMMYFUNCTION("""COMPUTED_VALUE"""),55.45)</f>
        <v>55.45</v>
      </c>
      <c r="M335" s="32">
        <f>IFERROR(__xludf.DUMMYFUNCTION("""COMPUTED_VALUE"""),126.0)</f>
        <v>126</v>
      </c>
      <c r="N335" s="32">
        <f>IFERROR(__xludf.DUMMYFUNCTION("""COMPUTED_VALUE"""),55.45)</f>
        <v>55.45</v>
      </c>
      <c r="O335" s="32">
        <f>IFERROR(__xludf.DUMMYFUNCTION("""COMPUTED_VALUE"""),191.6)</f>
        <v>191.6</v>
      </c>
      <c r="P335" s="32">
        <f>IFERROR(__xludf.DUMMYFUNCTION("""COMPUTED_VALUE"""),0.1)</f>
        <v>0.1</v>
      </c>
      <c r="Q335" s="32">
        <f>IFERROR(__xludf.DUMMYFUNCTION("""COMPUTED_VALUE"""),191.6)</f>
        <v>191.6</v>
      </c>
      <c r="R335" s="32">
        <f>IFERROR(__xludf.DUMMYFUNCTION("""COMPUTED_VALUE"""),6210.72868344)</f>
        <v>6210.728683</v>
      </c>
      <c r="S335" s="32">
        <f>IFERROR(__xludf.DUMMYFUNCTION("""COMPUTED_VALUE"""),13959.25102032)</f>
        <v>13959.25102</v>
      </c>
      <c r="T335" s="32">
        <f>IFERROR(__xludf.DUMMYFUNCTION("""COMPUTED_VALUE"""),0.696594)</f>
        <v>0.696594</v>
      </c>
      <c r="U335" s="32">
        <f>IFERROR(__xludf.DUMMYFUNCTION("""COMPUTED_VALUE"""),5.858421)</f>
        <v>5.858421</v>
      </c>
      <c r="V335" s="32">
        <f>IFERROR(__xludf.DUMMYFUNCTION("""COMPUTED_VALUE"""),2.119309)</f>
        <v>2.119309</v>
      </c>
      <c r="W335" s="32">
        <f>IFERROR(__xludf.DUMMYFUNCTION("""COMPUTED_VALUE"""),-28.712329)</f>
        <v>-28.712329</v>
      </c>
      <c r="X335" s="32">
        <f>IFERROR(__xludf.DUMMYFUNCTION("""COMPUTED_VALUE"""),-2.623214)</f>
        <v>-2.623214</v>
      </c>
      <c r="Y335" s="32">
        <f>IFERROR(__xludf.DUMMYFUNCTION("""COMPUTED_VALUE"""),-15.160692)</f>
        <v>-15.160692</v>
      </c>
      <c r="Z335" s="32">
        <f>IFERROR(__xludf.DUMMYFUNCTION("""COMPUTED_VALUE"""),15.996672)</f>
        <v>15.996672</v>
      </c>
      <c r="AA335" s="32">
        <f>IFERROR(__xludf.DUMMYFUNCTION("""COMPUTED_VALUE"""),8.3925)</f>
        <v>8.3925</v>
      </c>
      <c r="AB335" s="32">
        <f>IFERROR(__xludf.DUMMYFUNCTION("""COMPUTED_VALUE"""),12.8879)</f>
        <v>12.8879</v>
      </c>
      <c r="AC335" s="32">
        <f>IFERROR(__xludf.DUMMYFUNCTION("""COMPUTED_VALUE"""),0.7895)</f>
        <v>0.7895</v>
      </c>
      <c r="AD335" s="32">
        <f>IFERROR(__xludf.DUMMYFUNCTION("""COMPUTED_VALUE"""),1.2341)</f>
        <v>1.2341</v>
      </c>
      <c r="AE335" s="32">
        <f>IFERROR(__xludf.DUMMYFUNCTION("""COMPUTED_VALUE"""),17.272241)</f>
        <v>17.272241</v>
      </c>
      <c r="AF335" s="32">
        <f>IFERROR(__xludf.DUMMYFUNCTION("""COMPUTED_VALUE"""),1.58128)</f>
        <v>1.58128</v>
      </c>
      <c r="AG335" s="32">
        <f>IFERROR(__xludf.DUMMYFUNCTION("""COMPUTED_VALUE"""),2.5365)</f>
        <v>2.5365</v>
      </c>
      <c r="AH335" s="32">
        <f>IFERROR(__xludf.DUMMYFUNCTION("""COMPUTED_VALUE"""),5.899463)</f>
        <v>5.899463</v>
      </c>
      <c r="AI335" s="32">
        <f>IFERROR(__xludf.DUMMYFUNCTION("""COMPUTED_VALUE"""),2.0211162944170367)</f>
        <v>2.021116294</v>
      </c>
      <c r="AJ335" s="32">
        <f>IFERROR(__xludf.DUMMYFUNCTION("""COMPUTED_VALUE"""),-1.9390167071304358)</f>
        <v>-1.939016707</v>
      </c>
      <c r="AK335" s="32">
        <f>IFERROR(__xludf.DUMMYFUNCTION("""COMPUTED_VALUE"""),7.7509)</f>
        <v>7.7509</v>
      </c>
      <c r="AL335" s="32">
        <f>IFERROR(__xludf.DUMMYFUNCTION("""COMPUTED_VALUE"""),82.3957)</f>
        <v>82.3957</v>
      </c>
      <c r="AM335" s="32">
        <f>IFERROR(__xludf.DUMMYFUNCTION("""COMPUTED_VALUE"""),-33.571219)</f>
        <v>-33.571219</v>
      </c>
      <c r="AN335" s="32">
        <f>IFERROR(__xludf.DUMMYFUNCTION("""COMPUTED_VALUE"""),-29.134787)</f>
        <v>-29.134787</v>
      </c>
      <c r="AO335" s="32">
        <f>IFERROR(__xludf.DUMMYFUNCTION("""COMPUTED_VALUE"""),1.65)</f>
        <v>1.65</v>
      </c>
      <c r="AP335" s="32">
        <f>IFERROR(__xludf.DUMMYFUNCTION("""COMPUTED_VALUE"""),0.3286893704850362)</f>
        <v>0.3286893705</v>
      </c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>
      <c r="A336" s="13" t="str">
        <f>IFERROR(__xludf.DUMMYFUNCTION("""COMPUTED_VALUE"""),"Hikal Ltd.")</f>
        <v>Hikal Ltd.</v>
      </c>
      <c r="B336" s="30">
        <f>IFERROR(__xludf.DUMMYFUNCTION("""COMPUTED_VALUE"""),524735.0)</f>
        <v>524735</v>
      </c>
      <c r="C336" s="13" t="str">
        <f>IFERROR(__xludf.DUMMYFUNCTION("""COMPUTED_VALUE"""),"HIKAL")</f>
        <v>HIKAL</v>
      </c>
      <c r="D336" s="13" t="str">
        <f>IFERROR(__xludf.DUMMYFUNCTION("""COMPUTED_VALUE"""),"INE475B01022")</f>
        <v>INE475B01022</v>
      </c>
      <c r="E336" s="13" t="str">
        <f>IFERROR(__xludf.DUMMYFUNCTION("""COMPUTED_VALUE"""),"Healthcare")</f>
        <v>Healthcare</v>
      </c>
      <c r="F336" s="13" t="str">
        <f>IFERROR(__xludf.DUMMYFUNCTION("""COMPUTED_VALUE"""),"Drugs &amp; Pharma")</f>
        <v>Drugs &amp; Pharma</v>
      </c>
      <c r="G336" s="31">
        <f>IFERROR(__xludf.DUMMYFUNCTION("""COMPUTED_VALUE"""),44809.0)</f>
        <v>44809</v>
      </c>
      <c r="H336" s="32">
        <f>IFERROR(__xludf.DUMMYFUNCTION("""COMPUTED_VALUE"""),331.5)</f>
        <v>331.5</v>
      </c>
      <c r="I336" s="32">
        <f>IFERROR(__xludf.DUMMYFUNCTION("""COMPUTED_VALUE"""),-0.703909)</f>
        <v>-0.703909</v>
      </c>
      <c r="J336" s="32">
        <f>IFERROR(__xludf.DUMMYFUNCTION("""COMPUTED_VALUE"""),212.0)</f>
        <v>212</v>
      </c>
      <c r="K336" s="32">
        <f>IFERROR(__xludf.DUMMYFUNCTION("""COMPUTED_VALUE"""),729.6)</f>
        <v>729.6</v>
      </c>
      <c r="L336" s="32">
        <f>IFERROR(__xludf.DUMMYFUNCTION("""COMPUTED_VALUE"""),56.9)</f>
        <v>56.9</v>
      </c>
      <c r="M336" s="32">
        <f>IFERROR(__xludf.DUMMYFUNCTION("""COMPUTED_VALUE"""),742.0)</f>
        <v>742</v>
      </c>
      <c r="N336" s="32">
        <f>IFERROR(__xludf.DUMMYFUNCTION("""COMPUTED_VALUE"""),56.9)</f>
        <v>56.9</v>
      </c>
      <c r="O336" s="32">
        <f>IFERROR(__xludf.DUMMYFUNCTION("""COMPUTED_VALUE"""),742.0)</f>
        <v>742</v>
      </c>
      <c r="P336" s="32">
        <f>IFERROR(__xludf.DUMMYFUNCTION("""COMPUTED_VALUE"""),4.111111)</f>
        <v>4.111111</v>
      </c>
      <c r="Q336" s="32">
        <f>IFERROR(__xludf.DUMMYFUNCTION("""COMPUTED_VALUE"""),742.0)</f>
        <v>742</v>
      </c>
      <c r="R336" s="32">
        <f>IFERROR(__xludf.DUMMYFUNCTION("""COMPUTED_VALUE"""),4087.4198625)</f>
        <v>4087.419863</v>
      </c>
      <c r="S336" s="32">
        <f>IFERROR(__xludf.DUMMYFUNCTION("""COMPUTED_VALUE"""),4732.0910425)</f>
        <v>4732.091043</v>
      </c>
      <c r="T336" s="32">
        <f>IFERROR(__xludf.DUMMYFUNCTION("""COMPUTED_VALUE"""),0.226757)</f>
        <v>0.226757</v>
      </c>
      <c r="U336" s="32">
        <f>IFERROR(__xludf.DUMMYFUNCTION("""COMPUTED_VALUE"""),24.436937)</f>
        <v>24.436937</v>
      </c>
      <c r="V336" s="32">
        <f>IFERROR(__xludf.DUMMYFUNCTION("""COMPUTED_VALUE"""),12.908719)</f>
        <v>12.908719</v>
      </c>
      <c r="W336" s="32">
        <f>IFERROR(__xludf.DUMMYFUNCTION("""COMPUTED_VALUE"""),-47.251174)</f>
        <v>-47.251174</v>
      </c>
      <c r="X336" s="32">
        <f>IFERROR(__xludf.DUMMYFUNCTION("""COMPUTED_VALUE"""),32.424743)</f>
        <v>32.424743</v>
      </c>
      <c r="Y336" s="32">
        <f>IFERROR(__xludf.DUMMYFUNCTION("""COMPUTED_VALUE"""),19.43561)</f>
        <v>19.43561</v>
      </c>
      <c r="Z336" s="32">
        <f>IFERROR(__xludf.DUMMYFUNCTION("""COMPUTED_VALUE"""),22.644387)</f>
        <v>22.644387</v>
      </c>
      <c r="AA336" s="32">
        <f>IFERROR(__xludf.DUMMYFUNCTION("""COMPUTED_VALUE"""),40.4377)</f>
        <v>40.4377</v>
      </c>
      <c r="AB336" s="32">
        <f>IFERROR(__xludf.DUMMYFUNCTION("""COMPUTED_VALUE"""),22.58275)</f>
        <v>22.58275</v>
      </c>
      <c r="AC336" s="32">
        <f>IFERROR(__xludf.DUMMYFUNCTION("""COMPUTED_VALUE"""),3.8604)</f>
        <v>3.8604</v>
      </c>
      <c r="AD336" s="32">
        <f>IFERROR(__xludf.DUMMYFUNCTION("""COMPUTED_VALUE"""),2.76185)</f>
        <v>2.76185</v>
      </c>
      <c r="AE336" s="32">
        <f>IFERROR(__xludf.DUMMYFUNCTION("""COMPUTED_VALUE"""),3.783095)</f>
        <v>3.783095</v>
      </c>
      <c r="AF336" s="32">
        <f>IFERROR(__xludf.DUMMYFUNCTION("""COMPUTED_VALUE"""),2.146575)</f>
        <v>2.146575</v>
      </c>
      <c r="AG336" s="32">
        <f>IFERROR(__xludf.DUMMYFUNCTION("""COMPUTED_VALUE"""),0.4825)</f>
        <v>0.4825</v>
      </c>
      <c r="AH336" s="32">
        <f>IFERROR(__xludf.DUMMYFUNCTION("""COMPUTED_VALUE"""),17.36356)</f>
        <v>17.36356</v>
      </c>
      <c r="AI336" s="32">
        <f>IFERROR(__xludf.DUMMYFUNCTION("""COMPUTED_VALUE"""),2.217988367202974)</f>
        <v>2.217988367</v>
      </c>
      <c r="AJ336" s="32">
        <f>IFERROR(__xludf.DUMMYFUNCTION("""COMPUTED_VALUE"""),13.915426126788613)</f>
        <v>13.91542613</v>
      </c>
      <c r="AK336" s="32">
        <f>IFERROR(__xludf.DUMMYFUNCTION("""COMPUTED_VALUE"""),8.2003)</f>
        <v>8.2003</v>
      </c>
      <c r="AL336" s="32">
        <f>IFERROR(__xludf.DUMMYFUNCTION("""COMPUTED_VALUE"""),85.8974)</f>
        <v>85.8974</v>
      </c>
      <c r="AM336" s="32">
        <f>IFERROR(__xludf.DUMMYFUNCTION("""COMPUTED_VALUE"""),23.822628)</f>
        <v>23.822628</v>
      </c>
      <c r="AN336" s="32">
        <f>IFERROR(__xludf.DUMMYFUNCTION("""COMPUTED_VALUE"""),0.126358)</f>
        <v>0.126358</v>
      </c>
      <c r="AO336" s="32">
        <f>IFERROR(__xludf.DUMMYFUNCTION("""COMPUTED_VALUE"""),1.6)</f>
        <v>1.6</v>
      </c>
      <c r="AP336" s="32">
        <f>IFERROR(__xludf.DUMMYFUNCTION("""COMPUTED_VALUE"""),0.545641447368421)</f>
        <v>0.5456414474</v>
      </c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>
      <c r="A337" s="13" t="str">
        <f>IFERROR(__xludf.DUMMYFUNCTION("""COMPUTED_VALUE"""),"Rail Vikas Nigam Ltd.")</f>
        <v>Rail Vikas Nigam Ltd.</v>
      </c>
      <c r="B337" s="30">
        <f>IFERROR(__xludf.DUMMYFUNCTION("""COMPUTED_VALUE"""),542649.0)</f>
        <v>542649</v>
      </c>
      <c r="C337" s="13" t="str">
        <f>IFERROR(__xludf.DUMMYFUNCTION("""COMPUTED_VALUE"""),"RVNL")</f>
        <v>RVNL</v>
      </c>
      <c r="D337" s="13" t="str">
        <f>IFERROR(__xludf.DUMMYFUNCTION("""COMPUTED_VALUE"""),"INE415G01027")</f>
        <v>INE415G01027</v>
      </c>
      <c r="E337" s="13" t="str">
        <f>IFERROR(__xludf.DUMMYFUNCTION("""COMPUTED_VALUE"""),"Construction")</f>
        <v>Construction</v>
      </c>
      <c r="F337" s="13" t="str">
        <f>IFERROR(__xludf.DUMMYFUNCTION("""COMPUTED_VALUE"""),"Infrastructure")</f>
        <v>Infrastructure</v>
      </c>
      <c r="G337" s="31">
        <f>IFERROR(__xludf.DUMMYFUNCTION("""COMPUTED_VALUE"""),44809.0)</f>
        <v>44809</v>
      </c>
      <c r="H337" s="32">
        <f>IFERROR(__xludf.DUMMYFUNCTION("""COMPUTED_VALUE"""),32.95)</f>
        <v>32.95</v>
      </c>
      <c r="I337" s="32">
        <f>IFERROR(__xludf.DUMMYFUNCTION("""COMPUTED_VALUE"""),0.457317)</f>
        <v>0.457317</v>
      </c>
      <c r="J337" s="32">
        <f>IFERROR(__xludf.DUMMYFUNCTION("""COMPUTED_VALUE"""),29.0)</f>
        <v>29</v>
      </c>
      <c r="K337" s="32">
        <f>IFERROR(__xludf.DUMMYFUNCTION("""COMPUTED_VALUE"""),44.8)</f>
        <v>44.8</v>
      </c>
      <c r="L337" s="32">
        <f>IFERROR(__xludf.DUMMYFUNCTION("""COMPUTED_VALUE"""),10.0)</f>
        <v>10</v>
      </c>
      <c r="M337" s="32">
        <f>IFERROR(__xludf.DUMMYFUNCTION("""COMPUTED_VALUE"""),44.8)</f>
        <v>44.8</v>
      </c>
      <c r="N337" s="13"/>
      <c r="O337" s="13"/>
      <c r="P337" s="32">
        <f>IFERROR(__xludf.DUMMYFUNCTION("""COMPUTED_VALUE"""),10.0)</f>
        <v>10</v>
      </c>
      <c r="Q337" s="32">
        <f>IFERROR(__xludf.DUMMYFUNCTION("""COMPUTED_VALUE"""),44.8)</f>
        <v>44.8</v>
      </c>
      <c r="R337" s="32">
        <f>IFERROR(__xludf.DUMMYFUNCTION("""COMPUTED_VALUE"""),6870.1412295)</f>
        <v>6870.14123</v>
      </c>
      <c r="S337" s="32">
        <f>IFERROR(__xludf.DUMMYFUNCTION("""COMPUTED_VALUE"""),10700.9508275)</f>
        <v>10700.95083</v>
      </c>
      <c r="T337" s="32">
        <f>IFERROR(__xludf.DUMMYFUNCTION("""COMPUTED_VALUE"""),2.012384)</f>
        <v>2.012384</v>
      </c>
      <c r="U337" s="32">
        <f>IFERROR(__xludf.DUMMYFUNCTION("""COMPUTED_VALUE"""),6.462036)</f>
        <v>6.462036</v>
      </c>
      <c r="V337" s="32">
        <f>IFERROR(__xludf.DUMMYFUNCTION("""COMPUTED_VALUE"""),1.07362)</f>
        <v>1.07362</v>
      </c>
      <c r="W337" s="32">
        <f>IFERROR(__xludf.DUMMYFUNCTION("""COMPUTED_VALUE"""),9.833333)</f>
        <v>9.833333</v>
      </c>
      <c r="X337" s="32">
        <f>IFERROR(__xludf.DUMMYFUNCTION("""COMPUTED_VALUE"""),10.988877)</f>
        <v>10.988877</v>
      </c>
      <c r="Y337" s="13"/>
      <c r="Z337" s="13"/>
      <c r="AA337" s="32">
        <f>IFERROR(__xludf.DUMMYFUNCTION("""COMPUTED_VALUE"""),5.5046)</f>
        <v>5.5046</v>
      </c>
      <c r="AB337" s="32">
        <f>IFERROR(__xludf.DUMMYFUNCTION("""COMPUTED_VALUE"""),6.46435)</f>
        <v>6.46435</v>
      </c>
      <c r="AC337" s="32">
        <f>IFERROR(__xludf.DUMMYFUNCTION("""COMPUTED_VALUE"""),1.0289)</f>
        <v>1.0289</v>
      </c>
      <c r="AD337" s="32">
        <f>IFERROR(__xludf.DUMMYFUNCTION("""COMPUTED_VALUE"""),1.04305)</f>
        <v>1.04305</v>
      </c>
      <c r="AE337" s="32">
        <f>IFERROR(__xludf.DUMMYFUNCTION("""COMPUTED_VALUE"""),22.057311)</f>
        <v>22.057311</v>
      </c>
      <c r="AF337" s="32">
        <f>IFERROR(__xludf.DUMMYFUNCTION("""COMPUTED_VALUE"""),0.262062)</f>
        <v>0.262062</v>
      </c>
      <c r="AG337" s="32">
        <f>IFERROR(__xludf.DUMMYFUNCTION("""COMPUTED_VALUE"""),5.5539)</f>
        <v>5.5539</v>
      </c>
      <c r="AH337" s="32">
        <f>IFERROR(__xludf.DUMMYFUNCTION("""COMPUTED_VALUE"""),5.900392)</f>
        <v>5.900392</v>
      </c>
      <c r="AI337" s="32">
        <f>IFERROR(__xludf.DUMMYFUNCTION("""COMPUTED_VALUE"""),0.340893262385658)</f>
        <v>0.3408932624</v>
      </c>
      <c r="AJ337" s="32">
        <f>IFERROR(__xludf.DUMMYFUNCTION("""COMPUTED_VALUE"""),10.453494666088465)</f>
        <v>10.45349467</v>
      </c>
      <c r="AK337" s="32">
        <f>IFERROR(__xludf.DUMMYFUNCTION("""COMPUTED_VALUE"""),5.9859)</f>
        <v>5.9859</v>
      </c>
      <c r="AL337" s="32">
        <f>IFERROR(__xludf.DUMMYFUNCTION("""COMPUTED_VALUE"""),32.0232)</f>
        <v>32.0232</v>
      </c>
      <c r="AM337" s="32">
        <f>IFERROR(__xludf.DUMMYFUNCTION("""COMPUTED_VALUE"""),3.152056)</f>
        <v>3.152056</v>
      </c>
      <c r="AN337" s="32">
        <f>IFERROR(__xludf.DUMMYFUNCTION("""COMPUTED_VALUE"""),3.966964)</f>
        <v>3.966964</v>
      </c>
      <c r="AO337" s="32">
        <f>IFERROR(__xludf.DUMMYFUNCTION("""COMPUTED_VALUE"""),1.58)</f>
        <v>1.58</v>
      </c>
      <c r="AP337" s="32">
        <f>IFERROR(__xludf.DUMMYFUNCTION("""COMPUTED_VALUE"""),0.26450892857142844)</f>
        <v>0.2645089286</v>
      </c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>
      <c r="A338" s="13" t="str">
        <f>IFERROR(__xludf.DUMMYFUNCTION("""COMPUTED_VALUE"""),"Sona BLW Precision Forgings Ltd.")</f>
        <v>Sona BLW Precision Forgings Ltd.</v>
      </c>
      <c r="B338" s="30">
        <f>IFERROR(__xludf.DUMMYFUNCTION("""COMPUTED_VALUE"""),543300.0)</f>
        <v>543300</v>
      </c>
      <c r="C338" s="13" t="str">
        <f>IFERROR(__xludf.DUMMYFUNCTION("""COMPUTED_VALUE"""),"SONACOMS")</f>
        <v>SONACOMS</v>
      </c>
      <c r="D338" s="13" t="str">
        <f>IFERROR(__xludf.DUMMYFUNCTION("""COMPUTED_VALUE"""),"INE073K01018")</f>
        <v>INE073K01018</v>
      </c>
      <c r="E338" s="13" t="str">
        <f>IFERROR(__xludf.DUMMYFUNCTION("""COMPUTED_VALUE"""),"Automobile")</f>
        <v>Automobile</v>
      </c>
      <c r="F338" s="13" t="str">
        <f>IFERROR(__xludf.DUMMYFUNCTION("""COMPUTED_VALUE"""),"Auto Ancillaries")</f>
        <v>Auto Ancillaries</v>
      </c>
      <c r="G338" s="31">
        <f>IFERROR(__xludf.DUMMYFUNCTION("""COMPUTED_VALUE"""),44809.0)</f>
        <v>44809</v>
      </c>
      <c r="H338" s="32">
        <f>IFERROR(__xludf.DUMMYFUNCTION("""COMPUTED_VALUE"""),522.7)</f>
        <v>522.7</v>
      </c>
      <c r="I338" s="32">
        <f>IFERROR(__xludf.DUMMYFUNCTION("""COMPUTED_VALUE"""),-0.248092)</f>
        <v>-0.248092</v>
      </c>
      <c r="J338" s="32">
        <f>IFERROR(__xludf.DUMMYFUNCTION("""COMPUTED_VALUE"""),507.2)</f>
        <v>507.2</v>
      </c>
      <c r="K338" s="32">
        <f>IFERROR(__xludf.DUMMYFUNCTION("""COMPUTED_VALUE"""),839.9)</f>
        <v>839.9</v>
      </c>
      <c r="L338" s="13"/>
      <c r="M338" s="13"/>
      <c r="N338" s="13"/>
      <c r="O338" s="13"/>
      <c r="P338" s="32">
        <f>IFERROR(__xludf.DUMMYFUNCTION("""COMPUTED_VALUE"""),295.0)</f>
        <v>295</v>
      </c>
      <c r="Q338" s="32">
        <f>IFERROR(__xludf.DUMMYFUNCTION("""COMPUTED_VALUE"""),839.9)</f>
        <v>839.9</v>
      </c>
      <c r="R338" s="32">
        <f>IFERROR(__xludf.DUMMYFUNCTION("""COMPUTED_VALUE"""),30517.82027975)</f>
        <v>30517.82028</v>
      </c>
      <c r="S338" s="32">
        <f>IFERROR(__xludf.DUMMYFUNCTION("""COMPUTED_VALUE"""),30577.4523685)</f>
        <v>30577.45237</v>
      </c>
      <c r="T338" s="32">
        <f>IFERROR(__xludf.DUMMYFUNCTION("""COMPUTED_VALUE"""),-1.525998)</f>
        <v>-1.525998</v>
      </c>
      <c r="U338" s="32">
        <f>IFERROR(__xludf.DUMMYFUNCTION("""COMPUTED_VALUE"""),-9.253472)</f>
        <v>-9.253472</v>
      </c>
      <c r="V338" s="32">
        <f>IFERROR(__xludf.DUMMYFUNCTION("""COMPUTED_VALUE"""),-8.77836)</f>
        <v>-8.77836</v>
      </c>
      <c r="W338" s="32">
        <f>IFERROR(__xludf.DUMMYFUNCTION("""COMPUTED_VALUE"""),-0.570668)</f>
        <v>-0.570668</v>
      </c>
      <c r="X338" s="13"/>
      <c r="Y338" s="13"/>
      <c r="Z338" s="13"/>
      <c r="AA338" s="32">
        <f>IFERROR(__xludf.DUMMYFUNCTION("""COMPUTED_VALUE"""),85.9248)</f>
        <v>85.9248</v>
      </c>
      <c r="AB338" s="32">
        <f>IFERROR(__xludf.DUMMYFUNCTION("""COMPUTED_VALUE"""),169.1286)</f>
        <v>169.1286</v>
      </c>
      <c r="AC338" s="32">
        <f>IFERROR(__xludf.DUMMYFUNCTION("""COMPUTED_VALUE"""),14.7452)</f>
        <v>14.7452</v>
      </c>
      <c r="AD338" s="32">
        <f>IFERROR(__xludf.DUMMYFUNCTION("""COMPUTED_VALUE"""),16.0171)</f>
        <v>16.0171</v>
      </c>
      <c r="AE338" s="32">
        <f>IFERROR(__xludf.DUMMYFUNCTION("""COMPUTED_VALUE"""),1.511464)</f>
        <v>1.511464</v>
      </c>
      <c r="AF338" s="32">
        <f>IFERROR(__xludf.DUMMYFUNCTION("""COMPUTED_VALUE"""),4.431974)</f>
        <v>4.431974</v>
      </c>
      <c r="AG338" s="32">
        <f>IFERROR(__xludf.DUMMYFUNCTION("""COMPUTED_VALUE"""),0.2949)</f>
        <v>0.2949</v>
      </c>
      <c r="AH338" s="32">
        <f>IFERROR(__xludf.DUMMYFUNCTION("""COMPUTED_VALUE"""),52.380447)</f>
        <v>52.380447</v>
      </c>
      <c r="AI338" s="32">
        <f>IFERROR(__xludf.DUMMYFUNCTION("""COMPUTED_VALUE"""),13.783378767722189)</f>
        <v>13.78337877</v>
      </c>
      <c r="AJ338" s="32">
        <f>IFERROR(__xludf.DUMMYFUNCTION("""COMPUTED_VALUE"""),68.6440047589753)</f>
        <v>68.64400476</v>
      </c>
      <c r="AK338" s="32">
        <f>IFERROR(__xludf.DUMMYFUNCTION("""COMPUTED_VALUE"""),6.078)</f>
        <v>6.078</v>
      </c>
      <c r="AL338" s="32">
        <f>IFERROR(__xludf.DUMMYFUNCTION("""COMPUTED_VALUE"""),35.4184)</f>
        <v>35.4184</v>
      </c>
      <c r="AM338" s="32">
        <f>IFERROR(__xludf.DUMMYFUNCTION("""COMPUTED_VALUE"""),7.60809)</f>
        <v>7.60809</v>
      </c>
      <c r="AN338" s="32">
        <f>IFERROR(__xludf.DUMMYFUNCTION("""COMPUTED_VALUE"""),1.150845)</f>
        <v>1.150845</v>
      </c>
      <c r="AO338" s="32">
        <f>IFERROR(__xludf.DUMMYFUNCTION("""COMPUTED_VALUE"""),1.54)</f>
        <v>1.54</v>
      </c>
      <c r="AP338" s="32">
        <f>IFERROR(__xludf.DUMMYFUNCTION("""COMPUTED_VALUE"""),0.37766400761995467)</f>
        <v>0.3776640076</v>
      </c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>
      <c r="A339" s="13" t="str">
        <f>IFERROR(__xludf.DUMMYFUNCTION("""COMPUTED_VALUE"""),"Anupam Rasayan India Ltd.")</f>
        <v>Anupam Rasayan India Ltd.</v>
      </c>
      <c r="B339" s="30">
        <f>IFERROR(__xludf.DUMMYFUNCTION("""COMPUTED_VALUE"""),543275.0)</f>
        <v>543275</v>
      </c>
      <c r="C339" s="13" t="str">
        <f>IFERROR(__xludf.DUMMYFUNCTION("""COMPUTED_VALUE"""),"ANURAS")</f>
        <v>ANURAS</v>
      </c>
      <c r="D339" s="13" t="str">
        <f>IFERROR(__xludf.DUMMYFUNCTION("""COMPUTED_VALUE"""),"INE930P01018")</f>
        <v>INE930P01018</v>
      </c>
      <c r="E339" s="13" t="str">
        <f>IFERROR(__xludf.DUMMYFUNCTION("""COMPUTED_VALUE"""),"Chemicals")</f>
        <v>Chemicals</v>
      </c>
      <c r="F339" s="13" t="str">
        <f>IFERROR(__xludf.DUMMYFUNCTION("""COMPUTED_VALUE"""),"Speciality Chemicals")</f>
        <v>Speciality Chemicals</v>
      </c>
      <c r="G339" s="31">
        <f>IFERROR(__xludf.DUMMYFUNCTION("""COMPUTED_VALUE"""),44809.0)</f>
        <v>44809</v>
      </c>
      <c r="H339" s="32">
        <f>IFERROR(__xludf.DUMMYFUNCTION("""COMPUTED_VALUE"""),764.7)</f>
        <v>764.7</v>
      </c>
      <c r="I339" s="32">
        <f>IFERROR(__xludf.DUMMYFUNCTION("""COMPUTED_VALUE"""),0.045791)</f>
        <v>0.045791</v>
      </c>
      <c r="J339" s="32">
        <f>IFERROR(__xludf.DUMMYFUNCTION("""COMPUTED_VALUE"""),546.75)</f>
        <v>546.75</v>
      </c>
      <c r="K339" s="32">
        <f>IFERROR(__xludf.DUMMYFUNCTION("""COMPUTED_VALUE"""),1107.55)</f>
        <v>1107.55</v>
      </c>
      <c r="L339" s="13"/>
      <c r="M339" s="13"/>
      <c r="N339" s="13"/>
      <c r="O339" s="13"/>
      <c r="P339" s="32">
        <f>IFERROR(__xludf.DUMMYFUNCTION("""COMPUTED_VALUE"""),472.25)</f>
        <v>472.25</v>
      </c>
      <c r="Q339" s="32">
        <f>IFERROR(__xludf.DUMMYFUNCTION("""COMPUTED_VALUE"""),1107.55)</f>
        <v>1107.55</v>
      </c>
      <c r="R339" s="32">
        <f>IFERROR(__xludf.DUMMYFUNCTION("""COMPUTED_VALUE"""),7710.581295115)</f>
        <v>7710.581295</v>
      </c>
      <c r="S339" s="32">
        <f>IFERROR(__xludf.DUMMYFUNCTION("""COMPUTED_VALUE"""),8242.564207655)</f>
        <v>8242.564208</v>
      </c>
      <c r="T339" s="32">
        <f>IFERROR(__xludf.DUMMYFUNCTION("""COMPUTED_VALUE"""),-0.019612)</f>
        <v>-0.019612</v>
      </c>
      <c r="U339" s="32">
        <f>IFERROR(__xludf.DUMMYFUNCTION("""COMPUTED_VALUE"""),0.400446)</f>
        <v>0.400446</v>
      </c>
      <c r="V339" s="32">
        <f>IFERROR(__xludf.DUMMYFUNCTION("""COMPUTED_VALUE"""),12.134321)</f>
        <v>12.134321</v>
      </c>
      <c r="W339" s="32">
        <f>IFERROR(__xludf.DUMMYFUNCTION("""COMPUTED_VALUE"""),1.32503)</f>
        <v>1.32503</v>
      </c>
      <c r="X339" s="13"/>
      <c r="Y339" s="13"/>
      <c r="Z339" s="13"/>
      <c r="AA339" s="32">
        <f>IFERROR(__xludf.DUMMYFUNCTION("""COMPUTED_VALUE"""),48.2659)</f>
        <v>48.2659</v>
      </c>
      <c r="AB339" s="32">
        <f>IFERROR(__xludf.DUMMYFUNCTION("""COMPUTED_VALUE"""),67.9409)</f>
        <v>67.9409</v>
      </c>
      <c r="AC339" s="32">
        <f>IFERROR(__xludf.DUMMYFUNCTION("""COMPUTED_VALUE"""),4.3784)</f>
        <v>4.3784</v>
      </c>
      <c r="AD339" s="32">
        <f>IFERROR(__xludf.DUMMYFUNCTION("""COMPUTED_VALUE"""),4.9089)</f>
        <v>4.9089</v>
      </c>
      <c r="AE339" s="32">
        <f>IFERROR(__xludf.DUMMYFUNCTION("""COMPUTED_VALUE"""),3.273728)</f>
        <v>3.273728</v>
      </c>
      <c r="AF339" s="32">
        <f>IFERROR(__xludf.DUMMYFUNCTION("""COMPUTED_VALUE"""),0.90245)</f>
        <v>0.90245</v>
      </c>
      <c r="AG339" s="32">
        <f>IFERROR(__xludf.DUMMYFUNCTION("""COMPUTED_VALUE"""),0.1963)</f>
        <v>0.1963</v>
      </c>
      <c r="AH339" s="32">
        <f>IFERROR(__xludf.DUMMYFUNCTION("""COMPUTED_VALUE"""),24.853126)</f>
        <v>24.853126</v>
      </c>
      <c r="AI339" s="32">
        <f>IFERROR(__xludf.DUMMYFUNCTION("""COMPUTED_VALUE"""),6.770325289266902)</f>
        <v>6.770325289</v>
      </c>
      <c r="AJ339" s="32">
        <f>IFERROR(__xludf.DUMMYFUNCTION("""COMPUTED_VALUE"""),-45.031603232657424)</f>
        <v>-45.03160323</v>
      </c>
      <c r="AK339" s="32">
        <f>IFERROR(__xludf.DUMMYFUNCTION("""COMPUTED_VALUE"""),15.9295)</f>
        <v>15.9295</v>
      </c>
      <c r="AL339" s="32">
        <f>IFERROR(__xludf.DUMMYFUNCTION("""COMPUTED_VALUE"""),175.6002)</f>
        <v>175.6002</v>
      </c>
      <c r="AM339" s="32">
        <f>IFERROR(__xludf.DUMMYFUNCTION("""COMPUTED_VALUE"""),-17.080411)</f>
        <v>-17.080411</v>
      </c>
      <c r="AN339" s="32">
        <f>IFERROR(__xludf.DUMMYFUNCTION("""COMPUTED_VALUE"""),-37.586362)</f>
        <v>-37.586362</v>
      </c>
      <c r="AO339" s="32">
        <f>IFERROR(__xludf.DUMMYFUNCTION("""COMPUTED_VALUE"""),1.5)</f>
        <v>1.5</v>
      </c>
      <c r="AP339" s="32">
        <f>IFERROR(__xludf.DUMMYFUNCTION("""COMPUTED_VALUE"""),0.3095571306035844)</f>
        <v>0.3095571306</v>
      </c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>
      <c r="A340" s="13" t="str">
        <f>IFERROR(__xludf.DUMMYFUNCTION("""COMPUTED_VALUE"""),"Brigade Enterprises Ltd.")</f>
        <v>Brigade Enterprises Ltd.</v>
      </c>
      <c r="B340" s="30">
        <f>IFERROR(__xludf.DUMMYFUNCTION("""COMPUTED_VALUE"""),532929.0)</f>
        <v>532929</v>
      </c>
      <c r="C340" s="13" t="str">
        <f>IFERROR(__xludf.DUMMYFUNCTION("""COMPUTED_VALUE"""),"BRIGADE")</f>
        <v>BRIGADE</v>
      </c>
      <c r="D340" s="13" t="str">
        <f>IFERROR(__xludf.DUMMYFUNCTION("""COMPUTED_VALUE"""),"INE791I01019")</f>
        <v>INE791I01019</v>
      </c>
      <c r="E340" s="13" t="str">
        <f>IFERROR(__xludf.DUMMYFUNCTION("""COMPUTED_VALUE"""),"Construction")</f>
        <v>Construction</v>
      </c>
      <c r="F340" s="13" t="str">
        <f>IFERROR(__xludf.DUMMYFUNCTION("""COMPUTED_VALUE"""),"Real Estate")</f>
        <v>Real Estate</v>
      </c>
      <c r="G340" s="31">
        <f>IFERROR(__xludf.DUMMYFUNCTION("""COMPUTED_VALUE"""),44809.0)</f>
        <v>44809</v>
      </c>
      <c r="H340" s="32">
        <f>IFERROR(__xludf.DUMMYFUNCTION("""COMPUTED_VALUE"""),536.35)</f>
        <v>536.35</v>
      </c>
      <c r="I340" s="32">
        <f>IFERROR(__xludf.DUMMYFUNCTION("""COMPUTED_VALUE"""),2.778576)</f>
        <v>2.778576</v>
      </c>
      <c r="J340" s="32">
        <f>IFERROR(__xludf.DUMMYFUNCTION("""COMPUTED_VALUE"""),358.35)</f>
        <v>358.35</v>
      </c>
      <c r="K340" s="32">
        <f>IFERROR(__xludf.DUMMYFUNCTION("""COMPUTED_VALUE"""),554.7)</f>
        <v>554.7</v>
      </c>
      <c r="L340" s="32">
        <f>IFERROR(__xludf.DUMMYFUNCTION("""COMPUTED_VALUE"""),90.5)</f>
        <v>90.5</v>
      </c>
      <c r="M340" s="32">
        <f>IFERROR(__xludf.DUMMYFUNCTION("""COMPUTED_VALUE"""),554.7)</f>
        <v>554.7</v>
      </c>
      <c r="N340" s="32">
        <f>IFERROR(__xludf.DUMMYFUNCTION("""COMPUTED_VALUE"""),90.5)</f>
        <v>90.5</v>
      </c>
      <c r="O340" s="32">
        <f>IFERROR(__xludf.DUMMYFUNCTION("""COMPUTED_VALUE"""),554.7)</f>
        <v>554.7</v>
      </c>
      <c r="P340" s="32">
        <f>IFERROR(__xludf.DUMMYFUNCTION("""COMPUTED_VALUE"""),18.533333)</f>
        <v>18.533333</v>
      </c>
      <c r="Q340" s="32">
        <f>IFERROR(__xludf.DUMMYFUNCTION("""COMPUTED_VALUE"""),554.7)</f>
        <v>554.7</v>
      </c>
      <c r="R340" s="32">
        <f>IFERROR(__xludf.DUMMYFUNCTION("""COMPUTED_VALUE"""),12411.38882753)</f>
        <v>12411.38883</v>
      </c>
      <c r="S340" s="32">
        <f>IFERROR(__xludf.DUMMYFUNCTION("""COMPUTED_VALUE"""),15430.233483505)</f>
        <v>15430.23348</v>
      </c>
      <c r="T340" s="32">
        <f>IFERROR(__xludf.DUMMYFUNCTION("""COMPUTED_VALUE"""),7.646764)</f>
        <v>7.646764</v>
      </c>
      <c r="U340" s="32">
        <f>IFERROR(__xludf.DUMMYFUNCTION("""COMPUTED_VALUE"""),4.074901)</f>
        <v>4.074901</v>
      </c>
      <c r="V340" s="32">
        <f>IFERROR(__xludf.DUMMYFUNCTION("""COMPUTED_VALUE"""),16.610501)</f>
        <v>16.610501</v>
      </c>
      <c r="W340" s="32">
        <f>IFERROR(__xludf.DUMMYFUNCTION("""COMPUTED_VALUE"""),44.900716)</f>
        <v>44.900716</v>
      </c>
      <c r="X340" s="32">
        <f>IFERROR(__xludf.DUMMYFUNCTION("""COMPUTED_VALUE"""),39.634913)</f>
        <v>39.634913</v>
      </c>
      <c r="Y340" s="32">
        <f>IFERROR(__xludf.DUMMYFUNCTION("""COMPUTED_VALUE"""),24.922076)</f>
        <v>24.922076</v>
      </c>
      <c r="Z340" s="32">
        <f>IFERROR(__xludf.DUMMYFUNCTION("""COMPUTED_VALUE"""),33.001146)</f>
        <v>33.001146</v>
      </c>
      <c r="AA340" s="32">
        <f>IFERROR(__xludf.DUMMYFUNCTION("""COMPUTED_VALUE"""),58.9503)</f>
        <v>58.9503</v>
      </c>
      <c r="AB340" s="32">
        <f>IFERROR(__xludf.DUMMYFUNCTION("""COMPUTED_VALUE"""),23.68525)</f>
        <v>23.68525</v>
      </c>
      <c r="AC340" s="32">
        <f>IFERROR(__xludf.DUMMYFUNCTION("""COMPUTED_VALUE"""),4.1856)</f>
        <v>4.1856</v>
      </c>
      <c r="AD340" s="32">
        <f>IFERROR(__xludf.DUMMYFUNCTION("""COMPUTED_VALUE"""),1.8041)</f>
        <v>1.8041</v>
      </c>
      <c r="AE340" s="32">
        <f>IFERROR(__xludf.DUMMYFUNCTION("""COMPUTED_VALUE"""),4.407971)</f>
        <v>4.407971</v>
      </c>
      <c r="AF340" s="32">
        <f>IFERROR(__xludf.DUMMYFUNCTION("""COMPUTED_VALUE"""),-4.108122)</f>
        <v>-4.108122</v>
      </c>
      <c r="AG340" s="32">
        <f>IFERROR(__xludf.DUMMYFUNCTION("""COMPUTED_VALUE"""),0.2801)</f>
        <v>0.2801</v>
      </c>
      <c r="AH340" s="32">
        <f>IFERROR(__xludf.DUMMYFUNCTION("""COMPUTED_VALUE"""),16.014606)</f>
        <v>16.014606</v>
      </c>
      <c r="AI340" s="32">
        <f>IFERROR(__xludf.DUMMYFUNCTION("""COMPUTED_VALUE"""),3.5274859676706987)</f>
        <v>3.527485968</v>
      </c>
      <c r="AJ340" s="32">
        <f>IFERROR(__xludf.DUMMYFUNCTION("""COMPUTED_VALUE"""),12.025607343936516)</f>
        <v>12.02560734</v>
      </c>
      <c r="AK340" s="32">
        <f>IFERROR(__xludf.DUMMYFUNCTION("""COMPUTED_VALUE"""),9.1314)</f>
        <v>9.1314</v>
      </c>
      <c r="AL340" s="32">
        <f>IFERROR(__xludf.DUMMYFUNCTION("""COMPUTED_VALUE"""),128.6061)</f>
        <v>128.6061</v>
      </c>
      <c r="AM340" s="32">
        <f>IFERROR(__xludf.DUMMYFUNCTION("""COMPUTED_VALUE"""),44.822375)</f>
        <v>44.822375</v>
      </c>
      <c r="AN340" s="32">
        <f>IFERROR(__xludf.DUMMYFUNCTION("""COMPUTED_VALUE"""),20.804308)</f>
        <v>20.804308</v>
      </c>
      <c r="AO340" s="32">
        <f>IFERROR(__xludf.DUMMYFUNCTION("""COMPUTED_VALUE"""),1.5)</f>
        <v>1.5</v>
      </c>
      <c r="AP340" s="32">
        <f>IFERROR(__xludf.DUMMYFUNCTION("""COMPUTED_VALUE"""),0.03308094465476838)</f>
        <v>0.03308094465</v>
      </c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>
      <c r="A341" s="13" t="str">
        <f>IFERROR(__xludf.DUMMYFUNCTION("""COMPUTED_VALUE"""),"Century Plyboards (India) Ltd.")</f>
        <v>Century Plyboards (India) Ltd.</v>
      </c>
      <c r="B341" s="30">
        <f>IFERROR(__xludf.DUMMYFUNCTION("""COMPUTED_VALUE"""),532548.0)</f>
        <v>532548</v>
      </c>
      <c r="C341" s="13" t="str">
        <f>IFERROR(__xludf.DUMMYFUNCTION("""COMPUTED_VALUE"""),"CENTURYPLY")</f>
        <v>CENTURYPLY</v>
      </c>
      <c r="D341" s="13" t="str">
        <f>IFERROR(__xludf.DUMMYFUNCTION("""COMPUTED_VALUE"""),"INE348B01021")</f>
        <v>INE348B01021</v>
      </c>
      <c r="E341" s="13" t="str">
        <f>IFERROR(__xludf.DUMMYFUNCTION("""COMPUTED_VALUE"""),"Materials")</f>
        <v>Materials</v>
      </c>
      <c r="F341" s="13" t="str">
        <f>IFERROR(__xludf.DUMMYFUNCTION("""COMPUTED_VALUE"""),"Wood")</f>
        <v>Wood</v>
      </c>
      <c r="G341" s="31">
        <f>IFERROR(__xludf.DUMMYFUNCTION("""COMPUTED_VALUE"""),44809.0)</f>
        <v>44809</v>
      </c>
      <c r="H341" s="32">
        <f>IFERROR(__xludf.DUMMYFUNCTION("""COMPUTED_VALUE"""),691.1)</f>
        <v>691.1</v>
      </c>
      <c r="I341" s="32">
        <f>IFERROR(__xludf.DUMMYFUNCTION("""COMPUTED_VALUE"""),3.504568)</f>
        <v>3.504568</v>
      </c>
      <c r="J341" s="32">
        <f>IFERROR(__xludf.DUMMYFUNCTION("""COMPUTED_VALUE"""),391.55)</f>
        <v>391.55</v>
      </c>
      <c r="K341" s="32">
        <f>IFERROR(__xludf.DUMMYFUNCTION("""COMPUTED_VALUE"""),749.0)</f>
        <v>749</v>
      </c>
      <c r="L341" s="32">
        <f>IFERROR(__xludf.DUMMYFUNCTION("""COMPUTED_VALUE"""),95.0)</f>
        <v>95</v>
      </c>
      <c r="M341" s="32">
        <f>IFERROR(__xludf.DUMMYFUNCTION("""COMPUTED_VALUE"""),749.0)</f>
        <v>749</v>
      </c>
      <c r="N341" s="32">
        <f>IFERROR(__xludf.DUMMYFUNCTION("""COMPUTED_VALUE"""),95.0)</f>
        <v>95</v>
      </c>
      <c r="O341" s="32">
        <f>IFERROR(__xludf.DUMMYFUNCTION("""COMPUTED_VALUE"""),749.0)</f>
        <v>749</v>
      </c>
      <c r="P341" s="32">
        <f>IFERROR(__xludf.DUMMYFUNCTION("""COMPUTED_VALUE"""),5.3)</f>
        <v>5.3</v>
      </c>
      <c r="Q341" s="32">
        <f>IFERROR(__xludf.DUMMYFUNCTION("""COMPUTED_VALUE"""),749.0)</f>
        <v>749</v>
      </c>
      <c r="R341" s="32">
        <f>IFERROR(__xludf.DUMMYFUNCTION("""COMPUTED_VALUE"""),15383.2578276)</f>
        <v>15383.25783</v>
      </c>
      <c r="S341" s="32">
        <f>IFERROR(__xludf.DUMMYFUNCTION("""COMPUTED_VALUE"""),14804.94642785)</f>
        <v>14804.94643</v>
      </c>
      <c r="T341" s="32">
        <f>IFERROR(__xludf.DUMMYFUNCTION("""COMPUTED_VALUE"""),1.999852)</f>
        <v>1.999852</v>
      </c>
      <c r="U341" s="32">
        <f>IFERROR(__xludf.DUMMYFUNCTION("""COMPUTED_VALUE"""),10.886482)</f>
        <v>10.886482</v>
      </c>
      <c r="V341" s="32">
        <f>IFERROR(__xludf.DUMMYFUNCTION("""COMPUTED_VALUE"""),23.620428)</f>
        <v>23.620428</v>
      </c>
      <c r="W341" s="32">
        <f>IFERROR(__xludf.DUMMYFUNCTION("""COMPUTED_VALUE"""),74.344097)</f>
        <v>74.344097</v>
      </c>
      <c r="X341" s="32">
        <f>IFERROR(__xludf.DUMMYFUNCTION("""COMPUTED_VALUE"""),72.325191)</f>
        <v>72.325191</v>
      </c>
      <c r="Y341" s="32">
        <f>IFERROR(__xludf.DUMMYFUNCTION("""COMPUTED_VALUE"""),22.601016)</f>
        <v>22.601016</v>
      </c>
      <c r="Z341" s="32">
        <f>IFERROR(__xludf.DUMMYFUNCTION("""COMPUTED_VALUE"""),29.751384)</f>
        <v>29.751384</v>
      </c>
      <c r="AA341" s="32">
        <f>IFERROR(__xludf.DUMMYFUNCTION("""COMPUTED_VALUE"""),41.1308)</f>
        <v>41.1308</v>
      </c>
      <c r="AB341" s="32">
        <f>IFERROR(__xludf.DUMMYFUNCTION("""COMPUTED_VALUE"""),36.3845)</f>
        <v>36.3845</v>
      </c>
      <c r="AC341" s="32">
        <f>IFERROR(__xludf.DUMMYFUNCTION("""COMPUTED_VALUE"""),9.3264)</f>
        <v>9.3264</v>
      </c>
      <c r="AD341" s="32">
        <f>IFERROR(__xludf.DUMMYFUNCTION("""COMPUTED_VALUE"""),5.24365)</f>
        <v>5.24365</v>
      </c>
      <c r="AE341" s="32">
        <f>IFERROR(__xludf.DUMMYFUNCTION("""COMPUTED_VALUE"""),3.814848)</f>
        <v>3.814848</v>
      </c>
      <c r="AF341" s="32">
        <f>IFERROR(__xludf.DUMMYFUNCTION("""COMPUTED_VALUE"""),4.068394)</f>
        <v>4.068394</v>
      </c>
      <c r="AG341" s="32">
        <f>IFERROR(__xludf.DUMMYFUNCTION("""COMPUTED_VALUE"""),0.2178)</f>
        <v>0.2178</v>
      </c>
      <c r="AH341" s="32">
        <f>IFERROR(__xludf.DUMMYFUNCTION("""COMPUTED_VALUE"""),23.218711)</f>
        <v>23.218711</v>
      </c>
      <c r="AI341" s="32">
        <f>IFERROR(__xludf.DUMMYFUNCTION("""COMPUTED_VALUE"""),4.448261403947589)</f>
        <v>4.448261404</v>
      </c>
      <c r="AJ341" s="32">
        <f>IFERROR(__xludf.DUMMYFUNCTION("""COMPUTED_VALUE"""),55.699248029667146)</f>
        <v>55.69924803</v>
      </c>
      <c r="AK341" s="32">
        <f>IFERROR(__xludf.DUMMYFUNCTION("""COMPUTED_VALUE"""),16.8341)</f>
        <v>16.8341</v>
      </c>
      <c r="AL341" s="32">
        <f>IFERROR(__xludf.DUMMYFUNCTION("""COMPUTED_VALUE"""),74.2406)</f>
        <v>74.2406</v>
      </c>
      <c r="AM341" s="32">
        <f>IFERROR(__xludf.DUMMYFUNCTION("""COMPUTED_VALUE"""),12.431047)</f>
        <v>12.431047</v>
      </c>
      <c r="AN341" s="32">
        <f>IFERROR(__xludf.DUMMYFUNCTION("""COMPUTED_VALUE"""),-2.62346)</f>
        <v>-2.62346</v>
      </c>
      <c r="AO341" s="32">
        <f>IFERROR(__xludf.DUMMYFUNCTION("""COMPUTED_VALUE"""),1.5)</f>
        <v>1.5</v>
      </c>
      <c r="AP341" s="32">
        <f>IFERROR(__xludf.DUMMYFUNCTION("""COMPUTED_VALUE"""),0.07730307076101466)</f>
        <v>0.07730307076</v>
      </c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>
      <c r="A342" s="13" t="str">
        <f>IFERROR(__xludf.DUMMYFUNCTION("""COMPUTED_VALUE"""),"Granules India Ltd.")</f>
        <v>Granules India Ltd.</v>
      </c>
      <c r="B342" s="30">
        <f>IFERROR(__xludf.DUMMYFUNCTION("""COMPUTED_VALUE"""),532482.0)</f>
        <v>532482</v>
      </c>
      <c r="C342" s="13" t="str">
        <f>IFERROR(__xludf.DUMMYFUNCTION("""COMPUTED_VALUE"""),"GRANULES")</f>
        <v>GRANULES</v>
      </c>
      <c r="D342" s="13" t="str">
        <f>IFERROR(__xludf.DUMMYFUNCTION("""COMPUTED_VALUE"""),"INE101D01020")</f>
        <v>INE101D01020</v>
      </c>
      <c r="E342" s="13" t="str">
        <f>IFERROR(__xludf.DUMMYFUNCTION("""COMPUTED_VALUE"""),"Healthcare")</f>
        <v>Healthcare</v>
      </c>
      <c r="F342" s="13" t="str">
        <f>IFERROR(__xludf.DUMMYFUNCTION("""COMPUTED_VALUE"""),"Drugs &amp; Pharma")</f>
        <v>Drugs &amp; Pharma</v>
      </c>
      <c r="G342" s="31">
        <f>IFERROR(__xludf.DUMMYFUNCTION("""COMPUTED_VALUE"""),44809.0)</f>
        <v>44809</v>
      </c>
      <c r="H342" s="32">
        <f>IFERROR(__xludf.DUMMYFUNCTION("""COMPUTED_VALUE"""),306.05)</f>
        <v>306.05</v>
      </c>
      <c r="I342" s="32">
        <f>IFERROR(__xludf.DUMMYFUNCTION("""COMPUTED_VALUE"""),0.294937)</f>
        <v>0.294937</v>
      </c>
      <c r="J342" s="32">
        <f>IFERROR(__xludf.DUMMYFUNCTION("""COMPUTED_VALUE"""),226.95)</f>
        <v>226.95</v>
      </c>
      <c r="K342" s="32">
        <f>IFERROR(__xludf.DUMMYFUNCTION("""COMPUTED_VALUE"""),362.4)</f>
        <v>362.4</v>
      </c>
      <c r="L342" s="32">
        <f>IFERROR(__xludf.DUMMYFUNCTION("""COMPUTED_VALUE"""),91.15)</f>
        <v>91.15</v>
      </c>
      <c r="M342" s="32">
        <f>IFERROR(__xludf.DUMMYFUNCTION("""COMPUTED_VALUE"""),438.0)</f>
        <v>438</v>
      </c>
      <c r="N342" s="32">
        <f>IFERROR(__xludf.DUMMYFUNCTION("""COMPUTED_VALUE"""),71.55)</f>
        <v>71.55</v>
      </c>
      <c r="O342" s="32">
        <f>IFERROR(__xludf.DUMMYFUNCTION("""COMPUTED_VALUE"""),438.0)</f>
        <v>438</v>
      </c>
      <c r="P342" s="32">
        <f>IFERROR(__xludf.DUMMYFUNCTION("""COMPUTED_VALUE"""),1.575)</f>
        <v>1.575</v>
      </c>
      <c r="Q342" s="32">
        <f>IFERROR(__xludf.DUMMYFUNCTION("""COMPUTED_VALUE"""),438.0)</f>
        <v>438</v>
      </c>
      <c r="R342" s="32">
        <f>IFERROR(__xludf.DUMMYFUNCTION("""COMPUTED_VALUE"""),7597.7583336)</f>
        <v>7597.758334</v>
      </c>
      <c r="S342" s="32">
        <f>IFERROR(__xludf.DUMMYFUNCTION("""COMPUTED_VALUE"""),8261.19611312)</f>
        <v>8261.196113</v>
      </c>
      <c r="T342" s="32">
        <f>IFERROR(__xludf.DUMMYFUNCTION("""COMPUTED_VALUE"""),-0.761997)</f>
        <v>-0.761997</v>
      </c>
      <c r="U342" s="32">
        <f>IFERROR(__xludf.DUMMYFUNCTION("""COMPUTED_VALUE"""),-1.114701)</f>
        <v>-1.114701</v>
      </c>
      <c r="V342" s="32">
        <f>IFERROR(__xludf.DUMMYFUNCTION("""COMPUTED_VALUE"""),13.688707)</f>
        <v>13.688707</v>
      </c>
      <c r="W342" s="32">
        <f>IFERROR(__xludf.DUMMYFUNCTION("""COMPUTED_VALUE"""),-10.170238)</f>
        <v>-10.170238</v>
      </c>
      <c r="X342" s="32">
        <f>IFERROR(__xludf.DUMMYFUNCTION("""COMPUTED_VALUE"""),49.469749)</f>
        <v>49.469749</v>
      </c>
      <c r="Y342" s="32">
        <f>IFERROR(__xludf.DUMMYFUNCTION("""COMPUTED_VALUE"""),19.233346)</f>
        <v>19.233346</v>
      </c>
      <c r="Z342" s="32">
        <f>IFERROR(__xludf.DUMMYFUNCTION("""COMPUTED_VALUE"""),31.363962)</f>
        <v>31.363962</v>
      </c>
      <c r="AA342" s="32">
        <f>IFERROR(__xludf.DUMMYFUNCTION("""COMPUTED_VALUE"""),18.0845)</f>
        <v>18.0845</v>
      </c>
      <c r="AB342" s="32">
        <f>IFERROR(__xludf.DUMMYFUNCTION("""COMPUTED_VALUE"""),15.7778)</f>
        <v>15.7778</v>
      </c>
      <c r="AC342" s="32">
        <f>IFERROR(__xludf.DUMMYFUNCTION("""COMPUTED_VALUE"""),2.8167)</f>
        <v>2.8167</v>
      </c>
      <c r="AD342" s="32">
        <f>IFERROR(__xludf.DUMMYFUNCTION("""COMPUTED_VALUE"""),2.549191)</f>
        <v>2.549191</v>
      </c>
      <c r="AE342" s="32">
        <f>IFERROR(__xludf.DUMMYFUNCTION("""COMPUTED_VALUE"""),7.272016)</f>
        <v>7.272016</v>
      </c>
      <c r="AF342" s="32">
        <f>IFERROR(__xludf.DUMMYFUNCTION("""COMPUTED_VALUE"""),0.744814)</f>
        <v>0.744814</v>
      </c>
      <c r="AG342" s="32">
        <f>IFERROR(__xludf.DUMMYFUNCTION("""COMPUTED_VALUE"""),0.4902)</f>
        <v>0.4902</v>
      </c>
      <c r="AH342" s="32">
        <f>IFERROR(__xludf.DUMMYFUNCTION("""COMPUTED_VALUE"""),11.059683)</f>
        <v>11.059683</v>
      </c>
      <c r="AI342" s="32">
        <f>IFERROR(__xludf.DUMMYFUNCTION("""COMPUTED_VALUE"""),1.9309969002422083)</f>
        <v>1.9309969</v>
      </c>
      <c r="AJ342" s="32">
        <f>IFERROR(__xludf.DUMMYFUNCTION("""COMPUTED_VALUE"""),22.881085743558053)</f>
        <v>22.88108574</v>
      </c>
      <c r="AK342" s="32">
        <f>IFERROR(__xludf.DUMMYFUNCTION("""COMPUTED_VALUE"""),16.9206)</f>
        <v>16.9206</v>
      </c>
      <c r="AL342" s="32">
        <f>IFERROR(__xludf.DUMMYFUNCTION("""COMPUTED_VALUE"""),108.6383)</f>
        <v>108.6383</v>
      </c>
      <c r="AM342" s="32">
        <f>IFERROR(__xludf.DUMMYFUNCTION("""COMPUTED_VALUE"""),13.388954)</f>
        <v>13.388954</v>
      </c>
      <c r="AN342" s="32">
        <f>IFERROR(__xludf.DUMMYFUNCTION("""COMPUTED_VALUE"""),-3.366939)</f>
        <v>-3.366939</v>
      </c>
      <c r="AO342" s="32">
        <f>IFERROR(__xludf.DUMMYFUNCTION("""COMPUTED_VALUE"""),1.5)</f>
        <v>1.5</v>
      </c>
      <c r="AP342" s="32">
        <f>IFERROR(__xludf.DUMMYFUNCTION("""COMPUTED_VALUE"""),0.15549116997792486)</f>
        <v>0.15549117</v>
      </c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>
      <c r="A343" s="13" t="str">
        <f>IFERROR(__xludf.DUMMYFUNCTION("""COMPUTED_VALUE"""),"Jamna Auto Industries Ltd.")</f>
        <v>Jamna Auto Industries Ltd.</v>
      </c>
      <c r="B343" s="30">
        <f>IFERROR(__xludf.DUMMYFUNCTION("""COMPUTED_VALUE"""),520051.0)</f>
        <v>520051</v>
      </c>
      <c r="C343" s="13" t="str">
        <f>IFERROR(__xludf.DUMMYFUNCTION("""COMPUTED_VALUE"""),"JAMNAAUTO")</f>
        <v>JAMNAAUTO</v>
      </c>
      <c r="D343" s="13" t="str">
        <f>IFERROR(__xludf.DUMMYFUNCTION("""COMPUTED_VALUE"""),"INE039C01032")</f>
        <v>INE039C01032</v>
      </c>
      <c r="E343" s="13" t="str">
        <f>IFERROR(__xludf.DUMMYFUNCTION("""COMPUTED_VALUE"""),"Automobile")</f>
        <v>Automobile</v>
      </c>
      <c r="F343" s="13" t="str">
        <f>IFERROR(__xludf.DUMMYFUNCTION("""COMPUTED_VALUE"""),"Auto Ancillaries")</f>
        <v>Auto Ancillaries</v>
      </c>
      <c r="G343" s="31">
        <f>IFERROR(__xludf.DUMMYFUNCTION("""COMPUTED_VALUE"""),44809.0)</f>
        <v>44809</v>
      </c>
      <c r="H343" s="32">
        <f>IFERROR(__xludf.DUMMYFUNCTION("""COMPUTED_VALUE"""),124.1)</f>
        <v>124.1</v>
      </c>
      <c r="I343" s="32">
        <f>IFERROR(__xludf.DUMMYFUNCTION("""COMPUTED_VALUE"""),5.124947)</f>
        <v>5.124947</v>
      </c>
      <c r="J343" s="32">
        <f>IFERROR(__xludf.DUMMYFUNCTION("""COMPUTED_VALUE"""),84.25)</f>
        <v>84.25</v>
      </c>
      <c r="K343" s="32">
        <f>IFERROR(__xludf.DUMMYFUNCTION("""COMPUTED_VALUE"""),135.55)</f>
        <v>135.55</v>
      </c>
      <c r="L343" s="32">
        <f>IFERROR(__xludf.DUMMYFUNCTION("""COMPUTED_VALUE"""),21.0)</f>
        <v>21</v>
      </c>
      <c r="M343" s="32">
        <f>IFERROR(__xludf.DUMMYFUNCTION("""COMPUTED_VALUE"""),135.55)</f>
        <v>135.55</v>
      </c>
      <c r="N343" s="32">
        <f>IFERROR(__xludf.DUMMYFUNCTION("""COMPUTED_VALUE"""),21.0)</f>
        <v>21</v>
      </c>
      <c r="O343" s="32">
        <f>IFERROR(__xludf.DUMMYFUNCTION("""COMPUTED_VALUE"""),135.55)</f>
        <v>135.55</v>
      </c>
      <c r="P343" s="32">
        <f>IFERROR(__xludf.DUMMYFUNCTION("""COMPUTED_VALUE"""),0.1)</f>
        <v>0.1</v>
      </c>
      <c r="Q343" s="32">
        <f>IFERROR(__xludf.DUMMYFUNCTION("""COMPUTED_VALUE"""),135.55)</f>
        <v>135.55</v>
      </c>
      <c r="R343" s="32">
        <f>IFERROR(__xludf.DUMMYFUNCTION("""COMPUTED_VALUE"""),4946.91000285)</f>
        <v>4946.910003</v>
      </c>
      <c r="S343" s="32">
        <f>IFERROR(__xludf.DUMMYFUNCTION("""COMPUTED_VALUE"""),4851.05391415)</f>
        <v>4851.053914</v>
      </c>
      <c r="T343" s="32">
        <f>IFERROR(__xludf.DUMMYFUNCTION("""COMPUTED_VALUE"""),5.842217)</f>
        <v>5.842217</v>
      </c>
      <c r="U343" s="32">
        <f>IFERROR(__xludf.DUMMYFUNCTION("""COMPUTED_VALUE"""),2.646816)</f>
        <v>2.646816</v>
      </c>
      <c r="V343" s="32">
        <f>IFERROR(__xludf.DUMMYFUNCTION("""COMPUTED_VALUE"""),10.36016)</f>
        <v>10.36016</v>
      </c>
      <c r="W343" s="32">
        <f>IFERROR(__xludf.DUMMYFUNCTION("""COMPUTED_VALUE"""),44.302326)</f>
        <v>44.302326</v>
      </c>
      <c r="X343" s="32">
        <f>IFERROR(__xludf.DUMMYFUNCTION("""COMPUTED_VALUE"""),53.742412)</f>
        <v>53.742412</v>
      </c>
      <c r="Y343" s="32">
        <f>IFERROR(__xludf.DUMMYFUNCTION("""COMPUTED_VALUE"""),19.176536)</f>
        <v>19.176536</v>
      </c>
      <c r="Z343" s="32">
        <f>IFERROR(__xludf.DUMMYFUNCTION("""COMPUTED_VALUE"""),25.979095)</f>
        <v>25.979095</v>
      </c>
      <c r="AA343" s="32">
        <f>IFERROR(__xludf.DUMMYFUNCTION("""COMPUTED_VALUE"""),31.1512)</f>
        <v>31.1512</v>
      </c>
      <c r="AB343" s="32">
        <f>IFERROR(__xludf.DUMMYFUNCTION("""COMPUTED_VALUE"""),28.94115)</f>
        <v>28.94115</v>
      </c>
      <c r="AC343" s="32">
        <f>IFERROR(__xludf.DUMMYFUNCTION("""COMPUTED_VALUE"""),6.8714)</f>
        <v>6.8714</v>
      </c>
      <c r="AD343" s="32">
        <f>IFERROR(__xludf.DUMMYFUNCTION("""COMPUTED_VALUE"""),5.4404)</f>
        <v>5.4404</v>
      </c>
      <c r="AE343" s="32">
        <f>IFERROR(__xludf.DUMMYFUNCTION("""COMPUTED_VALUE"""),4.391216)</f>
        <v>4.391216</v>
      </c>
      <c r="AF343" s="32">
        <f>IFERROR(__xludf.DUMMYFUNCTION("""COMPUTED_VALUE"""),2.89267)</f>
        <v>2.89267</v>
      </c>
      <c r="AG343" s="32">
        <f>IFERROR(__xludf.DUMMYFUNCTION("""COMPUTED_VALUE"""),1.2092)</f>
        <v>1.2092</v>
      </c>
      <c r="AH343" s="32">
        <f>IFERROR(__xludf.DUMMYFUNCTION("""COMPUTED_VALUE"""),18.887161)</f>
        <v>18.887161</v>
      </c>
      <c r="AI343" s="32">
        <f>IFERROR(__xludf.DUMMYFUNCTION("""COMPUTED_VALUE"""),2.5108223145208566)</f>
        <v>2.510822315</v>
      </c>
      <c r="AJ343" s="32">
        <f>IFERROR(__xludf.DUMMYFUNCTION("""COMPUTED_VALUE"""),4546.79228203125)</f>
        <v>4546.792282</v>
      </c>
      <c r="AK343" s="32">
        <f>IFERROR(__xludf.DUMMYFUNCTION("""COMPUTED_VALUE"""),3.9822)</f>
        <v>3.9822</v>
      </c>
      <c r="AL343" s="32">
        <f>IFERROR(__xludf.DUMMYFUNCTION("""COMPUTED_VALUE"""),18.0531)</f>
        <v>18.0531</v>
      </c>
      <c r="AM343" s="32">
        <f>IFERROR(__xludf.DUMMYFUNCTION("""COMPUTED_VALUE"""),0.027303)</f>
        <v>0.027303</v>
      </c>
      <c r="AN343" s="32">
        <f>IFERROR(__xludf.DUMMYFUNCTION("""COMPUTED_VALUE"""),-0.900049)</f>
        <v>-0.900049</v>
      </c>
      <c r="AO343" s="32">
        <f>IFERROR(__xludf.DUMMYFUNCTION("""COMPUTED_VALUE"""),1.5)</f>
        <v>1.5</v>
      </c>
      <c r="AP343" s="32">
        <f>IFERROR(__xludf.DUMMYFUNCTION("""COMPUTED_VALUE"""),0.08447067502766518)</f>
        <v>0.08447067503</v>
      </c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>
      <c r="A344" s="13" t="str">
        <f>IFERROR(__xludf.DUMMYFUNCTION("""COMPUTED_VALUE"""),"La Opala RG Ltd.")</f>
        <v>La Opala RG Ltd.</v>
      </c>
      <c r="B344" s="30">
        <f>IFERROR(__xludf.DUMMYFUNCTION("""COMPUTED_VALUE"""),526947.0)</f>
        <v>526947</v>
      </c>
      <c r="C344" s="13" t="str">
        <f>IFERROR(__xludf.DUMMYFUNCTION("""COMPUTED_VALUE"""),"LAOPALA")</f>
        <v>LAOPALA</v>
      </c>
      <c r="D344" s="13" t="str">
        <f>IFERROR(__xludf.DUMMYFUNCTION("""COMPUTED_VALUE"""),"INE059D01020")</f>
        <v>INE059D01020</v>
      </c>
      <c r="E344" s="13" t="str">
        <f>IFERROR(__xludf.DUMMYFUNCTION("""COMPUTED_VALUE"""),"Materials")</f>
        <v>Materials</v>
      </c>
      <c r="F344" s="13" t="str">
        <f>IFERROR(__xludf.DUMMYFUNCTION("""COMPUTED_VALUE"""),"Glass &amp; Glassware")</f>
        <v>Glass &amp; Glassware</v>
      </c>
      <c r="G344" s="31">
        <f>IFERROR(__xludf.DUMMYFUNCTION("""COMPUTED_VALUE"""),44809.0)</f>
        <v>44809</v>
      </c>
      <c r="H344" s="32">
        <f>IFERROR(__xludf.DUMMYFUNCTION("""COMPUTED_VALUE"""),336.95)</f>
        <v>336.95</v>
      </c>
      <c r="I344" s="32">
        <f>IFERROR(__xludf.DUMMYFUNCTION("""COMPUTED_VALUE"""),-1.534191)</f>
        <v>-1.534191</v>
      </c>
      <c r="J344" s="32">
        <f>IFERROR(__xludf.DUMMYFUNCTION("""COMPUTED_VALUE"""),239.85)</f>
        <v>239.85</v>
      </c>
      <c r="K344" s="32">
        <f>IFERROR(__xludf.DUMMYFUNCTION("""COMPUTED_VALUE"""),487.0)</f>
        <v>487</v>
      </c>
      <c r="L344" s="32">
        <f>IFERROR(__xludf.DUMMYFUNCTION("""COMPUTED_VALUE"""),130.5)</f>
        <v>130.5</v>
      </c>
      <c r="M344" s="32">
        <f>IFERROR(__xludf.DUMMYFUNCTION("""COMPUTED_VALUE"""),487.0)</f>
        <v>487</v>
      </c>
      <c r="N344" s="32">
        <f>IFERROR(__xludf.DUMMYFUNCTION("""COMPUTED_VALUE"""),130.5)</f>
        <v>130.5</v>
      </c>
      <c r="O344" s="32">
        <f>IFERROR(__xludf.DUMMYFUNCTION("""COMPUTED_VALUE"""),487.0)</f>
        <v>487</v>
      </c>
      <c r="P344" s="32">
        <f>IFERROR(__xludf.DUMMYFUNCTION("""COMPUTED_VALUE"""),0.5025)</f>
        <v>0.5025</v>
      </c>
      <c r="Q344" s="32">
        <f>IFERROR(__xludf.DUMMYFUNCTION("""COMPUTED_VALUE"""),487.0)</f>
        <v>487</v>
      </c>
      <c r="R344" s="32">
        <f>IFERROR(__xludf.DUMMYFUNCTION("""COMPUTED_VALUE"""),3745.14)</f>
        <v>3745.14</v>
      </c>
      <c r="S344" s="32">
        <f>IFERROR(__xludf.DUMMYFUNCTION("""COMPUTED_VALUE"""),3496.4648)</f>
        <v>3496.4648</v>
      </c>
      <c r="T344" s="32">
        <f>IFERROR(__xludf.DUMMYFUNCTION("""COMPUTED_VALUE"""),-4.289163)</f>
        <v>-4.289163</v>
      </c>
      <c r="U344" s="32">
        <f>IFERROR(__xludf.DUMMYFUNCTION("""COMPUTED_VALUE"""),8.257028)</f>
        <v>8.257028</v>
      </c>
      <c r="V344" s="32">
        <f>IFERROR(__xludf.DUMMYFUNCTION("""COMPUTED_VALUE"""),27.439486)</f>
        <v>27.439486</v>
      </c>
      <c r="W344" s="32">
        <f>IFERROR(__xludf.DUMMYFUNCTION("""COMPUTED_VALUE"""),9.52381)</f>
        <v>9.52381</v>
      </c>
      <c r="X344" s="32">
        <f>IFERROR(__xludf.DUMMYFUNCTION("""COMPUTED_VALUE"""),23.819497)</f>
        <v>23.819497</v>
      </c>
      <c r="Y344" s="32">
        <f>IFERROR(__xludf.DUMMYFUNCTION("""COMPUTED_VALUE"""),7.110861)</f>
        <v>7.110861</v>
      </c>
      <c r="Z344" s="32">
        <f>IFERROR(__xludf.DUMMYFUNCTION("""COMPUTED_VALUE"""),39.027368)</f>
        <v>39.027368</v>
      </c>
      <c r="AA344" s="32">
        <f>IFERROR(__xludf.DUMMYFUNCTION("""COMPUTED_VALUE"""),37.9855)</f>
        <v>37.9855</v>
      </c>
      <c r="AB344" s="32">
        <f>IFERROR(__xludf.DUMMYFUNCTION("""COMPUTED_VALUE"""),36.9507)</f>
        <v>36.9507</v>
      </c>
      <c r="AC344" s="32">
        <f>IFERROR(__xludf.DUMMYFUNCTION("""COMPUTED_VALUE"""),4.9241)</f>
        <v>4.9241</v>
      </c>
      <c r="AD344" s="32">
        <f>IFERROR(__xludf.DUMMYFUNCTION("""COMPUTED_VALUE"""),4.44705)</f>
        <v>4.44705</v>
      </c>
      <c r="AE344" s="32">
        <f>IFERROR(__xludf.DUMMYFUNCTION("""COMPUTED_VALUE"""),4.642926)</f>
        <v>4.642926</v>
      </c>
      <c r="AF344" s="32">
        <f>IFERROR(__xludf.DUMMYFUNCTION("""COMPUTED_VALUE"""),3.933673)</f>
        <v>3.933673</v>
      </c>
      <c r="AG344" s="32">
        <f>IFERROR(__xludf.DUMMYFUNCTION("""COMPUTED_VALUE"""),0.6817)</f>
        <v>0.6817</v>
      </c>
      <c r="AH344" s="32">
        <f>IFERROR(__xludf.DUMMYFUNCTION("""COMPUTED_VALUE"""),21.831755)</f>
        <v>21.831755</v>
      </c>
      <c r="AI344" s="32">
        <f>IFERROR(__xludf.DUMMYFUNCTION("""COMPUTED_VALUE"""),10.04948077387501)</f>
        <v>10.04948077</v>
      </c>
      <c r="AJ344" s="32">
        <f>IFERROR(__xludf.DUMMYFUNCTION("""COMPUTED_VALUE"""),44.96824724046967)</f>
        <v>44.96824724</v>
      </c>
      <c r="AK344" s="32">
        <f>IFERROR(__xludf.DUMMYFUNCTION("""COMPUTED_VALUE"""),8.8823)</f>
        <v>8.8823</v>
      </c>
      <c r="AL344" s="32">
        <f>IFERROR(__xludf.DUMMYFUNCTION("""COMPUTED_VALUE"""),68.5197)</f>
        <v>68.5197</v>
      </c>
      <c r="AM344" s="32">
        <f>IFERROR(__xludf.DUMMYFUNCTION("""COMPUTED_VALUE"""),7.503072)</f>
        <v>7.503072</v>
      </c>
      <c r="AN344" s="32">
        <f>IFERROR(__xludf.DUMMYFUNCTION("""COMPUTED_VALUE"""),4.370712)</f>
        <v>4.370712</v>
      </c>
      <c r="AO344" s="32">
        <f>IFERROR(__xludf.DUMMYFUNCTION("""COMPUTED_VALUE"""),1.5)</f>
        <v>1.5</v>
      </c>
      <c r="AP344" s="32">
        <f>IFERROR(__xludf.DUMMYFUNCTION("""COMPUTED_VALUE"""),0.3081108829568789)</f>
        <v>0.308110883</v>
      </c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>
      <c r="A345" s="13" t="str">
        <f>IFERROR(__xludf.DUMMYFUNCTION("""COMPUTED_VALUE"""),"Life Insurance Corporation of India")</f>
        <v>Life Insurance Corporation of India</v>
      </c>
      <c r="B345" s="30">
        <f>IFERROR(__xludf.DUMMYFUNCTION("""COMPUTED_VALUE"""),543526.0)</f>
        <v>543526</v>
      </c>
      <c r="C345" s="13" t="str">
        <f>IFERROR(__xludf.DUMMYFUNCTION("""COMPUTED_VALUE"""),"LICI")</f>
        <v>LICI</v>
      </c>
      <c r="D345" s="13" t="str">
        <f>IFERROR(__xludf.DUMMYFUNCTION("""COMPUTED_VALUE"""),"INE0J1Y01017")</f>
        <v>INE0J1Y01017</v>
      </c>
      <c r="E345" s="13" t="str">
        <f>IFERROR(__xludf.DUMMYFUNCTION("""COMPUTED_VALUE"""),"Insurance")</f>
        <v>Insurance</v>
      </c>
      <c r="F345" s="13" t="str">
        <f>IFERROR(__xludf.DUMMYFUNCTION("""COMPUTED_VALUE"""),"Life Insurance")</f>
        <v>Life Insurance</v>
      </c>
      <c r="G345" s="31">
        <f>IFERROR(__xludf.DUMMYFUNCTION("""COMPUTED_VALUE"""),44809.0)</f>
        <v>44809</v>
      </c>
      <c r="H345" s="32">
        <f>IFERROR(__xludf.DUMMYFUNCTION("""COMPUTED_VALUE"""),659.8)</f>
        <v>659.8</v>
      </c>
      <c r="I345" s="32">
        <f>IFERROR(__xludf.DUMMYFUNCTION("""COMPUTED_VALUE"""),-0.729707)</f>
        <v>-0.729707</v>
      </c>
      <c r="J345" s="32">
        <f>IFERROR(__xludf.DUMMYFUNCTION("""COMPUTED_VALUE"""),650.0)</f>
        <v>650</v>
      </c>
      <c r="K345" s="32">
        <f>IFERROR(__xludf.DUMMYFUNCTION("""COMPUTED_VALUE"""),920.0)</f>
        <v>920</v>
      </c>
      <c r="L345" s="13"/>
      <c r="M345" s="13"/>
      <c r="N345" s="13"/>
      <c r="O345" s="13"/>
      <c r="P345" s="32">
        <f>IFERROR(__xludf.DUMMYFUNCTION("""COMPUTED_VALUE"""),650.0)</f>
        <v>650</v>
      </c>
      <c r="Q345" s="32">
        <f>IFERROR(__xludf.DUMMYFUNCTION("""COMPUTED_VALUE"""),920.0)</f>
        <v>920</v>
      </c>
      <c r="R345" s="32">
        <f>IFERROR(__xludf.DUMMYFUNCTION("""COMPUTED_VALUE"""),417228.473346465)</f>
        <v>417228.4733</v>
      </c>
      <c r="S345" s="32">
        <f>IFERROR(__xludf.DUMMYFUNCTION("""COMPUTED_VALUE"""),383116.95643948996)</f>
        <v>383116.9564</v>
      </c>
      <c r="T345" s="32">
        <f>IFERROR(__xludf.DUMMYFUNCTION("""COMPUTED_VALUE"""),-2.806216)</f>
        <v>-2.806216</v>
      </c>
      <c r="U345" s="32">
        <f>IFERROR(__xludf.DUMMYFUNCTION("""COMPUTED_VALUE"""),-2.063233)</f>
        <v>-2.063233</v>
      </c>
      <c r="V345" s="32">
        <f>IFERROR(__xludf.DUMMYFUNCTION("""COMPUTED_VALUE"""),-17.550765)</f>
        <v>-17.550765</v>
      </c>
      <c r="W345" s="13"/>
      <c r="X345" s="13"/>
      <c r="Y345" s="13"/>
      <c r="Z345" s="13"/>
      <c r="AA345" s="32">
        <f>IFERROR(__xludf.DUMMYFUNCTION("""COMPUTED_VALUE"""),101.1535)</f>
        <v>101.1535</v>
      </c>
      <c r="AB345" s="32">
        <f>IFERROR(__xludf.DUMMYFUNCTION("""COMPUTED_VALUE"""),105.4011)</f>
        <v>105.4011</v>
      </c>
      <c r="AC345" s="32">
        <f>IFERROR(__xludf.DUMMYFUNCTION("""COMPUTED_VALUE"""),13.0502)</f>
        <v>13.0502</v>
      </c>
      <c r="AD345" s="32">
        <f>IFERROR(__xludf.DUMMYFUNCTION("""COMPUTED_VALUE"""),13.5729)</f>
        <v>13.5729</v>
      </c>
      <c r="AE345" s="32">
        <f>IFERROR(__xludf.DUMMYFUNCTION("""COMPUTED_VALUE"""),0.0)</f>
        <v>0</v>
      </c>
      <c r="AF345" s="13"/>
      <c r="AG345" s="32">
        <f>IFERROR(__xludf.DUMMYFUNCTION("""COMPUTED_VALUE"""),0.2274)</f>
        <v>0.2274</v>
      </c>
      <c r="AH345" s="13"/>
      <c r="AI345" s="32">
        <f>IFERROR(__xludf.DUMMYFUNCTION("""COMPUTED_VALUE"""),0.971426610555719)</f>
        <v>0.9714266106</v>
      </c>
      <c r="AJ345" s="32">
        <f>IFERROR(__xludf.DUMMYFUNCTION("""COMPUTED_VALUE"""),-133.0664892354627)</f>
        <v>-133.0664892</v>
      </c>
      <c r="AK345" s="13"/>
      <c r="AL345" s="13"/>
      <c r="AM345" s="32">
        <f>IFERROR(__xludf.DUMMYFUNCTION("""COMPUTED_VALUE"""),-4.957296)</f>
        <v>-4.957296</v>
      </c>
      <c r="AN345" s="32">
        <f>IFERROR(__xludf.DUMMYFUNCTION("""COMPUTED_VALUE"""),6.46273)</f>
        <v>6.46273</v>
      </c>
      <c r="AO345" s="32">
        <f>IFERROR(__xludf.DUMMYFUNCTION("""COMPUTED_VALUE"""),1.5)</f>
        <v>1.5</v>
      </c>
      <c r="AP345" s="32">
        <f>IFERROR(__xludf.DUMMYFUNCTION("""COMPUTED_VALUE"""),0.2828260869565218)</f>
        <v>0.282826087</v>
      </c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>
      <c r="A346" s="13" t="str">
        <f>IFERROR(__xludf.DUMMYFUNCTION("""COMPUTED_VALUE"""),"Minda Industries Ltd.")</f>
        <v>Minda Industries Ltd.</v>
      </c>
      <c r="B346" s="30">
        <f>IFERROR(__xludf.DUMMYFUNCTION("""COMPUTED_VALUE"""),532539.0)</f>
        <v>532539</v>
      </c>
      <c r="C346" s="13" t="str">
        <f>IFERROR(__xludf.DUMMYFUNCTION("""COMPUTED_VALUE"""),"MINDAIND")</f>
        <v>MINDAIND</v>
      </c>
      <c r="D346" s="13" t="str">
        <f>IFERROR(__xludf.DUMMYFUNCTION("""COMPUTED_VALUE"""),"INE405E01023")</f>
        <v>INE405E01023</v>
      </c>
      <c r="E346" s="13" t="str">
        <f>IFERROR(__xludf.DUMMYFUNCTION("""COMPUTED_VALUE"""),"Automobile")</f>
        <v>Automobile</v>
      </c>
      <c r="F346" s="13" t="str">
        <f>IFERROR(__xludf.DUMMYFUNCTION("""COMPUTED_VALUE"""),"Auto Ancillaries")</f>
        <v>Auto Ancillaries</v>
      </c>
      <c r="G346" s="31">
        <f>IFERROR(__xludf.DUMMYFUNCTION("""COMPUTED_VALUE"""),44809.0)</f>
        <v>44809</v>
      </c>
      <c r="H346" s="32">
        <f>IFERROR(__xludf.DUMMYFUNCTION("""COMPUTED_VALUE"""),567.5)</f>
        <v>567.5</v>
      </c>
      <c r="I346" s="32">
        <f>IFERROR(__xludf.DUMMYFUNCTION("""COMPUTED_VALUE"""),-0.543288)</f>
        <v>-0.543288</v>
      </c>
      <c r="J346" s="32">
        <f>IFERROR(__xludf.DUMMYFUNCTION("""COMPUTED_VALUE"""),334.5)</f>
        <v>334.5</v>
      </c>
      <c r="K346" s="32">
        <f>IFERROR(__xludf.DUMMYFUNCTION("""COMPUTED_VALUE"""),630.0)</f>
        <v>630</v>
      </c>
      <c r="L346" s="32">
        <f>IFERROR(__xludf.DUMMYFUNCTION("""COMPUTED_VALUE"""),104.125067)</f>
        <v>104.125067</v>
      </c>
      <c r="M346" s="32">
        <f>IFERROR(__xludf.DUMMYFUNCTION("""COMPUTED_VALUE"""),630.0)</f>
        <v>630</v>
      </c>
      <c r="N346" s="32">
        <f>IFERROR(__xludf.DUMMYFUNCTION("""COMPUTED_VALUE"""),104.125067)</f>
        <v>104.125067</v>
      </c>
      <c r="O346" s="32">
        <f>IFERROR(__xludf.DUMMYFUNCTION("""COMPUTED_VALUE"""),630.0)</f>
        <v>630</v>
      </c>
      <c r="P346" s="32">
        <f>IFERROR(__xludf.DUMMYFUNCTION("""COMPUTED_VALUE"""),2.520626)</f>
        <v>2.520626</v>
      </c>
      <c r="Q346" s="32">
        <f>IFERROR(__xludf.DUMMYFUNCTION("""COMPUTED_VALUE"""),630.0)</f>
        <v>630</v>
      </c>
      <c r="R346" s="32">
        <f>IFERROR(__xludf.DUMMYFUNCTION("""COMPUTED_VALUE"""),32469.7241775)</f>
        <v>32469.72418</v>
      </c>
      <c r="S346" s="32">
        <f>IFERROR(__xludf.DUMMYFUNCTION("""COMPUTED_VALUE"""),33216.6818338)</f>
        <v>33216.68183</v>
      </c>
      <c r="T346" s="32">
        <f>IFERROR(__xludf.DUMMYFUNCTION("""COMPUTED_VALUE"""),-0.45606)</f>
        <v>-0.45606</v>
      </c>
      <c r="U346" s="32">
        <f>IFERROR(__xludf.DUMMYFUNCTION("""COMPUTED_VALUE"""),7.257607)</f>
        <v>7.257607</v>
      </c>
      <c r="V346" s="32">
        <f>IFERROR(__xludf.DUMMYFUNCTION("""COMPUTED_VALUE"""),29.094631)</f>
        <v>29.094631</v>
      </c>
      <c r="W346" s="32">
        <f>IFERROR(__xludf.DUMMYFUNCTION("""COMPUTED_VALUE"""),65.766029)</f>
        <v>65.766029</v>
      </c>
      <c r="X346" s="32">
        <f>IFERROR(__xludf.DUMMYFUNCTION("""COMPUTED_VALUE"""),52.435282)</f>
        <v>52.435282</v>
      </c>
      <c r="Y346" s="32">
        <f>IFERROR(__xludf.DUMMYFUNCTION("""COMPUTED_VALUE"""),31.303151)</f>
        <v>31.303151</v>
      </c>
      <c r="Z346" s="32">
        <f>IFERROR(__xludf.DUMMYFUNCTION("""COMPUTED_VALUE"""),58.178539)</f>
        <v>58.178539</v>
      </c>
      <c r="AA346" s="32">
        <f>IFERROR(__xludf.DUMMYFUNCTION("""COMPUTED_VALUE"""),67.7624)</f>
        <v>67.7624</v>
      </c>
      <c r="AB346" s="32">
        <f>IFERROR(__xludf.DUMMYFUNCTION("""COMPUTED_VALUE"""),43.62825)</f>
        <v>43.62825</v>
      </c>
      <c r="AC346" s="32">
        <f>IFERROR(__xludf.DUMMYFUNCTION("""COMPUTED_VALUE"""),8.9836)</f>
        <v>8.9836</v>
      </c>
      <c r="AD346" s="32">
        <f>IFERROR(__xludf.DUMMYFUNCTION("""COMPUTED_VALUE"""),6.47385)</f>
        <v>6.47385</v>
      </c>
      <c r="AE346" s="32">
        <f>IFERROR(__xludf.DUMMYFUNCTION("""COMPUTED_VALUE"""),2.23001)</f>
        <v>2.23001</v>
      </c>
      <c r="AF346" s="32">
        <f>IFERROR(__xludf.DUMMYFUNCTION("""COMPUTED_VALUE"""),3.531868)</f>
        <v>3.531868</v>
      </c>
      <c r="AG346" s="32">
        <f>IFERROR(__xludf.DUMMYFUNCTION("""COMPUTED_VALUE"""),0.1322)</f>
        <v>0.1322</v>
      </c>
      <c r="AH346" s="32">
        <f>IFERROR(__xludf.DUMMYFUNCTION("""COMPUTED_VALUE"""),31.013774)</f>
        <v>31.013774</v>
      </c>
      <c r="AI346" s="32">
        <f>IFERROR(__xludf.DUMMYFUNCTION("""COMPUTED_VALUE"""),3.5043153173984742)</f>
        <v>3.504315317</v>
      </c>
      <c r="AJ346" s="32">
        <f>IFERROR(__xludf.DUMMYFUNCTION("""COMPUTED_VALUE"""),84.80391814014835)</f>
        <v>84.80391814</v>
      </c>
      <c r="AK346" s="32">
        <f>IFERROR(__xludf.DUMMYFUNCTION("""COMPUTED_VALUE"""),8.3748)</f>
        <v>8.3748</v>
      </c>
      <c r="AL346" s="32">
        <f>IFERROR(__xludf.DUMMYFUNCTION("""COMPUTED_VALUE"""),63.1705)</f>
        <v>63.1705</v>
      </c>
      <c r="AM346" s="32">
        <f>IFERROR(__xludf.DUMMYFUNCTION("""COMPUTED_VALUE"""),13.406162)</f>
        <v>13.406162</v>
      </c>
      <c r="AN346" s="32">
        <f>IFERROR(__xludf.DUMMYFUNCTION("""COMPUTED_VALUE"""),-8.102241)</f>
        <v>-8.102241</v>
      </c>
      <c r="AO346" s="32">
        <f>IFERROR(__xludf.DUMMYFUNCTION("""COMPUTED_VALUE"""),1.5)</f>
        <v>1.5</v>
      </c>
      <c r="AP346" s="32">
        <f>IFERROR(__xludf.DUMMYFUNCTION("""COMPUTED_VALUE"""),0.0992063492063492)</f>
        <v>0.09920634921</v>
      </c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>
      <c r="A347" s="13" t="str">
        <f>IFERROR(__xludf.DUMMYFUNCTION("""COMPUTED_VALUE"""),"Prestige Estates Projects Ltd.")</f>
        <v>Prestige Estates Projects Ltd.</v>
      </c>
      <c r="B347" s="30">
        <f>IFERROR(__xludf.DUMMYFUNCTION("""COMPUTED_VALUE"""),533274.0)</f>
        <v>533274</v>
      </c>
      <c r="C347" s="13" t="str">
        <f>IFERROR(__xludf.DUMMYFUNCTION("""COMPUTED_VALUE"""),"PRESTIGE")</f>
        <v>PRESTIGE</v>
      </c>
      <c r="D347" s="13" t="str">
        <f>IFERROR(__xludf.DUMMYFUNCTION("""COMPUTED_VALUE"""),"INE811K01011")</f>
        <v>INE811K01011</v>
      </c>
      <c r="E347" s="13" t="str">
        <f>IFERROR(__xludf.DUMMYFUNCTION("""COMPUTED_VALUE"""),"Construction")</f>
        <v>Construction</v>
      </c>
      <c r="F347" s="13" t="str">
        <f>IFERROR(__xludf.DUMMYFUNCTION("""COMPUTED_VALUE"""),"Real Estate")</f>
        <v>Real Estate</v>
      </c>
      <c r="G347" s="31">
        <f>IFERROR(__xludf.DUMMYFUNCTION("""COMPUTED_VALUE"""),44809.0)</f>
        <v>44809</v>
      </c>
      <c r="H347" s="32">
        <f>IFERROR(__xludf.DUMMYFUNCTION("""COMPUTED_VALUE"""),490.15)</f>
        <v>490.15</v>
      </c>
      <c r="I347" s="32">
        <f>IFERROR(__xludf.DUMMYFUNCTION("""COMPUTED_VALUE"""),1.987099)</f>
        <v>1.987099</v>
      </c>
      <c r="J347" s="32">
        <f>IFERROR(__xludf.DUMMYFUNCTION("""COMPUTED_VALUE"""),379.0)</f>
        <v>379</v>
      </c>
      <c r="K347" s="32">
        <f>IFERROR(__xludf.DUMMYFUNCTION("""COMPUTED_VALUE"""),554.9)</f>
        <v>554.9</v>
      </c>
      <c r="L347" s="32">
        <f>IFERROR(__xludf.DUMMYFUNCTION("""COMPUTED_VALUE"""),133.65)</f>
        <v>133.65</v>
      </c>
      <c r="M347" s="32">
        <f>IFERROR(__xludf.DUMMYFUNCTION("""COMPUTED_VALUE"""),554.9)</f>
        <v>554.9</v>
      </c>
      <c r="N347" s="32">
        <f>IFERROR(__xludf.DUMMYFUNCTION("""COMPUTED_VALUE"""),133.65)</f>
        <v>133.65</v>
      </c>
      <c r="O347" s="32">
        <f>IFERROR(__xludf.DUMMYFUNCTION("""COMPUTED_VALUE"""),554.9)</f>
        <v>554.9</v>
      </c>
      <c r="P347" s="32">
        <f>IFERROR(__xludf.DUMMYFUNCTION("""COMPUTED_VALUE"""),57.55)</f>
        <v>57.55</v>
      </c>
      <c r="Q347" s="32">
        <f>IFERROR(__xludf.DUMMYFUNCTION("""COMPUTED_VALUE"""),554.9)</f>
        <v>554.9</v>
      </c>
      <c r="R347" s="32">
        <f>IFERROR(__xludf.DUMMYFUNCTION("""COMPUTED_VALUE"""),19640.21673773)</f>
        <v>19640.21674</v>
      </c>
      <c r="S347" s="32">
        <f>IFERROR(__xludf.DUMMYFUNCTION("""COMPUTED_VALUE"""),20868.25848221)</f>
        <v>20868.25848</v>
      </c>
      <c r="T347" s="32">
        <f>IFERROR(__xludf.DUMMYFUNCTION("""COMPUTED_VALUE"""),5.669936)</f>
        <v>5.669936</v>
      </c>
      <c r="U347" s="32">
        <f>IFERROR(__xludf.DUMMYFUNCTION("""COMPUTED_VALUE"""),14.121071)</f>
        <v>14.121071</v>
      </c>
      <c r="V347" s="32">
        <f>IFERROR(__xludf.DUMMYFUNCTION("""COMPUTED_VALUE"""),11.638766)</f>
        <v>11.638766</v>
      </c>
      <c r="W347" s="32">
        <f>IFERROR(__xludf.DUMMYFUNCTION("""COMPUTED_VALUE"""),15.956943)</f>
        <v>15.956943</v>
      </c>
      <c r="X347" s="32">
        <f>IFERROR(__xludf.DUMMYFUNCTION("""COMPUTED_VALUE"""),17.825215)</f>
        <v>17.825215</v>
      </c>
      <c r="Y347" s="32">
        <f>IFERROR(__xludf.DUMMYFUNCTION("""COMPUTED_VALUE"""),13.212191)</f>
        <v>13.212191</v>
      </c>
      <c r="Z347" s="32">
        <f>IFERROR(__xludf.DUMMYFUNCTION("""COMPUTED_VALUE"""),16.201206)</f>
        <v>16.201206</v>
      </c>
      <c r="AA347" s="32">
        <f>IFERROR(__xludf.DUMMYFUNCTION("""COMPUTED_VALUE"""),14.9537)</f>
        <v>14.9537</v>
      </c>
      <c r="AB347" s="32">
        <f>IFERROR(__xludf.DUMMYFUNCTION("""COMPUTED_VALUE"""),23.8751)</f>
        <v>23.8751</v>
      </c>
      <c r="AC347" s="32">
        <f>IFERROR(__xludf.DUMMYFUNCTION("""COMPUTED_VALUE"""),2.101)</f>
        <v>2.101</v>
      </c>
      <c r="AD347" s="32">
        <f>IFERROR(__xludf.DUMMYFUNCTION("""COMPUTED_VALUE"""),2.19355)</f>
        <v>2.19355</v>
      </c>
      <c r="AE347" s="32">
        <f>IFERROR(__xludf.DUMMYFUNCTION("""COMPUTED_VALUE"""),8.055693)</f>
        <v>8.055693</v>
      </c>
      <c r="AF347" s="32">
        <f>IFERROR(__xludf.DUMMYFUNCTION("""COMPUTED_VALUE"""),0.534608)</f>
        <v>0.534608</v>
      </c>
      <c r="AG347" s="32">
        <f>IFERROR(__xludf.DUMMYFUNCTION("""COMPUTED_VALUE"""),0.3062)</f>
        <v>0.3062</v>
      </c>
      <c r="AH347" s="32">
        <f>IFERROR(__xludf.DUMMYFUNCTION("""COMPUTED_VALUE"""),10.510329)</f>
        <v>10.510329</v>
      </c>
      <c r="AI347" s="32">
        <f>IFERROR(__xludf.DUMMYFUNCTION("""COMPUTED_VALUE"""),2.7815457997889785)</f>
        <v>2.7815458</v>
      </c>
      <c r="AJ347" s="32">
        <f>IFERROR(__xludf.DUMMYFUNCTION("""COMPUTED_VALUE"""),10.600289690052893)</f>
        <v>10.60028969</v>
      </c>
      <c r="AK347" s="32">
        <f>IFERROR(__xludf.DUMMYFUNCTION("""COMPUTED_VALUE"""),32.7644)</f>
        <v>32.7644</v>
      </c>
      <c r="AL347" s="32">
        <f>IFERROR(__xludf.DUMMYFUNCTION("""COMPUTED_VALUE"""),233.2017)</f>
        <v>233.2017</v>
      </c>
      <c r="AM347" s="32">
        <f>IFERROR(__xludf.DUMMYFUNCTION("""COMPUTED_VALUE"""),46.216014)</f>
        <v>46.216014</v>
      </c>
      <c r="AN347" s="32">
        <f>IFERROR(__xludf.DUMMYFUNCTION("""COMPUTED_VALUE"""),36.71988)</f>
        <v>36.71988</v>
      </c>
      <c r="AO347" s="32">
        <f>IFERROR(__xludf.DUMMYFUNCTION("""COMPUTED_VALUE"""),1.5)</f>
        <v>1.5</v>
      </c>
      <c r="AP347" s="32">
        <f>IFERROR(__xludf.DUMMYFUNCTION("""COMPUTED_VALUE"""),0.11668769147594162)</f>
        <v>0.1166876915</v>
      </c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>
      <c r="A348" s="13" t="str">
        <f>IFERROR(__xludf.DUMMYFUNCTION("""COMPUTED_VALUE"""),"Sunteck Realty Ltd.")</f>
        <v>Sunteck Realty Ltd.</v>
      </c>
      <c r="B348" s="30">
        <f>IFERROR(__xludf.DUMMYFUNCTION("""COMPUTED_VALUE"""),512179.0)</f>
        <v>512179</v>
      </c>
      <c r="C348" s="13" t="str">
        <f>IFERROR(__xludf.DUMMYFUNCTION("""COMPUTED_VALUE"""),"SUNTECK")</f>
        <v>SUNTECK</v>
      </c>
      <c r="D348" s="13" t="str">
        <f>IFERROR(__xludf.DUMMYFUNCTION("""COMPUTED_VALUE"""),"INE805D01034")</f>
        <v>INE805D01034</v>
      </c>
      <c r="E348" s="13" t="str">
        <f>IFERROR(__xludf.DUMMYFUNCTION("""COMPUTED_VALUE"""),"Construction")</f>
        <v>Construction</v>
      </c>
      <c r="F348" s="13" t="str">
        <f>IFERROR(__xludf.DUMMYFUNCTION("""COMPUTED_VALUE"""),"Real Estate")</f>
        <v>Real Estate</v>
      </c>
      <c r="G348" s="31">
        <f>IFERROR(__xludf.DUMMYFUNCTION("""COMPUTED_VALUE"""),44809.0)</f>
        <v>44809</v>
      </c>
      <c r="H348" s="32">
        <f>IFERROR(__xludf.DUMMYFUNCTION("""COMPUTED_VALUE"""),473.95)</f>
        <v>473.95</v>
      </c>
      <c r="I348" s="32">
        <f>IFERROR(__xludf.DUMMYFUNCTION("""COMPUTED_VALUE"""),-0.042181)</f>
        <v>-0.042181</v>
      </c>
      <c r="J348" s="32">
        <f>IFERROR(__xludf.DUMMYFUNCTION("""COMPUTED_VALUE"""),373.95)</f>
        <v>373.95</v>
      </c>
      <c r="K348" s="32">
        <f>IFERROR(__xludf.DUMMYFUNCTION("""COMPUTED_VALUE"""),589.95)</f>
        <v>589.95</v>
      </c>
      <c r="L348" s="32">
        <f>IFERROR(__xludf.DUMMYFUNCTION("""COMPUTED_VALUE"""),145.0)</f>
        <v>145</v>
      </c>
      <c r="M348" s="32">
        <f>IFERROR(__xludf.DUMMYFUNCTION("""COMPUTED_VALUE"""),589.95)</f>
        <v>589.95</v>
      </c>
      <c r="N348" s="32">
        <f>IFERROR(__xludf.DUMMYFUNCTION("""COMPUTED_VALUE"""),145.0)</f>
        <v>145</v>
      </c>
      <c r="O348" s="32">
        <f>IFERROR(__xludf.DUMMYFUNCTION("""COMPUTED_VALUE"""),589.95)</f>
        <v>589.95</v>
      </c>
      <c r="P348" s="32">
        <f>IFERROR(__xludf.DUMMYFUNCTION("""COMPUTED_VALUE"""),0.25)</f>
        <v>0.25</v>
      </c>
      <c r="Q348" s="32">
        <f>IFERROR(__xludf.DUMMYFUNCTION("""COMPUTED_VALUE"""),589.95)</f>
        <v>589.95</v>
      </c>
      <c r="R348" s="32">
        <f>IFERROR(__xludf.DUMMYFUNCTION("""COMPUTED_VALUE"""),6940.997513025)</f>
        <v>6940.997513</v>
      </c>
      <c r="S348" s="32">
        <f>IFERROR(__xludf.DUMMYFUNCTION("""COMPUTED_VALUE"""),7634.037312925)</f>
        <v>7634.037313</v>
      </c>
      <c r="T348" s="32">
        <f>IFERROR(__xludf.DUMMYFUNCTION("""COMPUTED_VALUE"""),2.965457)</f>
        <v>2.965457</v>
      </c>
      <c r="U348" s="32">
        <f>IFERROR(__xludf.DUMMYFUNCTION("""COMPUTED_VALUE"""),-7.476818)</f>
        <v>-7.476818</v>
      </c>
      <c r="V348" s="32">
        <f>IFERROR(__xludf.DUMMYFUNCTION("""COMPUTED_VALUE"""),4.061917)</f>
        <v>4.061917</v>
      </c>
      <c r="W348" s="32">
        <f>IFERROR(__xludf.DUMMYFUNCTION("""COMPUTED_VALUE"""),25.732856)</f>
        <v>25.732856</v>
      </c>
      <c r="X348" s="32">
        <f>IFERROR(__xludf.DUMMYFUNCTION("""COMPUTED_VALUE"""),1.871945)</f>
        <v>1.871945</v>
      </c>
      <c r="Y348" s="32">
        <f>IFERROR(__xludf.DUMMYFUNCTION("""COMPUTED_VALUE"""),12.929065)</f>
        <v>12.929065</v>
      </c>
      <c r="Z348" s="32">
        <f>IFERROR(__xludf.DUMMYFUNCTION("""COMPUTED_VALUE"""),11.687363)</f>
        <v>11.687363</v>
      </c>
      <c r="AA348" s="32">
        <f>IFERROR(__xludf.DUMMYFUNCTION("""COMPUTED_VALUE"""),146.9423)</f>
        <v>146.9423</v>
      </c>
      <c r="AB348" s="32">
        <f>IFERROR(__xludf.DUMMYFUNCTION("""COMPUTED_VALUE"""),36.2162)</f>
        <v>36.2162</v>
      </c>
      <c r="AC348" s="32">
        <f>IFERROR(__xludf.DUMMYFUNCTION("""COMPUTED_VALUE"""),2.4556)</f>
        <v>2.4556</v>
      </c>
      <c r="AD348" s="32">
        <f>IFERROR(__xludf.DUMMYFUNCTION("""COMPUTED_VALUE"""),2.124)</f>
        <v>2.124</v>
      </c>
      <c r="AE348" s="32">
        <f>IFERROR(__xludf.DUMMYFUNCTION("""COMPUTED_VALUE"""),2.063947)</f>
        <v>2.063947</v>
      </c>
      <c r="AF348" s="32">
        <f>IFERROR(__xludf.DUMMYFUNCTION("""COMPUTED_VALUE"""),-5.575963)</f>
        <v>-5.575963</v>
      </c>
      <c r="AG348" s="32">
        <f>IFERROR(__xludf.DUMMYFUNCTION("""COMPUTED_VALUE"""),0.3167)</f>
        <v>0.3167</v>
      </c>
      <c r="AH348" s="32">
        <f>IFERROR(__xludf.DUMMYFUNCTION("""COMPUTED_VALUE"""),53.495983)</f>
        <v>53.495983</v>
      </c>
      <c r="AI348" s="32">
        <f>IFERROR(__xludf.DUMMYFUNCTION("""COMPUTED_VALUE"""),12.308675505576234)</f>
        <v>12.30867551</v>
      </c>
      <c r="AJ348" s="32">
        <f>IFERROR(__xludf.DUMMYFUNCTION("""COMPUTED_VALUE"""),-224.4011714070259)</f>
        <v>-224.4011714</v>
      </c>
      <c r="AK348" s="32">
        <f>IFERROR(__xludf.DUMMYFUNCTION("""COMPUTED_VALUE"""),3.2091)</f>
        <v>3.2091</v>
      </c>
      <c r="AL348" s="32">
        <f>IFERROR(__xludf.DUMMYFUNCTION("""COMPUTED_VALUE"""),192.0979)</f>
        <v>192.0979</v>
      </c>
      <c r="AM348" s="32">
        <f>IFERROR(__xludf.DUMMYFUNCTION("""COMPUTED_VALUE"""),-2.202293)</f>
        <v>-2.202293</v>
      </c>
      <c r="AN348" s="32">
        <f>IFERROR(__xludf.DUMMYFUNCTION("""COMPUTED_VALUE"""),-7.180121)</f>
        <v>-7.180121</v>
      </c>
      <c r="AO348" s="32">
        <f>IFERROR(__xludf.DUMMYFUNCTION("""COMPUTED_VALUE"""),1.5)</f>
        <v>1.5</v>
      </c>
      <c r="AP348" s="32">
        <f>IFERROR(__xludf.DUMMYFUNCTION("""COMPUTED_VALUE"""),0.19662683278243928)</f>
        <v>0.1966268328</v>
      </c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>
      <c r="A349" s="13" t="str">
        <f>IFERROR(__xludf.DUMMYFUNCTION("""COMPUTED_VALUE"""),"Timken India Ltd.")</f>
        <v>Timken India Ltd.</v>
      </c>
      <c r="B349" s="30">
        <f>IFERROR(__xludf.DUMMYFUNCTION("""COMPUTED_VALUE"""),522113.0)</f>
        <v>522113</v>
      </c>
      <c r="C349" s="13" t="str">
        <f>IFERROR(__xludf.DUMMYFUNCTION("""COMPUTED_VALUE"""),"TIMKEN")</f>
        <v>TIMKEN</v>
      </c>
      <c r="D349" s="13" t="str">
        <f>IFERROR(__xludf.DUMMYFUNCTION("""COMPUTED_VALUE"""),"INE325A01013")</f>
        <v>INE325A01013</v>
      </c>
      <c r="E349" s="13" t="str">
        <f>IFERROR(__xludf.DUMMYFUNCTION("""COMPUTED_VALUE"""),"Capital Goods")</f>
        <v>Capital Goods</v>
      </c>
      <c r="F349" s="13" t="str">
        <f>IFERROR(__xludf.DUMMYFUNCTION("""COMPUTED_VALUE"""),"Ball Bearings")</f>
        <v>Ball Bearings</v>
      </c>
      <c r="G349" s="31">
        <f>IFERROR(__xludf.DUMMYFUNCTION("""COMPUTED_VALUE"""),44809.0)</f>
        <v>44809</v>
      </c>
      <c r="H349" s="32">
        <f>IFERROR(__xludf.DUMMYFUNCTION("""COMPUTED_VALUE"""),3276.65)</f>
        <v>3276.65</v>
      </c>
      <c r="I349" s="32">
        <f>IFERROR(__xludf.DUMMYFUNCTION("""COMPUTED_VALUE"""),1.38934)</f>
        <v>1.38934</v>
      </c>
      <c r="J349" s="32">
        <f>IFERROR(__xludf.DUMMYFUNCTION("""COMPUTED_VALUE"""),1621.0)</f>
        <v>1621</v>
      </c>
      <c r="K349" s="32">
        <f>IFERROR(__xludf.DUMMYFUNCTION("""COMPUTED_VALUE"""),3310.0)</f>
        <v>3310</v>
      </c>
      <c r="L349" s="32">
        <f>IFERROR(__xludf.DUMMYFUNCTION("""COMPUTED_VALUE"""),639.05)</f>
        <v>639.05</v>
      </c>
      <c r="M349" s="32">
        <f>IFERROR(__xludf.DUMMYFUNCTION("""COMPUTED_VALUE"""),3310.0)</f>
        <v>3310</v>
      </c>
      <c r="N349" s="32">
        <f>IFERROR(__xludf.DUMMYFUNCTION("""COMPUTED_VALUE"""),495.85)</f>
        <v>495.85</v>
      </c>
      <c r="O349" s="32">
        <f>IFERROR(__xludf.DUMMYFUNCTION("""COMPUTED_VALUE"""),3310.0)</f>
        <v>3310</v>
      </c>
      <c r="P349" s="32">
        <f>IFERROR(__xludf.DUMMYFUNCTION("""COMPUTED_VALUE"""),20.0)</f>
        <v>20</v>
      </c>
      <c r="Q349" s="32">
        <f>IFERROR(__xludf.DUMMYFUNCTION("""COMPUTED_VALUE"""),3310.0)</f>
        <v>3310</v>
      </c>
      <c r="R349" s="32">
        <f>IFERROR(__xludf.DUMMYFUNCTION("""COMPUTED_VALUE"""),24608.56101544)</f>
        <v>24608.56102</v>
      </c>
      <c r="S349" s="32">
        <f>IFERROR(__xludf.DUMMYFUNCTION("""COMPUTED_VALUE"""),24240.24704395)</f>
        <v>24240.24704</v>
      </c>
      <c r="T349" s="32">
        <f>IFERROR(__xludf.DUMMYFUNCTION("""COMPUTED_VALUE"""),10.759376)</f>
        <v>10.759376</v>
      </c>
      <c r="U349" s="32">
        <f>IFERROR(__xludf.DUMMYFUNCTION("""COMPUTED_VALUE"""),9.566802)</f>
        <v>9.566802</v>
      </c>
      <c r="V349" s="32">
        <f>IFERROR(__xludf.DUMMYFUNCTION("""COMPUTED_VALUE"""),30.113569)</f>
        <v>30.113569</v>
      </c>
      <c r="W349" s="32">
        <f>IFERROR(__xludf.DUMMYFUNCTION("""COMPUTED_VALUE"""),98.464567)</f>
        <v>98.464567</v>
      </c>
      <c r="X349" s="32">
        <f>IFERROR(__xludf.DUMMYFUNCTION("""COMPUTED_VALUE"""),68.157381)</f>
        <v>68.157381</v>
      </c>
      <c r="Y349" s="32">
        <f>IFERROR(__xludf.DUMMYFUNCTION("""COMPUTED_VALUE"""),35.965808)</f>
        <v>35.965808</v>
      </c>
      <c r="Z349" s="32">
        <f>IFERROR(__xludf.DUMMYFUNCTION("""COMPUTED_VALUE"""),32.999771)</f>
        <v>32.999771</v>
      </c>
      <c r="AA349" s="32">
        <f>IFERROR(__xludf.DUMMYFUNCTION("""COMPUTED_VALUE"""),63.3604)</f>
        <v>63.3604</v>
      </c>
      <c r="AB349" s="32">
        <f>IFERROR(__xludf.DUMMYFUNCTION("""COMPUTED_VALUE"""),47.44295)</f>
        <v>47.44295</v>
      </c>
      <c r="AC349" s="32">
        <f>IFERROR(__xludf.DUMMYFUNCTION("""COMPUTED_VALUE"""),13.8637)</f>
        <v>13.8637</v>
      </c>
      <c r="AD349" s="32">
        <f>IFERROR(__xludf.DUMMYFUNCTION("""COMPUTED_VALUE"""),6.89795)</f>
        <v>6.89795</v>
      </c>
      <c r="AE349" s="32">
        <f>IFERROR(__xludf.DUMMYFUNCTION("""COMPUTED_VALUE"""),2.231458)</f>
        <v>2.231458</v>
      </c>
      <c r="AF349" s="32">
        <f>IFERROR(__xludf.DUMMYFUNCTION("""COMPUTED_VALUE"""),1.877836)</f>
        <v>1.877836</v>
      </c>
      <c r="AG349" s="32">
        <f>IFERROR(__xludf.DUMMYFUNCTION("""COMPUTED_VALUE"""),0.0458)</f>
        <v>0.0458</v>
      </c>
      <c r="AH349" s="32">
        <f>IFERROR(__xludf.DUMMYFUNCTION("""COMPUTED_VALUE"""),39.649711)</f>
        <v>39.649711</v>
      </c>
      <c r="AI349" s="32">
        <f>IFERROR(__xludf.DUMMYFUNCTION("""COMPUTED_VALUE"""),10.10809475935495)</f>
        <v>10.10809476</v>
      </c>
      <c r="AJ349" s="32">
        <f>IFERROR(__xludf.DUMMYFUNCTION("""COMPUTED_VALUE"""),748.1170126904602)</f>
        <v>748.1170127</v>
      </c>
      <c r="AK349" s="32">
        <f>IFERROR(__xludf.DUMMYFUNCTION("""COMPUTED_VALUE"""),51.6347)</f>
        <v>51.6347</v>
      </c>
      <c r="AL349" s="32">
        <f>IFERROR(__xludf.DUMMYFUNCTION("""COMPUTED_VALUE"""),235.984)</f>
        <v>235.984</v>
      </c>
      <c r="AM349" s="32">
        <f>IFERROR(__xludf.DUMMYFUNCTION("""COMPUTED_VALUE"""),4.373097)</f>
        <v>4.373097</v>
      </c>
      <c r="AN349" s="32">
        <f>IFERROR(__xludf.DUMMYFUNCTION("""COMPUTED_VALUE"""),-4.91897)</f>
        <v>-4.91897</v>
      </c>
      <c r="AO349" s="32">
        <f>IFERROR(__xludf.DUMMYFUNCTION("""COMPUTED_VALUE"""),1.5)</f>
        <v>1.5</v>
      </c>
      <c r="AP349" s="32">
        <f>IFERROR(__xludf.DUMMYFUNCTION("""COMPUTED_VALUE"""),0.010075528700906318)</f>
        <v>0.0100755287</v>
      </c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>
      <c r="A350" s="13" t="str">
        <f>IFERROR(__xludf.DUMMYFUNCTION("""COMPUTED_VALUE"""),"Edelweiss Financial Services Ltd.")</f>
        <v>Edelweiss Financial Services Ltd.</v>
      </c>
      <c r="B350" s="30">
        <f>IFERROR(__xludf.DUMMYFUNCTION("""COMPUTED_VALUE"""),532922.0)</f>
        <v>532922</v>
      </c>
      <c r="C350" s="13" t="str">
        <f>IFERROR(__xludf.DUMMYFUNCTION("""COMPUTED_VALUE"""),"EDELWEISS")</f>
        <v>EDELWEISS</v>
      </c>
      <c r="D350" s="13" t="str">
        <f>IFERROR(__xludf.DUMMYFUNCTION("""COMPUTED_VALUE"""),"INE532F01054")</f>
        <v>INE532F01054</v>
      </c>
      <c r="E350" s="13" t="str">
        <f>IFERROR(__xludf.DUMMYFUNCTION("""COMPUTED_VALUE"""),"Financial")</f>
        <v>Financial</v>
      </c>
      <c r="F350" s="13" t="str">
        <f>IFERROR(__xludf.DUMMYFUNCTION("""COMPUTED_VALUE"""),"Misc. Fin.services")</f>
        <v>Misc. Fin.services</v>
      </c>
      <c r="G350" s="31">
        <f>IFERROR(__xludf.DUMMYFUNCTION("""COMPUTED_VALUE"""),44809.0)</f>
        <v>44809</v>
      </c>
      <c r="H350" s="32">
        <f>IFERROR(__xludf.DUMMYFUNCTION("""COMPUTED_VALUE"""),62.7)</f>
        <v>62.7</v>
      </c>
      <c r="I350" s="32">
        <f>IFERROR(__xludf.DUMMYFUNCTION("""COMPUTED_VALUE"""),4.5)</f>
        <v>4.5</v>
      </c>
      <c r="J350" s="32">
        <f>IFERROR(__xludf.DUMMYFUNCTION("""COMPUTED_VALUE"""),49.4)</f>
        <v>49.4</v>
      </c>
      <c r="K350" s="32">
        <f>IFERROR(__xludf.DUMMYFUNCTION("""COMPUTED_VALUE"""),84.95)</f>
        <v>84.95</v>
      </c>
      <c r="L350" s="32">
        <f>IFERROR(__xludf.DUMMYFUNCTION("""COMPUTED_VALUE"""),29.9)</f>
        <v>29.9</v>
      </c>
      <c r="M350" s="32">
        <f>IFERROR(__xludf.DUMMYFUNCTION("""COMPUTED_VALUE"""),134.6)</f>
        <v>134.6</v>
      </c>
      <c r="N350" s="32">
        <f>IFERROR(__xludf.DUMMYFUNCTION("""COMPUTED_VALUE"""),29.9)</f>
        <v>29.9</v>
      </c>
      <c r="O350" s="32">
        <f>IFERROR(__xludf.DUMMYFUNCTION("""COMPUTED_VALUE"""),342.0)</f>
        <v>342</v>
      </c>
      <c r="P350" s="32">
        <f>IFERROR(__xludf.DUMMYFUNCTION("""COMPUTED_VALUE"""),21.25)</f>
        <v>21.25</v>
      </c>
      <c r="Q350" s="32">
        <f>IFERROR(__xludf.DUMMYFUNCTION("""COMPUTED_VALUE"""),342.0)</f>
        <v>342</v>
      </c>
      <c r="R350" s="32">
        <f>IFERROR(__xludf.DUMMYFUNCTION("""COMPUTED_VALUE"""),5913.24461805)</f>
        <v>5913.244618</v>
      </c>
      <c r="S350" s="32">
        <f>IFERROR(__xludf.DUMMYFUNCTION("""COMPUTED_VALUE"""),12993.011796075)</f>
        <v>12993.0118</v>
      </c>
      <c r="T350" s="32">
        <f>IFERROR(__xludf.DUMMYFUNCTION("""COMPUTED_VALUE"""),2.45098)</f>
        <v>2.45098</v>
      </c>
      <c r="U350" s="32">
        <f>IFERROR(__xludf.DUMMYFUNCTION("""COMPUTED_VALUE"""),7.639485)</f>
        <v>7.639485</v>
      </c>
      <c r="V350" s="32">
        <f>IFERROR(__xludf.DUMMYFUNCTION("""COMPUTED_VALUE"""),14.940422)</f>
        <v>14.940422</v>
      </c>
      <c r="W350" s="32">
        <f>IFERROR(__xludf.DUMMYFUNCTION("""COMPUTED_VALUE"""),-21.869159)</f>
        <v>-21.869159</v>
      </c>
      <c r="X350" s="32">
        <f>IFERROR(__xludf.DUMMYFUNCTION("""COMPUTED_VALUE"""),-15.910781)</f>
        <v>-15.910781</v>
      </c>
      <c r="Y350" s="32">
        <f>IFERROR(__xludf.DUMMYFUNCTION("""COMPUTED_VALUE"""),-23.591751)</f>
        <v>-23.591751</v>
      </c>
      <c r="Z350" s="32">
        <f>IFERROR(__xludf.DUMMYFUNCTION("""COMPUTED_VALUE"""),7.776552)</f>
        <v>7.776552</v>
      </c>
      <c r="AA350" s="32">
        <f>IFERROR(__xludf.DUMMYFUNCTION("""COMPUTED_VALUE"""),30.0043)</f>
        <v>30.0043</v>
      </c>
      <c r="AB350" s="32">
        <f>IFERROR(__xludf.DUMMYFUNCTION("""COMPUTED_VALUE"""),16.2098)</f>
        <v>16.2098</v>
      </c>
      <c r="AC350" s="32">
        <f>IFERROR(__xludf.DUMMYFUNCTION("""COMPUTED_VALUE"""),0.9124)</f>
        <v>0.9124</v>
      </c>
      <c r="AD350" s="32">
        <f>IFERROR(__xludf.DUMMYFUNCTION("""COMPUTED_VALUE"""),1.18605)</f>
        <v>1.18605</v>
      </c>
      <c r="AE350" s="32">
        <f>IFERROR(__xludf.DUMMYFUNCTION("""COMPUTED_VALUE"""),27.261482)</f>
        <v>27.261482</v>
      </c>
      <c r="AF350" s="32">
        <f>IFERROR(__xludf.DUMMYFUNCTION("""COMPUTED_VALUE"""),-1.074101)</f>
        <v>-1.074101</v>
      </c>
      <c r="AG350" s="32">
        <f>IFERROR(__xludf.DUMMYFUNCTION("""COMPUTED_VALUE"""),2.3126)</f>
        <v>2.3126</v>
      </c>
      <c r="AH350" s="32">
        <f>IFERROR(__xludf.DUMMYFUNCTION("""COMPUTED_VALUE"""),4.101122)</f>
        <v>4.101122</v>
      </c>
      <c r="AI350" s="32">
        <f>IFERROR(__xludf.DUMMYFUNCTION("""COMPUTED_VALUE"""),1.2305672107984933)</f>
        <v>1.230567211</v>
      </c>
      <c r="AJ350" s="32">
        <f>IFERROR(__xludf.DUMMYFUNCTION("""COMPUTED_VALUE"""),1.057400283043599)</f>
        <v>1.057400283</v>
      </c>
      <c r="AK350" s="32">
        <f>IFERROR(__xludf.DUMMYFUNCTION("""COMPUTED_VALUE"""),2.0897)</f>
        <v>2.0897</v>
      </c>
      <c r="AL350" s="32">
        <f>IFERROR(__xludf.DUMMYFUNCTION("""COMPUTED_VALUE"""),68.7161)</f>
        <v>68.7161</v>
      </c>
      <c r="AM350" s="32">
        <f>IFERROR(__xludf.DUMMYFUNCTION("""COMPUTED_VALUE"""),62.26061)</f>
        <v>62.26061</v>
      </c>
      <c r="AN350" s="32">
        <f>IFERROR(__xludf.DUMMYFUNCTION("""COMPUTED_VALUE"""),53.619116)</f>
        <v>53.619116</v>
      </c>
      <c r="AO350" s="32">
        <f>IFERROR(__xludf.DUMMYFUNCTION("""COMPUTED_VALUE"""),1.45)</f>
        <v>1.45</v>
      </c>
      <c r="AP350" s="32">
        <f>IFERROR(__xludf.DUMMYFUNCTION("""COMPUTED_VALUE"""),0.2619187757504414)</f>
        <v>0.2619187758</v>
      </c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>
      <c r="A351" s="13" t="str">
        <f>IFERROR(__xludf.DUMMYFUNCTION("""COMPUTED_VALUE"""),"Indian Railway Finance Corporation Ltd.")</f>
        <v>Indian Railway Finance Corporation Ltd.</v>
      </c>
      <c r="B351" s="30">
        <f>IFERROR(__xludf.DUMMYFUNCTION("""COMPUTED_VALUE"""),543257.0)</f>
        <v>543257</v>
      </c>
      <c r="C351" s="13" t="str">
        <f>IFERROR(__xludf.DUMMYFUNCTION("""COMPUTED_VALUE"""),"IRFC")</f>
        <v>IRFC</v>
      </c>
      <c r="D351" s="13" t="str">
        <f>IFERROR(__xludf.DUMMYFUNCTION("""COMPUTED_VALUE"""),"INE053F01010")</f>
        <v>INE053F01010</v>
      </c>
      <c r="E351" s="13" t="str">
        <f>IFERROR(__xludf.DUMMYFUNCTION("""COMPUTED_VALUE"""),"Financial")</f>
        <v>Financial</v>
      </c>
      <c r="F351" s="13" t="str">
        <f>IFERROR(__xludf.DUMMYFUNCTION("""COMPUTED_VALUE"""),"DFIs")</f>
        <v>DFIs</v>
      </c>
      <c r="G351" s="31">
        <f>IFERROR(__xludf.DUMMYFUNCTION("""COMPUTED_VALUE"""),44809.0)</f>
        <v>44809</v>
      </c>
      <c r="H351" s="32">
        <f>IFERROR(__xludf.DUMMYFUNCTION("""COMPUTED_VALUE"""),22.1)</f>
        <v>22.1</v>
      </c>
      <c r="I351" s="32">
        <f>IFERROR(__xludf.DUMMYFUNCTION("""COMPUTED_VALUE"""),0.683371)</f>
        <v>0.683371</v>
      </c>
      <c r="J351" s="32">
        <f>IFERROR(__xludf.DUMMYFUNCTION("""COMPUTED_VALUE"""),19.3)</f>
        <v>19.3</v>
      </c>
      <c r="K351" s="32">
        <f>IFERROR(__xludf.DUMMYFUNCTION("""COMPUTED_VALUE"""),26.4)</f>
        <v>26.4</v>
      </c>
      <c r="L351" s="13"/>
      <c r="M351" s="13"/>
      <c r="N351" s="13"/>
      <c r="O351" s="13"/>
      <c r="P351" s="32">
        <f>IFERROR(__xludf.DUMMYFUNCTION("""COMPUTED_VALUE"""),19.3)</f>
        <v>19.3</v>
      </c>
      <c r="Q351" s="32">
        <f>IFERROR(__xludf.DUMMYFUNCTION("""COMPUTED_VALUE"""),26.7)</f>
        <v>26.7</v>
      </c>
      <c r="R351" s="32">
        <f>IFERROR(__xludf.DUMMYFUNCTION("""COMPUTED_VALUE"""),28881.39826)</f>
        <v>28881.39826</v>
      </c>
      <c r="S351" s="32">
        <f>IFERROR(__xludf.DUMMYFUNCTION("""COMPUTED_VALUE"""),416863.9552)</f>
        <v>416863.9552</v>
      </c>
      <c r="T351" s="32">
        <f>IFERROR(__xludf.DUMMYFUNCTION("""COMPUTED_VALUE"""),4.0)</f>
        <v>4</v>
      </c>
      <c r="U351" s="32">
        <f>IFERROR(__xludf.DUMMYFUNCTION("""COMPUTED_VALUE"""),3.755869)</f>
        <v>3.755869</v>
      </c>
      <c r="V351" s="32">
        <f>IFERROR(__xludf.DUMMYFUNCTION("""COMPUTED_VALUE"""),3.271028)</f>
        <v>3.271028</v>
      </c>
      <c r="W351" s="32">
        <f>IFERROR(__xludf.DUMMYFUNCTION("""COMPUTED_VALUE"""),-4.121475)</f>
        <v>-4.121475</v>
      </c>
      <c r="X351" s="13"/>
      <c r="Y351" s="13"/>
      <c r="Z351" s="13"/>
      <c r="AA351" s="32">
        <f>IFERROR(__xludf.DUMMYFUNCTION("""COMPUTED_VALUE"""),4.6214)</f>
        <v>4.6214</v>
      </c>
      <c r="AB351" s="32">
        <f>IFERROR(__xludf.DUMMYFUNCTION("""COMPUTED_VALUE"""),4.7933)</f>
        <v>4.7933</v>
      </c>
      <c r="AC351" s="32">
        <f>IFERROR(__xludf.DUMMYFUNCTION("""COMPUTED_VALUE"""),0.6771)</f>
        <v>0.6771</v>
      </c>
      <c r="AD351" s="32">
        <f>IFERROR(__xludf.DUMMYFUNCTION("""COMPUTED_VALUE"""),0.7377)</f>
        <v>0.7377</v>
      </c>
      <c r="AE351" s="32">
        <f>IFERROR(__xludf.DUMMYFUNCTION("""COMPUTED_VALUE"""),5.085788)</f>
        <v>5.085788</v>
      </c>
      <c r="AF351" s="32">
        <f>IFERROR(__xludf.DUMMYFUNCTION("""COMPUTED_VALUE"""),0.1899)</f>
        <v>0.1899</v>
      </c>
      <c r="AG351" s="32">
        <f>IFERROR(__xludf.DUMMYFUNCTION("""COMPUTED_VALUE"""),6.3348)</f>
        <v>6.3348</v>
      </c>
      <c r="AH351" s="32">
        <f>IFERROR(__xludf.DUMMYFUNCTION("""COMPUTED_VALUE"""),19.658628)</f>
        <v>19.658628</v>
      </c>
      <c r="AI351" s="32">
        <f>IFERROR(__xludf.DUMMYFUNCTION("""COMPUTED_VALUE"""),3.9380263016878425)</f>
        <v>3.938026302</v>
      </c>
      <c r="AJ351" s="32">
        <f>IFERROR(__xludf.DUMMYFUNCTION("""COMPUTED_VALUE"""),-0.44838340396013293)</f>
        <v>-0.448383404</v>
      </c>
      <c r="AK351" s="32">
        <f>IFERROR(__xludf.DUMMYFUNCTION("""COMPUTED_VALUE"""),4.7821)</f>
        <v>4.7821</v>
      </c>
      <c r="AL351" s="32">
        <f>IFERROR(__xludf.DUMMYFUNCTION("""COMPUTED_VALUE"""),32.6412)</f>
        <v>32.6412</v>
      </c>
      <c r="AM351" s="32">
        <f>IFERROR(__xludf.DUMMYFUNCTION("""COMPUTED_VALUE"""),-49.288176)</f>
        <v>-49.288176</v>
      </c>
      <c r="AN351" s="32">
        <f>IFERROR(__xludf.DUMMYFUNCTION("""COMPUTED_VALUE"""),-49.606553)</f>
        <v>-49.606553</v>
      </c>
      <c r="AO351" s="32">
        <f>IFERROR(__xludf.DUMMYFUNCTION("""COMPUTED_VALUE"""),1.4)</f>
        <v>1.4</v>
      </c>
      <c r="AP351" s="32">
        <f>IFERROR(__xludf.DUMMYFUNCTION("""COMPUTED_VALUE"""),0.1628787878787878)</f>
        <v>0.1628787879</v>
      </c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>
      <c r="A352" s="13" t="str">
        <f>IFERROR(__xludf.DUMMYFUNCTION("""COMPUTED_VALUE"""),"V-Guard Industries Ltd.")</f>
        <v>V-Guard Industries Ltd.</v>
      </c>
      <c r="B352" s="30">
        <f>IFERROR(__xludf.DUMMYFUNCTION("""COMPUTED_VALUE"""),532953.0)</f>
        <v>532953</v>
      </c>
      <c r="C352" s="13" t="str">
        <f>IFERROR(__xludf.DUMMYFUNCTION("""COMPUTED_VALUE"""),"VGUARD")</f>
        <v>VGUARD</v>
      </c>
      <c r="D352" s="13" t="str">
        <f>IFERROR(__xludf.DUMMYFUNCTION("""COMPUTED_VALUE"""),"INE951I01027")</f>
        <v>INE951I01027</v>
      </c>
      <c r="E352" s="13" t="str">
        <f>IFERROR(__xludf.DUMMYFUNCTION("""COMPUTED_VALUE"""),"Consumer Discretionary")</f>
        <v>Consumer Discretionary</v>
      </c>
      <c r="F352" s="13" t="str">
        <f>IFERROR(__xludf.DUMMYFUNCTION("""COMPUTED_VALUE"""),"Kitchenware &amp; Appliances")</f>
        <v>Kitchenware &amp; Appliances</v>
      </c>
      <c r="G352" s="31">
        <f>IFERROR(__xludf.DUMMYFUNCTION("""COMPUTED_VALUE"""),44809.0)</f>
        <v>44809</v>
      </c>
      <c r="H352" s="32">
        <f>IFERROR(__xludf.DUMMYFUNCTION("""COMPUTED_VALUE"""),236.9)</f>
        <v>236.9</v>
      </c>
      <c r="I352" s="32">
        <f>IFERROR(__xludf.DUMMYFUNCTION("""COMPUTED_VALUE"""),-2.889936)</f>
        <v>-2.889936</v>
      </c>
      <c r="J352" s="32">
        <f>IFERROR(__xludf.DUMMYFUNCTION("""COMPUTED_VALUE"""),181.0)</f>
        <v>181</v>
      </c>
      <c r="K352" s="32">
        <f>IFERROR(__xludf.DUMMYFUNCTION("""COMPUTED_VALUE"""),274.8)</f>
        <v>274.8</v>
      </c>
      <c r="L352" s="32">
        <f>IFERROR(__xludf.DUMMYFUNCTION("""COMPUTED_VALUE"""),149.0)</f>
        <v>149</v>
      </c>
      <c r="M352" s="32">
        <f>IFERROR(__xludf.DUMMYFUNCTION("""COMPUTED_VALUE"""),285.0)</f>
        <v>285</v>
      </c>
      <c r="N352" s="32">
        <f>IFERROR(__xludf.DUMMYFUNCTION("""COMPUTED_VALUE"""),149.0)</f>
        <v>149</v>
      </c>
      <c r="O352" s="32">
        <f>IFERROR(__xludf.DUMMYFUNCTION("""COMPUTED_VALUE"""),285.0)</f>
        <v>285</v>
      </c>
      <c r="P352" s="32">
        <f>IFERROR(__xludf.DUMMYFUNCTION("""COMPUTED_VALUE"""),2.571429)</f>
        <v>2.571429</v>
      </c>
      <c r="Q352" s="32">
        <f>IFERROR(__xludf.DUMMYFUNCTION("""COMPUTED_VALUE"""),285.0)</f>
        <v>285</v>
      </c>
      <c r="R352" s="32">
        <f>IFERROR(__xludf.DUMMYFUNCTION("""COMPUTED_VALUE"""),10213.5522307)</f>
        <v>10213.55223</v>
      </c>
      <c r="S352" s="32">
        <f>IFERROR(__xludf.DUMMYFUNCTION("""COMPUTED_VALUE"""),10436.03752205)</f>
        <v>10436.03752</v>
      </c>
      <c r="T352" s="32">
        <f>IFERROR(__xludf.DUMMYFUNCTION("""COMPUTED_VALUE"""),1.023454)</f>
        <v>1.023454</v>
      </c>
      <c r="U352" s="32">
        <f>IFERROR(__xludf.DUMMYFUNCTION("""COMPUTED_VALUE"""),-0.483092)</f>
        <v>-0.483092</v>
      </c>
      <c r="V352" s="32">
        <f>IFERROR(__xludf.DUMMYFUNCTION("""COMPUTED_VALUE"""),1.260953)</f>
        <v>1.260953</v>
      </c>
      <c r="W352" s="32">
        <f>IFERROR(__xludf.DUMMYFUNCTION("""COMPUTED_VALUE"""),-5.277889)</f>
        <v>-5.277889</v>
      </c>
      <c r="X352" s="32">
        <f>IFERROR(__xludf.DUMMYFUNCTION("""COMPUTED_VALUE"""),2.135325)</f>
        <v>2.135325</v>
      </c>
      <c r="Y352" s="32">
        <f>IFERROR(__xludf.DUMMYFUNCTION("""COMPUTED_VALUE"""),5.189661)</f>
        <v>5.189661</v>
      </c>
      <c r="Z352" s="32">
        <f>IFERROR(__xludf.DUMMYFUNCTION("""COMPUTED_VALUE"""),23.344713)</f>
        <v>23.344713</v>
      </c>
      <c r="AA352" s="32">
        <f>IFERROR(__xludf.DUMMYFUNCTION("""COMPUTED_VALUE"""),39.9541)</f>
        <v>39.9541</v>
      </c>
      <c r="AB352" s="32">
        <f>IFERROR(__xludf.DUMMYFUNCTION("""COMPUTED_VALUE"""),54.10455)</f>
        <v>54.10455</v>
      </c>
      <c r="AC352" s="32">
        <f>IFERROR(__xludf.DUMMYFUNCTION("""COMPUTED_VALUE"""),7.1753)</f>
        <v>7.1753</v>
      </c>
      <c r="AD352" s="32">
        <f>IFERROR(__xludf.DUMMYFUNCTION("""COMPUTED_VALUE"""),9.338)</f>
        <v>9.338</v>
      </c>
      <c r="AE352" s="32">
        <f>IFERROR(__xludf.DUMMYFUNCTION("""COMPUTED_VALUE"""),3.572139)</f>
        <v>3.572139</v>
      </c>
      <c r="AF352" s="32">
        <f>IFERROR(__xludf.DUMMYFUNCTION("""COMPUTED_VALUE"""),4.172845)</f>
        <v>4.172845</v>
      </c>
      <c r="AG352" s="32">
        <f>IFERROR(__xludf.DUMMYFUNCTION("""COMPUTED_VALUE"""),0.5495)</f>
        <v>0.5495</v>
      </c>
      <c r="AH352" s="32">
        <f>IFERROR(__xludf.DUMMYFUNCTION("""COMPUTED_VALUE"""),26.845389)</f>
        <v>26.845389</v>
      </c>
      <c r="AI352" s="32">
        <f>IFERROR(__xludf.DUMMYFUNCTION("""COMPUTED_VALUE"""),2.584869179411047)</f>
        <v>2.584869179</v>
      </c>
      <c r="AJ352" s="32">
        <f>IFERROR(__xludf.DUMMYFUNCTION("""COMPUTED_VALUE"""),-263.86698678023726)</f>
        <v>-263.8669868</v>
      </c>
      <c r="AK352" s="32">
        <f>IFERROR(__xludf.DUMMYFUNCTION("""COMPUTED_VALUE"""),5.9218)</f>
        <v>5.9218</v>
      </c>
      <c r="AL352" s="32">
        <f>IFERROR(__xludf.DUMMYFUNCTION("""COMPUTED_VALUE"""),32.9743)</f>
        <v>32.9743</v>
      </c>
      <c r="AM352" s="32">
        <f>IFERROR(__xludf.DUMMYFUNCTION("""COMPUTED_VALUE"""),-0.896951)</f>
        <v>-0.896951</v>
      </c>
      <c r="AN352" s="32">
        <f>IFERROR(__xludf.DUMMYFUNCTION("""COMPUTED_VALUE"""),-3.859534)</f>
        <v>-3.859534</v>
      </c>
      <c r="AO352" s="32">
        <f>IFERROR(__xludf.DUMMYFUNCTION("""COMPUTED_VALUE"""),1.3)</f>
        <v>1.3</v>
      </c>
      <c r="AP352" s="32">
        <f>IFERROR(__xludf.DUMMYFUNCTION("""COMPUTED_VALUE"""),0.1379184861717613)</f>
        <v>0.1379184862</v>
      </c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>
      <c r="A353" s="13" t="str">
        <f>IFERROR(__xludf.DUMMYFUNCTION("""COMPUTED_VALUE"""),"Delta Corp Ltd.")</f>
        <v>Delta Corp Ltd.</v>
      </c>
      <c r="B353" s="30">
        <f>IFERROR(__xludf.DUMMYFUNCTION("""COMPUTED_VALUE"""),532848.0)</f>
        <v>532848</v>
      </c>
      <c r="C353" s="13" t="str">
        <f>IFERROR(__xludf.DUMMYFUNCTION("""COMPUTED_VALUE"""),"DELTACORP")</f>
        <v>DELTACORP</v>
      </c>
      <c r="D353" s="13" t="str">
        <f>IFERROR(__xludf.DUMMYFUNCTION("""COMPUTED_VALUE"""),"INE124G01033")</f>
        <v>INE124G01033</v>
      </c>
      <c r="E353" s="13" t="str">
        <f>IFERROR(__xludf.DUMMYFUNCTION("""COMPUTED_VALUE"""),"Services")</f>
        <v>Services</v>
      </c>
      <c r="F353" s="13" t="str">
        <f>IFERROR(__xludf.DUMMYFUNCTION("""COMPUTED_VALUE"""),"Leisure &amp; Recreation")</f>
        <v>Leisure &amp; Recreation</v>
      </c>
      <c r="G353" s="31">
        <f>IFERROR(__xludf.DUMMYFUNCTION("""COMPUTED_VALUE"""),44809.0)</f>
        <v>44809</v>
      </c>
      <c r="H353" s="32">
        <f>IFERROR(__xludf.DUMMYFUNCTION("""COMPUTED_VALUE"""),211.45)</f>
        <v>211.45</v>
      </c>
      <c r="I353" s="32">
        <f>IFERROR(__xludf.DUMMYFUNCTION("""COMPUTED_VALUE"""),0.142079)</f>
        <v>0.142079</v>
      </c>
      <c r="J353" s="32">
        <f>IFERROR(__xludf.DUMMYFUNCTION("""COMPUTED_VALUE"""),162.1)</f>
        <v>162.1</v>
      </c>
      <c r="K353" s="32">
        <f>IFERROR(__xludf.DUMMYFUNCTION("""COMPUTED_VALUE"""),339.7)</f>
        <v>339.7</v>
      </c>
      <c r="L353" s="32">
        <f>IFERROR(__xludf.DUMMYFUNCTION("""COMPUTED_VALUE"""),53.8)</f>
        <v>53.8</v>
      </c>
      <c r="M353" s="32">
        <f>IFERROR(__xludf.DUMMYFUNCTION("""COMPUTED_VALUE"""),339.7)</f>
        <v>339.7</v>
      </c>
      <c r="N353" s="32">
        <f>IFERROR(__xludf.DUMMYFUNCTION("""COMPUTED_VALUE"""),53.8)</f>
        <v>53.8</v>
      </c>
      <c r="O353" s="32">
        <f>IFERROR(__xludf.DUMMYFUNCTION("""COMPUTED_VALUE"""),401.6)</f>
        <v>401.6</v>
      </c>
      <c r="P353" s="32">
        <f>IFERROR(__xludf.DUMMYFUNCTION("""COMPUTED_VALUE"""),14.8)</f>
        <v>14.8</v>
      </c>
      <c r="Q353" s="32">
        <f>IFERROR(__xludf.DUMMYFUNCTION("""COMPUTED_VALUE"""),401.6)</f>
        <v>401.6</v>
      </c>
      <c r="R353" s="32">
        <f>IFERROR(__xludf.DUMMYFUNCTION("""COMPUTED_VALUE"""),5657.794765155)</f>
        <v>5657.794765</v>
      </c>
      <c r="S353" s="32">
        <f>IFERROR(__xludf.DUMMYFUNCTION("""COMPUTED_VALUE"""),4940.822525105)</f>
        <v>4940.822525</v>
      </c>
      <c r="T353" s="32">
        <f>IFERROR(__xludf.DUMMYFUNCTION("""COMPUTED_VALUE"""),-1.398927)</f>
        <v>-1.398927</v>
      </c>
      <c r="U353" s="32">
        <f>IFERROR(__xludf.DUMMYFUNCTION("""COMPUTED_VALUE"""),8.491534)</f>
        <v>8.491534</v>
      </c>
      <c r="V353" s="32">
        <f>IFERROR(__xludf.DUMMYFUNCTION("""COMPUTED_VALUE"""),1.952748)</f>
        <v>1.952748</v>
      </c>
      <c r="W353" s="32">
        <f>IFERROR(__xludf.DUMMYFUNCTION("""COMPUTED_VALUE"""),2.298016)</f>
        <v>2.298016</v>
      </c>
      <c r="X353" s="32">
        <f>IFERROR(__xludf.DUMMYFUNCTION("""COMPUTED_VALUE"""),6.939356)</f>
        <v>6.939356</v>
      </c>
      <c r="Y353" s="32">
        <f>IFERROR(__xludf.DUMMYFUNCTION("""COMPUTED_VALUE"""),2.226983)</f>
        <v>2.226983</v>
      </c>
      <c r="Z353" s="32">
        <f>IFERROR(__xludf.DUMMYFUNCTION("""COMPUTED_VALUE"""),13.566942)</f>
        <v>13.566942</v>
      </c>
      <c r="AA353" s="32">
        <f>IFERROR(__xludf.DUMMYFUNCTION("""COMPUTED_VALUE"""),36.967)</f>
        <v>36.967</v>
      </c>
      <c r="AB353" s="32">
        <f>IFERROR(__xludf.DUMMYFUNCTION("""COMPUTED_VALUE"""),39.0924)</f>
        <v>39.0924</v>
      </c>
      <c r="AC353" s="32">
        <f>IFERROR(__xludf.DUMMYFUNCTION("""COMPUTED_VALUE"""),2.777)</f>
        <v>2.777</v>
      </c>
      <c r="AD353" s="32">
        <f>IFERROR(__xludf.DUMMYFUNCTION("""COMPUTED_VALUE"""),2.72305)</f>
        <v>2.72305</v>
      </c>
      <c r="AE353" s="32">
        <f>IFERROR(__xludf.DUMMYFUNCTION("""COMPUTED_VALUE"""),5.295916)</f>
        <v>5.295916</v>
      </c>
      <c r="AF353" s="32">
        <f>IFERROR(__xludf.DUMMYFUNCTION("""COMPUTED_VALUE"""),2.410112)</f>
        <v>2.410112</v>
      </c>
      <c r="AG353" s="32">
        <f>IFERROR(__xludf.DUMMYFUNCTION("""COMPUTED_VALUE"""),0.5909)</f>
        <v>0.5909</v>
      </c>
      <c r="AH353" s="32">
        <f>IFERROR(__xludf.DUMMYFUNCTION("""COMPUTED_VALUE"""),17.51692)</f>
        <v>17.51692</v>
      </c>
      <c r="AI353" s="32">
        <f>IFERROR(__xludf.DUMMYFUNCTION("""COMPUTED_VALUE"""),7.1569640180069065)</f>
        <v>7.156964018</v>
      </c>
      <c r="AJ353" s="32">
        <f>IFERROR(__xludf.DUMMYFUNCTION("""COMPUTED_VALUE"""),44.715045958705446)</f>
        <v>44.71504596</v>
      </c>
      <c r="AK353" s="32">
        <f>IFERROR(__xludf.DUMMYFUNCTION("""COMPUTED_VALUE"""),5.7227)</f>
        <v>5.7227</v>
      </c>
      <c r="AL353" s="32">
        <f>IFERROR(__xludf.DUMMYFUNCTION("""COMPUTED_VALUE"""),76.18)</f>
        <v>76.18</v>
      </c>
      <c r="AM353" s="32">
        <f>IFERROR(__xludf.DUMMYFUNCTION("""COMPUTED_VALUE"""),4.733633)</f>
        <v>4.733633</v>
      </c>
      <c r="AN353" s="32">
        <f>IFERROR(__xludf.DUMMYFUNCTION("""COMPUTED_VALUE"""),2.857464)</f>
        <v>2.857464</v>
      </c>
      <c r="AO353" s="32">
        <f>IFERROR(__xludf.DUMMYFUNCTION("""COMPUTED_VALUE"""),1.25)</f>
        <v>1.25</v>
      </c>
      <c r="AP353" s="32">
        <f>IFERROR(__xludf.DUMMYFUNCTION("""COMPUTED_VALUE"""),0.3775390050044157)</f>
        <v>0.377539005</v>
      </c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>
      <c r="A354" s="13" t="str">
        <f>IFERROR(__xludf.DUMMYFUNCTION("""COMPUTED_VALUE"""),"Bombay Burmah Trading Corporation Ltd.")</f>
        <v>Bombay Burmah Trading Corporation Ltd.</v>
      </c>
      <c r="B354" s="30">
        <f>IFERROR(__xludf.DUMMYFUNCTION("""COMPUTED_VALUE"""),501425.0)</f>
        <v>501425</v>
      </c>
      <c r="C354" s="13" t="str">
        <f>IFERROR(__xludf.DUMMYFUNCTION("""COMPUTED_VALUE"""),"BBTC")</f>
        <v>BBTC</v>
      </c>
      <c r="D354" s="13" t="str">
        <f>IFERROR(__xludf.DUMMYFUNCTION("""COMPUTED_VALUE"""),"INE050A01025")</f>
        <v>INE050A01025</v>
      </c>
      <c r="E354" s="13" t="str">
        <f>IFERROR(__xludf.DUMMYFUNCTION("""COMPUTED_VALUE"""),"Consumer Staples")</f>
        <v>Consumer Staples</v>
      </c>
      <c r="F354" s="13" t="str">
        <f>IFERROR(__xludf.DUMMYFUNCTION("""COMPUTED_VALUE"""),"Tea &amp; Coffee")</f>
        <v>Tea &amp; Coffee</v>
      </c>
      <c r="G354" s="31">
        <f>IFERROR(__xludf.DUMMYFUNCTION("""COMPUTED_VALUE"""),44809.0)</f>
        <v>44809</v>
      </c>
      <c r="H354" s="32">
        <f>IFERROR(__xludf.DUMMYFUNCTION("""COMPUTED_VALUE"""),920.45)</f>
        <v>920.45</v>
      </c>
      <c r="I354" s="32">
        <f>IFERROR(__xludf.DUMMYFUNCTION("""COMPUTED_VALUE"""),1.477317)</f>
        <v>1.477317</v>
      </c>
      <c r="J354" s="32">
        <f>IFERROR(__xludf.DUMMYFUNCTION("""COMPUTED_VALUE"""),839.9)</f>
        <v>839.9</v>
      </c>
      <c r="K354" s="32">
        <f>IFERROR(__xludf.DUMMYFUNCTION("""COMPUTED_VALUE"""),1230.0)</f>
        <v>1230</v>
      </c>
      <c r="L354" s="32">
        <f>IFERROR(__xludf.DUMMYFUNCTION("""COMPUTED_VALUE"""),535.0)</f>
        <v>535</v>
      </c>
      <c r="M354" s="32">
        <f>IFERROR(__xludf.DUMMYFUNCTION("""COMPUTED_VALUE"""),1566.8)</f>
        <v>1566.8</v>
      </c>
      <c r="N354" s="32">
        <f>IFERROR(__xludf.DUMMYFUNCTION("""COMPUTED_VALUE"""),535.0)</f>
        <v>535</v>
      </c>
      <c r="O354" s="32">
        <f>IFERROR(__xludf.DUMMYFUNCTION("""COMPUTED_VALUE"""),2115.0)</f>
        <v>2115</v>
      </c>
      <c r="P354" s="32">
        <f>IFERROR(__xludf.DUMMYFUNCTION("""COMPUTED_VALUE"""),5.9)</f>
        <v>5.9</v>
      </c>
      <c r="Q354" s="32">
        <f>IFERROR(__xludf.DUMMYFUNCTION("""COMPUTED_VALUE"""),2115.0)</f>
        <v>2115</v>
      </c>
      <c r="R354" s="32">
        <f>IFERROR(__xludf.DUMMYFUNCTION("""COMPUTED_VALUE"""),6422.1545355)</f>
        <v>6422.154536</v>
      </c>
      <c r="S354" s="32">
        <f>IFERROR(__xludf.DUMMYFUNCTION("""COMPUTED_VALUE"""),6763.027506)</f>
        <v>6763.027506</v>
      </c>
      <c r="T354" s="32">
        <f>IFERROR(__xludf.DUMMYFUNCTION("""COMPUTED_VALUE"""),1.79154)</f>
        <v>1.79154</v>
      </c>
      <c r="U354" s="32">
        <f>IFERROR(__xludf.DUMMYFUNCTION("""COMPUTED_VALUE"""),-3.809175)</f>
        <v>-3.809175</v>
      </c>
      <c r="V354" s="32">
        <f>IFERROR(__xludf.DUMMYFUNCTION("""COMPUTED_VALUE"""),-6.870036)</f>
        <v>-6.870036</v>
      </c>
      <c r="W354" s="32">
        <f>IFERROR(__xludf.DUMMYFUNCTION("""COMPUTED_VALUE"""),-24.500677)</f>
        <v>-24.500677</v>
      </c>
      <c r="X354" s="32">
        <f>IFERROR(__xludf.DUMMYFUNCTION("""COMPUTED_VALUE"""),0.57882)</f>
        <v>0.57882</v>
      </c>
      <c r="Y354" s="32">
        <f>IFERROR(__xludf.DUMMYFUNCTION("""COMPUTED_VALUE"""),-2.316691)</f>
        <v>-2.316691</v>
      </c>
      <c r="Z354" s="32">
        <f>IFERROR(__xludf.DUMMYFUNCTION("""COMPUTED_VALUE"""),24.649139)</f>
        <v>24.649139</v>
      </c>
      <c r="AA354" s="32">
        <f>IFERROR(__xludf.DUMMYFUNCTION("""COMPUTED_VALUE"""),387.3131)</f>
        <v>387.3131</v>
      </c>
      <c r="AB354" s="32">
        <f>IFERROR(__xludf.DUMMYFUNCTION("""COMPUTED_VALUE"""),17.8968)</f>
        <v>17.8968</v>
      </c>
      <c r="AC354" s="32">
        <f>IFERROR(__xludf.DUMMYFUNCTION("""COMPUTED_VALUE"""),1.0946)</f>
        <v>1.0946</v>
      </c>
      <c r="AD354" s="32">
        <f>IFERROR(__xludf.DUMMYFUNCTION("""COMPUTED_VALUE"""),1.68665)</f>
        <v>1.68665</v>
      </c>
      <c r="AE354" s="32">
        <f>IFERROR(__xludf.DUMMYFUNCTION("""COMPUTED_VALUE"""),41.156115)</f>
        <v>41.156115</v>
      </c>
      <c r="AF354" s="32">
        <f>IFERROR(__xludf.DUMMYFUNCTION("""COMPUTED_VALUE"""),36.287428)</f>
        <v>36.287428</v>
      </c>
      <c r="AG354" s="32">
        <f>IFERROR(__xludf.DUMMYFUNCTION("""COMPUTED_VALUE"""),0.1303)</f>
        <v>0.1303</v>
      </c>
      <c r="AH354" s="32">
        <f>IFERROR(__xludf.DUMMYFUNCTION("""COMPUTED_VALUE"""),2.594667)</f>
        <v>2.594667</v>
      </c>
      <c r="AI354" s="32">
        <f>IFERROR(__xludf.DUMMYFUNCTION("""COMPUTED_VALUE"""),0.4379743196847806)</f>
        <v>0.4379743197</v>
      </c>
      <c r="AJ354" s="32">
        <f>IFERROR(__xludf.DUMMYFUNCTION("""COMPUTED_VALUE"""),4.437124096645174)</f>
        <v>4.437124097</v>
      </c>
      <c r="AK354" s="32">
        <f>IFERROR(__xludf.DUMMYFUNCTION("""COMPUTED_VALUE"""),2.3769)</f>
        <v>2.3769</v>
      </c>
      <c r="AL354" s="32">
        <f>IFERROR(__xludf.DUMMYFUNCTION("""COMPUTED_VALUE"""),841.0429)</f>
        <v>841.0429</v>
      </c>
      <c r="AM354" s="32">
        <f>IFERROR(__xludf.DUMMYFUNCTION("""COMPUTED_VALUE"""),207.442627)</f>
        <v>207.442627</v>
      </c>
      <c r="AN354" s="32">
        <f>IFERROR(__xludf.DUMMYFUNCTION("""COMPUTED_VALUE"""),132.794287)</f>
        <v>132.794287</v>
      </c>
      <c r="AO354" s="32">
        <f>IFERROR(__xludf.DUMMYFUNCTION("""COMPUTED_VALUE"""),1.2)</f>
        <v>1.2</v>
      </c>
      <c r="AP354" s="32">
        <f>IFERROR(__xludf.DUMMYFUNCTION("""COMPUTED_VALUE"""),0.25166666666666665)</f>
        <v>0.2516666667</v>
      </c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>
      <c r="A355" s="13" t="str">
        <f>IFERROR(__xludf.DUMMYFUNCTION("""COMPUTED_VALUE"""),"Jubilant FoodWorks Ltd.")</f>
        <v>Jubilant FoodWorks Ltd.</v>
      </c>
      <c r="B355" s="30">
        <f>IFERROR(__xludf.DUMMYFUNCTION("""COMPUTED_VALUE"""),533155.0)</f>
        <v>533155</v>
      </c>
      <c r="C355" s="13" t="str">
        <f>IFERROR(__xludf.DUMMYFUNCTION("""COMPUTED_VALUE"""),"JUBLFOOD")</f>
        <v>JUBLFOOD</v>
      </c>
      <c r="D355" s="13" t="str">
        <f>IFERROR(__xludf.DUMMYFUNCTION("""COMPUTED_VALUE"""),"INE797F01020")</f>
        <v>INE797F01020</v>
      </c>
      <c r="E355" s="13" t="str">
        <f>IFERROR(__xludf.DUMMYFUNCTION("""COMPUTED_VALUE"""),"Services")</f>
        <v>Services</v>
      </c>
      <c r="F355" s="13" t="str">
        <f>IFERROR(__xludf.DUMMYFUNCTION("""COMPUTED_VALUE"""),"Restaurants")</f>
        <v>Restaurants</v>
      </c>
      <c r="G355" s="31">
        <f>IFERROR(__xludf.DUMMYFUNCTION("""COMPUTED_VALUE"""),44809.0)</f>
        <v>44809</v>
      </c>
      <c r="H355" s="32">
        <f>IFERROR(__xludf.DUMMYFUNCTION("""COMPUTED_VALUE"""),598.9)</f>
        <v>598.9</v>
      </c>
      <c r="I355" s="32">
        <f>IFERROR(__xludf.DUMMYFUNCTION("""COMPUTED_VALUE"""),-1.236807)</f>
        <v>-1.236807</v>
      </c>
      <c r="J355" s="32">
        <f>IFERROR(__xludf.DUMMYFUNCTION("""COMPUTED_VALUE"""),451.2)</f>
        <v>451.2</v>
      </c>
      <c r="K355" s="32">
        <f>IFERROR(__xludf.DUMMYFUNCTION("""COMPUTED_VALUE"""),918.0)</f>
        <v>918</v>
      </c>
      <c r="L355" s="32">
        <f>IFERROR(__xludf.DUMMYFUNCTION("""COMPUTED_VALUE"""),227.65)</f>
        <v>227.65</v>
      </c>
      <c r="M355" s="32">
        <f>IFERROR(__xludf.DUMMYFUNCTION("""COMPUTED_VALUE"""),918.0)</f>
        <v>918</v>
      </c>
      <c r="N355" s="32">
        <f>IFERROR(__xludf.DUMMYFUNCTION("""COMPUTED_VALUE"""),130.505)</f>
        <v>130.505</v>
      </c>
      <c r="O355" s="32">
        <f>IFERROR(__xludf.DUMMYFUNCTION("""COMPUTED_VALUE"""),918.0)</f>
        <v>918</v>
      </c>
      <c r="P355" s="32">
        <f>IFERROR(__xludf.DUMMYFUNCTION("""COMPUTED_VALUE"""),16.0)</f>
        <v>16</v>
      </c>
      <c r="Q355" s="32">
        <f>IFERROR(__xludf.DUMMYFUNCTION("""COMPUTED_VALUE"""),918.0)</f>
        <v>918</v>
      </c>
      <c r="R355" s="32">
        <f>IFERROR(__xludf.DUMMYFUNCTION("""COMPUTED_VALUE"""),39508.23135)</f>
        <v>39508.23135</v>
      </c>
      <c r="S355" s="32">
        <f>IFERROR(__xludf.DUMMYFUNCTION("""COMPUTED_VALUE"""),39483.002332)</f>
        <v>39483.00233</v>
      </c>
      <c r="T355" s="32">
        <f>IFERROR(__xludf.DUMMYFUNCTION("""COMPUTED_VALUE"""),1.336717)</f>
        <v>1.336717</v>
      </c>
      <c r="U355" s="32">
        <f>IFERROR(__xludf.DUMMYFUNCTION("""COMPUTED_VALUE"""),5.199368)</f>
        <v>5.199368</v>
      </c>
      <c r="V355" s="32">
        <f>IFERROR(__xludf.DUMMYFUNCTION("""COMPUTED_VALUE"""),10.213471)</f>
        <v>10.213471</v>
      </c>
      <c r="W355" s="32">
        <f>IFERROR(__xludf.DUMMYFUNCTION("""COMPUTED_VALUE"""),-27.196032)</f>
        <v>-27.196032</v>
      </c>
      <c r="X355" s="32">
        <f>IFERROR(__xludf.DUMMYFUNCTION("""COMPUTED_VALUE"""),35.728436)</f>
        <v>35.728436</v>
      </c>
      <c r="Y355" s="32">
        <f>IFERROR(__xludf.DUMMYFUNCTION("""COMPUTED_VALUE"""),34.122407)</f>
        <v>34.122407</v>
      </c>
      <c r="Z355" s="32">
        <f>IFERROR(__xludf.DUMMYFUNCTION("""COMPUTED_VALUE"""),17.153566)</f>
        <v>17.153566</v>
      </c>
      <c r="AA355" s="32">
        <f>IFERROR(__xludf.DUMMYFUNCTION("""COMPUTED_VALUE"""),85.2156)</f>
        <v>85.2156</v>
      </c>
      <c r="AB355" s="32">
        <f>IFERROR(__xludf.DUMMYFUNCTION("""COMPUTED_VALUE"""),85.10735)</f>
        <v>85.10735</v>
      </c>
      <c r="AC355" s="32">
        <f>IFERROR(__xludf.DUMMYFUNCTION("""COMPUTED_VALUE"""),19.185)</f>
        <v>19.185</v>
      </c>
      <c r="AD355" s="32">
        <f>IFERROR(__xludf.DUMMYFUNCTION("""COMPUTED_VALUE"""),18.5446)</f>
        <v>18.5446</v>
      </c>
      <c r="AE355" s="32">
        <f>IFERROR(__xludf.DUMMYFUNCTION("""COMPUTED_VALUE"""),2.256901)</f>
        <v>2.256901</v>
      </c>
      <c r="AF355" s="32">
        <f>IFERROR(__xludf.DUMMYFUNCTION("""COMPUTED_VALUE"""),1.728737)</f>
        <v>1.728737</v>
      </c>
      <c r="AG355" s="32">
        <f>IFERROR(__xludf.DUMMYFUNCTION("""COMPUTED_VALUE"""),0.0401)</f>
        <v>0.0401</v>
      </c>
      <c r="AH355" s="32">
        <f>IFERROR(__xludf.DUMMYFUNCTION("""COMPUTED_VALUE"""),31.726991)</f>
        <v>31.726991</v>
      </c>
      <c r="AI355" s="32">
        <f>IFERROR(__xludf.DUMMYFUNCTION("""COMPUTED_VALUE"""),8.303483384198211)</f>
        <v>8.303483384</v>
      </c>
      <c r="AJ355" s="32">
        <f>IFERROR(__xludf.DUMMYFUNCTION("""COMPUTED_VALUE"""),42.48118808783193)</f>
        <v>42.48118809</v>
      </c>
      <c r="AK355" s="32">
        <f>IFERROR(__xludf.DUMMYFUNCTION("""COMPUTED_VALUE"""),7.0263)</f>
        <v>7.0263</v>
      </c>
      <c r="AL355" s="32">
        <f>IFERROR(__xludf.DUMMYFUNCTION("""COMPUTED_VALUE"""),31.2093)</f>
        <v>31.2093</v>
      </c>
      <c r="AM355" s="32">
        <f>IFERROR(__xludf.DUMMYFUNCTION("""COMPUTED_VALUE"""),70.472391)</f>
        <v>70.472391</v>
      </c>
      <c r="AN355" s="32">
        <f>IFERROR(__xludf.DUMMYFUNCTION("""COMPUTED_VALUE"""),24.410036)</f>
        <v>24.410036</v>
      </c>
      <c r="AO355" s="32">
        <f>IFERROR(__xludf.DUMMYFUNCTION("""COMPUTED_VALUE"""),1.2)</f>
        <v>1.2</v>
      </c>
      <c r="AP355" s="32">
        <f>IFERROR(__xludf.DUMMYFUNCTION("""COMPUTED_VALUE"""),0.34760348583878)</f>
        <v>0.3476034858</v>
      </c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>
      <c r="A356" s="13" t="str">
        <f>IFERROR(__xludf.DUMMYFUNCTION("""COMPUTED_VALUE"""),"Elgi Equipments Ltd.")</f>
        <v>Elgi Equipments Ltd.</v>
      </c>
      <c r="B356" s="30">
        <f>IFERROR(__xludf.DUMMYFUNCTION("""COMPUTED_VALUE"""),522074.0)</f>
        <v>522074</v>
      </c>
      <c r="C356" s="13" t="str">
        <f>IFERROR(__xludf.DUMMYFUNCTION("""COMPUTED_VALUE"""),"ELGIEQUIP")</f>
        <v>ELGIEQUIP</v>
      </c>
      <c r="D356" s="13" t="str">
        <f>IFERROR(__xludf.DUMMYFUNCTION("""COMPUTED_VALUE"""),"INE285A01027")</f>
        <v>INE285A01027</v>
      </c>
      <c r="E356" s="13" t="str">
        <f>IFERROR(__xludf.DUMMYFUNCTION("""COMPUTED_VALUE"""),"Capital Goods")</f>
        <v>Capital Goods</v>
      </c>
      <c r="F356" s="13" t="str">
        <f>IFERROR(__xludf.DUMMYFUNCTION("""COMPUTED_VALUE"""),"Pumps &amp; Compressors")</f>
        <v>Pumps &amp; Compressors</v>
      </c>
      <c r="G356" s="31">
        <f>IFERROR(__xludf.DUMMYFUNCTION("""COMPUTED_VALUE"""),44809.0)</f>
        <v>44809</v>
      </c>
      <c r="H356" s="32">
        <f>IFERROR(__xludf.DUMMYFUNCTION("""COMPUTED_VALUE"""),538.45)</f>
        <v>538.45</v>
      </c>
      <c r="I356" s="32">
        <f>IFERROR(__xludf.DUMMYFUNCTION("""COMPUTED_VALUE"""),1.031992)</f>
        <v>1.031992</v>
      </c>
      <c r="J356" s="32">
        <f>IFERROR(__xludf.DUMMYFUNCTION("""COMPUTED_VALUE"""),195.1)</f>
        <v>195.1</v>
      </c>
      <c r="K356" s="32">
        <f>IFERROR(__xludf.DUMMYFUNCTION("""COMPUTED_VALUE"""),544.45)</f>
        <v>544.45</v>
      </c>
      <c r="L356" s="32">
        <f>IFERROR(__xludf.DUMMYFUNCTION("""COMPUTED_VALUE"""),50.6)</f>
        <v>50.6</v>
      </c>
      <c r="M356" s="32">
        <f>IFERROR(__xludf.DUMMYFUNCTION("""COMPUTED_VALUE"""),544.45)</f>
        <v>544.45</v>
      </c>
      <c r="N356" s="32">
        <f>IFERROR(__xludf.DUMMYFUNCTION("""COMPUTED_VALUE"""),50.6)</f>
        <v>50.6</v>
      </c>
      <c r="O356" s="32">
        <f>IFERROR(__xludf.DUMMYFUNCTION("""COMPUTED_VALUE"""),544.45)</f>
        <v>544.45</v>
      </c>
      <c r="P356" s="32">
        <f>IFERROR(__xludf.DUMMYFUNCTION("""COMPUTED_VALUE"""),2.0)</f>
        <v>2</v>
      </c>
      <c r="Q356" s="32">
        <f>IFERROR(__xludf.DUMMYFUNCTION("""COMPUTED_VALUE"""),544.45)</f>
        <v>544.45</v>
      </c>
      <c r="R356" s="32">
        <f>IFERROR(__xludf.DUMMYFUNCTION("""COMPUTED_VALUE"""),17063.96596652)</f>
        <v>17063.96597</v>
      </c>
      <c r="S356" s="32">
        <f>IFERROR(__xludf.DUMMYFUNCTION("""COMPUTED_VALUE"""),17044.95064296)</f>
        <v>17044.95064</v>
      </c>
      <c r="T356" s="32">
        <f>IFERROR(__xludf.DUMMYFUNCTION("""COMPUTED_VALUE"""),8.832744)</f>
        <v>8.832744</v>
      </c>
      <c r="U356" s="32">
        <f>IFERROR(__xludf.DUMMYFUNCTION("""COMPUTED_VALUE"""),27.594787)</f>
        <v>27.594787</v>
      </c>
      <c r="V356" s="32">
        <f>IFERROR(__xludf.DUMMYFUNCTION("""COMPUTED_VALUE"""),45.546695)</f>
        <v>45.546695</v>
      </c>
      <c r="W356" s="32">
        <f>IFERROR(__xludf.DUMMYFUNCTION("""COMPUTED_VALUE"""),170.102834)</f>
        <v>170.102834</v>
      </c>
      <c r="X356" s="32">
        <f>IFERROR(__xludf.DUMMYFUNCTION("""COMPUTED_VALUE"""),63.76395)</f>
        <v>63.76395</v>
      </c>
      <c r="Y356" s="32">
        <f>IFERROR(__xludf.DUMMYFUNCTION("""COMPUTED_VALUE"""),36.267457)</f>
        <v>36.267457</v>
      </c>
      <c r="Z356" s="32">
        <f>IFERROR(__xludf.DUMMYFUNCTION("""COMPUTED_VALUE"""),29.969474)</f>
        <v>29.969474</v>
      </c>
      <c r="AA356" s="32">
        <f>IFERROR(__xludf.DUMMYFUNCTION("""COMPUTED_VALUE"""),79.5311)</f>
        <v>79.5311</v>
      </c>
      <c r="AB356" s="32">
        <f>IFERROR(__xludf.DUMMYFUNCTION("""COMPUTED_VALUE"""),51.15775)</f>
        <v>51.15775</v>
      </c>
      <c r="AC356" s="32">
        <f>IFERROR(__xludf.DUMMYFUNCTION("""COMPUTED_VALUE"""),15.8738)</f>
        <v>15.8738</v>
      </c>
      <c r="AD356" s="32">
        <f>IFERROR(__xludf.DUMMYFUNCTION("""COMPUTED_VALUE"""),6.2675)</f>
        <v>6.2675</v>
      </c>
      <c r="AE356" s="32">
        <f>IFERROR(__xludf.DUMMYFUNCTION("""COMPUTED_VALUE"""),2.167911)</f>
        <v>2.167911</v>
      </c>
      <c r="AF356" s="32">
        <f>IFERROR(__xludf.DUMMYFUNCTION("""COMPUTED_VALUE"""),2.919437)</f>
        <v>2.919437</v>
      </c>
      <c r="AG356" s="32">
        <f>IFERROR(__xludf.DUMMYFUNCTION("""COMPUTED_VALUE"""),0.213)</f>
        <v>0.213</v>
      </c>
      <c r="AH356" s="32">
        <f>IFERROR(__xludf.DUMMYFUNCTION("""COMPUTED_VALUE"""),43.350087)</f>
        <v>43.350087</v>
      </c>
      <c r="AI356" s="32">
        <f>IFERROR(__xludf.DUMMYFUNCTION("""COMPUTED_VALUE"""),6.252692216078875)</f>
        <v>6.252692216</v>
      </c>
      <c r="AJ356" s="32">
        <f>IFERROR(__xludf.DUMMYFUNCTION("""COMPUTED_VALUE"""),248.88372519063037)</f>
        <v>248.8837252</v>
      </c>
      <c r="AK356" s="32">
        <f>IFERROR(__xludf.DUMMYFUNCTION("""COMPUTED_VALUE"""),6.7873)</f>
        <v>6.7873</v>
      </c>
      <c r="AL356" s="32">
        <f>IFERROR(__xludf.DUMMYFUNCTION("""COMPUTED_VALUE"""),34.0058)</f>
        <v>34.0058</v>
      </c>
      <c r="AM356" s="32">
        <f>IFERROR(__xludf.DUMMYFUNCTION("""COMPUTED_VALUE"""),2.163453)</f>
        <v>2.163453</v>
      </c>
      <c r="AN356" s="32">
        <f>IFERROR(__xludf.DUMMYFUNCTION("""COMPUTED_VALUE"""),1.170553)</f>
        <v>1.170553</v>
      </c>
      <c r="AO356" s="32">
        <f>IFERROR(__xludf.DUMMYFUNCTION("""COMPUTED_VALUE"""),1.15)</f>
        <v>1.15</v>
      </c>
      <c r="AP356" s="32">
        <f>IFERROR(__xludf.DUMMYFUNCTION("""COMPUTED_VALUE"""),0.011020295711268252)</f>
        <v>0.01102029571</v>
      </c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>
      <c r="A357" s="13" t="str">
        <f>IFERROR(__xludf.DUMMYFUNCTION("""COMPUTED_VALUE"""),"Kotak Mahindra Bank Ltd.")</f>
        <v>Kotak Mahindra Bank Ltd.</v>
      </c>
      <c r="B357" s="30">
        <f>IFERROR(__xludf.DUMMYFUNCTION("""COMPUTED_VALUE"""),500247.0)</f>
        <v>500247</v>
      </c>
      <c r="C357" s="13" t="str">
        <f>IFERROR(__xludf.DUMMYFUNCTION("""COMPUTED_VALUE"""),"KOTAKBANK")</f>
        <v>KOTAKBANK</v>
      </c>
      <c r="D357" s="13" t="str">
        <f>IFERROR(__xludf.DUMMYFUNCTION("""COMPUTED_VALUE"""),"INE237A01028")</f>
        <v>INE237A01028</v>
      </c>
      <c r="E357" s="13" t="str">
        <f>IFERROR(__xludf.DUMMYFUNCTION("""COMPUTED_VALUE"""),"Financial")</f>
        <v>Financial</v>
      </c>
      <c r="F357" s="13" t="str">
        <f>IFERROR(__xludf.DUMMYFUNCTION("""COMPUTED_VALUE"""),"Banking")</f>
        <v>Banking</v>
      </c>
      <c r="G357" s="31">
        <f>IFERROR(__xludf.DUMMYFUNCTION("""COMPUTED_VALUE"""),44809.0)</f>
        <v>44809</v>
      </c>
      <c r="H357" s="32">
        <f>IFERROR(__xludf.DUMMYFUNCTION("""COMPUTED_VALUE"""),1937.9)</f>
        <v>1937.9</v>
      </c>
      <c r="I357" s="32">
        <f>IFERROR(__xludf.DUMMYFUNCTION("""COMPUTED_VALUE"""),0.992782)</f>
        <v>0.992782</v>
      </c>
      <c r="J357" s="32">
        <f>IFERROR(__xludf.DUMMYFUNCTION("""COMPUTED_VALUE"""),1631.0)</f>
        <v>1631</v>
      </c>
      <c r="K357" s="32">
        <f>IFERROR(__xludf.DUMMYFUNCTION("""COMPUTED_VALUE"""),2253.0)</f>
        <v>2253</v>
      </c>
      <c r="L357" s="32">
        <f>IFERROR(__xludf.DUMMYFUNCTION("""COMPUTED_VALUE"""),1000.35)</f>
        <v>1000.35</v>
      </c>
      <c r="M357" s="32">
        <f>IFERROR(__xludf.DUMMYFUNCTION("""COMPUTED_VALUE"""),2253.0)</f>
        <v>2253</v>
      </c>
      <c r="N357" s="32">
        <f>IFERROR(__xludf.DUMMYFUNCTION("""COMPUTED_VALUE"""),968.0)</f>
        <v>968</v>
      </c>
      <c r="O357" s="32">
        <f>IFERROR(__xludf.DUMMYFUNCTION("""COMPUTED_VALUE"""),2253.0)</f>
        <v>2253</v>
      </c>
      <c r="P357" s="32">
        <f>IFERROR(__xludf.DUMMYFUNCTION("""COMPUTED_VALUE"""),1.3)</f>
        <v>1.3</v>
      </c>
      <c r="Q357" s="32">
        <f>IFERROR(__xludf.DUMMYFUNCTION("""COMPUTED_VALUE"""),2253.0)</f>
        <v>2253</v>
      </c>
      <c r="R357" s="32">
        <f>IFERROR(__xludf.DUMMYFUNCTION("""COMPUTED_VALUE"""),384797.3538868)</f>
        <v>384797.3539</v>
      </c>
      <c r="S357" s="32">
        <f>IFERROR(__xludf.DUMMYFUNCTION("""COMPUTED_VALUE"""),383378.350179)</f>
        <v>383378.3502</v>
      </c>
      <c r="T357" s="32">
        <f>IFERROR(__xludf.DUMMYFUNCTION("""COMPUTED_VALUE"""),1.884808)</f>
        <v>1.884808</v>
      </c>
      <c r="U357" s="32">
        <f>IFERROR(__xludf.DUMMYFUNCTION("""COMPUTED_VALUE"""),5.575985)</f>
        <v>5.575985</v>
      </c>
      <c r="V357" s="32">
        <f>IFERROR(__xludf.DUMMYFUNCTION("""COMPUTED_VALUE"""),4.263847)</f>
        <v>4.263847</v>
      </c>
      <c r="W357" s="32">
        <f>IFERROR(__xludf.DUMMYFUNCTION("""COMPUTED_VALUE"""),8.150794)</f>
        <v>8.150794</v>
      </c>
      <c r="X357" s="32">
        <f>IFERROR(__xludf.DUMMYFUNCTION("""COMPUTED_VALUE"""),10.753707)</f>
        <v>10.753707</v>
      </c>
      <c r="Y357" s="32">
        <f>IFERROR(__xludf.DUMMYFUNCTION("""COMPUTED_VALUE"""),14.654108)</f>
        <v>14.654108</v>
      </c>
      <c r="Z357" s="32">
        <f>IFERROR(__xludf.DUMMYFUNCTION("""COMPUTED_VALUE"""),21.068746)</f>
        <v>21.068746</v>
      </c>
      <c r="AA357" s="32">
        <f>IFERROR(__xludf.DUMMYFUNCTION("""COMPUTED_VALUE"""),29.4564)</f>
        <v>29.4564</v>
      </c>
      <c r="AB357" s="32">
        <f>IFERROR(__xludf.DUMMYFUNCTION("""COMPUTED_VALUE"""),35.64525)</f>
        <v>35.64525</v>
      </c>
      <c r="AC357" s="32">
        <f>IFERROR(__xludf.DUMMYFUNCTION("""COMPUTED_VALUE"""),3.866)</f>
        <v>3.866</v>
      </c>
      <c r="AD357" s="32">
        <f>IFERROR(__xludf.DUMMYFUNCTION("""COMPUTED_VALUE"""),4.30935)</f>
        <v>4.30935</v>
      </c>
      <c r="AE357" s="32">
        <f>IFERROR(__xludf.DUMMYFUNCTION("""COMPUTED_VALUE"""),8.99177)</f>
        <v>8.99177</v>
      </c>
      <c r="AF357" s="32">
        <f>IFERROR(__xludf.DUMMYFUNCTION("""COMPUTED_VALUE"""),1.911514)</f>
        <v>1.911514</v>
      </c>
      <c r="AG357" s="32">
        <f>IFERROR(__xludf.DUMMYFUNCTION("""COMPUTED_VALUE"""),0.0568)</f>
        <v>0.0568</v>
      </c>
      <c r="AH357" s="32">
        <f>IFERROR(__xludf.DUMMYFUNCTION("""COMPUTED_VALUE"""),22.502189)</f>
        <v>22.502189</v>
      </c>
      <c r="AI357" s="32">
        <f>IFERROR(__xludf.DUMMYFUNCTION("""COMPUTED_VALUE"""),11.040137081309677)</f>
        <v>11.04013708</v>
      </c>
      <c r="AJ357" s="32">
        <f>IFERROR(__xludf.DUMMYFUNCTION("""COMPUTED_VALUE"""),45.71129194361212)</f>
        <v>45.71129194</v>
      </c>
      <c r="AK357" s="32">
        <f>IFERROR(__xludf.DUMMYFUNCTION("""COMPUTED_VALUE"""),65.6649)</f>
        <v>65.6649</v>
      </c>
      <c r="AL357" s="32">
        <f>IFERROR(__xludf.DUMMYFUNCTION("""COMPUTED_VALUE"""),500.3267)</f>
        <v>500.3267</v>
      </c>
      <c r="AM357" s="32">
        <f>IFERROR(__xludf.DUMMYFUNCTION("""COMPUTED_VALUE"""),42.211189)</f>
        <v>42.211189</v>
      </c>
      <c r="AN357" s="32">
        <f>IFERROR(__xludf.DUMMYFUNCTION("""COMPUTED_VALUE"""),38.894258)</f>
        <v>38.894258</v>
      </c>
      <c r="AO357" s="32">
        <f>IFERROR(__xludf.DUMMYFUNCTION("""COMPUTED_VALUE"""),1.1)</f>
        <v>1.1</v>
      </c>
      <c r="AP357" s="32">
        <f>IFERROR(__xludf.DUMMYFUNCTION("""COMPUTED_VALUE"""),0.13985796715490453)</f>
        <v>0.1398579672</v>
      </c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>
      <c r="A358" s="13" t="str">
        <f>IFERROR(__xludf.DUMMYFUNCTION("""COMPUTED_VALUE"""),"Shilpa Medicare Ltd.")</f>
        <v>Shilpa Medicare Ltd.</v>
      </c>
      <c r="B358" s="30">
        <f>IFERROR(__xludf.DUMMYFUNCTION("""COMPUTED_VALUE"""),530549.0)</f>
        <v>530549</v>
      </c>
      <c r="C358" s="13" t="str">
        <f>IFERROR(__xludf.DUMMYFUNCTION("""COMPUTED_VALUE"""),"SHILPAMED")</f>
        <v>SHILPAMED</v>
      </c>
      <c r="D358" s="13" t="str">
        <f>IFERROR(__xludf.DUMMYFUNCTION("""COMPUTED_VALUE"""),"INE790G01031")</f>
        <v>INE790G01031</v>
      </c>
      <c r="E358" s="13" t="str">
        <f>IFERROR(__xludf.DUMMYFUNCTION("""COMPUTED_VALUE"""),"Healthcare")</f>
        <v>Healthcare</v>
      </c>
      <c r="F358" s="13" t="str">
        <f>IFERROR(__xludf.DUMMYFUNCTION("""COMPUTED_VALUE"""),"Drugs &amp; Pharma")</f>
        <v>Drugs &amp; Pharma</v>
      </c>
      <c r="G358" s="31">
        <f>IFERROR(__xludf.DUMMYFUNCTION("""COMPUTED_VALUE"""),44809.0)</f>
        <v>44809</v>
      </c>
      <c r="H358" s="32">
        <f>IFERROR(__xludf.DUMMYFUNCTION("""COMPUTED_VALUE"""),381.95)</f>
        <v>381.95</v>
      </c>
      <c r="I358" s="32">
        <f>IFERROR(__xludf.DUMMYFUNCTION("""COMPUTED_VALUE"""),0.157336)</f>
        <v>0.157336</v>
      </c>
      <c r="J358" s="32">
        <f>IFERROR(__xludf.DUMMYFUNCTION("""COMPUTED_VALUE"""),367.6)</f>
        <v>367.6</v>
      </c>
      <c r="K358" s="32">
        <f>IFERROR(__xludf.DUMMYFUNCTION("""COMPUTED_VALUE"""),658.0)</f>
        <v>658</v>
      </c>
      <c r="L358" s="32">
        <f>IFERROR(__xludf.DUMMYFUNCTION("""COMPUTED_VALUE"""),225.15)</f>
        <v>225.15</v>
      </c>
      <c r="M358" s="32">
        <f>IFERROR(__xludf.DUMMYFUNCTION("""COMPUTED_VALUE"""),695.0)</f>
        <v>695</v>
      </c>
      <c r="N358" s="32">
        <f>IFERROR(__xludf.DUMMYFUNCTION("""COMPUTED_VALUE"""),190.8)</f>
        <v>190.8</v>
      </c>
      <c r="O358" s="32">
        <f>IFERROR(__xludf.DUMMYFUNCTION("""COMPUTED_VALUE"""),704.8)</f>
        <v>704.8</v>
      </c>
      <c r="P358" s="32">
        <f>IFERROR(__xludf.DUMMYFUNCTION("""COMPUTED_VALUE"""),0.39)</f>
        <v>0.39</v>
      </c>
      <c r="Q358" s="32">
        <f>IFERROR(__xludf.DUMMYFUNCTION("""COMPUTED_VALUE"""),786.9)</f>
        <v>786.9</v>
      </c>
      <c r="R358" s="32">
        <f>IFERROR(__xludf.DUMMYFUNCTION("""COMPUTED_VALUE"""),3327.55075983)</f>
        <v>3327.55076</v>
      </c>
      <c r="S358" s="32">
        <f>IFERROR(__xludf.DUMMYFUNCTION("""COMPUTED_VALUE"""),4030.73997074)</f>
        <v>4030.739971</v>
      </c>
      <c r="T358" s="32">
        <f>IFERROR(__xludf.DUMMYFUNCTION("""COMPUTED_VALUE"""),-0.026175)</f>
        <v>-0.026175</v>
      </c>
      <c r="U358" s="32">
        <f>IFERROR(__xludf.DUMMYFUNCTION("""COMPUTED_VALUE"""),-8.744475)</f>
        <v>-8.744475</v>
      </c>
      <c r="V358" s="32">
        <f>IFERROR(__xludf.DUMMYFUNCTION("""COMPUTED_VALUE"""),-11.060659)</f>
        <v>-11.060659</v>
      </c>
      <c r="W358" s="32">
        <f>IFERROR(__xludf.DUMMYFUNCTION("""COMPUTED_VALUE"""),-35.147296)</f>
        <v>-35.147296</v>
      </c>
      <c r="X358" s="32">
        <f>IFERROR(__xludf.DUMMYFUNCTION("""COMPUTED_VALUE"""),18.317523)</f>
        <v>18.317523</v>
      </c>
      <c r="Y358" s="32">
        <f>IFERROR(__xludf.DUMMYFUNCTION("""COMPUTED_VALUE"""),-8.488428)</f>
        <v>-8.488428</v>
      </c>
      <c r="Z358" s="32">
        <f>IFERROR(__xludf.DUMMYFUNCTION("""COMPUTED_VALUE"""),15.173445)</f>
        <v>15.173445</v>
      </c>
      <c r="AA358" s="32">
        <f>IFERROR(__xludf.DUMMYFUNCTION("""COMPUTED_VALUE"""),55.5304)</f>
        <v>55.5304</v>
      </c>
      <c r="AB358" s="32">
        <f>IFERROR(__xludf.DUMMYFUNCTION("""COMPUTED_VALUE"""),26.80685)</f>
        <v>26.80685</v>
      </c>
      <c r="AC358" s="32">
        <f>IFERROR(__xludf.DUMMYFUNCTION("""COMPUTED_VALUE"""),1.823)</f>
        <v>1.823</v>
      </c>
      <c r="AD358" s="32">
        <f>IFERROR(__xludf.DUMMYFUNCTION("""COMPUTED_VALUE"""),2.63645)</f>
        <v>2.63645</v>
      </c>
      <c r="AE358" s="32">
        <f>IFERROR(__xludf.DUMMYFUNCTION("""COMPUTED_VALUE"""),3.672193)</f>
        <v>3.672193</v>
      </c>
      <c r="AF358" s="32">
        <f>IFERROR(__xludf.DUMMYFUNCTION("""COMPUTED_VALUE"""),-5.485447)</f>
        <v>-5.485447</v>
      </c>
      <c r="AG358" s="32">
        <f>IFERROR(__xludf.DUMMYFUNCTION("""COMPUTED_VALUE"""),0.2878)</f>
        <v>0.2878</v>
      </c>
      <c r="AH358" s="32">
        <f>IFERROR(__xludf.DUMMYFUNCTION("""COMPUTED_VALUE"""),18.932461)</f>
        <v>18.932461</v>
      </c>
      <c r="AI358" s="32">
        <f>IFERROR(__xludf.DUMMYFUNCTION("""COMPUTED_VALUE"""),2.8457095306767513)</f>
        <v>2.845709531</v>
      </c>
      <c r="AJ358" s="32">
        <f>IFERROR(__xludf.DUMMYFUNCTION("""COMPUTED_VALUE"""),70.69186168676389)</f>
        <v>70.69186169</v>
      </c>
      <c r="AK358" s="32">
        <f>IFERROR(__xludf.DUMMYFUNCTION("""COMPUTED_VALUE"""),6.9034)</f>
        <v>6.9034</v>
      </c>
      <c r="AL358" s="32">
        <f>IFERROR(__xludf.DUMMYFUNCTION("""COMPUTED_VALUE"""),210.2801)</f>
        <v>210.2801</v>
      </c>
      <c r="AM358" s="32">
        <f>IFERROR(__xludf.DUMMYFUNCTION("""COMPUTED_VALUE"""),5.773695)</f>
        <v>5.773695</v>
      </c>
      <c r="AN358" s="32">
        <f>IFERROR(__xludf.DUMMYFUNCTION("""COMPUTED_VALUE"""),-31.721049)</f>
        <v>-31.721049</v>
      </c>
      <c r="AO358" s="32">
        <f>IFERROR(__xludf.DUMMYFUNCTION("""COMPUTED_VALUE"""),1.1)</f>
        <v>1.1</v>
      </c>
      <c r="AP358" s="32">
        <f>IFERROR(__xludf.DUMMYFUNCTION("""COMPUTED_VALUE"""),0.4195288753799392)</f>
        <v>0.4195288754</v>
      </c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>
      <c r="A359" s="13" t="str">
        <f>IFERROR(__xludf.DUMMYFUNCTION("""COMPUTED_VALUE"""),"Aarti Drugs Ltd.")</f>
        <v>Aarti Drugs Ltd.</v>
      </c>
      <c r="B359" s="30">
        <f>IFERROR(__xludf.DUMMYFUNCTION("""COMPUTED_VALUE"""),524348.0)</f>
        <v>524348</v>
      </c>
      <c r="C359" s="13" t="str">
        <f>IFERROR(__xludf.DUMMYFUNCTION("""COMPUTED_VALUE"""),"AARTIDRUGS")</f>
        <v>AARTIDRUGS</v>
      </c>
      <c r="D359" s="13" t="str">
        <f>IFERROR(__xludf.DUMMYFUNCTION("""COMPUTED_VALUE"""),"INE767A01016")</f>
        <v>INE767A01016</v>
      </c>
      <c r="E359" s="13" t="str">
        <f>IFERROR(__xludf.DUMMYFUNCTION("""COMPUTED_VALUE"""),"Healthcare")</f>
        <v>Healthcare</v>
      </c>
      <c r="F359" s="13" t="str">
        <f>IFERROR(__xludf.DUMMYFUNCTION("""COMPUTED_VALUE"""),"Drugs &amp; Pharma")</f>
        <v>Drugs &amp; Pharma</v>
      </c>
      <c r="G359" s="31">
        <f>IFERROR(__xludf.DUMMYFUNCTION("""COMPUTED_VALUE"""),44809.0)</f>
        <v>44809</v>
      </c>
      <c r="H359" s="32">
        <f>IFERROR(__xludf.DUMMYFUNCTION("""COMPUTED_VALUE"""),433.65)</f>
        <v>433.65</v>
      </c>
      <c r="I359" s="32">
        <f>IFERROR(__xludf.DUMMYFUNCTION("""COMPUTED_VALUE"""),-0.481928)</f>
        <v>-0.481928</v>
      </c>
      <c r="J359" s="32">
        <f>IFERROR(__xludf.DUMMYFUNCTION("""COMPUTED_VALUE"""),378.0)</f>
        <v>378</v>
      </c>
      <c r="K359" s="32">
        <f>IFERROR(__xludf.DUMMYFUNCTION("""COMPUTED_VALUE"""),648.3)</f>
        <v>648.3</v>
      </c>
      <c r="L359" s="32">
        <f>IFERROR(__xludf.DUMMYFUNCTION("""COMPUTED_VALUE"""),105.25)</f>
        <v>105.25</v>
      </c>
      <c r="M359" s="32">
        <f>IFERROR(__xludf.DUMMYFUNCTION("""COMPUTED_VALUE"""),1026.95)</f>
        <v>1026.95</v>
      </c>
      <c r="N359" s="32">
        <f>IFERROR(__xludf.DUMMYFUNCTION("""COMPUTED_VALUE"""),104.825)</f>
        <v>104.825</v>
      </c>
      <c r="O359" s="32">
        <f>IFERROR(__xludf.DUMMYFUNCTION("""COMPUTED_VALUE"""),1026.95)</f>
        <v>1026.95</v>
      </c>
      <c r="P359" s="32">
        <f>IFERROR(__xludf.DUMMYFUNCTION("""COMPUTED_VALUE"""),1.61875)</f>
        <v>1.61875</v>
      </c>
      <c r="Q359" s="32">
        <f>IFERROR(__xludf.DUMMYFUNCTION("""COMPUTED_VALUE"""),1026.95)</f>
        <v>1026.95</v>
      </c>
      <c r="R359" s="32">
        <f>IFERROR(__xludf.DUMMYFUNCTION("""COMPUTED_VALUE"""),4015.599)</f>
        <v>4015.599</v>
      </c>
      <c r="S359" s="32">
        <f>IFERROR(__xludf.DUMMYFUNCTION("""COMPUTED_VALUE"""),4549.6651)</f>
        <v>4549.6651</v>
      </c>
      <c r="T359" s="32">
        <f>IFERROR(__xludf.DUMMYFUNCTION("""COMPUTED_VALUE"""),-1.004452)</f>
        <v>-1.004452</v>
      </c>
      <c r="U359" s="32">
        <f>IFERROR(__xludf.DUMMYFUNCTION("""COMPUTED_VALUE"""),0.138552)</f>
        <v>0.138552</v>
      </c>
      <c r="V359" s="32">
        <f>IFERROR(__xludf.DUMMYFUNCTION("""COMPUTED_VALUE"""),0.919246)</f>
        <v>0.919246</v>
      </c>
      <c r="W359" s="32">
        <f>IFERROR(__xludf.DUMMYFUNCTION("""COMPUTED_VALUE"""),-30.197183)</f>
        <v>-30.197183</v>
      </c>
      <c r="X359" s="32">
        <f>IFERROR(__xludf.DUMMYFUNCTION("""COMPUTED_VALUE"""),56.034684)</f>
        <v>56.034684</v>
      </c>
      <c r="Y359" s="32">
        <f>IFERROR(__xludf.DUMMYFUNCTION("""COMPUTED_VALUE"""),27.239659)</f>
        <v>27.239659</v>
      </c>
      <c r="Z359" s="32">
        <f>IFERROR(__xludf.DUMMYFUNCTION("""COMPUTED_VALUE"""),36.668202)</f>
        <v>36.668202</v>
      </c>
      <c r="AA359" s="32">
        <f>IFERROR(__xludf.DUMMYFUNCTION("""COMPUTED_VALUE"""),21.0735)</f>
        <v>21.0735</v>
      </c>
      <c r="AB359" s="32">
        <f>IFERROR(__xludf.DUMMYFUNCTION("""COMPUTED_VALUE"""),18.21475)</f>
        <v>18.21475</v>
      </c>
      <c r="AC359" s="32">
        <f>IFERROR(__xludf.DUMMYFUNCTION("""COMPUTED_VALUE"""),3.758)</f>
        <v>3.758</v>
      </c>
      <c r="AD359" s="32">
        <f>IFERROR(__xludf.DUMMYFUNCTION("""COMPUTED_VALUE"""),3.39585)</f>
        <v>3.39585</v>
      </c>
      <c r="AE359" s="32">
        <f>IFERROR(__xludf.DUMMYFUNCTION("""COMPUTED_VALUE"""),6.325128)</f>
        <v>6.325128</v>
      </c>
      <c r="AF359" s="32">
        <f>IFERROR(__xludf.DUMMYFUNCTION("""COMPUTED_VALUE"""),0.997965)</f>
        <v>0.997965</v>
      </c>
      <c r="AG359" s="32">
        <f>IFERROR(__xludf.DUMMYFUNCTION("""COMPUTED_VALUE"""),0.231)</f>
        <v>0.231</v>
      </c>
      <c r="AH359" s="32">
        <f>IFERROR(__xludf.DUMMYFUNCTION("""COMPUTED_VALUE"""),13.92016)</f>
        <v>13.92016</v>
      </c>
      <c r="AI359" s="32">
        <f>IFERROR(__xludf.DUMMYFUNCTION("""COMPUTED_VALUE"""),1.5867856084405192)</f>
        <v>1.586785608</v>
      </c>
      <c r="AJ359" s="32">
        <f>IFERROR(__xludf.DUMMYFUNCTION("""COMPUTED_VALUE"""),57.66580934779144)</f>
        <v>57.66580935</v>
      </c>
      <c r="AK359" s="32">
        <f>IFERROR(__xludf.DUMMYFUNCTION("""COMPUTED_VALUE"""),20.6278)</f>
        <v>20.6278</v>
      </c>
      <c r="AL359" s="32">
        <f>IFERROR(__xludf.DUMMYFUNCTION("""COMPUTED_VALUE"""),115.674)</f>
        <v>115.674</v>
      </c>
      <c r="AM359" s="32">
        <f>IFERROR(__xludf.DUMMYFUNCTION("""COMPUTED_VALUE"""),7.520054)</f>
        <v>7.520054</v>
      </c>
      <c r="AN359" s="32">
        <f>IFERROR(__xludf.DUMMYFUNCTION("""COMPUTED_VALUE"""),-9.101717)</f>
        <v>-9.101717</v>
      </c>
      <c r="AO359" s="32">
        <f>IFERROR(__xludf.DUMMYFUNCTION("""COMPUTED_VALUE"""),1.0)</f>
        <v>1</v>
      </c>
      <c r="AP359" s="32">
        <f>IFERROR(__xludf.DUMMYFUNCTION("""COMPUTED_VALUE"""),0.33109671448403516)</f>
        <v>0.3310967145</v>
      </c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>
      <c r="A360" s="13" t="str">
        <f>IFERROR(__xludf.DUMMYFUNCTION("""COMPUTED_VALUE"""),"Adani Enterprises Ltd.")</f>
        <v>Adani Enterprises Ltd.</v>
      </c>
      <c r="B360" s="30">
        <f>IFERROR(__xludf.DUMMYFUNCTION("""COMPUTED_VALUE"""),512599.0)</f>
        <v>512599</v>
      </c>
      <c r="C360" s="13" t="str">
        <f>IFERROR(__xludf.DUMMYFUNCTION("""COMPUTED_VALUE"""),"ADANIENT")</f>
        <v>ADANIENT</v>
      </c>
      <c r="D360" s="13" t="str">
        <f>IFERROR(__xludf.DUMMYFUNCTION("""COMPUTED_VALUE"""),"INE423A01024")</f>
        <v>INE423A01024</v>
      </c>
      <c r="E360" s="13" t="str">
        <f>IFERROR(__xludf.DUMMYFUNCTION("""COMPUTED_VALUE"""),"Services")</f>
        <v>Services</v>
      </c>
      <c r="F360" s="13" t="str">
        <f>IFERROR(__xludf.DUMMYFUNCTION("""COMPUTED_VALUE"""),"Trading")</f>
        <v>Trading</v>
      </c>
      <c r="G360" s="31">
        <f>IFERROR(__xludf.DUMMYFUNCTION("""COMPUTED_VALUE"""),44809.0)</f>
        <v>44809</v>
      </c>
      <c r="H360" s="32">
        <f>IFERROR(__xludf.DUMMYFUNCTION("""COMPUTED_VALUE"""),3346.55)</f>
        <v>3346.55</v>
      </c>
      <c r="I360" s="32">
        <f>IFERROR(__xludf.DUMMYFUNCTION("""COMPUTED_VALUE"""),-0.275642)</f>
        <v>-0.275642</v>
      </c>
      <c r="J360" s="32">
        <f>IFERROR(__xludf.DUMMYFUNCTION("""COMPUTED_VALUE"""),1367.7)</f>
        <v>1367.7</v>
      </c>
      <c r="K360" s="32">
        <f>IFERROR(__xludf.DUMMYFUNCTION("""COMPUTED_VALUE"""),3432.0)</f>
        <v>3432</v>
      </c>
      <c r="L360" s="32">
        <f>IFERROR(__xludf.DUMMYFUNCTION("""COMPUTED_VALUE"""),116.25)</f>
        <v>116.25</v>
      </c>
      <c r="M360" s="32">
        <f>IFERROR(__xludf.DUMMYFUNCTION("""COMPUTED_VALUE"""),3432.0)</f>
        <v>3432</v>
      </c>
      <c r="N360" s="32">
        <f>IFERROR(__xludf.DUMMYFUNCTION("""COMPUTED_VALUE"""),100.85)</f>
        <v>100.85</v>
      </c>
      <c r="O360" s="32">
        <f>IFERROR(__xludf.DUMMYFUNCTION("""COMPUTED_VALUE"""),3432.0)</f>
        <v>3432</v>
      </c>
      <c r="P360" s="32">
        <f>IFERROR(__xludf.DUMMYFUNCTION("""COMPUTED_VALUE"""),4.56786)</f>
        <v>4.56786</v>
      </c>
      <c r="Q360" s="32">
        <f>IFERROR(__xludf.DUMMYFUNCTION("""COMPUTED_VALUE"""),3432.0)</f>
        <v>3432</v>
      </c>
      <c r="R360" s="32">
        <f>IFERROR(__xludf.DUMMYFUNCTION("""COMPUTED_VALUE"""),381507.07514825504)</f>
        <v>381507.0751</v>
      </c>
      <c r="S360" s="32">
        <f>IFERROR(__xludf.DUMMYFUNCTION("""COMPUTED_VALUE"""),419221.83631409495)</f>
        <v>419221.8363</v>
      </c>
      <c r="T360" s="32">
        <f>IFERROR(__xludf.DUMMYFUNCTION("""COMPUTED_VALUE"""),6.593302)</f>
        <v>6.593302</v>
      </c>
      <c r="U360" s="32">
        <f>IFERROR(__xludf.DUMMYFUNCTION("""COMPUTED_VALUE"""),22.872301)</f>
        <v>22.872301</v>
      </c>
      <c r="V360" s="32">
        <f>IFERROR(__xludf.DUMMYFUNCTION("""COMPUTED_VALUE"""),52.810502)</f>
        <v>52.810502</v>
      </c>
      <c r="W360" s="32">
        <f>IFERROR(__xludf.DUMMYFUNCTION("""COMPUTED_VALUE"""),113.761937)</f>
        <v>113.761937</v>
      </c>
      <c r="X360" s="32">
        <f>IFERROR(__xludf.DUMMYFUNCTION("""COMPUTED_VALUE"""),191.613848)</f>
        <v>191.613848</v>
      </c>
      <c r="Y360" s="32">
        <f>IFERROR(__xludf.DUMMYFUNCTION("""COMPUTED_VALUE"""),91.248446)</f>
        <v>91.248446</v>
      </c>
      <c r="Z360" s="32">
        <f>IFERROR(__xludf.DUMMYFUNCTION("""COMPUTED_VALUE"""),35.691553)</f>
        <v>35.691553</v>
      </c>
      <c r="AA360" s="32">
        <f>IFERROR(__xludf.DUMMYFUNCTION("""COMPUTED_VALUE"""),391.5245)</f>
        <v>391.5245</v>
      </c>
      <c r="AB360" s="32">
        <f>IFERROR(__xludf.DUMMYFUNCTION("""COMPUTED_VALUE"""),27.22105)</f>
        <v>27.22105</v>
      </c>
      <c r="AC360" s="32">
        <f>IFERROR(__xludf.DUMMYFUNCTION("""COMPUTED_VALUE"""),12.565)</f>
        <v>12.565</v>
      </c>
      <c r="AD360" s="32">
        <f>IFERROR(__xludf.DUMMYFUNCTION("""COMPUTED_VALUE"""),1.50095)</f>
        <v>1.50095</v>
      </c>
      <c r="AE360" s="32">
        <f>IFERROR(__xludf.DUMMYFUNCTION("""COMPUTED_VALUE"""),1.264378)</f>
        <v>1.264378</v>
      </c>
      <c r="AF360" s="32">
        <f>IFERROR(__xludf.DUMMYFUNCTION("""COMPUTED_VALUE"""),149.854308)</f>
        <v>149.854308</v>
      </c>
      <c r="AG360" s="32">
        <f>IFERROR(__xludf.DUMMYFUNCTION("""COMPUTED_VALUE"""),0.0299)</f>
        <v>0.0299</v>
      </c>
      <c r="AH360" s="32">
        <f>IFERROR(__xludf.DUMMYFUNCTION("""COMPUTED_VALUE"""),73.009978)</f>
        <v>73.009978</v>
      </c>
      <c r="AI360" s="32">
        <f>IFERROR(__xludf.DUMMYFUNCTION("""COMPUTED_VALUE"""),3.9054562885510014)</f>
        <v>3.905456289</v>
      </c>
      <c r="AJ360" s="32">
        <f>IFERROR(__xludf.DUMMYFUNCTION("""COMPUTED_VALUE"""),275.40069527334185)</f>
        <v>275.4006953</v>
      </c>
      <c r="AK360" s="32">
        <f>IFERROR(__xludf.DUMMYFUNCTION("""COMPUTED_VALUE"""),8.5488)</f>
        <v>8.5488</v>
      </c>
      <c r="AL360" s="32">
        <f>IFERROR(__xludf.DUMMYFUNCTION("""COMPUTED_VALUE"""),266.379)</f>
        <v>266.379</v>
      </c>
      <c r="AM360" s="32">
        <f>IFERROR(__xludf.DUMMYFUNCTION("""COMPUTED_VALUE"""),12.595745)</f>
        <v>12.595745</v>
      </c>
      <c r="AN360" s="32">
        <f>IFERROR(__xludf.DUMMYFUNCTION("""COMPUTED_VALUE"""),-113.261502)</f>
        <v>-113.261502</v>
      </c>
      <c r="AO360" s="32">
        <f>IFERROR(__xludf.DUMMYFUNCTION("""COMPUTED_VALUE"""),1.0)</f>
        <v>1</v>
      </c>
      <c r="AP360" s="32">
        <f>IFERROR(__xludf.DUMMYFUNCTION("""COMPUTED_VALUE"""),0.024898018648018595)</f>
        <v>0.02489801865</v>
      </c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>
      <c r="A361" s="13" t="str">
        <f>IFERROR(__xludf.DUMMYFUNCTION("""COMPUTED_VALUE"""),"Advanced Enzyme Technologies Ltd.")</f>
        <v>Advanced Enzyme Technologies Ltd.</v>
      </c>
      <c r="B361" s="30">
        <f>IFERROR(__xludf.DUMMYFUNCTION("""COMPUTED_VALUE"""),540025.0)</f>
        <v>540025</v>
      </c>
      <c r="C361" s="13" t="str">
        <f>IFERROR(__xludf.DUMMYFUNCTION("""COMPUTED_VALUE"""),"ADVENZYMES")</f>
        <v>ADVENZYMES</v>
      </c>
      <c r="D361" s="13" t="str">
        <f>IFERROR(__xludf.DUMMYFUNCTION("""COMPUTED_VALUE"""),"INE837H01020")</f>
        <v>INE837H01020</v>
      </c>
      <c r="E361" s="13" t="str">
        <f>IFERROR(__xludf.DUMMYFUNCTION("""COMPUTED_VALUE"""),"Chemicals")</f>
        <v>Chemicals</v>
      </c>
      <c r="F361" s="13" t="str">
        <f>IFERROR(__xludf.DUMMYFUNCTION("""COMPUTED_VALUE"""),"Organic Chemicals")</f>
        <v>Organic Chemicals</v>
      </c>
      <c r="G361" s="31">
        <f>IFERROR(__xludf.DUMMYFUNCTION("""COMPUTED_VALUE"""),44809.0)</f>
        <v>44809</v>
      </c>
      <c r="H361" s="32">
        <f>IFERROR(__xludf.DUMMYFUNCTION("""COMPUTED_VALUE"""),268.9)</f>
        <v>268.9</v>
      </c>
      <c r="I361" s="32">
        <f>IFERROR(__xludf.DUMMYFUNCTION("""COMPUTED_VALUE"""),0.093058)</f>
        <v>0.093058</v>
      </c>
      <c r="J361" s="32">
        <f>IFERROR(__xludf.DUMMYFUNCTION("""COMPUTED_VALUE"""),258.4)</f>
        <v>258.4</v>
      </c>
      <c r="K361" s="32">
        <f>IFERROR(__xludf.DUMMYFUNCTION("""COMPUTED_VALUE"""),422.35)</f>
        <v>422.35</v>
      </c>
      <c r="L361" s="32">
        <f>IFERROR(__xludf.DUMMYFUNCTION("""COMPUTED_VALUE"""),91.05)</f>
        <v>91.05</v>
      </c>
      <c r="M361" s="32">
        <f>IFERROR(__xludf.DUMMYFUNCTION("""COMPUTED_VALUE"""),503.7)</f>
        <v>503.7</v>
      </c>
      <c r="N361" s="32">
        <f>IFERROR(__xludf.DUMMYFUNCTION("""COMPUTED_VALUE"""),91.05)</f>
        <v>91.05</v>
      </c>
      <c r="O361" s="32">
        <f>IFERROR(__xludf.DUMMYFUNCTION("""COMPUTED_VALUE"""),503.7)</f>
        <v>503.7</v>
      </c>
      <c r="P361" s="32">
        <f>IFERROR(__xludf.DUMMYFUNCTION("""COMPUTED_VALUE"""),91.05)</f>
        <v>91.05</v>
      </c>
      <c r="Q361" s="32">
        <f>IFERROR(__xludf.DUMMYFUNCTION("""COMPUTED_VALUE"""),503.7)</f>
        <v>503.7</v>
      </c>
      <c r="R361" s="32">
        <f>IFERROR(__xludf.DUMMYFUNCTION("""COMPUTED_VALUE"""),3010.694938125)</f>
        <v>3010.694938</v>
      </c>
      <c r="S361" s="32">
        <f>IFERROR(__xludf.DUMMYFUNCTION("""COMPUTED_VALUE"""),2646.055938125)</f>
        <v>2646.055938</v>
      </c>
      <c r="T361" s="32">
        <f>IFERROR(__xludf.DUMMYFUNCTION("""COMPUTED_VALUE"""),1.952607)</f>
        <v>1.952607</v>
      </c>
      <c r="U361" s="32">
        <f>IFERROR(__xludf.DUMMYFUNCTION("""COMPUTED_VALUE"""),-7.083621)</f>
        <v>-7.083621</v>
      </c>
      <c r="V361" s="32">
        <f>IFERROR(__xludf.DUMMYFUNCTION("""COMPUTED_VALUE"""),-9.537426)</f>
        <v>-9.537426</v>
      </c>
      <c r="W361" s="32">
        <f>IFERROR(__xludf.DUMMYFUNCTION("""COMPUTED_VALUE"""),-28.993927)</f>
        <v>-28.993927</v>
      </c>
      <c r="X361" s="32">
        <f>IFERROR(__xludf.DUMMYFUNCTION("""COMPUTED_VALUE"""),21.722553)</f>
        <v>21.722553</v>
      </c>
      <c r="Y361" s="32">
        <f>IFERROR(__xludf.DUMMYFUNCTION("""COMPUTED_VALUE"""),-1.815681)</f>
        <v>-1.815681</v>
      </c>
      <c r="Z361" s="13"/>
      <c r="AA361" s="32">
        <f>IFERROR(__xludf.DUMMYFUNCTION("""COMPUTED_VALUE"""),30.2628)</f>
        <v>30.2628</v>
      </c>
      <c r="AB361" s="32">
        <f>IFERROR(__xludf.DUMMYFUNCTION("""COMPUTED_VALUE"""),25.64795)</f>
        <v>25.64795</v>
      </c>
      <c r="AC361" s="32">
        <f>IFERROR(__xludf.DUMMYFUNCTION("""COMPUTED_VALUE"""),2.7231)</f>
        <v>2.7231</v>
      </c>
      <c r="AD361" s="32">
        <f>IFERROR(__xludf.DUMMYFUNCTION("""COMPUTED_VALUE"""),3.29805)</f>
        <v>3.29805</v>
      </c>
      <c r="AE361" s="32">
        <f>IFERROR(__xludf.DUMMYFUNCTION("""COMPUTED_VALUE"""),5.646744)</f>
        <v>5.646744</v>
      </c>
      <c r="AF361" s="32">
        <f>IFERROR(__xludf.DUMMYFUNCTION("""COMPUTED_VALUE"""),6.669125)</f>
        <v>6.669125</v>
      </c>
      <c r="AG361" s="32">
        <f>IFERROR(__xludf.DUMMYFUNCTION("""COMPUTED_VALUE"""),0.3722)</f>
        <v>0.3722</v>
      </c>
      <c r="AH361" s="32">
        <f>IFERROR(__xludf.DUMMYFUNCTION("""COMPUTED_VALUE"""),14.943052)</f>
        <v>14.943052</v>
      </c>
      <c r="AI361" s="32">
        <f>IFERROR(__xludf.DUMMYFUNCTION("""COMPUTED_VALUE"""),5.863189302490209)</f>
        <v>5.863189302</v>
      </c>
      <c r="AJ361" s="32">
        <f>IFERROR(__xludf.DUMMYFUNCTION("""COMPUTED_VALUE"""),24.619104742990082)</f>
        <v>24.61910474</v>
      </c>
      <c r="AK361" s="32">
        <f>IFERROR(__xludf.DUMMYFUNCTION("""COMPUTED_VALUE"""),8.8971)</f>
        <v>8.8971</v>
      </c>
      <c r="AL361" s="32">
        <f>IFERROR(__xludf.DUMMYFUNCTION("""COMPUTED_VALUE"""),98.8754)</f>
        <v>98.8754</v>
      </c>
      <c r="AM361" s="32">
        <f>IFERROR(__xludf.DUMMYFUNCTION("""COMPUTED_VALUE"""),10.938372)</f>
        <v>10.938372</v>
      </c>
      <c r="AN361" s="32">
        <f>IFERROR(__xludf.DUMMYFUNCTION("""COMPUTED_VALUE"""),9.231395)</f>
        <v>9.231395</v>
      </c>
      <c r="AO361" s="32">
        <f>IFERROR(__xludf.DUMMYFUNCTION("""COMPUTED_VALUE"""),1.0)</f>
        <v>1</v>
      </c>
      <c r="AP361" s="32">
        <f>IFERROR(__xludf.DUMMYFUNCTION("""COMPUTED_VALUE"""),0.36332425713270994)</f>
        <v>0.3633242571</v>
      </c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>
      <c r="A362" s="13" t="str">
        <f>IFERROR(__xludf.DUMMYFUNCTION("""COMPUTED_VALUE"""),"Ashok Leyland Ltd.")</f>
        <v>Ashok Leyland Ltd.</v>
      </c>
      <c r="B362" s="30">
        <f>IFERROR(__xludf.DUMMYFUNCTION("""COMPUTED_VALUE"""),500477.0)</f>
        <v>500477</v>
      </c>
      <c r="C362" s="13" t="str">
        <f>IFERROR(__xludf.DUMMYFUNCTION("""COMPUTED_VALUE"""),"ASHOKLEY")</f>
        <v>ASHOKLEY</v>
      </c>
      <c r="D362" s="13" t="str">
        <f>IFERROR(__xludf.DUMMYFUNCTION("""COMPUTED_VALUE"""),"INE208A01029")</f>
        <v>INE208A01029</v>
      </c>
      <c r="E362" s="13" t="str">
        <f>IFERROR(__xludf.DUMMYFUNCTION("""COMPUTED_VALUE"""),"Automobile")</f>
        <v>Automobile</v>
      </c>
      <c r="F362" s="13" t="str">
        <f>IFERROR(__xludf.DUMMYFUNCTION("""COMPUTED_VALUE"""),"Commercial Vehicles")</f>
        <v>Commercial Vehicles</v>
      </c>
      <c r="G362" s="31">
        <f>IFERROR(__xludf.DUMMYFUNCTION("""COMPUTED_VALUE"""),44809.0)</f>
        <v>44809</v>
      </c>
      <c r="H362" s="32">
        <f>IFERROR(__xludf.DUMMYFUNCTION("""COMPUTED_VALUE"""),164.6)</f>
        <v>164.6</v>
      </c>
      <c r="I362" s="32">
        <f>IFERROR(__xludf.DUMMYFUNCTION("""COMPUTED_VALUE"""),0.580507)</f>
        <v>0.580507</v>
      </c>
      <c r="J362" s="32">
        <f>IFERROR(__xludf.DUMMYFUNCTION("""COMPUTED_VALUE"""),93.2)</f>
        <v>93.2</v>
      </c>
      <c r="K362" s="32">
        <f>IFERROR(__xludf.DUMMYFUNCTION("""COMPUTED_VALUE"""),166.2)</f>
        <v>166.2</v>
      </c>
      <c r="L362" s="32">
        <f>IFERROR(__xludf.DUMMYFUNCTION("""COMPUTED_VALUE"""),33.7)</f>
        <v>33.7</v>
      </c>
      <c r="M362" s="32">
        <f>IFERROR(__xludf.DUMMYFUNCTION("""COMPUTED_VALUE"""),166.2)</f>
        <v>166.2</v>
      </c>
      <c r="N362" s="32">
        <f>IFERROR(__xludf.DUMMYFUNCTION("""COMPUTED_VALUE"""),33.7)</f>
        <v>33.7</v>
      </c>
      <c r="O362" s="32">
        <f>IFERROR(__xludf.DUMMYFUNCTION("""COMPUTED_VALUE"""),167.5)</f>
        <v>167.5</v>
      </c>
      <c r="P362" s="32">
        <f>IFERROR(__xludf.DUMMYFUNCTION("""COMPUTED_VALUE"""),6.15)</f>
        <v>6.15</v>
      </c>
      <c r="Q362" s="32">
        <f>IFERROR(__xludf.DUMMYFUNCTION("""COMPUTED_VALUE"""),167.5)</f>
        <v>167.5</v>
      </c>
      <c r="R362" s="32">
        <f>IFERROR(__xludf.DUMMYFUNCTION("""COMPUTED_VALUE"""),48318.77896296)</f>
        <v>48318.77896</v>
      </c>
      <c r="S362" s="32">
        <f>IFERROR(__xludf.DUMMYFUNCTION("""COMPUTED_VALUE"""),68211.50623536)</f>
        <v>68211.50624</v>
      </c>
      <c r="T362" s="32">
        <f>IFERROR(__xludf.DUMMYFUNCTION("""COMPUTED_VALUE"""),10.100334)</f>
        <v>10.100334</v>
      </c>
      <c r="U362" s="32">
        <f>IFERROR(__xludf.DUMMYFUNCTION("""COMPUTED_VALUE"""),12.816998)</f>
        <v>12.816998</v>
      </c>
      <c r="V362" s="32">
        <f>IFERROR(__xludf.DUMMYFUNCTION("""COMPUTED_VALUE"""),17.992832)</f>
        <v>17.992832</v>
      </c>
      <c r="W362" s="32">
        <f>IFERROR(__xludf.DUMMYFUNCTION("""COMPUTED_VALUE"""),36.484245)</f>
        <v>36.484245</v>
      </c>
      <c r="X362" s="32">
        <f>IFERROR(__xludf.DUMMYFUNCTION("""COMPUTED_VALUE"""),38.023118)</f>
        <v>38.023118</v>
      </c>
      <c r="Y362" s="32">
        <f>IFERROR(__xludf.DUMMYFUNCTION("""COMPUTED_VALUE"""),7.746125)</f>
        <v>7.746125</v>
      </c>
      <c r="Z362" s="32">
        <f>IFERROR(__xludf.DUMMYFUNCTION("""COMPUTED_VALUE"""),22.862983)</f>
        <v>22.862983</v>
      </c>
      <c r="AA362" s="13"/>
      <c r="AB362" s="32">
        <f>IFERROR(__xludf.DUMMYFUNCTION("""COMPUTED_VALUE"""),18.4298)</f>
        <v>18.4298</v>
      </c>
      <c r="AC362" s="32">
        <f>IFERROR(__xludf.DUMMYFUNCTION("""COMPUTED_VALUE"""),6.6325)</f>
        <v>6.6325</v>
      </c>
      <c r="AD362" s="32">
        <f>IFERROR(__xludf.DUMMYFUNCTION("""COMPUTED_VALUE"""),4.53975)</f>
        <v>4.53975</v>
      </c>
      <c r="AE362" s="32">
        <f>IFERROR(__xludf.DUMMYFUNCTION("""COMPUTED_VALUE"""),3.697479)</f>
        <v>3.697479</v>
      </c>
      <c r="AF362" s="13"/>
      <c r="AG362" s="32">
        <f>IFERROR(__xludf.DUMMYFUNCTION("""COMPUTED_VALUE"""),0.6075)</f>
        <v>0.6075</v>
      </c>
      <c r="AH362" s="32">
        <f>IFERROR(__xludf.DUMMYFUNCTION("""COMPUTED_VALUE"""),20.675416)</f>
        <v>20.675416</v>
      </c>
      <c r="AI362" s="32">
        <f>IFERROR(__xludf.DUMMYFUNCTION("""COMPUTED_VALUE"""),1.5855333151858684)</f>
        <v>1.585533315</v>
      </c>
      <c r="AJ362" s="32">
        <f>IFERROR(__xludf.DUMMYFUNCTION("""COMPUTED_VALUE"""),16.986380657451416)</f>
        <v>16.98638066</v>
      </c>
      <c r="AK362" s="32">
        <f>IFERROR(__xludf.DUMMYFUNCTION("""COMPUTED_VALUE"""),-0.2705)</f>
        <v>-0.2705</v>
      </c>
      <c r="AL362" s="32">
        <f>IFERROR(__xludf.DUMMYFUNCTION("""COMPUTED_VALUE"""),24.8173)</f>
        <v>24.8173</v>
      </c>
      <c r="AM362" s="32">
        <f>IFERROR(__xludf.DUMMYFUNCTION("""COMPUTED_VALUE"""),9.690206)</f>
        <v>9.690206</v>
      </c>
      <c r="AN362" s="32">
        <f>IFERROR(__xludf.DUMMYFUNCTION("""COMPUTED_VALUE"""),5.854982)</f>
        <v>5.854982</v>
      </c>
      <c r="AO362" s="32">
        <f>IFERROR(__xludf.DUMMYFUNCTION("""COMPUTED_VALUE"""),1.0)</f>
        <v>1</v>
      </c>
      <c r="AP362" s="32">
        <f>IFERROR(__xludf.DUMMYFUNCTION("""COMPUTED_VALUE"""),0.009626955475330892)</f>
        <v>0.009626955475</v>
      </c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>
      <c r="A363" s="13" t="str">
        <f>IFERROR(__xludf.DUMMYFUNCTION("""COMPUTED_VALUE"""),"AU Small Finance Bank Ltd.")</f>
        <v>AU Small Finance Bank Ltd.</v>
      </c>
      <c r="B363" s="30">
        <f>IFERROR(__xludf.DUMMYFUNCTION("""COMPUTED_VALUE"""),540611.0)</f>
        <v>540611</v>
      </c>
      <c r="C363" s="13" t="str">
        <f>IFERROR(__xludf.DUMMYFUNCTION("""COMPUTED_VALUE"""),"AUBANK")</f>
        <v>AUBANK</v>
      </c>
      <c r="D363" s="13" t="str">
        <f>IFERROR(__xludf.DUMMYFUNCTION("""COMPUTED_VALUE"""),"INE949L01017")</f>
        <v>INE949L01017</v>
      </c>
      <c r="E363" s="13" t="str">
        <f>IFERROR(__xludf.DUMMYFUNCTION("""COMPUTED_VALUE"""),"Financial")</f>
        <v>Financial</v>
      </c>
      <c r="F363" s="13" t="str">
        <f>IFERROR(__xludf.DUMMYFUNCTION("""COMPUTED_VALUE"""),"Banking")</f>
        <v>Banking</v>
      </c>
      <c r="G363" s="31">
        <f>IFERROR(__xludf.DUMMYFUNCTION("""COMPUTED_VALUE"""),44809.0)</f>
        <v>44809</v>
      </c>
      <c r="H363" s="32">
        <f>IFERROR(__xludf.DUMMYFUNCTION("""COMPUTED_VALUE"""),651.95)</f>
        <v>651.95</v>
      </c>
      <c r="I363" s="32">
        <f>IFERROR(__xludf.DUMMYFUNCTION("""COMPUTED_VALUE"""),1.046187)</f>
        <v>1.046187</v>
      </c>
      <c r="J363" s="32">
        <f>IFERROR(__xludf.DUMMYFUNCTION("""COMPUTED_VALUE"""),462.5)</f>
        <v>462.5</v>
      </c>
      <c r="K363" s="32">
        <f>IFERROR(__xludf.DUMMYFUNCTION("""COMPUTED_VALUE"""),732.975)</f>
        <v>732.975</v>
      </c>
      <c r="L363" s="32">
        <f>IFERROR(__xludf.DUMMYFUNCTION("""COMPUTED_VALUE"""),183.0)</f>
        <v>183</v>
      </c>
      <c r="M363" s="32">
        <f>IFERROR(__xludf.DUMMYFUNCTION("""COMPUTED_VALUE"""),732.975)</f>
        <v>732.975</v>
      </c>
      <c r="N363" s="32">
        <f>IFERROR(__xludf.DUMMYFUNCTION("""COMPUTED_VALUE"""),183.0)</f>
        <v>183</v>
      </c>
      <c r="O363" s="32">
        <f>IFERROR(__xludf.DUMMYFUNCTION("""COMPUTED_VALUE"""),732.975)</f>
        <v>732.975</v>
      </c>
      <c r="P363" s="32">
        <f>IFERROR(__xludf.DUMMYFUNCTION("""COMPUTED_VALUE"""),183.0)</f>
        <v>183</v>
      </c>
      <c r="Q363" s="32">
        <f>IFERROR(__xludf.DUMMYFUNCTION("""COMPUTED_VALUE"""),732.975)</f>
        <v>732.975</v>
      </c>
      <c r="R363" s="32">
        <f>IFERROR(__xludf.DUMMYFUNCTION("""COMPUTED_VALUE"""),43388.43583958)</f>
        <v>43388.43584</v>
      </c>
      <c r="S363" s="32">
        <f>IFERROR(__xludf.DUMMYFUNCTION("""COMPUTED_VALUE"""),42984.83694878)</f>
        <v>42984.83695</v>
      </c>
      <c r="T363" s="32">
        <f>IFERROR(__xludf.DUMMYFUNCTION("""COMPUTED_VALUE"""),1.644839)</f>
        <v>1.644839</v>
      </c>
      <c r="U363" s="32">
        <f>IFERROR(__xludf.DUMMYFUNCTION("""COMPUTED_VALUE"""),2.411247)</f>
        <v>2.411247</v>
      </c>
      <c r="V363" s="32">
        <f>IFERROR(__xludf.DUMMYFUNCTION("""COMPUTED_VALUE"""),3.254672)</f>
        <v>3.254672</v>
      </c>
      <c r="W363" s="32">
        <f>IFERROR(__xludf.DUMMYFUNCTION("""COMPUTED_VALUE"""),11.45397)</f>
        <v>11.45397</v>
      </c>
      <c r="X363" s="32">
        <f>IFERROR(__xludf.DUMMYFUNCTION("""COMPUTED_VALUE"""),24.633721)</f>
        <v>24.633721</v>
      </c>
      <c r="Y363" s="32">
        <f>IFERROR(__xludf.DUMMYFUNCTION("""COMPUTED_VALUE"""),18.54352)</f>
        <v>18.54352</v>
      </c>
      <c r="Z363" s="13"/>
      <c r="AA363" s="32">
        <f>IFERROR(__xludf.DUMMYFUNCTION("""COMPUTED_VALUE"""),36.3235)</f>
        <v>36.3235</v>
      </c>
      <c r="AB363" s="32">
        <f>IFERROR(__xludf.DUMMYFUNCTION("""COMPUTED_VALUE"""),34.8968)</f>
        <v>34.8968</v>
      </c>
      <c r="AC363" s="32">
        <f>IFERROR(__xludf.DUMMYFUNCTION("""COMPUTED_VALUE"""),4.3144)</f>
        <v>4.3144</v>
      </c>
      <c r="AD363" s="32">
        <f>IFERROR(__xludf.DUMMYFUNCTION("""COMPUTED_VALUE"""),6.02795)</f>
        <v>6.02795</v>
      </c>
      <c r="AE363" s="32">
        <f>IFERROR(__xludf.DUMMYFUNCTION("""COMPUTED_VALUE"""),8.836198)</f>
        <v>8.836198</v>
      </c>
      <c r="AF363" s="32">
        <f>IFERROR(__xludf.DUMMYFUNCTION("""COMPUTED_VALUE"""),1.06139)</f>
        <v>1.06139</v>
      </c>
      <c r="AG363" s="32">
        <f>IFERROR(__xludf.DUMMYFUNCTION("""COMPUTED_VALUE"""),0.0767)</f>
        <v>0.0767</v>
      </c>
      <c r="AH363" s="32">
        <f>IFERROR(__xludf.DUMMYFUNCTION("""COMPUTED_VALUE"""),24.900356)</f>
        <v>24.900356</v>
      </c>
      <c r="AI363" s="32">
        <f>IFERROR(__xludf.DUMMYFUNCTION("""COMPUTED_VALUE"""),6.791718069138394)</f>
        <v>6.791718069</v>
      </c>
      <c r="AJ363" s="32">
        <f>IFERROR(__xludf.DUMMYFUNCTION("""COMPUTED_VALUE"""),6.335019876907834)</f>
        <v>6.335019877</v>
      </c>
      <c r="AK363" s="32">
        <f>IFERROR(__xludf.DUMMYFUNCTION("""COMPUTED_VALUE"""),17.9485)</f>
        <v>17.9485</v>
      </c>
      <c r="AL363" s="32">
        <f>IFERROR(__xludf.DUMMYFUNCTION("""COMPUTED_VALUE"""),151.1107)</f>
        <v>151.1107</v>
      </c>
      <c r="AM363" s="32">
        <f>IFERROR(__xludf.DUMMYFUNCTION("""COMPUTED_VALUE"""),217.49704)</f>
        <v>217.49704</v>
      </c>
      <c r="AN363" s="32">
        <f>IFERROR(__xludf.DUMMYFUNCTION("""COMPUTED_VALUE"""),195.672671)</f>
        <v>195.672671</v>
      </c>
      <c r="AO363" s="32">
        <f>IFERROR(__xludf.DUMMYFUNCTION("""COMPUTED_VALUE"""),1.0)</f>
        <v>1</v>
      </c>
      <c r="AP363" s="32">
        <f>IFERROR(__xludf.DUMMYFUNCTION("""COMPUTED_VALUE"""),0.11054871892821083)</f>
        <v>0.1105487189</v>
      </c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>
      <c r="A364" s="13" t="str">
        <f>IFERROR(__xludf.DUMMYFUNCTION("""COMPUTED_VALUE"""),"Axis Bank Ltd.")</f>
        <v>Axis Bank Ltd.</v>
      </c>
      <c r="B364" s="30">
        <f>IFERROR(__xludf.DUMMYFUNCTION("""COMPUTED_VALUE"""),532215.0)</f>
        <v>532215</v>
      </c>
      <c r="C364" s="13" t="str">
        <f>IFERROR(__xludf.DUMMYFUNCTION("""COMPUTED_VALUE"""),"AXISBANK")</f>
        <v>AXISBANK</v>
      </c>
      <c r="D364" s="13" t="str">
        <f>IFERROR(__xludf.DUMMYFUNCTION("""COMPUTED_VALUE"""),"INE238A01034")</f>
        <v>INE238A01034</v>
      </c>
      <c r="E364" s="13" t="str">
        <f>IFERROR(__xludf.DUMMYFUNCTION("""COMPUTED_VALUE"""),"Financial")</f>
        <v>Financial</v>
      </c>
      <c r="F364" s="13" t="str">
        <f>IFERROR(__xludf.DUMMYFUNCTION("""COMPUTED_VALUE"""),"Banking")</f>
        <v>Banking</v>
      </c>
      <c r="G364" s="31">
        <f>IFERROR(__xludf.DUMMYFUNCTION("""COMPUTED_VALUE"""),44809.0)</f>
        <v>44809</v>
      </c>
      <c r="H364" s="32">
        <f>IFERROR(__xludf.DUMMYFUNCTION("""COMPUTED_VALUE"""),756.1)</f>
        <v>756.1</v>
      </c>
      <c r="I364" s="32">
        <f>IFERROR(__xludf.DUMMYFUNCTION("""COMPUTED_VALUE"""),0.786457)</f>
        <v>0.786457</v>
      </c>
      <c r="J364" s="32">
        <f>IFERROR(__xludf.DUMMYFUNCTION("""COMPUTED_VALUE"""),618.25)</f>
        <v>618.25</v>
      </c>
      <c r="K364" s="32">
        <f>IFERROR(__xludf.DUMMYFUNCTION("""COMPUTED_VALUE"""),866.9)</f>
        <v>866.9</v>
      </c>
      <c r="L364" s="32">
        <f>IFERROR(__xludf.DUMMYFUNCTION("""COMPUTED_VALUE"""),285.0)</f>
        <v>285</v>
      </c>
      <c r="M364" s="32">
        <f>IFERROR(__xludf.DUMMYFUNCTION("""COMPUTED_VALUE"""),866.9)</f>
        <v>866.9</v>
      </c>
      <c r="N364" s="32">
        <f>IFERROR(__xludf.DUMMYFUNCTION("""COMPUTED_VALUE"""),285.0)</f>
        <v>285</v>
      </c>
      <c r="O364" s="32">
        <f>IFERROR(__xludf.DUMMYFUNCTION("""COMPUTED_VALUE"""),866.9)</f>
        <v>866.9</v>
      </c>
      <c r="P364" s="32">
        <f>IFERROR(__xludf.DUMMYFUNCTION("""COMPUTED_VALUE"""),4.1)</f>
        <v>4.1</v>
      </c>
      <c r="Q364" s="32">
        <f>IFERROR(__xludf.DUMMYFUNCTION("""COMPUTED_VALUE"""),866.9)</f>
        <v>866.9</v>
      </c>
      <c r="R364" s="32">
        <f>IFERROR(__xludf.DUMMYFUNCTION("""COMPUTED_VALUE"""),232216.46930248002)</f>
        <v>232216.4693</v>
      </c>
      <c r="S364" s="32">
        <f>IFERROR(__xludf.DUMMYFUNCTION("""COMPUTED_VALUE"""),318161.27225424)</f>
        <v>318161.2723</v>
      </c>
      <c r="T364" s="32">
        <f>IFERROR(__xludf.DUMMYFUNCTION("""COMPUTED_VALUE"""),1.503558)</f>
        <v>1.503558</v>
      </c>
      <c r="U364" s="32">
        <f>IFERROR(__xludf.DUMMYFUNCTION("""COMPUTED_VALUE"""),4.781042)</f>
        <v>4.781042</v>
      </c>
      <c r="V364" s="32">
        <f>IFERROR(__xludf.DUMMYFUNCTION("""COMPUTED_VALUE"""),11.634431)</f>
        <v>11.634431</v>
      </c>
      <c r="W364" s="32">
        <f>IFERROR(__xludf.DUMMYFUNCTION("""COMPUTED_VALUE"""),-5.250627)</f>
        <v>-5.250627</v>
      </c>
      <c r="X364" s="32">
        <f>IFERROR(__xludf.DUMMYFUNCTION("""COMPUTED_VALUE"""),5.315237)</f>
        <v>5.315237</v>
      </c>
      <c r="Y364" s="32">
        <f>IFERROR(__xludf.DUMMYFUNCTION("""COMPUTED_VALUE"""),8.547137)</f>
        <v>8.547137</v>
      </c>
      <c r="Z364" s="32">
        <f>IFERROR(__xludf.DUMMYFUNCTION("""COMPUTED_VALUE"""),14.474227)</f>
        <v>14.474227</v>
      </c>
      <c r="AA364" s="32">
        <f>IFERROR(__xludf.DUMMYFUNCTION("""COMPUTED_VALUE"""),14.385)</f>
        <v>14.385</v>
      </c>
      <c r="AB364" s="32">
        <f>IFERROR(__xludf.DUMMYFUNCTION("""COMPUTED_VALUE"""),39.82715)</f>
        <v>39.82715</v>
      </c>
      <c r="AC364" s="32">
        <f>IFERROR(__xludf.DUMMYFUNCTION("""COMPUTED_VALUE"""),1.892)</f>
        <v>1.892</v>
      </c>
      <c r="AD364" s="32">
        <f>IFERROR(__xludf.DUMMYFUNCTION("""COMPUTED_VALUE"""),2.17355)</f>
        <v>2.17355</v>
      </c>
      <c r="AE364" s="32">
        <f>IFERROR(__xludf.DUMMYFUNCTION("""COMPUTED_VALUE"""),16.620367)</f>
        <v>16.620367</v>
      </c>
      <c r="AF364" s="32">
        <f>IFERROR(__xludf.DUMMYFUNCTION("""COMPUTED_VALUE"""),1.103773)</f>
        <v>1.103773</v>
      </c>
      <c r="AG364" s="32">
        <f>IFERROR(__xludf.DUMMYFUNCTION("""COMPUTED_VALUE"""),0.1323)</f>
        <v>0.1323</v>
      </c>
      <c r="AH364" s="32">
        <f>IFERROR(__xludf.DUMMYFUNCTION("""COMPUTED_VALUE"""),12.179462)</f>
        <v>12.179462</v>
      </c>
      <c r="AI364" s="32">
        <f>IFERROR(__xludf.DUMMYFUNCTION("""COMPUTED_VALUE"""),3.237015071857196)</f>
        <v>3.237015072</v>
      </c>
      <c r="AJ364" s="32">
        <f>IFERROR(__xludf.DUMMYFUNCTION("""COMPUTED_VALUE"""),8.252976273575646)</f>
        <v>8.252976274</v>
      </c>
      <c r="AK364" s="32">
        <f>IFERROR(__xludf.DUMMYFUNCTION("""COMPUTED_VALUE"""),52.5513)</f>
        <v>52.5513</v>
      </c>
      <c r="AL364" s="32">
        <f>IFERROR(__xludf.DUMMYFUNCTION("""COMPUTED_VALUE"""),399.554)</f>
        <v>399.554</v>
      </c>
      <c r="AM364" s="32">
        <f>IFERROR(__xludf.DUMMYFUNCTION("""COMPUTED_VALUE"""),91.659907)</f>
        <v>91.659907</v>
      </c>
      <c r="AN364" s="32">
        <f>IFERROR(__xludf.DUMMYFUNCTION("""COMPUTED_VALUE"""),52.042446)</f>
        <v>52.042446</v>
      </c>
      <c r="AO364" s="32">
        <f>IFERROR(__xludf.DUMMYFUNCTION("""COMPUTED_VALUE"""),1.0)</f>
        <v>1</v>
      </c>
      <c r="AP364" s="32">
        <f>IFERROR(__xludf.DUMMYFUNCTION("""COMPUTED_VALUE"""),0.12781174299227127)</f>
        <v>0.127811743</v>
      </c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>
      <c r="A365" s="13" t="str">
        <f>IFERROR(__xludf.DUMMYFUNCTION("""COMPUTED_VALUE"""),"City Union Bank Ltd.")</f>
        <v>City Union Bank Ltd.</v>
      </c>
      <c r="B365" s="30">
        <f>IFERROR(__xludf.DUMMYFUNCTION("""COMPUTED_VALUE"""),532210.0)</f>
        <v>532210</v>
      </c>
      <c r="C365" s="13" t="str">
        <f>IFERROR(__xludf.DUMMYFUNCTION("""COMPUTED_VALUE"""),"CUB")</f>
        <v>CUB</v>
      </c>
      <c r="D365" s="13" t="str">
        <f>IFERROR(__xludf.DUMMYFUNCTION("""COMPUTED_VALUE"""),"INE491A01021")</f>
        <v>INE491A01021</v>
      </c>
      <c r="E365" s="13" t="str">
        <f>IFERROR(__xludf.DUMMYFUNCTION("""COMPUTED_VALUE"""),"Financial")</f>
        <v>Financial</v>
      </c>
      <c r="F365" s="13" t="str">
        <f>IFERROR(__xludf.DUMMYFUNCTION("""COMPUTED_VALUE"""),"Banking")</f>
        <v>Banking</v>
      </c>
      <c r="G365" s="31">
        <f>IFERROR(__xludf.DUMMYFUNCTION("""COMPUTED_VALUE"""),44809.0)</f>
        <v>44809</v>
      </c>
      <c r="H365" s="32">
        <f>IFERROR(__xludf.DUMMYFUNCTION("""COMPUTED_VALUE"""),178.7)</f>
        <v>178.7</v>
      </c>
      <c r="I365" s="32">
        <f>IFERROR(__xludf.DUMMYFUNCTION("""COMPUTED_VALUE"""),-0.777346)</f>
        <v>-0.777346</v>
      </c>
      <c r="J365" s="32">
        <f>IFERROR(__xludf.DUMMYFUNCTION("""COMPUTED_VALUE"""),110.5)</f>
        <v>110.5</v>
      </c>
      <c r="K365" s="32">
        <f>IFERROR(__xludf.DUMMYFUNCTION("""COMPUTED_VALUE"""),191.95)</f>
        <v>191.95</v>
      </c>
      <c r="L365" s="32">
        <f>IFERROR(__xludf.DUMMYFUNCTION("""COMPUTED_VALUE"""),108.6)</f>
        <v>108.6</v>
      </c>
      <c r="M365" s="32">
        <f>IFERROR(__xludf.DUMMYFUNCTION("""COMPUTED_VALUE"""),249.35)</f>
        <v>249.35</v>
      </c>
      <c r="N365" s="32">
        <f>IFERROR(__xludf.DUMMYFUNCTION("""COMPUTED_VALUE"""),108.6)</f>
        <v>108.6</v>
      </c>
      <c r="O365" s="32">
        <f>IFERROR(__xludf.DUMMYFUNCTION("""COMPUTED_VALUE"""),249.35)</f>
        <v>249.35</v>
      </c>
      <c r="P365" s="32">
        <f>IFERROR(__xludf.DUMMYFUNCTION("""COMPUTED_VALUE"""),0.856115)</f>
        <v>0.856115</v>
      </c>
      <c r="Q365" s="32">
        <f>IFERROR(__xludf.DUMMYFUNCTION("""COMPUTED_VALUE"""),249.35)</f>
        <v>249.35</v>
      </c>
      <c r="R365" s="32">
        <f>IFERROR(__xludf.DUMMYFUNCTION("""COMPUTED_VALUE"""),13227.476169005)</f>
        <v>13227.47617</v>
      </c>
      <c r="S365" s="32">
        <f>IFERROR(__xludf.DUMMYFUNCTION("""COMPUTED_VALUE"""),11937.422134)</f>
        <v>11937.42213</v>
      </c>
      <c r="T365" s="32">
        <f>IFERROR(__xludf.DUMMYFUNCTION("""COMPUTED_VALUE"""),-4.946809)</f>
        <v>-4.946809</v>
      </c>
      <c r="U365" s="32">
        <f>IFERROR(__xludf.DUMMYFUNCTION("""COMPUTED_VALUE"""),11.792305)</f>
        <v>11.792305</v>
      </c>
      <c r="V365" s="32">
        <f>IFERROR(__xludf.DUMMYFUNCTION("""COMPUTED_VALUE"""),24.790503)</f>
        <v>24.790503</v>
      </c>
      <c r="W365" s="32">
        <f>IFERROR(__xludf.DUMMYFUNCTION("""COMPUTED_VALUE"""),15.888457)</f>
        <v>15.888457</v>
      </c>
      <c r="X365" s="32">
        <f>IFERROR(__xludf.DUMMYFUNCTION("""COMPUTED_VALUE"""),-2.465988)</f>
        <v>-2.465988</v>
      </c>
      <c r="Y365" s="32">
        <f>IFERROR(__xludf.DUMMYFUNCTION("""COMPUTED_VALUE"""),4.124838)</f>
        <v>4.124838</v>
      </c>
      <c r="Z365" s="32">
        <f>IFERROR(__xludf.DUMMYFUNCTION("""COMPUTED_VALUE"""),16.905657)</f>
        <v>16.905657</v>
      </c>
      <c r="AA365" s="32">
        <f>IFERROR(__xludf.DUMMYFUNCTION("""COMPUTED_VALUE"""),16.2837)</f>
        <v>16.2837</v>
      </c>
      <c r="AB365" s="32">
        <f>IFERROR(__xludf.DUMMYFUNCTION("""COMPUTED_VALUE"""),20.92565)</f>
        <v>20.92565</v>
      </c>
      <c r="AC365" s="32">
        <f>IFERROR(__xludf.DUMMYFUNCTION("""COMPUTED_VALUE"""),1.9421)</f>
        <v>1.9421</v>
      </c>
      <c r="AD365" s="32">
        <f>IFERROR(__xludf.DUMMYFUNCTION("""COMPUTED_VALUE"""),2.40355)</f>
        <v>2.40355</v>
      </c>
      <c r="AE365" s="32">
        <f>IFERROR(__xludf.DUMMYFUNCTION("""COMPUTED_VALUE"""),25.279611)</f>
        <v>25.279611</v>
      </c>
      <c r="AF365" s="32">
        <f>IFERROR(__xludf.DUMMYFUNCTION("""COMPUTED_VALUE"""),1.697326)</f>
        <v>1.697326</v>
      </c>
      <c r="AG365" s="32">
        <f>IFERROR(__xludf.DUMMYFUNCTION("""COMPUTED_VALUE"""),0.5591)</f>
        <v>0.5591</v>
      </c>
      <c r="AH365" s="32">
        <f>IFERROR(__xludf.DUMMYFUNCTION("""COMPUTED_VALUE"""),7.183814)</f>
        <v>7.183814</v>
      </c>
      <c r="AI365" s="32">
        <f>IFERROR(__xludf.DUMMYFUNCTION("""COMPUTED_VALUE"""),3.1443180196679794)</f>
        <v>3.14431802</v>
      </c>
      <c r="AJ365" s="32">
        <f>IFERROR(__xludf.DUMMYFUNCTION("""COMPUTED_VALUE"""),11.34917226955283)</f>
        <v>11.34917227</v>
      </c>
      <c r="AK365" s="32">
        <f>IFERROR(__xludf.DUMMYFUNCTION("""COMPUTED_VALUE"""),10.9834)</f>
        <v>10.9834</v>
      </c>
      <c r="AL365" s="32">
        <f>IFERROR(__xludf.DUMMYFUNCTION("""COMPUTED_VALUE"""),92.0902)</f>
        <v>92.0902</v>
      </c>
      <c r="AM365" s="32">
        <f>IFERROR(__xludf.DUMMYFUNCTION("""COMPUTED_VALUE"""),15.758857)</f>
        <v>15.758857</v>
      </c>
      <c r="AN365" s="32">
        <f>IFERROR(__xludf.DUMMYFUNCTION("""COMPUTED_VALUE"""),7.182174)</f>
        <v>7.182174</v>
      </c>
      <c r="AO365" s="32">
        <f>IFERROR(__xludf.DUMMYFUNCTION("""COMPUTED_VALUE"""),1.0)</f>
        <v>1</v>
      </c>
      <c r="AP365" s="32">
        <f>IFERROR(__xludf.DUMMYFUNCTION("""COMPUTED_VALUE"""),0.06902839281062777)</f>
        <v>0.06902839281</v>
      </c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>
      <c r="A366" s="13" t="str">
        <f>IFERROR(__xludf.DUMMYFUNCTION("""COMPUTED_VALUE"""),"Dilip Buildcon Ltd.")</f>
        <v>Dilip Buildcon Ltd.</v>
      </c>
      <c r="B366" s="30">
        <f>IFERROR(__xludf.DUMMYFUNCTION("""COMPUTED_VALUE"""),540047.0)</f>
        <v>540047</v>
      </c>
      <c r="C366" s="13" t="str">
        <f>IFERROR(__xludf.DUMMYFUNCTION("""COMPUTED_VALUE"""),"DBL")</f>
        <v>DBL</v>
      </c>
      <c r="D366" s="13" t="str">
        <f>IFERROR(__xludf.DUMMYFUNCTION("""COMPUTED_VALUE"""),"INE917M01012")</f>
        <v>INE917M01012</v>
      </c>
      <c r="E366" s="13" t="str">
        <f>IFERROR(__xludf.DUMMYFUNCTION("""COMPUTED_VALUE"""),"Construction")</f>
        <v>Construction</v>
      </c>
      <c r="F366" s="13" t="str">
        <f>IFERROR(__xludf.DUMMYFUNCTION("""COMPUTED_VALUE"""),"Construction")</f>
        <v>Construction</v>
      </c>
      <c r="G366" s="31">
        <f>IFERROR(__xludf.DUMMYFUNCTION("""COMPUTED_VALUE"""),44809.0)</f>
        <v>44809</v>
      </c>
      <c r="H366" s="32">
        <f>IFERROR(__xludf.DUMMYFUNCTION("""COMPUTED_VALUE"""),245.95)</f>
        <v>245.95</v>
      </c>
      <c r="I366" s="32">
        <f>IFERROR(__xludf.DUMMYFUNCTION("""COMPUTED_VALUE"""),1.674246)</f>
        <v>1.674246</v>
      </c>
      <c r="J366" s="32">
        <f>IFERROR(__xludf.DUMMYFUNCTION("""COMPUTED_VALUE"""),187.45)</f>
        <v>187.45</v>
      </c>
      <c r="K366" s="32">
        <f>IFERROR(__xludf.DUMMYFUNCTION("""COMPUTED_VALUE"""),749.8)</f>
        <v>749.8</v>
      </c>
      <c r="L366" s="32">
        <f>IFERROR(__xludf.DUMMYFUNCTION("""COMPUTED_VALUE"""),187.4)</f>
        <v>187.4</v>
      </c>
      <c r="M366" s="32">
        <f>IFERROR(__xludf.DUMMYFUNCTION("""COMPUTED_VALUE"""),749.8)</f>
        <v>749.8</v>
      </c>
      <c r="N366" s="32">
        <f>IFERROR(__xludf.DUMMYFUNCTION("""COMPUTED_VALUE"""),187.4)</f>
        <v>187.4</v>
      </c>
      <c r="O366" s="32">
        <f>IFERROR(__xludf.DUMMYFUNCTION("""COMPUTED_VALUE"""),1248.35)</f>
        <v>1248.35</v>
      </c>
      <c r="P366" s="32">
        <f>IFERROR(__xludf.DUMMYFUNCTION("""COMPUTED_VALUE"""),177.9)</f>
        <v>177.9</v>
      </c>
      <c r="Q366" s="32">
        <f>IFERROR(__xludf.DUMMYFUNCTION("""COMPUTED_VALUE"""),1248.35)</f>
        <v>1248.35</v>
      </c>
      <c r="R366" s="32">
        <f>IFERROR(__xludf.DUMMYFUNCTION("""COMPUTED_VALUE"""),3615.89623283)</f>
        <v>3615.896233</v>
      </c>
      <c r="S366" s="32">
        <f>IFERROR(__xludf.DUMMYFUNCTION("""COMPUTED_VALUE"""),13234.126071895)</f>
        <v>13234.12607</v>
      </c>
      <c r="T366" s="32">
        <f>IFERROR(__xludf.DUMMYFUNCTION("""COMPUTED_VALUE"""),2.972577)</f>
        <v>2.972577</v>
      </c>
      <c r="U366" s="32">
        <f>IFERROR(__xludf.DUMMYFUNCTION("""COMPUTED_VALUE"""),0.224124)</f>
        <v>0.224124</v>
      </c>
      <c r="V366" s="32">
        <f>IFERROR(__xludf.DUMMYFUNCTION("""COMPUTED_VALUE"""),5.535293)</f>
        <v>5.535293</v>
      </c>
      <c r="W366" s="32">
        <f>IFERROR(__xludf.DUMMYFUNCTION("""COMPUTED_VALUE"""),-52.810821)</f>
        <v>-52.810821</v>
      </c>
      <c r="X366" s="32">
        <f>IFERROR(__xludf.DUMMYFUNCTION("""COMPUTED_VALUE"""),-11.246873)</f>
        <v>-11.246873</v>
      </c>
      <c r="Y366" s="32">
        <f>IFERROR(__xludf.DUMMYFUNCTION("""COMPUTED_VALUE"""),-15.608979)</f>
        <v>-15.608979</v>
      </c>
      <c r="Z366" s="13"/>
      <c r="AA366" s="13"/>
      <c r="AB366" s="32">
        <f>IFERROR(__xludf.DUMMYFUNCTION("""COMPUTED_VALUE"""),18.1037)</f>
        <v>18.1037</v>
      </c>
      <c r="AC366" s="32">
        <f>IFERROR(__xludf.DUMMYFUNCTION("""COMPUTED_VALUE"""),1.0344)</f>
        <v>1.0344</v>
      </c>
      <c r="AD366" s="32">
        <f>IFERROR(__xludf.DUMMYFUNCTION("""COMPUTED_VALUE"""),1.923)</f>
        <v>1.923</v>
      </c>
      <c r="AE366" s="32">
        <f>IFERROR(__xludf.DUMMYFUNCTION("""COMPUTED_VALUE"""),2.196619)</f>
        <v>2.196619</v>
      </c>
      <c r="AF366" s="13"/>
      <c r="AG366" s="32">
        <f>IFERROR(__xludf.DUMMYFUNCTION("""COMPUTED_VALUE"""),0.0406)</f>
        <v>0.0406</v>
      </c>
      <c r="AH366" s="32">
        <f>IFERROR(__xludf.DUMMYFUNCTION("""COMPUTED_VALUE"""),20.722325)</f>
        <v>20.722325</v>
      </c>
      <c r="AI366" s="32">
        <f>IFERROR(__xludf.DUMMYFUNCTION("""COMPUTED_VALUE"""),0.3611370102680311)</f>
        <v>0.3611370103</v>
      </c>
      <c r="AJ366" s="32">
        <f>IFERROR(__xludf.DUMMYFUNCTION("""COMPUTED_VALUE"""),3.341743289293943)</f>
        <v>3.341743289</v>
      </c>
      <c r="AK366" s="32">
        <f>IFERROR(__xludf.DUMMYFUNCTION("""COMPUTED_VALUE"""),-39.1948)</f>
        <v>-39.1948</v>
      </c>
      <c r="AL366" s="32">
        <f>IFERROR(__xludf.DUMMYFUNCTION("""COMPUTED_VALUE"""),239.0698)</f>
        <v>239.0698</v>
      </c>
      <c r="AM366" s="32">
        <f>IFERROR(__xludf.DUMMYFUNCTION("""COMPUTED_VALUE"""),79.113876)</f>
        <v>79.113876</v>
      </c>
      <c r="AN366" s="32">
        <f>IFERROR(__xludf.DUMMYFUNCTION("""COMPUTED_VALUE"""),-319.311624)</f>
        <v>-319.311624</v>
      </c>
      <c r="AO366" s="32">
        <f>IFERROR(__xludf.DUMMYFUNCTION("""COMPUTED_VALUE"""),1.0)</f>
        <v>1</v>
      </c>
      <c r="AP366" s="32">
        <f>IFERROR(__xludf.DUMMYFUNCTION("""COMPUTED_VALUE"""),0.6719791944518538)</f>
        <v>0.6719791945</v>
      </c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>
      <c r="A367" s="13" t="str">
        <f>IFERROR(__xludf.DUMMYFUNCTION("""COMPUTED_VALUE"""),"Easy Trip Planners Ltd.")</f>
        <v>Easy Trip Planners Ltd.</v>
      </c>
      <c r="B367" s="30">
        <f>IFERROR(__xludf.DUMMYFUNCTION("""COMPUTED_VALUE"""),543272.0)</f>
        <v>543272</v>
      </c>
      <c r="C367" s="13" t="str">
        <f>IFERROR(__xludf.DUMMYFUNCTION("""COMPUTED_VALUE"""),"EASEMYTRIP")</f>
        <v>EASEMYTRIP</v>
      </c>
      <c r="D367" s="13" t="str">
        <f>IFERROR(__xludf.DUMMYFUNCTION("""COMPUTED_VALUE"""),"INE07O001018")</f>
        <v>INE07O001018</v>
      </c>
      <c r="E367" s="13" t="str">
        <f>IFERROR(__xludf.DUMMYFUNCTION("""COMPUTED_VALUE"""),"Services")</f>
        <v>Services</v>
      </c>
      <c r="F367" s="13" t="str">
        <f>IFERROR(__xludf.DUMMYFUNCTION("""COMPUTED_VALUE"""),"Travel &amp; Tourism")</f>
        <v>Travel &amp; Tourism</v>
      </c>
      <c r="G367" s="31">
        <f>IFERROR(__xludf.DUMMYFUNCTION("""COMPUTED_VALUE"""),44809.0)</f>
        <v>44809</v>
      </c>
      <c r="H367" s="32">
        <f>IFERROR(__xludf.DUMMYFUNCTION("""COMPUTED_VALUE"""),378.3)</f>
        <v>378.3</v>
      </c>
      <c r="I367" s="32">
        <f>IFERROR(__xludf.DUMMYFUNCTION("""COMPUTED_VALUE"""),-0.994504)</f>
        <v>-0.994504</v>
      </c>
      <c r="J367" s="32">
        <f>IFERROR(__xludf.DUMMYFUNCTION("""COMPUTED_VALUE"""),225.8)</f>
        <v>225.8</v>
      </c>
      <c r="K367" s="32">
        <f>IFERROR(__xludf.DUMMYFUNCTION("""COMPUTED_VALUE"""),476.5)</f>
        <v>476.5</v>
      </c>
      <c r="L367" s="13"/>
      <c r="M367" s="13"/>
      <c r="N367" s="13"/>
      <c r="O367" s="13"/>
      <c r="P367" s="32">
        <f>IFERROR(__xludf.DUMMYFUNCTION("""COMPUTED_VALUE"""),73.75)</f>
        <v>73.75</v>
      </c>
      <c r="Q367" s="32">
        <f>IFERROR(__xludf.DUMMYFUNCTION("""COMPUTED_VALUE"""),476.5)</f>
        <v>476.5</v>
      </c>
      <c r="R367" s="32">
        <f>IFERROR(__xludf.DUMMYFUNCTION("""COMPUTED_VALUE"""),8217.9078)</f>
        <v>8217.9078</v>
      </c>
      <c r="S367" s="32">
        <f>IFERROR(__xludf.DUMMYFUNCTION("""COMPUTED_VALUE"""),8227.9905)</f>
        <v>8227.9905</v>
      </c>
      <c r="T367" s="32">
        <f>IFERROR(__xludf.DUMMYFUNCTION("""COMPUTED_VALUE"""),-2.222797)</f>
        <v>-2.222797</v>
      </c>
      <c r="U367" s="32">
        <f>IFERROR(__xludf.DUMMYFUNCTION("""COMPUTED_VALUE"""),-8.76643)</f>
        <v>-8.76643</v>
      </c>
      <c r="V367" s="32">
        <f>IFERROR(__xludf.DUMMYFUNCTION("""COMPUTED_VALUE"""),-1.278706)</f>
        <v>-1.278706</v>
      </c>
      <c r="W367" s="32">
        <f>IFERROR(__xludf.DUMMYFUNCTION("""COMPUTED_VALUE"""),58.966278)</f>
        <v>58.966278</v>
      </c>
      <c r="X367" s="13"/>
      <c r="Y367" s="13"/>
      <c r="Z367" s="13"/>
      <c r="AA367" s="32">
        <f>IFERROR(__xludf.DUMMYFUNCTION("""COMPUTED_VALUE"""),66.4718)</f>
        <v>66.4718</v>
      </c>
      <c r="AB367" s="32">
        <f>IFERROR(__xludf.DUMMYFUNCTION("""COMPUTED_VALUE"""),80.7745)</f>
        <v>80.7745</v>
      </c>
      <c r="AC367" s="32">
        <f>IFERROR(__xludf.DUMMYFUNCTION("""COMPUTED_VALUE"""),30.5502)</f>
        <v>30.5502</v>
      </c>
      <c r="AD367" s="32">
        <f>IFERROR(__xludf.DUMMYFUNCTION("""COMPUTED_VALUE"""),32.4235)</f>
        <v>32.4235</v>
      </c>
      <c r="AE367" s="32">
        <f>IFERROR(__xludf.DUMMYFUNCTION("""COMPUTED_VALUE"""),2.42264)</f>
        <v>2.42264</v>
      </c>
      <c r="AF367" s="32">
        <f>IFERROR(__xludf.DUMMYFUNCTION("""COMPUTED_VALUE"""),0.989118)</f>
        <v>0.989118</v>
      </c>
      <c r="AG367" s="32">
        <f>IFERROR(__xludf.DUMMYFUNCTION("""COMPUTED_VALUE"""),0.2644)</f>
        <v>0.2644</v>
      </c>
      <c r="AH367" s="32">
        <f>IFERROR(__xludf.DUMMYFUNCTION("""COMPUTED_VALUE"""),48.095528)</f>
        <v>48.095528</v>
      </c>
      <c r="AI367" s="32">
        <f>IFERROR(__xludf.DUMMYFUNCTION("""COMPUTED_VALUE"""),29.48699586646382)</f>
        <v>29.48699587</v>
      </c>
      <c r="AJ367" s="32">
        <f>IFERROR(__xludf.DUMMYFUNCTION("""COMPUTED_VALUE"""),406.9479944537982)</f>
        <v>406.9479945</v>
      </c>
      <c r="AK367" s="32">
        <f>IFERROR(__xludf.DUMMYFUNCTION("""COMPUTED_VALUE"""),5.6896)</f>
        <v>5.6896</v>
      </c>
      <c r="AL367" s="32">
        <f>IFERROR(__xludf.DUMMYFUNCTION("""COMPUTED_VALUE"""),12.3796)</f>
        <v>12.3796</v>
      </c>
      <c r="AM367" s="32">
        <f>IFERROR(__xludf.DUMMYFUNCTION("""COMPUTED_VALUE"""),0.929357)</f>
        <v>0.929357</v>
      </c>
      <c r="AN367" s="32">
        <f>IFERROR(__xludf.DUMMYFUNCTION("""COMPUTED_VALUE"""),0.6096)</f>
        <v>0.6096</v>
      </c>
      <c r="AO367" s="32">
        <f>IFERROR(__xludf.DUMMYFUNCTION("""COMPUTED_VALUE"""),1.0)</f>
        <v>1</v>
      </c>
      <c r="AP367" s="32">
        <f>IFERROR(__xludf.DUMMYFUNCTION("""COMPUTED_VALUE"""),0.20608604407135359)</f>
        <v>0.2060860441</v>
      </c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>
      <c r="A368" s="13" t="str">
        <f>IFERROR(__xludf.DUMMYFUNCTION("""COMPUTED_VALUE"""),"eClerx Services Ltd.")</f>
        <v>eClerx Services Ltd.</v>
      </c>
      <c r="B368" s="30">
        <f>IFERROR(__xludf.DUMMYFUNCTION("""COMPUTED_VALUE"""),532927.0)</f>
        <v>532927</v>
      </c>
      <c r="C368" s="13" t="str">
        <f>IFERROR(__xludf.DUMMYFUNCTION("""COMPUTED_VALUE"""),"ECLERX")</f>
        <v>ECLERX</v>
      </c>
      <c r="D368" s="13" t="str">
        <f>IFERROR(__xludf.DUMMYFUNCTION("""COMPUTED_VALUE"""),"INE738I01010")</f>
        <v>INE738I01010</v>
      </c>
      <c r="E368" s="13" t="str">
        <f>IFERROR(__xludf.DUMMYFUNCTION("""COMPUTED_VALUE"""),"Services")</f>
        <v>Services</v>
      </c>
      <c r="F368" s="13" t="str">
        <f>IFERROR(__xludf.DUMMYFUNCTION("""COMPUTED_VALUE"""),"Misc.Other Services")</f>
        <v>Misc.Other Services</v>
      </c>
      <c r="G368" s="31">
        <f>IFERROR(__xludf.DUMMYFUNCTION("""COMPUTED_VALUE"""),44809.0)</f>
        <v>44809</v>
      </c>
      <c r="H368" s="32">
        <f>IFERROR(__xludf.DUMMYFUNCTION("""COMPUTED_VALUE"""),2159.2)</f>
        <v>2159.2</v>
      </c>
      <c r="I368" s="32">
        <f>IFERROR(__xludf.DUMMYFUNCTION("""COMPUTED_VALUE"""),0.36722)</f>
        <v>0.36722</v>
      </c>
      <c r="J368" s="32">
        <f>IFERROR(__xludf.DUMMYFUNCTION("""COMPUTED_VALUE"""),1755.65)</f>
        <v>1755.65</v>
      </c>
      <c r="K368" s="32">
        <f>IFERROR(__xludf.DUMMYFUNCTION("""COMPUTED_VALUE"""),2970.0)</f>
        <v>2970</v>
      </c>
      <c r="L368" s="32">
        <f>IFERROR(__xludf.DUMMYFUNCTION("""COMPUTED_VALUE"""),320.0)</f>
        <v>320</v>
      </c>
      <c r="M368" s="32">
        <f>IFERROR(__xludf.DUMMYFUNCTION("""COMPUTED_VALUE"""),2970.0)</f>
        <v>2970</v>
      </c>
      <c r="N368" s="32">
        <f>IFERROR(__xludf.DUMMYFUNCTION("""COMPUTED_VALUE"""),320.0)</f>
        <v>320</v>
      </c>
      <c r="O368" s="32">
        <f>IFERROR(__xludf.DUMMYFUNCTION("""COMPUTED_VALUE"""),2970.0)</f>
        <v>2970</v>
      </c>
      <c r="P368" s="32">
        <f>IFERROR(__xludf.DUMMYFUNCTION("""COMPUTED_VALUE"""),36.15)</f>
        <v>36.15</v>
      </c>
      <c r="Q368" s="32">
        <f>IFERROR(__xludf.DUMMYFUNCTION("""COMPUTED_VALUE"""),2970.0)</f>
        <v>2970</v>
      </c>
      <c r="R368" s="32">
        <f>IFERROR(__xludf.DUMMYFUNCTION("""COMPUTED_VALUE"""),7275.557481465)</f>
        <v>7275.557481</v>
      </c>
      <c r="S368" s="32">
        <f>IFERROR(__xludf.DUMMYFUNCTION("""COMPUTED_VALUE"""),6601.665053065)</f>
        <v>6601.665053</v>
      </c>
      <c r="T368" s="32">
        <f>IFERROR(__xludf.DUMMYFUNCTION("""COMPUTED_VALUE"""),-1.843391)</f>
        <v>-1.843391</v>
      </c>
      <c r="U368" s="32">
        <f>IFERROR(__xludf.DUMMYFUNCTION("""COMPUTED_VALUE"""),-5.449609)</f>
        <v>-5.449609</v>
      </c>
      <c r="V368" s="32">
        <f>IFERROR(__xludf.DUMMYFUNCTION("""COMPUTED_VALUE"""),1.382791)</f>
        <v>1.382791</v>
      </c>
      <c r="W368" s="32">
        <f>IFERROR(__xludf.DUMMYFUNCTION("""COMPUTED_VALUE"""),-3.604991)</f>
        <v>-3.604991</v>
      </c>
      <c r="X368" s="32">
        <f>IFERROR(__xludf.DUMMYFUNCTION("""COMPUTED_VALUE"""),65.219522)</f>
        <v>65.219522</v>
      </c>
      <c r="Y368" s="32">
        <f>IFERROR(__xludf.DUMMYFUNCTION("""COMPUTED_VALUE"""),11.478763)</f>
        <v>11.478763</v>
      </c>
      <c r="Z368" s="32">
        <f>IFERROR(__xludf.DUMMYFUNCTION("""COMPUTED_VALUE"""),14.286877)</f>
        <v>14.286877</v>
      </c>
      <c r="AA368" s="32">
        <f>IFERROR(__xludf.DUMMYFUNCTION("""COMPUTED_VALUE"""),17.1072)</f>
        <v>17.1072</v>
      </c>
      <c r="AB368" s="32">
        <f>IFERROR(__xludf.DUMMYFUNCTION("""COMPUTED_VALUE"""),16.37335)</f>
        <v>16.37335</v>
      </c>
      <c r="AC368" s="32">
        <f>IFERROR(__xludf.DUMMYFUNCTION("""COMPUTED_VALUE"""),4.3904)</f>
        <v>4.3904</v>
      </c>
      <c r="AD368" s="32">
        <f>IFERROR(__xludf.DUMMYFUNCTION("""COMPUTED_VALUE"""),3.2619)</f>
        <v>3.2619</v>
      </c>
      <c r="AE368" s="32">
        <f>IFERROR(__xludf.DUMMYFUNCTION("""COMPUTED_VALUE"""),9.605375)</f>
        <v>9.605375</v>
      </c>
      <c r="AF368" s="32">
        <f>IFERROR(__xludf.DUMMYFUNCTION("""COMPUTED_VALUE"""),3.605123)</f>
        <v>3.605123</v>
      </c>
      <c r="AG368" s="32">
        <f>IFERROR(__xludf.DUMMYFUNCTION("""COMPUTED_VALUE"""),0.0464)</f>
        <v>0.0464</v>
      </c>
      <c r="AH368" s="32">
        <f>IFERROR(__xludf.DUMMYFUNCTION("""COMPUTED_VALUE"""),9.430384)</f>
        <v>9.430384</v>
      </c>
      <c r="AI368" s="32">
        <f>IFERROR(__xludf.DUMMYFUNCTION("""COMPUTED_VALUE"""),3.1744377995152537)</f>
        <v>3.1744378</v>
      </c>
      <c r="AJ368" s="32">
        <f>IFERROR(__xludf.DUMMYFUNCTION("""COMPUTED_VALUE"""),16.233887247200286)</f>
        <v>16.23388725</v>
      </c>
      <c r="AK368" s="32">
        <f>IFERROR(__xludf.DUMMYFUNCTION("""COMPUTED_VALUE"""),125.728)</f>
        <v>125.728</v>
      </c>
      <c r="AL368" s="32">
        <f>IFERROR(__xludf.DUMMYFUNCTION("""COMPUTED_VALUE"""),489.8978)</f>
        <v>489.8978</v>
      </c>
      <c r="AM368" s="32">
        <f>IFERROR(__xludf.DUMMYFUNCTION("""COMPUTED_VALUE"""),135.407275)</f>
        <v>135.407275</v>
      </c>
      <c r="AN368" s="32">
        <f>IFERROR(__xludf.DUMMYFUNCTION("""COMPUTED_VALUE"""),-213.632244)</f>
        <v>-213.632244</v>
      </c>
      <c r="AO368" s="32">
        <f>IFERROR(__xludf.DUMMYFUNCTION("""COMPUTED_VALUE"""),1.0)</f>
        <v>1</v>
      </c>
      <c r="AP368" s="32">
        <f>IFERROR(__xludf.DUMMYFUNCTION("""COMPUTED_VALUE"""),0.27299663299663307)</f>
        <v>0.272996633</v>
      </c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>
      <c r="A369" s="13" t="str">
        <f>IFERROR(__xludf.DUMMYFUNCTION("""COMPUTED_VALUE"""),"Minda Corporation Ltd.")</f>
        <v>Minda Corporation Ltd.</v>
      </c>
      <c r="B369" s="30">
        <f>IFERROR(__xludf.DUMMYFUNCTION("""COMPUTED_VALUE"""),538962.0)</f>
        <v>538962</v>
      </c>
      <c r="C369" s="13" t="str">
        <f>IFERROR(__xludf.DUMMYFUNCTION("""COMPUTED_VALUE"""),"MINDACORP")</f>
        <v>MINDACORP</v>
      </c>
      <c r="D369" s="13" t="str">
        <f>IFERROR(__xludf.DUMMYFUNCTION("""COMPUTED_VALUE"""),"INE842C01021")</f>
        <v>INE842C01021</v>
      </c>
      <c r="E369" s="13" t="str">
        <f>IFERROR(__xludf.DUMMYFUNCTION("""COMPUTED_VALUE"""),"Automobile")</f>
        <v>Automobile</v>
      </c>
      <c r="F369" s="13" t="str">
        <f>IFERROR(__xludf.DUMMYFUNCTION("""COMPUTED_VALUE"""),"Auto Ancillaries")</f>
        <v>Auto Ancillaries</v>
      </c>
      <c r="G369" s="31">
        <f>IFERROR(__xludf.DUMMYFUNCTION("""COMPUTED_VALUE"""),44809.0)</f>
        <v>44809</v>
      </c>
      <c r="H369" s="32">
        <f>IFERROR(__xludf.DUMMYFUNCTION("""COMPUTED_VALUE"""),223.85)</f>
        <v>223.85</v>
      </c>
      <c r="I369" s="32">
        <f>IFERROR(__xludf.DUMMYFUNCTION("""COMPUTED_VALUE"""),0.067054)</f>
        <v>0.067054</v>
      </c>
      <c r="J369" s="32">
        <f>IFERROR(__xludf.DUMMYFUNCTION("""COMPUTED_VALUE"""),118.7)</f>
        <v>118.7</v>
      </c>
      <c r="K369" s="32">
        <f>IFERROR(__xludf.DUMMYFUNCTION("""COMPUTED_VALUE"""),287.0)</f>
        <v>287</v>
      </c>
      <c r="L369" s="32">
        <f>IFERROR(__xludf.DUMMYFUNCTION("""COMPUTED_VALUE"""),52.6)</f>
        <v>52.6</v>
      </c>
      <c r="M369" s="32">
        <f>IFERROR(__xludf.DUMMYFUNCTION("""COMPUTED_VALUE"""),287.0)</f>
        <v>287</v>
      </c>
      <c r="N369" s="32">
        <f>IFERROR(__xludf.DUMMYFUNCTION("""COMPUTED_VALUE"""),52.6)</f>
        <v>52.6</v>
      </c>
      <c r="O369" s="32">
        <f>IFERROR(__xludf.DUMMYFUNCTION("""COMPUTED_VALUE"""),287.0)</f>
        <v>287</v>
      </c>
      <c r="P369" s="32">
        <f>IFERROR(__xludf.DUMMYFUNCTION("""COMPUTED_VALUE"""),4.5)</f>
        <v>4.5</v>
      </c>
      <c r="Q369" s="32">
        <f>IFERROR(__xludf.DUMMYFUNCTION("""COMPUTED_VALUE"""),287.0)</f>
        <v>287</v>
      </c>
      <c r="R369" s="32">
        <f>IFERROR(__xludf.DUMMYFUNCTION("""COMPUTED_VALUE"""),5378.09173286)</f>
        <v>5378.091733</v>
      </c>
      <c r="S369" s="32">
        <f>IFERROR(__xludf.DUMMYFUNCTION("""COMPUTED_VALUE"""),5407.4022015)</f>
        <v>5407.402202</v>
      </c>
      <c r="T369" s="32">
        <f>IFERROR(__xludf.DUMMYFUNCTION("""COMPUTED_VALUE"""),0.4262)</f>
        <v>0.4262</v>
      </c>
      <c r="U369" s="32">
        <f>IFERROR(__xludf.DUMMYFUNCTION("""COMPUTED_VALUE"""),-2.737345)</f>
        <v>-2.737345</v>
      </c>
      <c r="V369" s="32">
        <f>IFERROR(__xludf.DUMMYFUNCTION("""COMPUTED_VALUE"""),5.714286)</f>
        <v>5.714286</v>
      </c>
      <c r="W369" s="32">
        <f>IFERROR(__xludf.DUMMYFUNCTION("""COMPUTED_VALUE"""),71.993853)</f>
        <v>71.993853</v>
      </c>
      <c r="X369" s="32">
        <f>IFERROR(__xludf.DUMMYFUNCTION("""COMPUTED_VALUE"""),37.160546)</f>
        <v>37.160546</v>
      </c>
      <c r="Y369" s="32">
        <f>IFERROR(__xludf.DUMMYFUNCTION("""COMPUTED_VALUE"""),15.008891)</f>
        <v>15.008891</v>
      </c>
      <c r="Z369" s="32">
        <f>IFERROR(__xludf.DUMMYFUNCTION("""COMPUTED_VALUE"""),43.560863)</f>
        <v>43.560863</v>
      </c>
      <c r="AA369" s="32">
        <f>IFERROR(__xludf.DUMMYFUNCTION("""COMPUTED_VALUE"""),22.6675)</f>
        <v>22.6675</v>
      </c>
      <c r="AB369" s="32">
        <f>IFERROR(__xludf.DUMMYFUNCTION("""COMPUTED_VALUE"""),22.6582)</f>
        <v>22.6582</v>
      </c>
      <c r="AC369" s="32">
        <f>IFERROR(__xludf.DUMMYFUNCTION("""COMPUTED_VALUE"""),3.8966)</f>
        <v>3.8966</v>
      </c>
      <c r="AD369" s="32">
        <f>IFERROR(__xludf.DUMMYFUNCTION("""COMPUTED_VALUE"""),2.6517)</f>
        <v>2.6517</v>
      </c>
      <c r="AE369" s="32">
        <f>IFERROR(__xludf.DUMMYFUNCTION("""COMPUTED_VALUE"""),5.393949)</f>
        <v>5.393949</v>
      </c>
      <c r="AF369" s="32">
        <f>IFERROR(__xludf.DUMMYFUNCTION("""COMPUTED_VALUE"""),1.376648)</f>
        <v>1.376648</v>
      </c>
      <c r="AG369" s="32">
        <f>IFERROR(__xludf.DUMMYFUNCTION("""COMPUTED_VALUE"""),0.4469)</f>
        <v>0.4469</v>
      </c>
      <c r="AH369" s="32">
        <f>IFERROR(__xludf.DUMMYFUNCTION("""COMPUTED_VALUE"""),13.827198)</f>
        <v>13.827198</v>
      </c>
      <c r="AI369" s="32">
        <f>IFERROR(__xludf.DUMMYFUNCTION("""COMPUTED_VALUE"""),1.569077543102216)</f>
        <v>1.569077543</v>
      </c>
      <c r="AJ369" s="32">
        <f>IFERROR(__xludf.DUMMYFUNCTION("""COMPUTED_VALUE"""),32.24275619220624)</f>
        <v>32.24275619</v>
      </c>
      <c r="AK369" s="32">
        <f>IFERROR(__xludf.DUMMYFUNCTION("""COMPUTED_VALUE"""),9.9239)</f>
        <v>9.9239</v>
      </c>
      <c r="AL369" s="32">
        <f>IFERROR(__xludf.DUMMYFUNCTION("""COMPUTED_VALUE"""),57.7296)</f>
        <v>57.7296</v>
      </c>
      <c r="AM369" s="32">
        <f>IFERROR(__xludf.DUMMYFUNCTION("""COMPUTED_VALUE"""),6.979079)</f>
        <v>6.979079</v>
      </c>
      <c r="AN369" s="32">
        <f>IFERROR(__xludf.DUMMYFUNCTION("""COMPUTED_VALUE"""),4.075314)</f>
        <v>4.075314</v>
      </c>
      <c r="AO369" s="32">
        <f>IFERROR(__xludf.DUMMYFUNCTION("""COMPUTED_VALUE"""),1.0)</f>
        <v>1</v>
      </c>
      <c r="AP369" s="32">
        <f>IFERROR(__xludf.DUMMYFUNCTION("""COMPUTED_VALUE"""),0.22003484320557493)</f>
        <v>0.2200348432</v>
      </c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>
      <c r="A370" s="13" t="str">
        <f>IFERROR(__xludf.DUMMYFUNCTION("""COMPUTED_VALUE"""),"Narayana Hrudayalaya Ltd.")</f>
        <v>Narayana Hrudayalaya Ltd.</v>
      </c>
      <c r="B370" s="30">
        <f>IFERROR(__xludf.DUMMYFUNCTION("""COMPUTED_VALUE"""),539551.0)</f>
        <v>539551</v>
      </c>
      <c r="C370" s="13" t="str">
        <f>IFERROR(__xludf.DUMMYFUNCTION("""COMPUTED_VALUE"""),"NH")</f>
        <v>NH</v>
      </c>
      <c r="D370" s="13" t="str">
        <f>IFERROR(__xludf.DUMMYFUNCTION("""COMPUTED_VALUE"""),"INE410P01011")</f>
        <v>INE410P01011</v>
      </c>
      <c r="E370" s="13" t="str">
        <f>IFERROR(__xludf.DUMMYFUNCTION("""COMPUTED_VALUE"""),"Healthcare")</f>
        <v>Healthcare</v>
      </c>
      <c r="F370" s="13" t="str">
        <f>IFERROR(__xludf.DUMMYFUNCTION("""COMPUTED_VALUE"""),"Health Services")</f>
        <v>Health Services</v>
      </c>
      <c r="G370" s="31">
        <f>IFERROR(__xludf.DUMMYFUNCTION("""COMPUTED_VALUE"""),44809.0)</f>
        <v>44809</v>
      </c>
      <c r="H370" s="32">
        <f>IFERROR(__xludf.DUMMYFUNCTION("""COMPUTED_VALUE"""),706.75)</f>
        <v>706.75</v>
      </c>
      <c r="I370" s="32">
        <f>IFERROR(__xludf.DUMMYFUNCTION("""COMPUTED_VALUE"""),-0.973799)</f>
        <v>-0.973799</v>
      </c>
      <c r="J370" s="32">
        <f>IFERROR(__xludf.DUMMYFUNCTION("""COMPUTED_VALUE"""),491.9)</f>
        <v>491.9</v>
      </c>
      <c r="K370" s="32">
        <f>IFERROR(__xludf.DUMMYFUNCTION("""COMPUTED_VALUE"""),777.0)</f>
        <v>777</v>
      </c>
      <c r="L370" s="32">
        <f>IFERROR(__xludf.DUMMYFUNCTION("""COMPUTED_VALUE"""),204.0)</f>
        <v>204</v>
      </c>
      <c r="M370" s="32">
        <f>IFERROR(__xludf.DUMMYFUNCTION("""COMPUTED_VALUE"""),777.0)</f>
        <v>777</v>
      </c>
      <c r="N370" s="32">
        <f>IFERROR(__xludf.DUMMYFUNCTION("""COMPUTED_VALUE"""),181.35)</f>
        <v>181.35</v>
      </c>
      <c r="O370" s="32">
        <f>IFERROR(__xludf.DUMMYFUNCTION("""COMPUTED_VALUE"""),777.0)</f>
        <v>777</v>
      </c>
      <c r="P370" s="32">
        <f>IFERROR(__xludf.DUMMYFUNCTION("""COMPUTED_VALUE"""),181.35)</f>
        <v>181.35</v>
      </c>
      <c r="Q370" s="32">
        <f>IFERROR(__xludf.DUMMYFUNCTION("""COMPUTED_VALUE"""),777.0)</f>
        <v>777</v>
      </c>
      <c r="R370" s="32">
        <f>IFERROR(__xludf.DUMMYFUNCTION("""COMPUTED_VALUE"""),14448.3088428)</f>
        <v>14448.30884</v>
      </c>
      <c r="S370" s="32">
        <f>IFERROR(__xludf.DUMMYFUNCTION("""COMPUTED_VALUE"""),14803.19608902)</f>
        <v>14803.19609</v>
      </c>
      <c r="T370" s="32">
        <f>IFERROR(__xludf.DUMMYFUNCTION("""COMPUTED_VALUE"""),2.979746)</f>
        <v>2.979746</v>
      </c>
      <c r="U370" s="32">
        <f>IFERROR(__xludf.DUMMYFUNCTION("""COMPUTED_VALUE"""),10.446945)</f>
        <v>10.446945</v>
      </c>
      <c r="V370" s="32">
        <f>IFERROR(__xludf.DUMMYFUNCTION("""COMPUTED_VALUE"""),9.226489)</f>
        <v>9.226489</v>
      </c>
      <c r="W370" s="32">
        <f>IFERROR(__xludf.DUMMYFUNCTION("""COMPUTED_VALUE"""),37.29966)</f>
        <v>37.29966</v>
      </c>
      <c r="X370" s="32">
        <f>IFERROR(__xludf.DUMMYFUNCTION("""COMPUTED_VALUE"""),44.272604)</f>
        <v>44.272604</v>
      </c>
      <c r="Y370" s="32">
        <f>IFERROR(__xludf.DUMMYFUNCTION("""COMPUTED_VALUE"""),19.211114)</f>
        <v>19.211114</v>
      </c>
      <c r="Z370" s="13"/>
      <c r="AA370" s="32">
        <f>IFERROR(__xludf.DUMMYFUNCTION("""COMPUTED_VALUE"""),38.3954)</f>
        <v>38.3954</v>
      </c>
      <c r="AB370" s="32">
        <f>IFERROR(__xludf.DUMMYFUNCTION("""COMPUTED_VALUE"""),57.99415)</f>
        <v>57.99415</v>
      </c>
      <c r="AC370" s="32">
        <f>IFERROR(__xludf.DUMMYFUNCTION("""COMPUTED_VALUE"""),9.0514)</f>
        <v>9.0514</v>
      </c>
      <c r="AD370" s="32">
        <f>IFERROR(__xludf.DUMMYFUNCTION("""COMPUTED_VALUE"""),6.065443)</f>
        <v>6.065443</v>
      </c>
      <c r="AE370" s="32">
        <f>IFERROR(__xludf.DUMMYFUNCTION("""COMPUTED_VALUE"""),4.072499)</f>
        <v>4.072499</v>
      </c>
      <c r="AF370" s="32">
        <f>IFERROR(__xludf.DUMMYFUNCTION("""COMPUTED_VALUE"""),1.088356)</f>
        <v>1.088356</v>
      </c>
      <c r="AG370" s="32">
        <f>IFERROR(__xludf.DUMMYFUNCTION("""COMPUTED_VALUE"""),0.1415)</f>
        <v>0.1415</v>
      </c>
      <c r="AH370" s="32">
        <f>IFERROR(__xludf.DUMMYFUNCTION("""COMPUTED_VALUE"""),19.798442)</f>
        <v>19.798442</v>
      </c>
      <c r="AI370" s="32">
        <f>IFERROR(__xludf.DUMMYFUNCTION("""COMPUTED_VALUE"""),3.729510161923568)</f>
        <v>3.729510162</v>
      </c>
      <c r="AJ370" s="32">
        <f>IFERROR(__xludf.DUMMYFUNCTION("""COMPUTED_VALUE"""),29.7892833504805)</f>
        <v>29.78928335</v>
      </c>
      <c r="AK370" s="32">
        <f>IFERROR(__xludf.DUMMYFUNCTION("""COMPUTED_VALUE"""),18.4137)</f>
        <v>18.4137</v>
      </c>
      <c r="AL370" s="32">
        <f>IFERROR(__xludf.DUMMYFUNCTION("""COMPUTED_VALUE"""),78.1099)</f>
        <v>78.1099</v>
      </c>
      <c r="AM370" s="32">
        <f>IFERROR(__xludf.DUMMYFUNCTION("""COMPUTED_VALUE"""),23.733344)</f>
        <v>23.733344</v>
      </c>
      <c r="AN370" s="32">
        <f>IFERROR(__xludf.DUMMYFUNCTION("""COMPUTED_VALUE"""),6.443548)</f>
        <v>6.443548</v>
      </c>
      <c r="AO370" s="32">
        <f>IFERROR(__xludf.DUMMYFUNCTION("""COMPUTED_VALUE"""),1.0)</f>
        <v>1</v>
      </c>
      <c r="AP370" s="32">
        <f>IFERROR(__xludf.DUMMYFUNCTION("""COMPUTED_VALUE"""),0.09041184041184042)</f>
        <v>0.09041184041</v>
      </c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>
      <c r="A371" s="13" t="str">
        <f>IFERROR(__xludf.DUMMYFUNCTION("""COMPUTED_VALUE"""),"Rain Industries Ltd.")</f>
        <v>Rain Industries Ltd.</v>
      </c>
      <c r="B371" s="30">
        <f>IFERROR(__xludf.DUMMYFUNCTION("""COMPUTED_VALUE"""),500339.0)</f>
        <v>500339</v>
      </c>
      <c r="C371" s="13" t="str">
        <f>IFERROR(__xludf.DUMMYFUNCTION("""COMPUTED_VALUE"""),"RAIN")</f>
        <v>RAIN</v>
      </c>
      <c r="D371" s="13" t="str">
        <f>IFERROR(__xludf.DUMMYFUNCTION("""COMPUTED_VALUE"""),"INE855B01025")</f>
        <v>INE855B01025</v>
      </c>
      <c r="E371" s="13" t="str">
        <f>IFERROR(__xludf.DUMMYFUNCTION("""COMPUTED_VALUE"""),"Chemicals")</f>
        <v>Chemicals</v>
      </c>
      <c r="F371" s="13" t="str">
        <f>IFERROR(__xludf.DUMMYFUNCTION("""COMPUTED_VALUE"""),"Misc.Chem.")</f>
        <v>Misc.Chem.</v>
      </c>
      <c r="G371" s="31">
        <f>IFERROR(__xludf.DUMMYFUNCTION("""COMPUTED_VALUE"""),44809.0)</f>
        <v>44809</v>
      </c>
      <c r="H371" s="32">
        <f>IFERROR(__xludf.DUMMYFUNCTION("""COMPUTED_VALUE"""),203.9)</f>
        <v>203.9</v>
      </c>
      <c r="I371" s="32">
        <f>IFERROR(__xludf.DUMMYFUNCTION("""COMPUTED_VALUE"""),3.713123)</f>
        <v>3.713123</v>
      </c>
      <c r="J371" s="32">
        <f>IFERROR(__xludf.DUMMYFUNCTION("""COMPUTED_VALUE"""),128.6)</f>
        <v>128.6</v>
      </c>
      <c r="K371" s="32">
        <f>IFERROR(__xludf.DUMMYFUNCTION("""COMPUTED_VALUE"""),259.5)</f>
        <v>259.5</v>
      </c>
      <c r="L371" s="32">
        <f>IFERROR(__xludf.DUMMYFUNCTION("""COMPUTED_VALUE"""),44.75)</f>
        <v>44.75</v>
      </c>
      <c r="M371" s="32">
        <f>IFERROR(__xludf.DUMMYFUNCTION("""COMPUTED_VALUE"""),272.9)</f>
        <v>272.9</v>
      </c>
      <c r="N371" s="32">
        <f>IFERROR(__xludf.DUMMYFUNCTION("""COMPUTED_VALUE"""),44.75)</f>
        <v>44.75</v>
      </c>
      <c r="O371" s="32">
        <f>IFERROR(__xludf.DUMMYFUNCTION("""COMPUTED_VALUE"""),475.5)</f>
        <v>475.5</v>
      </c>
      <c r="P371" s="32">
        <f>IFERROR(__xludf.DUMMYFUNCTION("""COMPUTED_VALUE"""),0.0)</f>
        <v>0</v>
      </c>
      <c r="Q371" s="32">
        <f>IFERROR(__xludf.DUMMYFUNCTION("""COMPUTED_VALUE"""),475.5)</f>
        <v>475.5</v>
      </c>
      <c r="R371" s="32">
        <f>IFERROR(__xludf.DUMMYFUNCTION("""COMPUTED_VALUE"""),6858.08839481)</f>
        <v>6858.088395</v>
      </c>
      <c r="S371" s="32">
        <f>IFERROR(__xludf.DUMMYFUNCTION("""COMPUTED_VALUE"""),13704.38322198)</f>
        <v>13704.38322</v>
      </c>
      <c r="T371" s="32">
        <f>IFERROR(__xludf.DUMMYFUNCTION("""COMPUTED_VALUE"""),2.565392)</f>
        <v>2.565392</v>
      </c>
      <c r="U371" s="32">
        <f>IFERROR(__xludf.DUMMYFUNCTION("""COMPUTED_VALUE"""),7.428872)</f>
        <v>7.428872</v>
      </c>
      <c r="V371" s="32">
        <f>IFERROR(__xludf.DUMMYFUNCTION("""COMPUTED_VALUE"""),21.513707)</f>
        <v>21.513707</v>
      </c>
      <c r="W371" s="32">
        <f>IFERROR(__xludf.DUMMYFUNCTION("""COMPUTED_VALUE"""),-8.111762)</f>
        <v>-8.111762</v>
      </c>
      <c r="X371" s="32">
        <f>IFERROR(__xludf.DUMMYFUNCTION("""COMPUTED_VALUE"""),35.921158)</f>
        <v>35.921158</v>
      </c>
      <c r="Y371" s="32">
        <f>IFERROR(__xludf.DUMMYFUNCTION("""COMPUTED_VALUE"""),7.368528)</f>
        <v>7.368528</v>
      </c>
      <c r="Z371" s="32">
        <f>IFERROR(__xludf.DUMMYFUNCTION("""COMPUTED_VALUE"""),18.59405)</f>
        <v>18.59405</v>
      </c>
      <c r="AA371" s="32">
        <f>IFERROR(__xludf.DUMMYFUNCTION("""COMPUTED_VALUE"""),6.3423)</f>
        <v>6.3423</v>
      </c>
      <c r="AB371" s="32">
        <f>IFERROR(__xludf.DUMMYFUNCTION("""COMPUTED_VALUE"""),8.9046)</f>
        <v>8.9046</v>
      </c>
      <c r="AC371" s="32">
        <f>IFERROR(__xludf.DUMMYFUNCTION("""COMPUTED_VALUE"""),0.9257)</f>
        <v>0.9257</v>
      </c>
      <c r="AD371" s="32">
        <f>IFERROR(__xludf.DUMMYFUNCTION("""COMPUTED_VALUE"""),0.9057)</f>
        <v>0.9057</v>
      </c>
      <c r="AE371" s="32">
        <f>IFERROR(__xludf.DUMMYFUNCTION("""COMPUTED_VALUE"""),18.876834)</f>
        <v>18.876834</v>
      </c>
      <c r="AF371" s="32">
        <f>IFERROR(__xludf.DUMMYFUNCTION("""COMPUTED_VALUE"""),0.278647)</f>
        <v>0.278647</v>
      </c>
      <c r="AG371" s="32">
        <f>IFERROR(__xludf.DUMMYFUNCTION("""COMPUTED_VALUE"""),0.491)</f>
        <v>0.491</v>
      </c>
      <c r="AH371" s="32">
        <f>IFERROR(__xludf.DUMMYFUNCTION("""COMPUTED_VALUE"""),4.193346)</f>
        <v>4.193346</v>
      </c>
      <c r="AI371" s="32">
        <f>IFERROR(__xludf.DUMMYFUNCTION("""COMPUTED_VALUE"""),0.3841604474223995)</f>
        <v>0.3841604474</v>
      </c>
      <c r="AJ371" s="32">
        <f>IFERROR(__xludf.DUMMYFUNCTION("""COMPUTED_VALUE"""),8.22719184394449)</f>
        <v>8.227191844</v>
      </c>
      <c r="AK371" s="32">
        <f>IFERROR(__xludf.DUMMYFUNCTION("""COMPUTED_VALUE"""),32.2438)</f>
        <v>32.2438</v>
      </c>
      <c r="AL371" s="32">
        <f>IFERROR(__xludf.DUMMYFUNCTION("""COMPUTED_VALUE"""),220.9179)</f>
        <v>220.9179</v>
      </c>
      <c r="AM371" s="32">
        <f>IFERROR(__xludf.DUMMYFUNCTION("""COMPUTED_VALUE"""),24.783719)</f>
        <v>24.783719</v>
      </c>
      <c r="AN371" s="32">
        <f>IFERROR(__xludf.DUMMYFUNCTION("""COMPUTED_VALUE"""),-5.886337)</f>
        <v>-5.886337</v>
      </c>
      <c r="AO371" s="32">
        <f>IFERROR(__xludf.DUMMYFUNCTION("""COMPUTED_VALUE"""),1.0)</f>
        <v>1</v>
      </c>
      <c r="AP371" s="32">
        <f>IFERROR(__xludf.DUMMYFUNCTION("""COMPUTED_VALUE"""),0.2142581888246628)</f>
        <v>0.2142581888</v>
      </c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>
      <c r="A372" s="13" t="str">
        <f>IFERROR(__xludf.DUMMYFUNCTION("""COMPUTED_VALUE"""),"Rajesh Exports Ltd.")</f>
        <v>Rajesh Exports Ltd.</v>
      </c>
      <c r="B372" s="30">
        <f>IFERROR(__xludf.DUMMYFUNCTION("""COMPUTED_VALUE"""),531500.0)</f>
        <v>531500</v>
      </c>
      <c r="C372" s="13" t="str">
        <f>IFERROR(__xludf.DUMMYFUNCTION("""COMPUTED_VALUE"""),"RAJESHEXPO")</f>
        <v>RAJESHEXPO</v>
      </c>
      <c r="D372" s="13" t="str">
        <f>IFERROR(__xludf.DUMMYFUNCTION("""COMPUTED_VALUE"""),"INE343B01030")</f>
        <v>INE343B01030</v>
      </c>
      <c r="E372" s="13" t="str">
        <f>IFERROR(__xludf.DUMMYFUNCTION("""COMPUTED_VALUE"""),"Consumer Discretionary")</f>
        <v>Consumer Discretionary</v>
      </c>
      <c r="F372" s="13" t="str">
        <f>IFERROR(__xludf.DUMMYFUNCTION("""COMPUTED_VALUE"""),"Gems, Jewellery &amp; Accessories")</f>
        <v>Gems, Jewellery &amp; Accessories</v>
      </c>
      <c r="G372" s="31">
        <f>IFERROR(__xludf.DUMMYFUNCTION("""COMPUTED_VALUE"""),44809.0)</f>
        <v>44809</v>
      </c>
      <c r="H372" s="32">
        <f>IFERROR(__xludf.DUMMYFUNCTION("""COMPUTED_VALUE"""),580.05)</f>
        <v>580.05</v>
      </c>
      <c r="I372" s="32">
        <f>IFERROR(__xludf.DUMMYFUNCTION("""COMPUTED_VALUE"""),-0.880041)</f>
        <v>-0.880041</v>
      </c>
      <c r="J372" s="32">
        <f>IFERROR(__xludf.DUMMYFUNCTION("""COMPUTED_VALUE"""),518.5)</f>
        <v>518.5</v>
      </c>
      <c r="K372" s="32">
        <f>IFERROR(__xludf.DUMMYFUNCTION("""COMPUTED_VALUE"""),994.7)</f>
        <v>994.7</v>
      </c>
      <c r="L372" s="32">
        <f>IFERROR(__xludf.DUMMYFUNCTION("""COMPUTED_VALUE"""),440.8)</f>
        <v>440.8</v>
      </c>
      <c r="M372" s="32">
        <f>IFERROR(__xludf.DUMMYFUNCTION("""COMPUTED_VALUE"""),994.7)</f>
        <v>994.7</v>
      </c>
      <c r="N372" s="32">
        <f>IFERROR(__xludf.DUMMYFUNCTION("""COMPUTED_VALUE"""),440.8)</f>
        <v>440.8</v>
      </c>
      <c r="O372" s="32">
        <f>IFERROR(__xludf.DUMMYFUNCTION("""COMPUTED_VALUE"""),994.7)</f>
        <v>994.7</v>
      </c>
      <c r="P372" s="32">
        <f>IFERROR(__xludf.DUMMYFUNCTION("""COMPUTED_VALUE"""),0.0)</f>
        <v>0</v>
      </c>
      <c r="Q372" s="32">
        <f>IFERROR(__xludf.DUMMYFUNCTION("""COMPUTED_VALUE"""),994.7)</f>
        <v>994.7</v>
      </c>
      <c r="R372" s="32">
        <f>IFERROR(__xludf.DUMMYFUNCTION("""COMPUTED_VALUE"""),17129.506521385)</f>
        <v>17129.50652</v>
      </c>
      <c r="S372" s="32">
        <f>IFERROR(__xludf.DUMMYFUNCTION("""COMPUTED_VALUE"""),16208.24140601)</f>
        <v>16208.24141</v>
      </c>
      <c r="T372" s="32">
        <f>IFERROR(__xludf.DUMMYFUNCTION("""COMPUTED_VALUE"""),-2.863602)</f>
        <v>-2.863602</v>
      </c>
      <c r="U372" s="32">
        <f>IFERROR(__xludf.DUMMYFUNCTION("""COMPUTED_VALUE"""),-7.221689)</f>
        <v>-7.221689</v>
      </c>
      <c r="V372" s="32">
        <f>IFERROR(__xludf.DUMMYFUNCTION("""COMPUTED_VALUE"""),6.921659)</f>
        <v>6.921659</v>
      </c>
      <c r="W372" s="32">
        <f>IFERROR(__xludf.DUMMYFUNCTION("""COMPUTED_VALUE"""),-0.429148)</f>
        <v>-0.429148</v>
      </c>
      <c r="X372" s="32">
        <f>IFERROR(__xludf.DUMMYFUNCTION("""COMPUTED_VALUE"""),-5.002725)</f>
        <v>-5.002725</v>
      </c>
      <c r="Y372" s="32">
        <f>IFERROR(__xludf.DUMMYFUNCTION("""COMPUTED_VALUE"""),-4.773296)</f>
        <v>-4.773296</v>
      </c>
      <c r="Z372" s="32">
        <f>IFERROR(__xludf.DUMMYFUNCTION("""COMPUTED_VALUE"""),16.616472)</f>
        <v>16.616472</v>
      </c>
      <c r="AA372" s="32">
        <f>IFERROR(__xludf.DUMMYFUNCTION("""COMPUTED_VALUE"""),17.0975)</f>
        <v>17.0975</v>
      </c>
      <c r="AB372" s="32">
        <f>IFERROR(__xludf.DUMMYFUNCTION("""COMPUTED_VALUE"""),16.8785)</f>
        <v>16.8785</v>
      </c>
      <c r="AC372" s="32">
        <f>IFERROR(__xludf.DUMMYFUNCTION("""COMPUTED_VALUE"""),1.347)</f>
        <v>1.347</v>
      </c>
      <c r="AD372" s="32">
        <f>IFERROR(__xludf.DUMMYFUNCTION("""COMPUTED_VALUE"""),1.9872)</f>
        <v>1.9872</v>
      </c>
      <c r="AE372" s="32">
        <f>IFERROR(__xludf.DUMMYFUNCTION("""COMPUTED_VALUE"""),6.728913)</f>
        <v>6.728913</v>
      </c>
      <c r="AF372" s="32">
        <f>IFERROR(__xludf.DUMMYFUNCTION("""COMPUTED_VALUE"""),-3.657251)</f>
        <v>-3.657251</v>
      </c>
      <c r="AG372" s="32">
        <f>IFERROR(__xludf.DUMMYFUNCTION("""COMPUTED_VALUE"""),0.1722)</f>
        <v>0.1722</v>
      </c>
      <c r="AH372" s="32">
        <f>IFERROR(__xludf.DUMMYFUNCTION("""COMPUTED_VALUE"""),14.294482)</f>
        <v>14.294482</v>
      </c>
      <c r="AI372" s="32">
        <f>IFERROR(__xludf.DUMMYFUNCTION("""COMPUTED_VALUE"""),0.07086273246064888)</f>
        <v>0.07086273246</v>
      </c>
      <c r="AJ372" s="32">
        <f>IFERROR(__xludf.DUMMYFUNCTION("""COMPUTED_VALUE"""),-1.6709186598320516)</f>
        <v>-1.67091866</v>
      </c>
      <c r="AK372" s="32">
        <f>IFERROR(__xludf.DUMMYFUNCTION("""COMPUTED_VALUE"""),33.9319)</f>
        <v>33.9319</v>
      </c>
      <c r="AL372" s="32">
        <f>IFERROR(__xludf.DUMMYFUNCTION("""COMPUTED_VALUE"""),430.7007)</f>
        <v>430.7007</v>
      </c>
      <c r="AM372" s="32">
        <f>IFERROR(__xludf.DUMMYFUNCTION("""COMPUTED_VALUE"""),-347.204166)</f>
        <v>-347.204166</v>
      </c>
      <c r="AN372" s="32">
        <f>IFERROR(__xludf.DUMMYFUNCTION("""COMPUTED_VALUE"""),-352.927491)</f>
        <v>-352.927491</v>
      </c>
      <c r="AO372" s="32">
        <f>IFERROR(__xludf.DUMMYFUNCTION("""COMPUTED_VALUE"""),1.0)</f>
        <v>1</v>
      </c>
      <c r="AP372" s="32">
        <f>IFERROR(__xludf.DUMMYFUNCTION("""COMPUTED_VALUE"""),0.4168593545792702)</f>
        <v>0.4168593546</v>
      </c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>
      <c r="A373" s="13" t="str">
        <f>IFERROR(__xludf.DUMMYFUNCTION("""COMPUTED_VALUE"""),"Sumitomo Chemical India Ltd.")</f>
        <v>Sumitomo Chemical India Ltd.</v>
      </c>
      <c r="B373" s="30">
        <f>IFERROR(__xludf.DUMMYFUNCTION("""COMPUTED_VALUE"""),542920.0)</f>
        <v>542920</v>
      </c>
      <c r="C373" s="13" t="str">
        <f>IFERROR(__xludf.DUMMYFUNCTION("""COMPUTED_VALUE"""),"SUMICHEM")</f>
        <v>SUMICHEM</v>
      </c>
      <c r="D373" s="13" t="str">
        <f>IFERROR(__xludf.DUMMYFUNCTION("""COMPUTED_VALUE"""),"INE258G01013")</f>
        <v>INE258G01013</v>
      </c>
      <c r="E373" s="13" t="str">
        <f>IFERROR(__xludf.DUMMYFUNCTION("""COMPUTED_VALUE"""),"Chemicals")</f>
        <v>Chemicals</v>
      </c>
      <c r="F373" s="13" t="str">
        <f>IFERROR(__xludf.DUMMYFUNCTION("""COMPUTED_VALUE"""),"Pesticides")</f>
        <v>Pesticides</v>
      </c>
      <c r="G373" s="31">
        <f>IFERROR(__xludf.DUMMYFUNCTION("""COMPUTED_VALUE"""),44809.0)</f>
        <v>44809</v>
      </c>
      <c r="H373" s="32">
        <f>IFERROR(__xludf.DUMMYFUNCTION("""COMPUTED_VALUE"""),478.0)</f>
        <v>478</v>
      </c>
      <c r="I373" s="32">
        <f>IFERROR(__xludf.DUMMYFUNCTION("""COMPUTED_VALUE"""),-0.32322)</f>
        <v>-0.32322</v>
      </c>
      <c r="J373" s="32">
        <f>IFERROR(__xludf.DUMMYFUNCTION("""COMPUTED_VALUE"""),344.25)</f>
        <v>344.25</v>
      </c>
      <c r="K373" s="32">
        <f>IFERROR(__xludf.DUMMYFUNCTION("""COMPUTED_VALUE"""),511.9)</f>
        <v>511.9</v>
      </c>
      <c r="L373" s="13"/>
      <c r="M373" s="13"/>
      <c r="N373" s="13"/>
      <c r="O373" s="13"/>
      <c r="P373" s="32">
        <f>IFERROR(__xludf.DUMMYFUNCTION("""COMPUTED_VALUE"""),151.05)</f>
        <v>151.05</v>
      </c>
      <c r="Q373" s="32">
        <f>IFERROR(__xludf.DUMMYFUNCTION("""COMPUTED_VALUE"""),511.9)</f>
        <v>511.9</v>
      </c>
      <c r="R373" s="32">
        <f>IFERROR(__xludf.DUMMYFUNCTION("""COMPUTED_VALUE"""),23829.21743664)</f>
        <v>23829.21744</v>
      </c>
      <c r="S373" s="32">
        <f>IFERROR(__xludf.DUMMYFUNCTION("""COMPUTED_VALUE"""),23508.87495592)</f>
        <v>23508.87496</v>
      </c>
      <c r="T373" s="32">
        <f>IFERROR(__xludf.DUMMYFUNCTION("""COMPUTED_VALUE"""),-0.97369)</f>
        <v>-0.97369</v>
      </c>
      <c r="U373" s="32">
        <f>IFERROR(__xludf.DUMMYFUNCTION("""COMPUTED_VALUE"""),2.235055)</f>
        <v>2.235055</v>
      </c>
      <c r="V373" s="32">
        <f>IFERROR(__xludf.DUMMYFUNCTION("""COMPUTED_VALUE"""),3.55286)</f>
        <v>3.55286</v>
      </c>
      <c r="W373" s="32">
        <f>IFERROR(__xludf.DUMMYFUNCTION("""COMPUTED_VALUE"""),13.904444)</f>
        <v>13.904444</v>
      </c>
      <c r="X373" s="13"/>
      <c r="Y373" s="13"/>
      <c r="Z373" s="13"/>
      <c r="AA373" s="32">
        <f>IFERROR(__xludf.DUMMYFUNCTION("""COMPUTED_VALUE"""),52.264)</f>
        <v>52.264</v>
      </c>
      <c r="AB373" s="32">
        <f>IFERROR(__xludf.DUMMYFUNCTION("""COMPUTED_VALUE"""),52.411)</f>
        <v>52.411</v>
      </c>
      <c r="AC373" s="32">
        <f>IFERROR(__xludf.DUMMYFUNCTION("""COMPUTED_VALUE"""),11.5377)</f>
        <v>11.5377</v>
      </c>
      <c r="AD373" s="32">
        <f>IFERROR(__xludf.DUMMYFUNCTION("""COMPUTED_VALUE"""),11.2639)</f>
        <v>11.2639</v>
      </c>
      <c r="AE373" s="32">
        <f>IFERROR(__xludf.DUMMYFUNCTION("""COMPUTED_VALUE"""),2.755942)</f>
        <v>2.755942</v>
      </c>
      <c r="AF373" s="32">
        <f>IFERROR(__xludf.DUMMYFUNCTION("""COMPUTED_VALUE"""),2.308237)</f>
        <v>2.308237</v>
      </c>
      <c r="AG373" s="32">
        <f>IFERROR(__xludf.DUMMYFUNCTION("""COMPUTED_VALUE"""),0.2095)</f>
        <v>0.2095</v>
      </c>
      <c r="AH373" s="32">
        <f>IFERROR(__xludf.DUMMYFUNCTION("""COMPUTED_VALUE"""),35.420349)</f>
        <v>35.420349</v>
      </c>
      <c r="AI373" s="32">
        <f>IFERROR(__xludf.DUMMYFUNCTION("""COMPUTED_VALUE"""),7.291389921836059)</f>
        <v>7.291389922</v>
      </c>
      <c r="AJ373" s="32">
        <f>IFERROR(__xludf.DUMMYFUNCTION("""COMPUTED_VALUE"""),107.44481013540384)</f>
        <v>107.4448101</v>
      </c>
      <c r="AK373" s="32">
        <f>IFERROR(__xludf.DUMMYFUNCTION("""COMPUTED_VALUE"""),9.1344)</f>
        <v>9.1344</v>
      </c>
      <c r="AL373" s="32">
        <f>IFERROR(__xludf.DUMMYFUNCTION("""COMPUTED_VALUE"""),41.3775)</f>
        <v>41.3775</v>
      </c>
      <c r="AM373" s="32">
        <f>IFERROR(__xludf.DUMMYFUNCTION("""COMPUTED_VALUE"""),4.443209)</f>
        <v>4.443209</v>
      </c>
      <c r="AN373" s="32">
        <f>IFERROR(__xludf.DUMMYFUNCTION("""COMPUTED_VALUE"""),1.947486)</f>
        <v>1.947486</v>
      </c>
      <c r="AO373" s="32">
        <f>IFERROR(__xludf.DUMMYFUNCTION("""COMPUTED_VALUE"""),1.0)</f>
        <v>1</v>
      </c>
      <c r="AP373" s="32">
        <f>IFERROR(__xludf.DUMMYFUNCTION("""COMPUTED_VALUE"""),0.06622387184997065)</f>
        <v>0.06622387185</v>
      </c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>
      <c r="A374" s="13" t="str">
        <f>IFERROR(__xludf.DUMMYFUNCTION("""COMPUTED_VALUE"""),"Syngene International Ltd.")</f>
        <v>Syngene International Ltd.</v>
      </c>
      <c r="B374" s="30">
        <f>IFERROR(__xludf.DUMMYFUNCTION("""COMPUTED_VALUE"""),539268.0)</f>
        <v>539268</v>
      </c>
      <c r="C374" s="13" t="str">
        <f>IFERROR(__xludf.DUMMYFUNCTION("""COMPUTED_VALUE"""),"SYNGENE")</f>
        <v>SYNGENE</v>
      </c>
      <c r="D374" s="13" t="str">
        <f>IFERROR(__xludf.DUMMYFUNCTION("""COMPUTED_VALUE"""),"INE398R01022")</f>
        <v>INE398R01022</v>
      </c>
      <c r="E374" s="13" t="str">
        <f>IFERROR(__xludf.DUMMYFUNCTION("""COMPUTED_VALUE"""),"Healthcare")</f>
        <v>Healthcare</v>
      </c>
      <c r="F374" s="13" t="str">
        <f>IFERROR(__xludf.DUMMYFUNCTION("""COMPUTED_VALUE"""),"Drugs &amp; Pharma")</f>
        <v>Drugs &amp; Pharma</v>
      </c>
      <c r="G374" s="31">
        <f>IFERROR(__xludf.DUMMYFUNCTION("""COMPUTED_VALUE"""),44809.0)</f>
        <v>44809</v>
      </c>
      <c r="H374" s="32">
        <f>IFERROR(__xludf.DUMMYFUNCTION("""COMPUTED_VALUE"""),578.35)</f>
        <v>578.35</v>
      </c>
      <c r="I374" s="32">
        <f>IFERROR(__xludf.DUMMYFUNCTION("""COMPUTED_VALUE"""),-2.642875)</f>
        <v>-2.642875</v>
      </c>
      <c r="J374" s="32">
        <f>IFERROR(__xludf.DUMMYFUNCTION("""COMPUTED_VALUE"""),510.05)</f>
        <v>510.05</v>
      </c>
      <c r="K374" s="32">
        <f>IFERROR(__xludf.DUMMYFUNCTION("""COMPUTED_VALUE"""),686.3)</f>
        <v>686.3</v>
      </c>
      <c r="L374" s="32">
        <f>IFERROR(__xludf.DUMMYFUNCTION("""COMPUTED_VALUE"""),201.65)</f>
        <v>201.65</v>
      </c>
      <c r="M374" s="32">
        <f>IFERROR(__xludf.DUMMYFUNCTION("""COMPUTED_VALUE"""),700.0)</f>
        <v>700</v>
      </c>
      <c r="N374" s="32">
        <f>IFERROR(__xludf.DUMMYFUNCTION("""COMPUTED_VALUE"""),201.65)</f>
        <v>201.65</v>
      </c>
      <c r="O374" s="32">
        <f>IFERROR(__xludf.DUMMYFUNCTION("""COMPUTED_VALUE"""),700.0)</f>
        <v>700</v>
      </c>
      <c r="P374" s="32">
        <f>IFERROR(__xludf.DUMMYFUNCTION("""COMPUTED_VALUE"""),147.5)</f>
        <v>147.5</v>
      </c>
      <c r="Q374" s="32">
        <f>IFERROR(__xludf.DUMMYFUNCTION("""COMPUTED_VALUE"""),700.0)</f>
        <v>700</v>
      </c>
      <c r="R374" s="32">
        <f>IFERROR(__xludf.DUMMYFUNCTION("""COMPUTED_VALUE"""),23233.0216875)</f>
        <v>23233.02169</v>
      </c>
      <c r="S374" s="32">
        <f>IFERROR(__xludf.DUMMYFUNCTION("""COMPUTED_VALUE"""),23351.1021275)</f>
        <v>23351.10213</v>
      </c>
      <c r="T374" s="32">
        <f>IFERROR(__xludf.DUMMYFUNCTION("""COMPUTED_VALUE"""),-3.616365)</f>
        <v>-3.616365</v>
      </c>
      <c r="U374" s="32">
        <f>IFERROR(__xludf.DUMMYFUNCTION("""COMPUTED_VALUE"""),1.393759)</f>
        <v>1.393759</v>
      </c>
      <c r="V374" s="32">
        <f>IFERROR(__xludf.DUMMYFUNCTION("""COMPUTED_VALUE"""),7.549977)</f>
        <v>7.549977</v>
      </c>
      <c r="W374" s="32">
        <f>IFERROR(__xludf.DUMMYFUNCTION("""COMPUTED_VALUE"""),-8.140089)</f>
        <v>-8.140089</v>
      </c>
      <c r="X374" s="32">
        <f>IFERROR(__xludf.DUMMYFUNCTION("""COMPUTED_VALUE"""),22.645344)</f>
        <v>22.645344</v>
      </c>
      <c r="Y374" s="32">
        <f>IFERROR(__xludf.DUMMYFUNCTION("""COMPUTED_VALUE"""),20.957064)</f>
        <v>20.957064</v>
      </c>
      <c r="Z374" s="13"/>
      <c r="AA374" s="32">
        <f>IFERROR(__xludf.DUMMYFUNCTION("""COMPUTED_VALUE"""),59.2075)</f>
        <v>59.2075</v>
      </c>
      <c r="AB374" s="32">
        <f>IFERROR(__xludf.DUMMYFUNCTION("""COMPUTED_VALUE"""),40.39285)</f>
        <v>40.39285</v>
      </c>
      <c r="AC374" s="32">
        <f>IFERROR(__xludf.DUMMYFUNCTION("""COMPUTED_VALUE"""),7.0732)</f>
        <v>7.0732</v>
      </c>
      <c r="AD374" s="32">
        <f>IFERROR(__xludf.DUMMYFUNCTION("""COMPUTED_VALUE"""),7.1658)</f>
        <v>7.1658</v>
      </c>
      <c r="AE374" s="32">
        <f>IFERROR(__xludf.DUMMYFUNCTION("""COMPUTED_VALUE"""),2.788805)</f>
        <v>2.788805</v>
      </c>
      <c r="AF374" s="32">
        <f>IFERROR(__xludf.DUMMYFUNCTION("""COMPUTED_VALUE"""),9.095666)</f>
        <v>9.095666</v>
      </c>
      <c r="AG374" s="32">
        <f>IFERROR(__xludf.DUMMYFUNCTION("""COMPUTED_VALUE"""),0.1728)</f>
        <v>0.1728</v>
      </c>
      <c r="AH374" s="32">
        <f>IFERROR(__xludf.DUMMYFUNCTION("""COMPUTED_VALUE"""),27.155602)</f>
        <v>27.155602</v>
      </c>
      <c r="AI374" s="32">
        <f>IFERROR(__xludf.DUMMYFUNCTION("""COMPUTED_VALUE"""),8.753304832906338)</f>
        <v>8.753304833</v>
      </c>
      <c r="AJ374" s="32">
        <f>IFERROR(__xludf.DUMMYFUNCTION("""COMPUTED_VALUE"""),40.01553855924905)</f>
        <v>40.01553856</v>
      </c>
      <c r="AK374" s="32">
        <f>IFERROR(__xludf.DUMMYFUNCTION("""COMPUTED_VALUE"""),9.7749)</f>
        <v>9.7749</v>
      </c>
      <c r="AL374" s="32">
        <f>IFERROR(__xludf.DUMMYFUNCTION("""COMPUTED_VALUE"""),81.8224)</f>
        <v>81.8224</v>
      </c>
      <c r="AM374" s="32">
        <f>IFERROR(__xludf.DUMMYFUNCTION("""COMPUTED_VALUE"""),14.486028)</f>
        <v>14.486028</v>
      </c>
      <c r="AN374" s="32">
        <f>IFERROR(__xludf.DUMMYFUNCTION("""COMPUTED_VALUE"""),1.25499)</f>
        <v>1.25499</v>
      </c>
      <c r="AO374" s="32">
        <f>IFERROR(__xludf.DUMMYFUNCTION("""COMPUTED_VALUE"""),1.0)</f>
        <v>1</v>
      </c>
      <c r="AP374" s="32">
        <f>IFERROR(__xludf.DUMMYFUNCTION("""COMPUTED_VALUE"""),0.15729272912720377)</f>
        <v>0.1572927291</v>
      </c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>
      <c r="A375" s="13" t="str">
        <f>IFERROR(__xludf.DUMMYFUNCTION("""COMPUTED_VALUE"""),"The India Cements Ltd.")</f>
        <v>The India Cements Ltd.</v>
      </c>
      <c r="B375" s="30">
        <f>IFERROR(__xludf.DUMMYFUNCTION("""COMPUTED_VALUE"""),530005.0)</f>
        <v>530005</v>
      </c>
      <c r="C375" s="13" t="str">
        <f>IFERROR(__xludf.DUMMYFUNCTION("""COMPUTED_VALUE"""),"INDIACEM")</f>
        <v>INDIACEM</v>
      </c>
      <c r="D375" s="13" t="str">
        <f>IFERROR(__xludf.DUMMYFUNCTION("""COMPUTED_VALUE"""),"INE383A01012")</f>
        <v>INE383A01012</v>
      </c>
      <c r="E375" s="13" t="str">
        <f>IFERROR(__xludf.DUMMYFUNCTION("""COMPUTED_VALUE"""),"Materials")</f>
        <v>Materials</v>
      </c>
      <c r="F375" s="13" t="str">
        <f>IFERROR(__xludf.DUMMYFUNCTION("""COMPUTED_VALUE"""),"Cement")</f>
        <v>Cement</v>
      </c>
      <c r="G375" s="31">
        <f>IFERROR(__xludf.DUMMYFUNCTION("""COMPUTED_VALUE"""),44809.0)</f>
        <v>44809</v>
      </c>
      <c r="H375" s="32">
        <f>IFERROR(__xludf.DUMMYFUNCTION("""COMPUTED_VALUE"""),232.05)</f>
        <v>232.05</v>
      </c>
      <c r="I375" s="32">
        <f>IFERROR(__xludf.DUMMYFUNCTION("""COMPUTED_VALUE"""),0.847458)</f>
        <v>0.847458</v>
      </c>
      <c r="J375" s="32">
        <f>IFERROR(__xludf.DUMMYFUNCTION("""COMPUTED_VALUE"""),145.45)</f>
        <v>145.45</v>
      </c>
      <c r="K375" s="32">
        <f>IFERROR(__xludf.DUMMYFUNCTION("""COMPUTED_VALUE"""),259.95)</f>
        <v>259.95</v>
      </c>
      <c r="L375" s="32">
        <f>IFERROR(__xludf.DUMMYFUNCTION("""COMPUTED_VALUE"""),69.45)</f>
        <v>69.45</v>
      </c>
      <c r="M375" s="32">
        <f>IFERROR(__xludf.DUMMYFUNCTION("""COMPUTED_VALUE"""),259.95)</f>
        <v>259.95</v>
      </c>
      <c r="N375" s="32">
        <f>IFERROR(__xludf.DUMMYFUNCTION("""COMPUTED_VALUE"""),67.75)</f>
        <v>67.75</v>
      </c>
      <c r="O375" s="32">
        <f>IFERROR(__xludf.DUMMYFUNCTION("""COMPUTED_VALUE"""),259.95)</f>
        <v>259.95</v>
      </c>
      <c r="P375" s="32">
        <f>IFERROR(__xludf.DUMMYFUNCTION("""COMPUTED_VALUE"""),12.7)</f>
        <v>12.7</v>
      </c>
      <c r="Q375" s="32">
        <f>IFERROR(__xludf.DUMMYFUNCTION("""COMPUTED_VALUE"""),333.0)</f>
        <v>333</v>
      </c>
      <c r="R375" s="32">
        <f>IFERROR(__xludf.DUMMYFUNCTION("""COMPUTED_VALUE"""),7184.966605185)</f>
        <v>7184.966605</v>
      </c>
      <c r="S375" s="32">
        <f>IFERROR(__xludf.DUMMYFUNCTION("""COMPUTED_VALUE"""),10118.85915099)</f>
        <v>10118.85915</v>
      </c>
      <c r="T375" s="32">
        <f>IFERROR(__xludf.DUMMYFUNCTION("""COMPUTED_VALUE"""),10.526316)</f>
        <v>10.526316</v>
      </c>
      <c r="U375" s="32">
        <f>IFERROR(__xludf.DUMMYFUNCTION("""COMPUTED_VALUE"""),22.71285)</f>
        <v>22.71285</v>
      </c>
      <c r="V375" s="32">
        <f>IFERROR(__xludf.DUMMYFUNCTION("""COMPUTED_VALUE"""),41.883216)</f>
        <v>41.883216</v>
      </c>
      <c r="W375" s="32">
        <f>IFERROR(__xludf.DUMMYFUNCTION("""COMPUTED_VALUE"""),29.095967)</f>
        <v>29.095967</v>
      </c>
      <c r="X375" s="32">
        <f>IFERROR(__xludf.DUMMYFUNCTION("""COMPUTED_VALUE"""),46.934038)</f>
        <v>46.934038</v>
      </c>
      <c r="Y375" s="32">
        <f>IFERROR(__xludf.DUMMYFUNCTION("""COMPUTED_VALUE"""),5.565415)</f>
        <v>5.565415</v>
      </c>
      <c r="Z375" s="32">
        <f>IFERROR(__xludf.DUMMYFUNCTION("""COMPUTED_VALUE"""),10.68898)</f>
        <v>10.68898</v>
      </c>
      <c r="AA375" s="32">
        <f>IFERROR(__xludf.DUMMYFUNCTION("""COMPUTED_VALUE"""),60.0398)</f>
        <v>60.0398</v>
      </c>
      <c r="AB375" s="32">
        <f>IFERROR(__xludf.DUMMYFUNCTION("""COMPUTED_VALUE"""),40.93825)</f>
        <v>40.93825</v>
      </c>
      <c r="AC375" s="32">
        <f>IFERROR(__xludf.DUMMYFUNCTION("""COMPUTED_VALUE"""),1.1914)</f>
        <v>1.1914</v>
      </c>
      <c r="AD375" s="32">
        <f>IFERROR(__xludf.DUMMYFUNCTION("""COMPUTED_VALUE"""),0.7416)</f>
        <v>0.7416</v>
      </c>
      <c r="AE375" s="32">
        <f>IFERROR(__xludf.DUMMYFUNCTION("""COMPUTED_VALUE"""),1.955638)</f>
        <v>1.955638</v>
      </c>
      <c r="AF375" s="32">
        <f>IFERROR(__xludf.DUMMYFUNCTION("""COMPUTED_VALUE"""),4.85095)</f>
        <v>4.85095</v>
      </c>
      <c r="AG375" s="32">
        <f>IFERROR(__xludf.DUMMYFUNCTION("""COMPUTED_VALUE"""),0.4313)</f>
        <v>0.4313</v>
      </c>
      <c r="AH375" s="32">
        <f>IFERROR(__xludf.DUMMYFUNCTION("""COMPUTED_VALUE"""),25.882083)</f>
        <v>25.882083</v>
      </c>
      <c r="AI375" s="32">
        <f>IFERROR(__xludf.DUMMYFUNCTION("""COMPUTED_VALUE"""),1.3486689889506236)</f>
        <v>1.348668989</v>
      </c>
      <c r="AJ375" s="32">
        <f>IFERROR(__xludf.DUMMYFUNCTION("""COMPUTED_VALUE"""),6.8666946227510275)</f>
        <v>6.866694623</v>
      </c>
      <c r="AK375" s="32">
        <f>IFERROR(__xludf.DUMMYFUNCTION("""COMPUTED_VALUE"""),3.8616)</f>
        <v>3.8616</v>
      </c>
      <c r="AL375" s="32">
        <f>IFERROR(__xludf.DUMMYFUNCTION("""COMPUTED_VALUE"""),194.6086)</f>
        <v>194.6086</v>
      </c>
      <c r="AM375" s="32">
        <f>IFERROR(__xludf.DUMMYFUNCTION("""COMPUTED_VALUE"""),33.764415)</f>
        <v>33.764415</v>
      </c>
      <c r="AN375" s="32">
        <f>IFERROR(__xludf.DUMMYFUNCTION("""COMPUTED_VALUE"""),18.026527)</f>
        <v>18.026527</v>
      </c>
      <c r="AO375" s="32">
        <f>IFERROR(__xludf.DUMMYFUNCTION("""COMPUTED_VALUE"""),1.0)</f>
        <v>1</v>
      </c>
      <c r="AP375" s="32">
        <f>IFERROR(__xludf.DUMMYFUNCTION("""COMPUTED_VALUE"""),0.10732833237160984)</f>
        <v>0.1073283324</v>
      </c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>
      <c r="A376" s="13" t="str">
        <f>IFERROR(__xludf.DUMMYFUNCTION("""COMPUTED_VALUE"""),"V-Mart Retail Ltd.")</f>
        <v>V-Mart Retail Ltd.</v>
      </c>
      <c r="B376" s="30">
        <f>IFERROR(__xludf.DUMMYFUNCTION("""COMPUTED_VALUE"""),534976.0)</f>
        <v>534976</v>
      </c>
      <c r="C376" s="13" t="str">
        <f>IFERROR(__xludf.DUMMYFUNCTION("""COMPUTED_VALUE"""),"VMART")</f>
        <v>VMART</v>
      </c>
      <c r="D376" s="13" t="str">
        <f>IFERROR(__xludf.DUMMYFUNCTION("""COMPUTED_VALUE"""),"INE665J01013")</f>
        <v>INE665J01013</v>
      </c>
      <c r="E376" s="13" t="str">
        <f>IFERROR(__xludf.DUMMYFUNCTION("""COMPUTED_VALUE"""),"Services")</f>
        <v>Services</v>
      </c>
      <c r="F376" s="13" t="str">
        <f>IFERROR(__xludf.DUMMYFUNCTION("""COMPUTED_VALUE"""),"Retailing")</f>
        <v>Retailing</v>
      </c>
      <c r="G376" s="31">
        <f>IFERROR(__xludf.DUMMYFUNCTION("""COMPUTED_VALUE"""),44809.0)</f>
        <v>44809</v>
      </c>
      <c r="H376" s="32">
        <f>IFERROR(__xludf.DUMMYFUNCTION("""COMPUTED_VALUE"""),2888.35)</f>
        <v>2888.35</v>
      </c>
      <c r="I376" s="32">
        <f>IFERROR(__xludf.DUMMYFUNCTION("""COMPUTED_VALUE"""),-3.720062)</f>
        <v>-3.720062</v>
      </c>
      <c r="J376" s="32">
        <f>IFERROR(__xludf.DUMMYFUNCTION("""COMPUTED_VALUE"""),2406.85)</f>
        <v>2406.85</v>
      </c>
      <c r="K376" s="32">
        <f>IFERROR(__xludf.DUMMYFUNCTION("""COMPUTED_VALUE"""),4848.8)</f>
        <v>4848.8</v>
      </c>
      <c r="L376" s="32">
        <f>IFERROR(__xludf.DUMMYFUNCTION("""COMPUTED_VALUE"""),1200.0)</f>
        <v>1200</v>
      </c>
      <c r="M376" s="32">
        <f>IFERROR(__xludf.DUMMYFUNCTION("""COMPUTED_VALUE"""),4848.8)</f>
        <v>4848.8</v>
      </c>
      <c r="N376" s="32">
        <f>IFERROR(__xludf.DUMMYFUNCTION("""COMPUTED_VALUE"""),1192.0)</f>
        <v>1192</v>
      </c>
      <c r="O376" s="32">
        <f>IFERROR(__xludf.DUMMYFUNCTION("""COMPUTED_VALUE"""),4848.8)</f>
        <v>4848.8</v>
      </c>
      <c r="P376" s="32">
        <f>IFERROR(__xludf.DUMMYFUNCTION("""COMPUTED_VALUE"""),103.25)</f>
        <v>103.25</v>
      </c>
      <c r="Q376" s="32">
        <f>IFERROR(__xludf.DUMMYFUNCTION("""COMPUTED_VALUE"""),4848.8)</f>
        <v>4848.8</v>
      </c>
      <c r="R376" s="32">
        <f>IFERROR(__xludf.DUMMYFUNCTION("""COMPUTED_VALUE"""),5718.501306525)</f>
        <v>5718.501307</v>
      </c>
      <c r="S376" s="32">
        <f>IFERROR(__xludf.DUMMYFUNCTION("""COMPUTED_VALUE"""),5769.06103443)</f>
        <v>5769.061034</v>
      </c>
      <c r="T376" s="32">
        <f>IFERROR(__xludf.DUMMYFUNCTION("""COMPUTED_VALUE"""),-2.451916)</f>
        <v>-2.451916</v>
      </c>
      <c r="U376" s="32">
        <f>IFERROR(__xludf.DUMMYFUNCTION("""COMPUTED_VALUE"""),-2.891388)</f>
        <v>-2.891388</v>
      </c>
      <c r="V376" s="32">
        <f>IFERROR(__xludf.DUMMYFUNCTION("""COMPUTED_VALUE"""),-7.035839)</f>
        <v>-7.035839</v>
      </c>
      <c r="W376" s="32">
        <f>IFERROR(__xludf.DUMMYFUNCTION("""COMPUTED_VALUE"""),-19.673225)</f>
        <v>-19.673225</v>
      </c>
      <c r="X376" s="32">
        <f>IFERROR(__xludf.DUMMYFUNCTION("""COMPUTED_VALUE"""),13.953336)</f>
        <v>13.953336</v>
      </c>
      <c r="Y376" s="32">
        <f>IFERROR(__xludf.DUMMYFUNCTION("""COMPUTED_VALUE"""),15.605591)</f>
        <v>15.605591</v>
      </c>
      <c r="Z376" s="13"/>
      <c r="AA376" s="32">
        <f>IFERROR(__xludf.DUMMYFUNCTION("""COMPUTED_VALUE"""),94.0466)</f>
        <v>94.0466</v>
      </c>
      <c r="AB376" s="32">
        <f>IFERROR(__xludf.DUMMYFUNCTION("""COMPUTED_VALUE"""),64.1436)</f>
        <v>64.1436</v>
      </c>
      <c r="AC376" s="32">
        <f>IFERROR(__xludf.DUMMYFUNCTION("""COMPUTED_VALUE"""),6.6534)</f>
        <v>6.6534</v>
      </c>
      <c r="AD376" s="32">
        <f>IFERROR(__xludf.DUMMYFUNCTION("""COMPUTED_VALUE"""),8.96365)</f>
        <v>8.96365</v>
      </c>
      <c r="AE376" s="32">
        <f>IFERROR(__xludf.DUMMYFUNCTION("""COMPUTED_VALUE"""),3.175078)</f>
        <v>3.175078</v>
      </c>
      <c r="AF376" s="32">
        <f>IFERROR(__xludf.DUMMYFUNCTION("""COMPUTED_VALUE"""),70.280219)</f>
        <v>70.280219</v>
      </c>
      <c r="AG376" s="32">
        <f>IFERROR(__xludf.DUMMYFUNCTION("""COMPUTED_VALUE"""),0.0259)</f>
        <v>0.0259</v>
      </c>
      <c r="AH376" s="32">
        <f>IFERROR(__xludf.DUMMYFUNCTION("""COMPUTED_VALUE"""),18.698057)</f>
        <v>18.698057</v>
      </c>
      <c r="AI376" s="32">
        <f>IFERROR(__xludf.DUMMYFUNCTION("""COMPUTED_VALUE"""),2.753711891315926)</f>
        <v>2.753711891</v>
      </c>
      <c r="AJ376" s="32">
        <f>IFERROR(__xludf.DUMMYFUNCTION("""COMPUTED_VALUE"""),-508.20732708201876)</f>
        <v>-508.2073271</v>
      </c>
      <c r="AK376" s="32">
        <f>IFERROR(__xludf.DUMMYFUNCTION("""COMPUTED_VALUE"""),30.7587)</f>
        <v>30.7587</v>
      </c>
      <c r="AL376" s="32">
        <f>IFERROR(__xludf.DUMMYFUNCTION("""COMPUTED_VALUE"""),434.7757)</f>
        <v>434.7757</v>
      </c>
      <c r="AM376" s="32">
        <f>IFERROR(__xludf.DUMMYFUNCTION("""COMPUTED_VALUE"""),-5.697511)</f>
        <v>-5.697511</v>
      </c>
      <c r="AN376" s="32">
        <f>IFERROR(__xludf.DUMMYFUNCTION("""COMPUTED_VALUE"""),-104.974303)</f>
        <v>-104.974303</v>
      </c>
      <c r="AO376" s="32">
        <f>IFERROR(__xludf.DUMMYFUNCTION("""COMPUTED_VALUE"""),0.75)</f>
        <v>0.75</v>
      </c>
      <c r="AP376" s="32">
        <f>IFERROR(__xludf.DUMMYFUNCTION("""COMPUTED_VALUE"""),0.4043165319254249)</f>
        <v>0.4043165319</v>
      </c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>
      <c r="A377" s="13" t="str">
        <f>IFERROR(__xludf.DUMMYFUNCTION("""COMPUTED_VALUE"""),"Laxmi Organic Industries Ltd.")</f>
        <v>Laxmi Organic Industries Ltd.</v>
      </c>
      <c r="B377" s="30">
        <f>IFERROR(__xludf.DUMMYFUNCTION("""COMPUTED_VALUE"""),543277.0)</f>
        <v>543277</v>
      </c>
      <c r="C377" s="13" t="str">
        <f>IFERROR(__xludf.DUMMYFUNCTION("""COMPUTED_VALUE"""),"LXCHEM")</f>
        <v>LXCHEM</v>
      </c>
      <c r="D377" s="13" t="str">
        <f>IFERROR(__xludf.DUMMYFUNCTION("""COMPUTED_VALUE"""),"INE576O01020")</f>
        <v>INE576O01020</v>
      </c>
      <c r="E377" s="13" t="str">
        <f>IFERROR(__xludf.DUMMYFUNCTION("""COMPUTED_VALUE"""),"Chemicals")</f>
        <v>Chemicals</v>
      </c>
      <c r="F377" s="13" t="str">
        <f>IFERROR(__xludf.DUMMYFUNCTION("""COMPUTED_VALUE"""),"Organic Chemicals")</f>
        <v>Organic Chemicals</v>
      </c>
      <c r="G377" s="31">
        <f>IFERROR(__xludf.DUMMYFUNCTION("""COMPUTED_VALUE"""),44809.0)</f>
        <v>44809</v>
      </c>
      <c r="H377" s="32">
        <f>IFERROR(__xludf.DUMMYFUNCTION("""COMPUTED_VALUE"""),327.2)</f>
        <v>327.2</v>
      </c>
      <c r="I377" s="32">
        <f>IFERROR(__xludf.DUMMYFUNCTION("""COMPUTED_VALUE"""),0.091771)</f>
        <v>0.091771</v>
      </c>
      <c r="J377" s="32">
        <f>IFERROR(__xludf.DUMMYFUNCTION("""COMPUTED_VALUE"""),274.2)</f>
        <v>274.2</v>
      </c>
      <c r="K377" s="32">
        <f>IFERROR(__xludf.DUMMYFUNCTION("""COMPUTED_VALUE"""),628.05)</f>
        <v>628.05</v>
      </c>
      <c r="L377" s="13"/>
      <c r="M377" s="13"/>
      <c r="N377" s="13"/>
      <c r="O377" s="13"/>
      <c r="P377" s="32">
        <f>IFERROR(__xludf.DUMMYFUNCTION("""COMPUTED_VALUE"""),143.0)</f>
        <v>143</v>
      </c>
      <c r="Q377" s="32">
        <f>IFERROR(__xludf.DUMMYFUNCTION("""COMPUTED_VALUE"""),628.05)</f>
        <v>628.05</v>
      </c>
      <c r="R377" s="32">
        <f>IFERROR(__xludf.DUMMYFUNCTION("""COMPUTED_VALUE"""),8671.26000138)</f>
        <v>8671.260001</v>
      </c>
      <c r="S377" s="32">
        <f>IFERROR(__xludf.DUMMYFUNCTION("""COMPUTED_VALUE"""),8617.00252599)</f>
        <v>8617.002526</v>
      </c>
      <c r="T377" s="32">
        <f>IFERROR(__xludf.DUMMYFUNCTION("""COMPUTED_VALUE"""),-0.682956)</f>
        <v>-0.682956</v>
      </c>
      <c r="U377" s="32">
        <f>IFERROR(__xludf.DUMMYFUNCTION("""COMPUTED_VALUE"""),3.790642)</f>
        <v>3.790642</v>
      </c>
      <c r="V377" s="32">
        <f>IFERROR(__xludf.DUMMYFUNCTION("""COMPUTED_VALUE"""),-11.255763)</f>
        <v>-11.255763</v>
      </c>
      <c r="W377" s="32">
        <f>IFERROR(__xludf.DUMMYFUNCTION("""COMPUTED_VALUE"""),-33.58368)</f>
        <v>-33.58368</v>
      </c>
      <c r="X377" s="13"/>
      <c r="Y377" s="13"/>
      <c r="Z377" s="13"/>
      <c r="AA377" s="32">
        <f>IFERROR(__xludf.DUMMYFUNCTION("""COMPUTED_VALUE"""),39.6113)</f>
        <v>39.6113</v>
      </c>
      <c r="AB377" s="32">
        <f>IFERROR(__xludf.DUMMYFUNCTION("""COMPUTED_VALUE"""),48.5779)</f>
        <v>48.5779</v>
      </c>
      <c r="AC377" s="32">
        <f>IFERROR(__xludf.DUMMYFUNCTION("""COMPUTED_VALUE"""),6.4804)</f>
        <v>6.4804</v>
      </c>
      <c r="AD377" s="32">
        <f>IFERROR(__xludf.DUMMYFUNCTION("""COMPUTED_VALUE"""),9.1492)</f>
        <v>9.1492</v>
      </c>
      <c r="AE377" s="32">
        <f>IFERROR(__xludf.DUMMYFUNCTION("""COMPUTED_VALUE"""),3.442373)</f>
        <v>3.442373</v>
      </c>
      <c r="AF377" s="32">
        <f>IFERROR(__xludf.DUMMYFUNCTION("""COMPUTED_VALUE"""),7.512713)</f>
        <v>7.512713</v>
      </c>
      <c r="AG377" s="32">
        <f>IFERROR(__xludf.DUMMYFUNCTION("""COMPUTED_VALUE"""),0.214)</f>
        <v>0.214</v>
      </c>
      <c r="AH377" s="32">
        <f>IFERROR(__xludf.DUMMYFUNCTION("""COMPUTED_VALUE"""),25.593739)</f>
        <v>25.593739</v>
      </c>
      <c r="AI377" s="32">
        <f>IFERROR(__xludf.DUMMYFUNCTION("""COMPUTED_VALUE"""),2.7931737927495623)</f>
        <v>2.793173793</v>
      </c>
      <c r="AJ377" s="32">
        <f>IFERROR(__xludf.DUMMYFUNCTION("""COMPUTED_VALUE"""),189.830337822194)</f>
        <v>189.8303378</v>
      </c>
      <c r="AK377" s="32">
        <f>IFERROR(__xludf.DUMMYFUNCTION("""COMPUTED_VALUE"""),8.2578)</f>
        <v>8.2578</v>
      </c>
      <c r="AL377" s="32">
        <f>IFERROR(__xludf.DUMMYFUNCTION("""COMPUTED_VALUE"""),50.475)</f>
        <v>50.475</v>
      </c>
      <c r="AM377" s="32">
        <f>IFERROR(__xludf.DUMMYFUNCTION("""COMPUTED_VALUE"""),1.732464)</f>
        <v>1.732464</v>
      </c>
      <c r="AN377" s="32">
        <f>IFERROR(__xludf.DUMMYFUNCTION("""COMPUTED_VALUE"""),-10.478258)</f>
        <v>-10.478258</v>
      </c>
      <c r="AO377" s="32">
        <f>IFERROR(__xludf.DUMMYFUNCTION("""COMPUTED_VALUE"""),0.7)</f>
        <v>0.7</v>
      </c>
      <c r="AP377" s="32">
        <f>IFERROR(__xludf.DUMMYFUNCTION("""COMPUTED_VALUE"""),0.4790223708303479)</f>
        <v>0.4790223708</v>
      </c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>
      <c r="A378" s="13" t="str">
        <f>IFERROR(__xludf.DUMMYFUNCTION("""COMPUTED_VALUE"""),"Punjab National Bank")</f>
        <v>Punjab National Bank</v>
      </c>
      <c r="B378" s="30">
        <f>IFERROR(__xludf.DUMMYFUNCTION("""COMPUTED_VALUE"""),532461.0)</f>
        <v>532461</v>
      </c>
      <c r="C378" s="13" t="str">
        <f>IFERROR(__xludf.DUMMYFUNCTION("""COMPUTED_VALUE"""),"PNB")</f>
        <v>PNB</v>
      </c>
      <c r="D378" s="13" t="str">
        <f>IFERROR(__xludf.DUMMYFUNCTION("""COMPUTED_VALUE"""),"INE160A01022")</f>
        <v>INE160A01022</v>
      </c>
      <c r="E378" s="13" t="str">
        <f>IFERROR(__xludf.DUMMYFUNCTION("""COMPUTED_VALUE"""),"Financial")</f>
        <v>Financial</v>
      </c>
      <c r="F378" s="13" t="str">
        <f>IFERROR(__xludf.DUMMYFUNCTION("""COMPUTED_VALUE"""),"Banking")</f>
        <v>Banking</v>
      </c>
      <c r="G378" s="31">
        <f>IFERROR(__xludf.DUMMYFUNCTION("""COMPUTED_VALUE"""),44809.0)</f>
        <v>44809</v>
      </c>
      <c r="H378" s="32">
        <f>IFERROR(__xludf.DUMMYFUNCTION("""COMPUTED_VALUE"""),35.7)</f>
        <v>35.7</v>
      </c>
      <c r="I378" s="32">
        <f>IFERROR(__xludf.DUMMYFUNCTION("""COMPUTED_VALUE"""),1.276596)</f>
        <v>1.276596</v>
      </c>
      <c r="J378" s="32">
        <f>IFERROR(__xludf.DUMMYFUNCTION("""COMPUTED_VALUE"""),28.05)</f>
        <v>28.05</v>
      </c>
      <c r="K378" s="32">
        <f>IFERROR(__xludf.DUMMYFUNCTION("""COMPUTED_VALUE"""),48.2)</f>
        <v>48.2</v>
      </c>
      <c r="L378" s="32">
        <f>IFERROR(__xludf.DUMMYFUNCTION("""COMPUTED_VALUE"""),26.3)</f>
        <v>26.3</v>
      </c>
      <c r="M378" s="32">
        <f>IFERROR(__xludf.DUMMYFUNCTION("""COMPUTED_VALUE"""),69.65)</f>
        <v>69.65</v>
      </c>
      <c r="N378" s="32">
        <f>IFERROR(__xludf.DUMMYFUNCTION("""COMPUTED_VALUE"""),26.3)</f>
        <v>26.3</v>
      </c>
      <c r="O378" s="32">
        <f>IFERROR(__xludf.DUMMYFUNCTION("""COMPUTED_VALUE"""),231.6)</f>
        <v>231.6</v>
      </c>
      <c r="P378" s="32">
        <f>IFERROR(__xludf.DUMMYFUNCTION("""COMPUTED_VALUE"""),6.98)</f>
        <v>6.98</v>
      </c>
      <c r="Q378" s="32">
        <f>IFERROR(__xludf.DUMMYFUNCTION("""COMPUTED_VALUE"""),279.98)</f>
        <v>279.98</v>
      </c>
      <c r="R378" s="32">
        <f>IFERROR(__xludf.DUMMYFUNCTION("""COMPUTED_VALUE"""),39309.32554206)</f>
        <v>39309.32554</v>
      </c>
      <c r="S378" s="32">
        <f>IFERROR(__xludf.DUMMYFUNCTION("""COMPUTED_VALUE"""),-36063.43523584)</f>
        <v>-36063.43524</v>
      </c>
      <c r="T378" s="32">
        <f>IFERROR(__xludf.DUMMYFUNCTION("""COMPUTED_VALUE"""),0.0)</f>
        <v>0</v>
      </c>
      <c r="U378" s="32">
        <f>IFERROR(__xludf.DUMMYFUNCTION("""COMPUTED_VALUE"""),6.886228)</f>
        <v>6.886228</v>
      </c>
      <c r="V378" s="32">
        <f>IFERROR(__xludf.DUMMYFUNCTION("""COMPUTED_VALUE"""),13.153724)</f>
        <v>13.153724</v>
      </c>
      <c r="W378" s="32">
        <f>IFERROR(__xludf.DUMMYFUNCTION("""COMPUTED_VALUE"""),-6.176084)</f>
        <v>-6.176084</v>
      </c>
      <c r="X378" s="32">
        <f>IFERROR(__xludf.DUMMYFUNCTION("""COMPUTED_VALUE"""),-15.844895)</f>
        <v>-15.844895</v>
      </c>
      <c r="Y378" s="32">
        <f>IFERROR(__xludf.DUMMYFUNCTION("""COMPUTED_VALUE"""),-24.19824)</f>
        <v>-24.19824</v>
      </c>
      <c r="Z378" s="32">
        <f>IFERROR(__xludf.DUMMYFUNCTION("""COMPUTED_VALUE"""),-12.483059)</f>
        <v>-12.483059</v>
      </c>
      <c r="AA378" s="32">
        <f>IFERROR(__xludf.DUMMYFUNCTION("""COMPUTED_VALUE"""),13.217)</f>
        <v>13.217</v>
      </c>
      <c r="AB378" s="32">
        <f>IFERROR(__xludf.DUMMYFUNCTION("""COMPUTED_VALUE"""),16.4024)</f>
        <v>16.4024</v>
      </c>
      <c r="AC378" s="32">
        <f>IFERROR(__xludf.DUMMYFUNCTION("""COMPUTED_VALUE"""),0.4247)</f>
        <v>0.4247</v>
      </c>
      <c r="AD378" s="32">
        <f>IFERROR(__xludf.DUMMYFUNCTION("""COMPUTED_VALUE"""),0.51855)</f>
        <v>0.51855</v>
      </c>
      <c r="AE378" s="32">
        <f>IFERROR(__xludf.DUMMYFUNCTION("""COMPUTED_VALUE"""),-160.574115)</f>
        <v>-160.574115</v>
      </c>
      <c r="AF378" s="32">
        <f>IFERROR(__xludf.DUMMYFUNCTION("""COMPUTED_VALUE"""),0.949788)</f>
        <v>0.949788</v>
      </c>
      <c r="AG378" s="32">
        <f>IFERROR(__xludf.DUMMYFUNCTION("""COMPUTED_VALUE"""),1.7927)</f>
        <v>1.7927</v>
      </c>
      <c r="AH378" s="32">
        <f>IFERROR(__xludf.DUMMYFUNCTION("""COMPUTED_VALUE"""),-1.816941)</f>
        <v>-1.816941</v>
      </c>
      <c r="AI378" s="32">
        <f>IFERROR(__xludf.DUMMYFUNCTION("""COMPUTED_VALUE"""),0.5162186921919368)</f>
        <v>0.5162186922</v>
      </c>
      <c r="AJ378" s="32">
        <f>IFERROR(__xludf.DUMMYFUNCTION("""COMPUTED_VALUE"""),1.972139009441445)</f>
        <v>1.972139009</v>
      </c>
      <c r="AK378" s="32">
        <f>IFERROR(__xludf.DUMMYFUNCTION("""COMPUTED_VALUE"""),2.7011)</f>
        <v>2.7011</v>
      </c>
      <c r="AL378" s="32">
        <f>IFERROR(__xludf.DUMMYFUNCTION("""COMPUTED_VALUE"""),84.051)</f>
        <v>84.051</v>
      </c>
      <c r="AM378" s="32">
        <f>IFERROR(__xludf.DUMMYFUNCTION("""COMPUTED_VALUE"""),18.102198)</f>
        <v>18.102198</v>
      </c>
      <c r="AN378" s="32">
        <f>IFERROR(__xludf.DUMMYFUNCTION("""COMPUTED_VALUE"""),0.967242)</f>
        <v>0.967242</v>
      </c>
      <c r="AO378" s="32">
        <f>IFERROR(__xludf.DUMMYFUNCTION("""COMPUTED_VALUE"""),0.64)</f>
        <v>0.64</v>
      </c>
      <c r="AP378" s="32">
        <f>IFERROR(__xludf.DUMMYFUNCTION("""COMPUTED_VALUE"""),0.2593360995850622)</f>
        <v>0.2593360996</v>
      </c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>
      <c r="A379" s="13" t="str">
        <f>IFERROR(__xludf.DUMMYFUNCTION("""COMPUTED_VALUE"""),"Cholamandalam Financial Holdings Ltd.")</f>
        <v>Cholamandalam Financial Holdings Ltd.</v>
      </c>
      <c r="B379" s="30">
        <f>IFERROR(__xludf.DUMMYFUNCTION("""COMPUTED_VALUE"""),504973.0)</f>
        <v>504973</v>
      </c>
      <c r="C379" s="13" t="str">
        <f>IFERROR(__xludf.DUMMYFUNCTION("""COMPUTED_VALUE"""),"CHOLAHLDNG")</f>
        <v>CHOLAHLDNG</v>
      </c>
      <c r="D379" s="13" t="str">
        <f>IFERROR(__xludf.DUMMYFUNCTION("""COMPUTED_VALUE"""),"INE149A01033")</f>
        <v>INE149A01033</v>
      </c>
      <c r="E379" s="13" t="str">
        <f>IFERROR(__xludf.DUMMYFUNCTION("""COMPUTED_VALUE"""),"Financial")</f>
        <v>Financial</v>
      </c>
      <c r="F379" s="13" t="str">
        <f>IFERROR(__xludf.DUMMYFUNCTION("""COMPUTED_VALUE"""),"Misc. Fin.services")</f>
        <v>Misc. Fin.services</v>
      </c>
      <c r="G379" s="31">
        <f>IFERROR(__xludf.DUMMYFUNCTION("""COMPUTED_VALUE"""),44809.0)</f>
        <v>44809</v>
      </c>
      <c r="H379" s="32">
        <f>IFERROR(__xludf.DUMMYFUNCTION("""COMPUTED_VALUE"""),648.75)</f>
        <v>648.75</v>
      </c>
      <c r="I379" s="32">
        <f>IFERROR(__xludf.DUMMYFUNCTION("""COMPUTED_VALUE"""),-1.06748)</f>
        <v>-1.06748</v>
      </c>
      <c r="J379" s="32">
        <f>IFERROR(__xludf.DUMMYFUNCTION("""COMPUTED_VALUE"""),564.05)</f>
        <v>564.05</v>
      </c>
      <c r="K379" s="32">
        <f>IFERROR(__xludf.DUMMYFUNCTION("""COMPUTED_VALUE"""),763.05)</f>
        <v>763.05</v>
      </c>
      <c r="L379" s="32">
        <f>IFERROR(__xludf.DUMMYFUNCTION("""COMPUTED_VALUE"""),222.0)</f>
        <v>222</v>
      </c>
      <c r="M379" s="32">
        <f>IFERROR(__xludf.DUMMYFUNCTION("""COMPUTED_VALUE"""),763.05)</f>
        <v>763.05</v>
      </c>
      <c r="N379" s="32">
        <f>IFERROR(__xludf.DUMMYFUNCTION("""COMPUTED_VALUE"""),222.0)</f>
        <v>222</v>
      </c>
      <c r="O379" s="32">
        <f>IFERROR(__xludf.DUMMYFUNCTION("""COMPUTED_VALUE"""),763.05)</f>
        <v>763.05</v>
      </c>
      <c r="P379" s="32">
        <f>IFERROR(__xludf.DUMMYFUNCTION("""COMPUTED_VALUE"""),4.4)</f>
        <v>4.4</v>
      </c>
      <c r="Q379" s="32">
        <f>IFERROR(__xludf.DUMMYFUNCTION("""COMPUTED_VALUE"""),862.0)</f>
        <v>862</v>
      </c>
      <c r="R379" s="32">
        <f>IFERROR(__xludf.DUMMYFUNCTION("""COMPUTED_VALUE"""),12180.51363225)</f>
        <v>12180.51363</v>
      </c>
      <c r="S379" s="32">
        <f>IFERROR(__xludf.DUMMYFUNCTION("""COMPUTED_VALUE"""),75998.67360383)</f>
        <v>75998.6736</v>
      </c>
      <c r="T379" s="32">
        <f>IFERROR(__xludf.DUMMYFUNCTION("""COMPUTED_VALUE"""),-0.223008)</f>
        <v>-0.223008</v>
      </c>
      <c r="U379" s="32">
        <f>IFERROR(__xludf.DUMMYFUNCTION("""COMPUTED_VALUE"""),-2.023711)</f>
        <v>-2.023711</v>
      </c>
      <c r="V379" s="32">
        <f>IFERROR(__xludf.DUMMYFUNCTION("""COMPUTED_VALUE"""),2.101039)</f>
        <v>2.101039</v>
      </c>
      <c r="W379" s="32">
        <f>IFERROR(__xludf.DUMMYFUNCTION("""COMPUTED_VALUE"""),-3.903125)</f>
        <v>-3.903125</v>
      </c>
      <c r="X379" s="32">
        <f>IFERROR(__xludf.DUMMYFUNCTION("""COMPUTED_VALUE"""),13.843167)</f>
        <v>13.843167</v>
      </c>
      <c r="Y379" s="13"/>
      <c r="Z379" s="32">
        <f>IFERROR(__xludf.DUMMYFUNCTION("""COMPUTED_VALUE"""),15.46641)</f>
        <v>15.46641</v>
      </c>
      <c r="AA379" s="32">
        <f>IFERROR(__xludf.DUMMYFUNCTION("""COMPUTED_VALUE"""),10.9346)</f>
        <v>10.9346</v>
      </c>
      <c r="AB379" s="32">
        <f>IFERROR(__xludf.DUMMYFUNCTION("""COMPUTED_VALUE"""),15.8827)</f>
        <v>15.8827</v>
      </c>
      <c r="AC379" s="32">
        <f>IFERROR(__xludf.DUMMYFUNCTION("""COMPUTED_VALUE"""),1.7612)</f>
        <v>1.7612</v>
      </c>
      <c r="AD379" s="32">
        <f>IFERROR(__xludf.DUMMYFUNCTION("""COMPUTED_VALUE"""),2.25775)</f>
        <v>2.25775</v>
      </c>
      <c r="AE379" s="32">
        <f>IFERROR(__xludf.DUMMYFUNCTION("""COMPUTED_VALUE"""),10.47057)</f>
        <v>10.47057</v>
      </c>
      <c r="AF379" s="32">
        <f>IFERROR(__xludf.DUMMYFUNCTION("""COMPUTED_VALUE"""),0.166707)</f>
        <v>0.166707</v>
      </c>
      <c r="AG379" s="32">
        <f>IFERROR(__xludf.DUMMYFUNCTION("""COMPUTED_VALUE"""),0.084)</f>
        <v>0.084</v>
      </c>
      <c r="AH379" s="32">
        <f>IFERROR(__xludf.DUMMYFUNCTION("""COMPUTED_VALUE"""),9.662343)</f>
        <v>9.662343</v>
      </c>
      <c r="AI379" s="32">
        <f>IFERROR(__xludf.DUMMYFUNCTION("""COMPUTED_VALUE"""),1.0698447062267078)</f>
        <v>1.069844706</v>
      </c>
      <c r="AJ379" s="32">
        <f>IFERROR(__xludf.DUMMYFUNCTION("""COMPUTED_VALUE"""),-2.122602785450154)</f>
        <v>-2.122602785</v>
      </c>
      <c r="AK379" s="32">
        <f>IFERROR(__xludf.DUMMYFUNCTION("""COMPUTED_VALUE"""),59.8742)</f>
        <v>59.8742</v>
      </c>
      <c r="AL379" s="32">
        <f>IFERROR(__xludf.DUMMYFUNCTION("""COMPUTED_VALUE"""),371.7407)</f>
        <v>371.7407</v>
      </c>
      <c r="AM379" s="32">
        <f>IFERROR(__xludf.DUMMYFUNCTION("""COMPUTED_VALUE"""),-305.726159)</f>
        <v>-305.726159</v>
      </c>
      <c r="AN379" s="32">
        <f>IFERROR(__xludf.DUMMYFUNCTION("""COMPUTED_VALUE"""),-355.881193)</f>
        <v>-355.881193</v>
      </c>
      <c r="AO379" s="32">
        <f>IFERROR(__xludf.DUMMYFUNCTION("""COMPUTED_VALUE"""),0.55)</f>
        <v>0.55</v>
      </c>
      <c r="AP379" s="32">
        <f>IFERROR(__xludf.DUMMYFUNCTION("""COMPUTED_VALUE"""),0.14979359150776483)</f>
        <v>0.1497935915</v>
      </c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>
      <c r="A380" s="13" t="str">
        <f>IFERROR(__xludf.DUMMYFUNCTION("""COMPUTED_VALUE"""),"ICICI Prudential Life Insurance Company Ltd.")</f>
        <v>ICICI Prudential Life Insurance Company Ltd.</v>
      </c>
      <c r="B380" s="30">
        <f>IFERROR(__xludf.DUMMYFUNCTION("""COMPUTED_VALUE"""),540133.0)</f>
        <v>540133</v>
      </c>
      <c r="C380" s="13" t="str">
        <f>IFERROR(__xludf.DUMMYFUNCTION("""COMPUTED_VALUE"""),"ICICIPRULI")</f>
        <v>ICICIPRULI</v>
      </c>
      <c r="D380" s="13" t="str">
        <f>IFERROR(__xludf.DUMMYFUNCTION("""COMPUTED_VALUE"""),"INE726G01019")</f>
        <v>INE726G01019</v>
      </c>
      <c r="E380" s="13" t="str">
        <f>IFERROR(__xludf.DUMMYFUNCTION("""COMPUTED_VALUE"""),"Insurance")</f>
        <v>Insurance</v>
      </c>
      <c r="F380" s="13" t="str">
        <f>IFERROR(__xludf.DUMMYFUNCTION("""COMPUTED_VALUE"""),"Life Insurance")</f>
        <v>Life Insurance</v>
      </c>
      <c r="G380" s="31">
        <f>IFERROR(__xludf.DUMMYFUNCTION("""COMPUTED_VALUE"""),44809.0)</f>
        <v>44809</v>
      </c>
      <c r="H380" s="32">
        <f>IFERROR(__xludf.DUMMYFUNCTION("""COMPUTED_VALUE"""),585.05)</f>
        <v>585.05</v>
      </c>
      <c r="I380" s="32">
        <f>IFERROR(__xludf.DUMMYFUNCTION("""COMPUTED_VALUE"""),-1.324001)</f>
        <v>-1.324001</v>
      </c>
      <c r="J380" s="32">
        <f>IFERROR(__xludf.DUMMYFUNCTION("""COMPUTED_VALUE"""),430.0)</f>
        <v>430</v>
      </c>
      <c r="K380" s="32">
        <f>IFERROR(__xludf.DUMMYFUNCTION("""COMPUTED_VALUE"""),724.5)</f>
        <v>724.5</v>
      </c>
      <c r="L380" s="32">
        <f>IFERROR(__xludf.DUMMYFUNCTION("""COMPUTED_VALUE"""),221.95)</f>
        <v>221.95</v>
      </c>
      <c r="M380" s="32">
        <f>IFERROR(__xludf.DUMMYFUNCTION("""COMPUTED_VALUE"""),724.5)</f>
        <v>724.5</v>
      </c>
      <c r="N380" s="32">
        <f>IFERROR(__xludf.DUMMYFUNCTION("""COMPUTED_VALUE"""),221.95)</f>
        <v>221.95</v>
      </c>
      <c r="O380" s="32">
        <f>IFERROR(__xludf.DUMMYFUNCTION("""COMPUTED_VALUE"""),724.5)</f>
        <v>724.5</v>
      </c>
      <c r="P380" s="32">
        <f>IFERROR(__xludf.DUMMYFUNCTION("""COMPUTED_VALUE"""),221.95)</f>
        <v>221.95</v>
      </c>
      <c r="Q380" s="32">
        <f>IFERROR(__xludf.DUMMYFUNCTION("""COMPUTED_VALUE"""),724.5)</f>
        <v>724.5</v>
      </c>
      <c r="R380" s="32">
        <f>IFERROR(__xludf.DUMMYFUNCTION("""COMPUTED_VALUE"""),84151.60702872001)</f>
        <v>84151.60703</v>
      </c>
      <c r="S380" s="32">
        <f>IFERROR(__xludf.DUMMYFUNCTION("""COMPUTED_VALUE"""),85730.4120205)</f>
        <v>85730.41202</v>
      </c>
      <c r="T380" s="32">
        <f>IFERROR(__xludf.DUMMYFUNCTION("""COMPUTED_VALUE"""),-1.14894)</f>
        <v>-1.14894</v>
      </c>
      <c r="U380" s="32">
        <f>IFERROR(__xludf.DUMMYFUNCTION("""COMPUTED_VALUE"""),4.445238)</f>
        <v>4.445238</v>
      </c>
      <c r="V380" s="32">
        <f>IFERROR(__xludf.DUMMYFUNCTION("""COMPUTED_VALUE"""),6.527677)</f>
        <v>6.527677</v>
      </c>
      <c r="W380" s="32">
        <f>IFERROR(__xludf.DUMMYFUNCTION("""COMPUTED_VALUE"""),-16.151917)</f>
        <v>-16.151917</v>
      </c>
      <c r="X380" s="32">
        <f>IFERROR(__xludf.DUMMYFUNCTION("""COMPUTED_VALUE"""),11.033191)</f>
        <v>11.033191</v>
      </c>
      <c r="Y380" s="32">
        <f>IFERROR(__xludf.DUMMYFUNCTION("""COMPUTED_VALUE"""),5.83029)</f>
        <v>5.83029</v>
      </c>
      <c r="Z380" s="13"/>
      <c r="AA380" s="32">
        <f>IFERROR(__xludf.DUMMYFUNCTION("""COMPUTED_VALUE"""),76.4278)</f>
        <v>76.4278</v>
      </c>
      <c r="AB380" s="32">
        <f>IFERROR(__xludf.DUMMYFUNCTION("""COMPUTED_VALUE"""),54.9694)</f>
        <v>54.9694</v>
      </c>
      <c r="AC380" s="32">
        <f>IFERROR(__xludf.DUMMYFUNCTION("""COMPUTED_VALUE"""),9.3317)</f>
        <v>9.3317</v>
      </c>
      <c r="AD380" s="32">
        <f>IFERROR(__xludf.DUMMYFUNCTION("""COMPUTED_VALUE"""),8.53835)</f>
        <v>8.53835</v>
      </c>
      <c r="AE380" s="32">
        <f>IFERROR(__xludf.DUMMYFUNCTION("""COMPUTED_VALUE"""),12.9381)</f>
        <v>12.9381</v>
      </c>
      <c r="AF380" s="32">
        <f>IFERROR(__xludf.DUMMYFUNCTION("""COMPUTED_VALUE"""),-5.197416)</f>
        <v>-5.197416</v>
      </c>
      <c r="AG380" s="32">
        <f>IFERROR(__xludf.DUMMYFUNCTION("""COMPUTED_VALUE"""),0.094)</f>
        <v>0.094</v>
      </c>
      <c r="AH380" s="32">
        <f>IFERROR(__xludf.DUMMYFUNCTION("""COMPUTED_VALUE"""),62.249339)</f>
        <v>62.249339</v>
      </c>
      <c r="AI380" s="32">
        <f>IFERROR(__xludf.DUMMYFUNCTION("""COMPUTED_VALUE"""),2.2989974767166412)</f>
        <v>2.298997477</v>
      </c>
      <c r="AJ380" s="32">
        <f>IFERROR(__xludf.DUMMYFUNCTION("""COMPUTED_VALUE"""),45.9559518449365)</f>
        <v>45.95595184</v>
      </c>
      <c r="AK380" s="32">
        <f>IFERROR(__xludf.DUMMYFUNCTION("""COMPUTED_VALUE"""),7.6569)</f>
        <v>7.6569</v>
      </c>
      <c r="AL380" s="32">
        <f>IFERROR(__xludf.DUMMYFUNCTION("""COMPUTED_VALUE"""),62.7111)</f>
        <v>62.7111</v>
      </c>
      <c r="AM380" s="32">
        <f>IFERROR(__xludf.DUMMYFUNCTION("""COMPUTED_VALUE"""),12.740057)</f>
        <v>12.740057</v>
      </c>
      <c r="AN380" s="32">
        <f>IFERROR(__xludf.DUMMYFUNCTION("""COMPUTED_VALUE"""),3.95663)</f>
        <v>3.95663</v>
      </c>
      <c r="AO380" s="32">
        <f>IFERROR(__xludf.DUMMYFUNCTION("""COMPUTED_VALUE"""),0.55)</f>
        <v>0.55</v>
      </c>
      <c r="AP380" s="32">
        <f>IFERROR(__xludf.DUMMYFUNCTION("""COMPUTED_VALUE"""),0.19247757073844038)</f>
        <v>0.1924775707</v>
      </c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>
      <c r="A381" s="13" t="str">
        <f>IFERROR(__xludf.DUMMYFUNCTION("""COMPUTED_VALUE"""),"Bank Of Maharashtra")</f>
        <v>Bank Of Maharashtra</v>
      </c>
      <c r="B381" s="30">
        <f>IFERROR(__xludf.DUMMYFUNCTION("""COMPUTED_VALUE"""),532525.0)</f>
        <v>532525</v>
      </c>
      <c r="C381" s="13" t="str">
        <f>IFERROR(__xludf.DUMMYFUNCTION("""COMPUTED_VALUE"""),"MAHABANK")</f>
        <v>MAHABANK</v>
      </c>
      <c r="D381" s="13" t="str">
        <f>IFERROR(__xludf.DUMMYFUNCTION("""COMPUTED_VALUE"""),"INE457A01014")</f>
        <v>INE457A01014</v>
      </c>
      <c r="E381" s="13" t="str">
        <f>IFERROR(__xludf.DUMMYFUNCTION("""COMPUTED_VALUE"""),"Financial")</f>
        <v>Financial</v>
      </c>
      <c r="F381" s="13" t="str">
        <f>IFERROR(__xludf.DUMMYFUNCTION("""COMPUTED_VALUE"""),"Banking")</f>
        <v>Banking</v>
      </c>
      <c r="G381" s="31">
        <f>IFERROR(__xludf.DUMMYFUNCTION("""COMPUTED_VALUE"""),44809.0)</f>
        <v>44809</v>
      </c>
      <c r="H381" s="32">
        <f>IFERROR(__xludf.DUMMYFUNCTION("""COMPUTED_VALUE"""),18.0)</f>
        <v>18</v>
      </c>
      <c r="I381" s="32">
        <f>IFERROR(__xludf.DUMMYFUNCTION("""COMPUTED_VALUE"""),0.278552)</f>
        <v>0.278552</v>
      </c>
      <c r="J381" s="32">
        <f>IFERROR(__xludf.DUMMYFUNCTION("""COMPUTED_VALUE"""),15.0)</f>
        <v>15</v>
      </c>
      <c r="K381" s="32">
        <f>IFERROR(__xludf.DUMMYFUNCTION("""COMPUTED_VALUE"""),22.85)</f>
        <v>22.85</v>
      </c>
      <c r="L381" s="32">
        <f>IFERROR(__xludf.DUMMYFUNCTION("""COMPUTED_VALUE"""),7.71)</f>
        <v>7.71</v>
      </c>
      <c r="M381" s="32">
        <f>IFERROR(__xludf.DUMMYFUNCTION("""COMPUTED_VALUE"""),32.0)</f>
        <v>32</v>
      </c>
      <c r="N381" s="32">
        <f>IFERROR(__xludf.DUMMYFUNCTION("""COMPUTED_VALUE"""),7.71)</f>
        <v>7.71</v>
      </c>
      <c r="O381" s="32">
        <f>IFERROR(__xludf.DUMMYFUNCTION("""COMPUTED_VALUE"""),32.0)</f>
        <v>32</v>
      </c>
      <c r="P381" s="32">
        <f>IFERROR(__xludf.DUMMYFUNCTION("""COMPUTED_VALUE"""),7.71)</f>
        <v>7.71</v>
      </c>
      <c r="Q381" s="32">
        <f>IFERROR(__xludf.DUMMYFUNCTION("""COMPUTED_VALUE"""),96.75)</f>
        <v>96.75</v>
      </c>
      <c r="R381" s="32">
        <f>IFERROR(__xludf.DUMMYFUNCTION("""COMPUTED_VALUE"""),12081.241122365)</f>
        <v>12081.24112</v>
      </c>
      <c r="S381" s="32">
        <f>IFERROR(__xludf.DUMMYFUNCTION("""COMPUTED_VALUE"""),-88.033577635)</f>
        <v>-88.03357764</v>
      </c>
      <c r="T381" s="32">
        <f>IFERROR(__xludf.DUMMYFUNCTION("""COMPUTED_VALUE"""),0.0)</f>
        <v>0</v>
      </c>
      <c r="U381" s="32">
        <f>IFERROR(__xludf.DUMMYFUNCTION("""COMPUTED_VALUE"""),3.746398)</f>
        <v>3.746398</v>
      </c>
      <c r="V381" s="32">
        <f>IFERROR(__xludf.DUMMYFUNCTION("""COMPUTED_VALUE"""),4.956268)</f>
        <v>4.956268</v>
      </c>
      <c r="W381" s="32">
        <f>IFERROR(__xludf.DUMMYFUNCTION("""COMPUTED_VALUE"""),-0.277008)</f>
        <v>-0.277008</v>
      </c>
      <c r="X381" s="32">
        <f>IFERROR(__xludf.DUMMYFUNCTION("""COMPUTED_VALUE"""),14.155203)</f>
        <v>14.155203</v>
      </c>
      <c r="Y381" s="32">
        <f>IFERROR(__xludf.DUMMYFUNCTION("""COMPUTED_VALUE"""),-7.408874)</f>
        <v>-7.408874</v>
      </c>
      <c r="Z381" s="32">
        <f>IFERROR(__xludf.DUMMYFUNCTION("""COMPUTED_VALUE"""),-8.529554)</f>
        <v>-8.529554</v>
      </c>
      <c r="AA381" s="32">
        <f>IFERROR(__xludf.DUMMYFUNCTION("""COMPUTED_VALUE"""),8.6754)</f>
        <v>8.6754</v>
      </c>
      <c r="AB381" s="32">
        <f>IFERROR(__xludf.DUMMYFUNCTION("""COMPUTED_VALUE"""),17.0368)</f>
        <v>17.0368</v>
      </c>
      <c r="AC381" s="32">
        <f>IFERROR(__xludf.DUMMYFUNCTION("""COMPUTED_VALUE"""),0.9338)</f>
        <v>0.9338</v>
      </c>
      <c r="AD381" s="32">
        <f>IFERROR(__xludf.DUMMYFUNCTION("""COMPUTED_VALUE"""),0.8084)</f>
        <v>0.8084</v>
      </c>
      <c r="AE381" s="32">
        <f>IFERROR(__xludf.DUMMYFUNCTION("""COMPUTED_VALUE"""),-10214.432086)</f>
        <v>-10214.43209</v>
      </c>
      <c r="AF381" s="32">
        <f>IFERROR(__xludf.DUMMYFUNCTION("""COMPUTED_VALUE"""),0.631345)</f>
        <v>0.631345</v>
      </c>
      <c r="AG381" s="32">
        <f>IFERROR(__xludf.DUMMYFUNCTION("""COMPUTED_VALUE"""),2.7778)</f>
        <v>2.7778</v>
      </c>
      <c r="AH381" s="32">
        <f>IFERROR(__xludf.DUMMYFUNCTION("""COMPUTED_VALUE"""),-0.019118)</f>
        <v>-0.019118</v>
      </c>
      <c r="AI381" s="32">
        <f>IFERROR(__xludf.DUMMYFUNCTION("""COMPUTED_VALUE"""),0.9033993730966441)</f>
        <v>0.9033993731</v>
      </c>
      <c r="AJ381" s="32">
        <f>IFERROR(__xludf.DUMMYFUNCTION("""COMPUTED_VALUE"""),1.670326253287581)</f>
        <v>1.670326253</v>
      </c>
      <c r="AK381" s="32">
        <f>IFERROR(__xludf.DUMMYFUNCTION("""COMPUTED_VALUE"""),2.0691)</f>
        <v>2.0691</v>
      </c>
      <c r="AL381" s="32">
        <f>IFERROR(__xludf.DUMMYFUNCTION("""COMPUTED_VALUE"""),19.2227)</f>
        <v>19.2227</v>
      </c>
      <c r="AM381" s="32">
        <f>IFERROR(__xludf.DUMMYFUNCTION("""COMPUTED_VALUE"""),10.746404)</f>
        <v>10.746404</v>
      </c>
      <c r="AN381" s="32">
        <f>IFERROR(__xludf.DUMMYFUNCTION("""COMPUTED_VALUE"""),3.958835)</f>
        <v>3.958835</v>
      </c>
      <c r="AO381" s="32">
        <f>IFERROR(__xludf.DUMMYFUNCTION("""COMPUTED_VALUE"""),0.5)</f>
        <v>0.5</v>
      </c>
      <c r="AP381" s="32">
        <f>IFERROR(__xludf.DUMMYFUNCTION("""COMPUTED_VALUE"""),0.21225382932166306)</f>
        <v>0.2122538293</v>
      </c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>
      <c r="A382" s="13" t="str">
        <f>IFERROR(__xludf.DUMMYFUNCTION("""COMPUTED_VALUE"""),"Biocon Ltd.")</f>
        <v>Biocon Ltd.</v>
      </c>
      <c r="B382" s="30">
        <f>IFERROR(__xludf.DUMMYFUNCTION("""COMPUTED_VALUE"""),532523.0)</f>
        <v>532523</v>
      </c>
      <c r="C382" s="13" t="str">
        <f>IFERROR(__xludf.DUMMYFUNCTION("""COMPUTED_VALUE"""),"BIOCON")</f>
        <v>BIOCON</v>
      </c>
      <c r="D382" s="13" t="str">
        <f>IFERROR(__xludf.DUMMYFUNCTION("""COMPUTED_VALUE"""),"INE376G01013")</f>
        <v>INE376G01013</v>
      </c>
      <c r="E382" s="13" t="str">
        <f>IFERROR(__xludf.DUMMYFUNCTION("""COMPUTED_VALUE"""),"Healthcare")</f>
        <v>Healthcare</v>
      </c>
      <c r="F382" s="13" t="str">
        <f>IFERROR(__xludf.DUMMYFUNCTION("""COMPUTED_VALUE"""),"Drugs &amp; Pharma")</f>
        <v>Drugs &amp; Pharma</v>
      </c>
      <c r="G382" s="31">
        <f>IFERROR(__xludf.DUMMYFUNCTION("""COMPUTED_VALUE"""),44809.0)</f>
        <v>44809</v>
      </c>
      <c r="H382" s="32">
        <f>IFERROR(__xludf.DUMMYFUNCTION("""COMPUTED_VALUE"""),292.8)</f>
        <v>292.8</v>
      </c>
      <c r="I382" s="32">
        <f>IFERROR(__xludf.DUMMYFUNCTION("""COMPUTED_VALUE"""),-0.947226)</f>
        <v>-0.947226</v>
      </c>
      <c r="J382" s="32">
        <f>IFERROR(__xludf.DUMMYFUNCTION("""COMPUTED_VALUE"""),290.65)</f>
        <v>290.65</v>
      </c>
      <c r="K382" s="32">
        <f>IFERROR(__xludf.DUMMYFUNCTION("""COMPUTED_VALUE"""),410.7)</f>
        <v>410.7</v>
      </c>
      <c r="L382" s="32">
        <f>IFERROR(__xludf.DUMMYFUNCTION("""COMPUTED_VALUE"""),212.2)</f>
        <v>212.2</v>
      </c>
      <c r="M382" s="32">
        <f>IFERROR(__xludf.DUMMYFUNCTION("""COMPUTED_VALUE"""),487.75)</f>
        <v>487.75</v>
      </c>
      <c r="N382" s="32">
        <f>IFERROR(__xludf.DUMMYFUNCTION("""COMPUTED_VALUE"""),160.0)</f>
        <v>160</v>
      </c>
      <c r="O382" s="32">
        <f>IFERROR(__xludf.DUMMYFUNCTION("""COMPUTED_VALUE"""),487.75)</f>
        <v>487.75</v>
      </c>
      <c r="P382" s="32">
        <f>IFERROR(__xludf.DUMMYFUNCTION("""COMPUTED_VALUE"""),14.166667)</f>
        <v>14.166667</v>
      </c>
      <c r="Q382" s="32">
        <f>IFERROR(__xludf.DUMMYFUNCTION("""COMPUTED_VALUE"""),487.75)</f>
        <v>487.75</v>
      </c>
      <c r="R382" s="32">
        <f>IFERROR(__xludf.DUMMYFUNCTION("""COMPUTED_VALUE"""),35147.565)</f>
        <v>35147.565</v>
      </c>
      <c r="S382" s="32">
        <f>IFERROR(__xludf.DUMMYFUNCTION("""COMPUTED_VALUE"""),37428.536)</f>
        <v>37428.536</v>
      </c>
      <c r="T382" s="32">
        <f>IFERROR(__xludf.DUMMYFUNCTION("""COMPUTED_VALUE"""),-4.547677)</f>
        <v>-4.547677</v>
      </c>
      <c r="U382" s="32">
        <f>IFERROR(__xludf.DUMMYFUNCTION("""COMPUTED_VALUE"""),-6.751592)</f>
        <v>-6.751592</v>
      </c>
      <c r="V382" s="32">
        <f>IFERROR(__xludf.DUMMYFUNCTION("""COMPUTED_VALUE"""),-8.585701)</f>
        <v>-8.585701</v>
      </c>
      <c r="W382" s="32">
        <f>IFERROR(__xludf.DUMMYFUNCTION("""COMPUTED_VALUE"""),-19.449794)</f>
        <v>-19.449794</v>
      </c>
      <c r="X382" s="32">
        <f>IFERROR(__xludf.DUMMYFUNCTION("""COMPUTED_VALUE"""),8.176223)</f>
        <v>8.176223</v>
      </c>
      <c r="Y382" s="32">
        <f>IFERROR(__xludf.DUMMYFUNCTION("""COMPUTED_VALUE"""),12.036112)</f>
        <v>12.036112</v>
      </c>
      <c r="Z382" s="32">
        <f>IFERROR(__xludf.DUMMYFUNCTION("""COMPUTED_VALUE"""),20.668519)</f>
        <v>20.668519</v>
      </c>
      <c r="AA382" s="32">
        <f>IFERROR(__xludf.DUMMYFUNCTION("""COMPUTED_VALUE"""),49.6154)</f>
        <v>49.6154</v>
      </c>
      <c r="AB382" s="32">
        <f>IFERROR(__xludf.DUMMYFUNCTION("""COMPUTED_VALUE"""),63.65575)</f>
        <v>63.65575</v>
      </c>
      <c r="AC382" s="32">
        <f>IFERROR(__xludf.DUMMYFUNCTION("""COMPUTED_VALUE"""),4.1654)</f>
        <v>4.1654</v>
      </c>
      <c r="AD382" s="32">
        <f>IFERROR(__xludf.DUMMYFUNCTION("""COMPUTED_VALUE"""),6.255383)</f>
        <v>6.255383</v>
      </c>
      <c r="AE382" s="32">
        <f>IFERROR(__xludf.DUMMYFUNCTION("""COMPUTED_VALUE"""),4.543988)</f>
        <v>4.543988</v>
      </c>
      <c r="AF382" s="32">
        <f>IFERROR(__xludf.DUMMYFUNCTION("""COMPUTED_VALUE"""),4.230753)</f>
        <v>4.230753</v>
      </c>
      <c r="AG382" s="32">
        <f>IFERROR(__xludf.DUMMYFUNCTION("""COMPUTED_VALUE"""),0.1708)</f>
        <v>0.1708</v>
      </c>
      <c r="AH382" s="32">
        <f>IFERROR(__xludf.DUMMYFUNCTION("""COMPUTED_VALUE"""),16.831648)</f>
        <v>16.831648</v>
      </c>
      <c r="AI382" s="32">
        <f>IFERROR(__xludf.DUMMYFUNCTION("""COMPUTED_VALUE"""),4.104633360193392)</f>
        <v>4.10463336</v>
      </c>
      <c r="AJ382" s="32">
        <f>IFERROR(__xludf.DUMMYFUNCTION("""COMPUTED_VALUE"""),29.872144314125446)</f>
        <v>29.87214431</v>
      </c>
      <c r="AK382" s="32">
        <f>IFERROR(__xludf.DUMMYFUNCTION("""COMPUTED_VALUE"""),5.9004)</f>
        <v>5.9004</v>
      </c>
      <c r="AL382" s="32">
        <f>IFERROR(__xludf.DUMMYFUNCTION("""COMPUTED_VALUE"""),70.2807)</f>
        <v>70.2807</v>
      </c>
      <c r="AM382" s="32">
        <f>IFERROR(__xludf.DUMMYFUNCTION("""COMPUTED_VALUE"""),9.8001)</f>
        <v>9.8001</v>
      </c>
      <c r="AN382" s="32">
        <f>IFERROR(__xludf.DUMMYFUNCTION("""COMPUTED_VALUE"""),-7.676162)</f>
        <v>-7.676162</v>
      </c>
      <c r="AO382" s="32">
        <f>IFERROR(__xludf.DUMMYFUNCTION("""COMPUTED_VALUE"""),0.5)</f>
        <v>0.5</v>
      </c>
      <c r="AP382" s="32">
        <f>IFERROR(__xludf.DUMMYFUNCTION("""COMPUTED_VALUE"""),0.28707085463842213)</f>
        <v>0.2870708546</v>
      </c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>
      <c r="A383" s="13" t="str">
        <f>IFERROR(__xludf.DUMMYFUNCTION("""COMPUTED_VALUE"""),"L&amp;T Finance Holdings Ltd.")</f>
        <v>L&amp;T Finance Holdings Ltd.</v>
      </c>
      <c r="B383" s="30">
        <f>IFERROR(__xludf.DUMMYFUNCTION("""COMPUTED_VALUE"""),533519.0)</f>
        <v>533519</v>
      </c>
      <c r="C383" s="13" t="str">
        <f>IFERROR(__xludf.DUMMYFUNCTION("""COMPUTED_VALUE"""),"L&amp;TFH")</f>
        <v>L&amp;TFH</v>
      </c>
      <c r="D383" s="13" t="str">
        <f>IFERROR(__xludf.DUMMYFUNCTION("""COMPUTED_VALUE"""),"INE498L01015")</f>
        <v>INE498L01015</v>
      </c>
      <c r="E383" s="13" t="str">
        <f>IFERROR(__xludf.DUMMYFUNCTION("""COMPUTED_VALUE"""),"Financial")</f>
        <v>Financial</v>
      </c>
      <c r="F383" s="13" t="str">
        <f>IFERROR(__xludf.DUMMYFUNCTION("""COMPUTED_VALUE"""),"Misc. Fin.services")</f>
        <v>Misc. Fin.services</v>
      </c>
      <c r="G383" s="31">
        <f>IFERROR(__xludf.DUMMYFUNCTION("""COMPUTED_VALUE"""),44809.0)</f>
        <v>44809</v>
      </c>
      <c r="H383" s="32">
        <f>IFERROR(__xludf.DUMMYFUNCTION("""COMPUTED_VALUE"""),80.3)</f>
        <v>80.3</v>
      </c>
      <c r="I383" s="32">
        <f>IFERROR(__xludf.DUMMYFUNCTION("""COMPUTED_VALUE"""),2.292994)</f>
        <v>2.292994</v>
      </c>
      <c r="J383" s="32">
        <f>IFERROR(__xludf.DUMMYFUNCTION("""COMPUTED_VALUE"""),59.5)</f>
        <v>59.5</v>
      </c>
      <c r="K383" s="32">
        <f>IFERROR(__xludf.DUMMYFUNCTION("""COMPUTED_VALUE"""),96.0)</f>
        <v>96</v>
      </c>
      <c r="L383" s="32">
        <f>IFERROR(__xludf.DUMMYFUNCTION("""COMPUTED_VALUE"""),42.692219)</f>
        <v>42.692219</v>
      </c>
      <c r="M383" s="32">
        <f>IFERROR(__xludf.DUMMYFUNCTION("""COMPUTED_VALUE"""),124.635236)</f>
        <v>124.635236</v>
      </c>
      <c r="N383" s="32">
        <f>IFERROR(__xludf.DUMMYFUNCTION("""COMPUTED_VALUE"""),42.692219)</f>
        <v>42.692219</v>
      </c>
      <c r="O383" s="32">
        <f>IFERROR(__xludf.DUMMYFUNCTION("""COMPUTED_VALUE"""),198.904815)</f>
        <v>198.904815</v>
      </c>
      <c r="P383" s="32">
        <f>IFERROR(__xludf.DUMMYFUNCTION("""COMPUTED_VALUE"""),16.576693)</f>
        <v>16.576693</v>
      </c>
      <c r="Q383" s="32">
        <f>IFERROR(__xludf.DUMMYFUNCTION("""COMPUTED_VALUE"""),198.904815)</f>
        <v>198.904815</v>
      </c>
      <c r="R383" s="32">
        <f>IFERROR(__xludf.DUMMYFUNCTION("""COMPUTED_VALUE"""),19882.41651803)</f>
        <v>19882.41652</v>
      </c>
      <c r="S383" s="32">
        <f>IFERROR(__xludf.DUMMYFUNCTION("""COMPUTED_VALUE"""),95494.073542855)</f>
        <v>95494.07354</v>
      </c>
      <c r="T383" s="32">
        <f>IFERROR(__xludf.DUMMYFUNCTION("""COMPUTED_VALUE"""),0.81607)</f>
        <v>0.81607</v>
      </c>
      <c r="U383" s="32">
        <f>IFERROR(__xludf.DUMMYFUNCTION("""COMPUTED_VALUE"""),7.930108)</f>
        <v>7.930108</v>
      </c>
      <c r="V383" s="32">
        <f>IFERROR(__xludf.DUMMYFUNCTION("""COMPUTED_VALUE"""),5.797101)</f>
        <v>5.797101</v>
      </c>
      <c r="W383" s="32">
        <f>IFERROR(__xludf.DUMMYFUNCTION("""COMPUTED_VALUE"""),-4.91415)</f>
        <v>-4.91415</v>
      </c>
      <c r="X383" s="32">
        <f>IFERROR(__xludf.DUMMYFUNCTION("""COMPUTED_VALUE"""),-1.865062)</f>
        <v>-1.865062</v>
      </c>
      <c r="Y383" s="32">
        <f>IFERROR(__xludf.DUMMYFUNCTION("""COMPUTED_VALUE"""),-15.071982)</f>
        <v>-15.071982</v>
      </c>
      <c r="Z383" s="32">
        <f>IFERROR(__xludf.DUMMYFUNCTION("""COMPUTED_VALUE"""),16.194993)</f>
        <v>16.194993</v>
      </c>
      <c r="AA383" s="32">
        <f>IFERROR(__xludf.DUMMYFUNCTION("""COMPUTED_VALUE"""),17.2238)</f>
        <v>17.2238</v>
      </c>
      <c r="AB383" s="32">
        <f>IFERROR(__xludf.DUMMYFUNCTION("""COMPUTED_VALUE"""),15.9078)</f>
        <v>15.9078</v>
      </c>
      <c r="AC383" s="32">
        <f>IFERROR(__xludf.DUMMYFUNCTION("""COMPUTED_VALUE"""),0.9947)</f>
        <v>0.9947</v>
      </c>
      <c r="AD383" s="32">
        <f>IFERROR(__xludf.DUMMYFUNCTION("""COMPUTED_VALUE"""),1.32475)</f>
        <v>1.32475</v>
      </c>
      <c r="AE383" s="32">
        <f>IFERROR(__xludf.DUMMYFUNCTION("""COMPUTED_VALUE"""),7.979589)</f>
        <v>7.979589</v>
      </c>
      <c r="AF383" s="32">
        <f>IFERROR(__xludf.DUMMYFUNCTION("""COMPUTED_VALUE"""),-24.274327)</f>
        <v>-24.274327</v>
      </c>
      <c r="AG383" s="32">
        <f>IFERROR(__xludf.DUMMYFUNCTION("""COMPUTED_VALUE"""),0.6227)</f>
        <v>0.6227</v>
      </c>
      <c r="AH383" s="32">
        <f>IFERROR(__xludf.DUMMYFUNCTION("""COMPUTED_VALUE"""),13.307758)</f>
        <v>13.307758</v>
      </c>
      <c r="AI383" s="32">
        <f>IFERROR(__xludf.DUMMYFUNCTION("""COMPUTED_VALUE"""),1.6634901200888872)</f>
        <v>1.66349012</v>
      </c>
      <c r="AJ383" s="32">
        <f>IFERROR(__xludf.DUMMYFUNCTION("""COMPUTED_VALUE"""),3.271178059780588)</f>
        <v>3.27117806</v>
      </c>
      <c r="AK383" s="32">
        <f>IFERROR(__xludf.DUMMYFUNCTION("""COMPUTED_VALUE"""),4.6622)</f>
        <v>4.6622</v>
      </c>
      <c r="AL383" s="32">
        <f>IFERROR(__xludf.DUMMYFUNCTION("""COMPUTED_VALUE"""),80.729)</f>
        <v>80.729</v>
      </c>
      <c r="AM383" s="32">
        <f>IFERROR(__xludf.DUMMYFUNCTION("""COMPUTED_VALUE"""),24.567347)</f>
        <v>24.567347</v>
      </c>
      <c r="AN383" s="32">
        <f>IFERROR(__xludf.DUMMYFUNCTION("""COMPUTED_VALUE"""),3.367245)</f>
        <v>3.367245</v>
      </c>
      <c r="AO383" s="32">
        <f>IFERROR(__xludf.DUMMYFUNCTION("""COMPUTED_VALUE"""),0.5)</f>
        <v>0.5</v>
      </c>
      <c r="AP383" s="32">
        <f>IFERROR(__xludf.DUMMYFUNCTION("""COMPUTED_VALUE"""),0.1635416666666667)</f>
        <v>0.1635416667</v>
      </c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>
      <c r="A384" s="13" t="str">
        <f>IFERROR(__xludf.DUMMYFUNCTION("""COMPUTED_VALUE"""),"PNC Infratech Ltd.")</f>
        <v>PNC Infratech Ltd.</v>
      </c>
      <c r="B384" s="30">
        <f>IFERROR(__xludf.DUMMYFUNCTION("""COMPUTED_VALUE"""),539150.0)</f>
        <v>539150</v>
      </c>
      <c r="C384" s="13" t="str">
        <f>IFERROR(__xludf.DUMMYFUNCTION("""COMPUTED_VALUE"""),"PNCINFRA")</f>
        <v>PNCINFRA</v>
      </c>
      <c r="D384" s="13" t="str">
        <f>IFERROR(__xludf.DUMMYFUNCTION("""COMPUTED_VALUE"""),"INE195J01029")</f>
        <v>INE195J01029</v>
      </c>
      <c r="E384" s="13" t="str">
        <f>IFERROR(__xludf.DUMMYFUNCTION("""COMPUTED_VALUE"""),"Construction")</f>
        <v>Construction</v>
      </c>
      <c r="F384" s="13" t="str">
        <f>IFERROR(__xludf.DUMMYFUNCTION("""COMPUTED_VALUE"""),"Construction")</f>
        <v>Construction</v>
      </c>
      <c r="G384" s="31">
        <f>IFERROR(__xludf.DUMMYFUNCTION("""COMPUTED_VALUE"""),44809.0)</f>
        <v>44809</v>
      </c>
      <c r="H384" s="32">
        <f>IFERROR(__xludf.DUMMYFUNCTION("""COMPUTED_VALUE"""),283.95)</f>
        <v>283.95</v>
      </c>
      <c r="I384" s="32">
        <f>IFERROR(__xludf.DUMMYFUNCTION("""COMPUTED_VALUE"""),-0.820817)</f>
        <v>-0.820817</v>
      </c>
      <c r="J384" s="32">
        <f>IFERROR(__xludf.DUMMYFUNCTION("""COMPUTED_VALUE"""),219.0)</f>
        <v>219</v>
      </c>
      <c r="K384" s="32">
        <f>IFERROR(__xludf.DUMMYFUNCTION("""COMPUTED_VALUE"""),395.9)</f>
        <v>395.9</v>
      </c>
      <c r="L384" s="32">
        <f>IFERROR(__xludf.DUMMYFUNCTION("""COMPUTED_VALUE"""),80.0)</f>
        <v>80</v>
      </c>
      <c r="M384" s="32">
        <f>IFERROR(__xludf.DUMMYFUNCTION("""COMPUTED_VALUE"""),395.9)</f>
        <v>395.9</v>
      </c>
      <c r="N384" s="32">
        <f>IFERROR(__xludf.DUMMYFUNCTION("""COMPUTED_VALUE"""),80.0)</f>
        <v>80</v>
      </c>
      <c r="O384" s="32">
        <f>IFERROR(__xludf.DUMMYFUNCTION("""COMPUTED_VALUE"""),395.9)</f>
        <v>395.9</v>
      </c>
      <c r="P384" s="32">
        <f>IFERROR(__xludf.DUMMYFUNCTION("""COMPUTED_VALUE"""),69.26)</f>
        <v>69.26</v>
      </c>
      <c r="Q384" s="32">
        <f>IFERROR(__xludf.DUMMYFUNCTION("""COMPUTED_VALUE"""),395.9)</f>
        <v>395.9</v>
      </c>
      <c r="R384" s="32">
        <f>IFERROR(__xludf.DUMMYFUNCTION("""COMPUTED_VALUE"""),7285.712286)</f>
        <v>7285.712286</v>
      </c>
      <c r="S384" s="32">
        <f>IFERROR(__xludf.DUMMYFUNCTION("""COMPUTED_VALUE"""),10062.273456375)</f>
        <v>10062.27346</v>
      </c>
      <c r="T384" s="32">
        <f>IFERROR(__xludf.DUMMYFUNCTION("""COMPUTED_VALUE"""),3.858815)</f>
        <v>3.858815</v>
      </c>
      <c r="U384" s="32">
        <f>IFERROR(__xludf.DUMMYFUNCTION("""COMPUTED_VALUE"""),12.52229)</f>
        <v>12.52229</v>
      </c>
      <c r="V384" s="32">
        <f>IFERROR(__xludf.DUMMYFUNCTION("""COMPUTED_VALUE"""),10.593963)</f>
        <v>10.593963</v>
      </c>
      <c r="W384" s="32">
        <f>IFERROR(__xludf.DUMMYFUNCTION("""COMPUTED_VALUE"""),-21.103084)</f>
        <v>-21.103084</v>
      </c>
      <c r="X384" s="32">
        <f>IFERROR(__xludf.DUMMYFUNCTION("""COMPUTED_VALUE"""),17.508137)</f>
        <v>17.508137</v>
      </c>
      <c r="Y384" s="32">
        <f>IFERROR(__xludf.DUMMYFUNCTION("""COMPUTED_VALUE"""),15.776881)</f>
        <v>15.776881</v>
      </c>
      <c r="Z384" s="13"/>
      <c r="AA384" s="32">
        <f>IFERROR(__xludf.DUMMYFUNCTION("""COMPUTED_VALUE"""),10.3594)</f>
        <v>10.3594</v>
      </c>
      <c r="AB384" s="32">
        <f>IFERROR(__xludf.DUMMYFUNCTION("""COMPUTED_VALUE"""),13.3427)</f>
        <v>13.3427</v>
      </c>
      <c r="AC384" s="32">
        <f>IFERROR(__xludf.DUMMYFUNCTION("""COMPUTED_VALUE"""),1.8832)</f>
        <v>1.8832</v>
      </c>
      <c r="AD384" s="32">
        <f>IFERROR(__xludf.DUMMYFUNCTION("""COMPUTED_VALUE"""),2.0533)</f>
        <v>2.0533</v>
      </c>
      <c r="AE384" s="32">
        <f>IFERROR(__xludf.DUMMYFUNCTION("""COMPUTED_VALUE"""),14.554153)</f>
        <v>14.554153</v>
      </c>
      <c r="AF384" s="32">
        <f>IFERROR(__xludf.DUMMYFUNCTION("""COMPUTED_VALUE"""),0.596595)</f>
        <v>0.596595</v>
      </c>
      <c r="AG384" s="32">
        <f>IFERROR(__xludf.DUMMYFUNCTION("""COMPUTED_VALUE"""),0.1762)</f>
        <v>0.1762</v>
      </c>
      <c r="AH384" s="32">
        <f>IFERROR(__xludf.DUMMYFUNCTION("""COMPUTED_VALUE"""),5.684409)</f>
        <v>5.684409</v>
      </c>
      <c r="AI384" s="32">
        <f>IFERROR(__xludf.DUMMYFUNCTION("""COMPUTED_VALUE"""),0.934255882607895)</f>
        <v>0.9342558826</v>
      </c>
      <c r="AJ384" s="32">
        <f>IFERROR(__xludf.DUMMYFUNCTION("""COMPUTED_VALUE"""),39.220892900016686)</f>
        <v>39.2208929</v>
      </c>
      <c r="AK384" s="32">
        <f>IFERROR(__xludf.DUMMYFUNCTION("""COMPUTED_VALUE"""),27.4148)</f>
        <v>27.4148</v>
      </c>
      <c r="AL384" s="32">
        <f>IFERROR(__xludf.DUMMYFUNCTION("""COMPUTED_VALUE"""),150.8053)</f>
        <v>150.8053</v>
      </c>
      <c r="AM384" s="32">
        <f>IFERROR(__xludf.DUMMYFUNCTION("""COMPUTED_VALUE"""),7.241043)</f>
        <v>7.241043</v>
      </c>
      <c r="AN384" s="32">
        <f>IFERROR(__xludf.DUMMYFUNCTION("""COMPUTED_VALUE"""),-13.154522)</f>
        <v>-13.154522</v>
      </c>
      <c r="AO384" s="32">
        <f>IFERROR(__xludf.DUMMYFUNCTION("""COMPUTED_VALUE"""),0.5)</f>
        <v>0.5</v>
      </c>
      <c r="AP384" s="32">
        <f>IFERROR(__xludf.DUMMYFUNCTION("""COMPUTED_VALUE"""),0.2827734276332407)</f>
        <v>0.2827734276</v>
      </c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>
      <c r="A385" s="13" t="str">
        <f>IFERROR(__xludf.DUMMYFUNCTION("""COMPUTED_VALUE"""),"Rossari Biotech Ltd.")</f>
        <v>Rossari Biotech Ltd.</v>
      </c>
      <c r="B385" s="30">
        <f>IFERROR(__xludf.DUMMYFUNCTION("""COMPUTED_VALUE"""),543213.0)</f>
        <v>543213</v>
      </c>
      <c r="C385" s="13" t="str">
        <f>IFERROR(__xludf.DUMMYFUNCTION("""COMPUTED_VALUE"""),"ROSSARI")</f>
        <v>ROSSARI</v>
      </c>
      <c r="D385" s="13" t="str">
        <f>IFERROR(__xludf.DUMMYFUNCTION("""COMPUTED_VALUE"""),"INE02A801020")</f>
        <v>INE02A801020</v>
      </c>
      <c r="E385" s="13" t="str">
        <f>IFERROR(__xludf.DUMMYFUNCTION("""COMPUTED_VALUE"""),"Chemicals")</f>
        <v>Chemicals</v>
      </c>
      <c r="F385" s="13" t="str">
        <f>IFERROR(__xludf.DUMMYFUNCTION("""COMPUTED_VALUE"""),"Misc.Chem.")</f>
        <v>Misc.Chem.</v>
      </c>
      <c r="G385" s="31">
        <f>IFERROR(__xludf.DUMMYFUNCTION("""COMPUTED_VALUE"""),44809.0)</f>
        <v>44809</v>
      </c>
      <c r="H385" s="32">
        <f>IFERROR(__xludf.DUMMYFUNCTION("""COMPUTED_VALUE"""),971.55)</f>
        <v>971.55</v>
      </c>
      <c r="I385" s="32">
        <f>IFERROR(__xludf.DUMMYFUNCTION("""COMPUTED_VALUE"""),-1.809086)</f>
        <v>-1.809086</v>
      </c>
      <c r="J385" s="32">
        <f>IFERROR(__xludf.DUMMYFUNCTION("""COMPUTED_VALUE"""),795.1)</f>
        <v>795.1</v>
      </c>
      <c r="K385" s="32">
        <f>IFERROR(__xludf.DUMMYFUNCTION("""COMPUTED_VALUE"""),1620.6)</f>
        <v>1620.6</v>
      </c>
      <c r="L385" s="13"/>
      <c r="M385" s="13"/>
      <c r="N385" s="13"/>
      <c r="O385" s="13"/>
      <c r="P385" s="32">
        <f>IFERROR(__xludf.DUMMYFUNCTION("""COMPUTED_VALUE"""),663.55)</f>
        <v>663.55</v>
      </c>
      <c r="Q385" s="32">
        <f>IFERROR(__xludf.DUMMYFUNCTION("""COMPUTED_VALUE"""),1620.6)</f>
        <v>1620.6</v>
      </c>
      <c r="R385" s="32">
        <f>IFERROR(__xludf.DUMMYFUNCTION("""COMPUTED_VALUE"""),5375.43201)</f>
        <v>5375.43201</v>
      </c>
      <c r="S385" s="32">
        <f>IFERROR(__xludf.DUMMYFUNCTION("""COMPUTED_VALUE"""),5381.70656232)</f>
        <v>5381.706562</v>
      </c>
      <c r="T385" s="32">
        <f>IFERROR(__xludf.DUMMYFUNCTION("""COMPUTED_VALUE"""),2.940242)</f>
        <v>2.940242</v>
      </c>
      <c r="U385" s="32">
        <f>IFERROR(__xludf.DUMMYFUNCTION("""COMPUTED_VALUE"""),2.494989)</f>
        <v>2.494989</v>
      </c>
      <c r="V385" s="32">
        <f>IFERROR(__xludf.DUMMYFUNCTION("""COMPUTED_VALUE"""),10.535298)</f>
        <v>10.535298</v>
      </c>
      <c r="W385" s="32">
        <f>IFERROR(__xludf.DUMMYFUNCTION("""COMPUTED_VALUE"""),-31.3659)</f>
        <v>-31.3659</v>
      </c>
      <c r="X385" s="13"/>
      <c r="Y385" s="13"/>
      <c r="Z385" s="13"/>
      <c r="AA385" s="32">
        <f>IFERROR(__xludf.DUMMYFUNCTION("""COMPUTED_VALUE"""),52.9443)</f>
        <v>52.9443</v>
      </c>
      <c r="AB385" s="32">
        <f>IFERROR(__xludf.DUMMYFUNCTION("""COMPUTED_VALUE"""),56.0906)</f>
        <v>56.0906</v>
      </c>
      <c r="AC385" s="32">
        <f>IFERROR(__xludf.DUMMYFUNCTION("""COMPUTED_VALUE"""),6.4517)</f>
        <v>6.4517</v>
      </c>
      <c r="AD385" s="32">
        <f>IFERROR(__xludf.DUMMYFUNCTION("""COMPUTED_VALUE"""),6.8846)</f>
        <v>6.8846</v>
      </c>
      <c r="AE385" s="32">
        <f>IFERROR(__xludf.DUMMYFUNCTION("""COMPUTED_VALUE"""),3.136998)</f>
        <v>3.136998</v>
      </c>
      <c r="AF385" s="32">
        <f>IFERROR(__xludf.DUMMYFUNCTION("""COMPUTED_VALUE"""),4.58211)</f>
        <v>4.58211</v>
      </c>
      <c r="AG385" s="32">
        <f>IFERROR(__xludf.DUMMYFUNCTION("""COMPUTED_VALUE"""),0.0515)</f>
        <v>0.0515</v>
      </c>
      <c r="AH385" s="32">
        <f>IFERROR(__xludf.DUMMYFUNCTION("""COMPUTED_VALUE"""),25.180402)</f>
        <v>25.180402</v>
      </c>
      <c r="AI385" s="32">
        <f>IFERROR(__xludf.DUMMYFUNCTION("""COMPUTED_VALUE"""),3.187190132185128)</f>
        <v>3.187190132</v>
      </c>
      <c r="AJ385" s="32">
        <f>IFERROR(__xludf.DUMMYFUNCTION("""COMPUTED_VALUE"""),183.09939403229103)</f>
        <v>183.099394</v>
      </c>
      <c r="AK385" s="32">
        <f>IFERROR(__xludf.DUMMYFUNCTION("""COMPUTED_VALUE"""),18.4156)</f>
        <v>18.4156</v>
      </c>
      <c r="AL385" s="32">
        <f>IFERROR(__xludf.DUMMYFUNCTION("""COMPUTED_VALUE"""),151.1232)</f>
        <v>151.1232</v>
      </c>
      <c r="AM385" s="32">
        <f>IFERROR(__xludf.DUMMYFUNCTION("""COMPUTED_VALUE"""),5.332486)</f>
        <v>5.332486</v>
      </c>
      <c r="AN385" s="32">
        <f>IFERROR(__xludf.DUMMYFUNCTION("""COMPUTED_VALUE"""),-1.273817)</f>
        <v>-1.273817</v>
      </c>
      <c r="AO385" s="32">
        <f>IFERROR(__xludf.DUMMYFUNCTION("""COMPUTED_VALUE"""),0.5)</f>
        <v>0.5</v>
      </c>
      <c r="AP385" s="32">
        <f>IFERROR(__xludf.DUMMYFUNCTION("""COMPUTED_VALUE"""),0.40049981488337655)</f>
        <v>0.4004998149</v>
      </c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>
      <c r="A386" s="13" t="str">
        <f>IFERROR(__xludf.DUMMYFUNCTION("""COMPUTED_VALUE"""),"Sterlite Technologies Ltd.")</f>
        <v>Sterlite Technologies Ltd.</v>
      </c>
      <c r="B386" s="30">
        <f>IFERROR(__xludf.DUMMYFUNCTION("""COMPUTED_VALUE"""),532374.0)</f>
        <v>532374</v>
      </c>
      <c r="C386" s="13" t="str">
        <f>IFERROR(__xludf.DUMMYFUNCTION("""COMPUTED_VALUE"""),"STLTECH")</f>
        <v>STLTECH</v>
      </c>
      <c r="D386" s="13" t="str">
        <f>IFERROR(__xludf.DUMMYFUNCTION("""COMPUTED_VALUE"""),"INE089C01029")</f>
        <v>INE089C01029</v>
      </c>
      <c r="E386" s="13" t="str">
        <f>IFERROR(__xludf.DUMMYFUNCTION("""COMPUTED_VALUE"""),"Communication")</f>
        <v>Communication</v>
      </c>
      <c r="F386" s="13" t="str">
        <f>IFERROR(__xludf.DUMMYFUNCTION("""COMPUTED_VALUE"""),"Communication Equipment")</f>
        <v>Communication Equipment</v>
      </c>
      <c r="G386" s="31">
        <f>IFERROR(__xludf.DUMMYFUNCTION("""COMPUTED_VALUE"""),44809.0)</f>
        <v>44809</v>
      </c>
      <c r="H386" s="32">
        <f>IFERROR(__xludf.DUMMYFUNCTION("""COMPUTED_VALUE"""),171.65)</f>
        <v>171.65</v>
      </c>
      <c r="I386" s="32">
        <f>IFERROR(__xludf.DUMMYFUNCTION("""COMPUTED_VALUE"""),1.298318)</f>
        <v>1.298318</v>
      </c>
      <c r="J386" s="32">
        <f>IFERROR(__xludf.DUMMYFUNCTION("""COMPUTED_VALUE"""),128.6)</f>
        <v>128.6</v>
      </c>
      <c r="K386" s="32">
        <f>IFERROR(__xludf.DUMMYFUNCTION("""COMPUTED_VALUE"""),317.45)</f>
        <v>317.45</v>
      </c>
      <c r="L386" s="32">
        <f>IFERROR(__xludf.DUMMYFUNCTION("""COMPUTED_VALUE"""),58.65)</f>
        <v>58.65</v>
      </c>
      <c r="M386" s="32">
        <f>IFERROR(__xludf.DUMMYFUNCTION("""COMPUTED_VALUE"""),318.0)</f>
        <v>318</v>
      </c>
      <c r="N386" s="32">
        <f>IFERROR(__xludf.DUMMYFUNCTION("""COMPUTED_VALUE"""),58.65)</f>
        <v>58.65</v>
      </c>
      <c r="O386" s="32">
        <f>IFERROR(__xludf.DUMMYFUNCTION("""COMPUTED_VALUE"""),415.0)</f>
        <v>415</v>
      </c>
      <c r="P386" s="32">
        <f>IFERROR(__xludf.DUMMYFUNCTION("""COMPUTED_VALUE"""),4.89)</f>
        <v>4.89</v>
      </c>
      <c r="Q386" s="32">
        <f>IFERROR(__xludf.DUMMYFUNCTION("""COMPUTED_VALUE"""),415.0)</f>
        <v>415</v>
      </c>
      <c r="R386" s="32">
        <f>IFERROR(__xludf.DUMMYFUNCTION("""COMPUTED_VALUE"""),6836.12328088)</f>
        <v>6836.123281</v>
      </c>
      <c r="S386" s="32">
        <f>IFERROR(__xludf.DUMMYFUNCTION("""COMPUTED_VALUE"""),9520.37491046)</f>
        <v>9520.37491</v>
      </c>
      <c r="T386" s="32">
        <f>IFERROR(__xludf.DUMMYFUNCTION("""COMPUTED_VALUE"""),0.763135)</f>
        <v>0.763135</v>
      </c>
      <c r="U386" s="32">
        <f>IFERROR(__xludf.DUMMYFUNCTION("""COMPUTED_VALUE"""),11.678595)</f>
        <v>11.678595</v>
      </c>
      <c r="V386" s="32">
        <f>IFERROR(__xludf.DUMMYFUNCTION("""COMPUTED_VALUE"""),-1.151742)</f>
        <v>-1.151742</v>
      </c>
      <c r="W386" s="32">
        <f>IFERROR(__xludf.DUMMYFUNCTION("""COMPUTED_VALUE"""),-37.319701)</f>
        <v>-37.319701</v>
      </c>
      <c r="X386" s="32">
        <f>IFERROR(__xludf.DUMMYFUNCTION("""COMPUTED_VALUE"""),13.61198)</f>
        <v>13.61198</v>
      </c>
      <c r="Y386" s="32">
        <f>IFERROR(__xludf.DUMMYFUNCTION("""COMPUTED_VALUE"""),-5.811083)</f>
        <v>-5.811083</v>
      </c>
      <c r="Z386" s="32">
        <f>IFERROR(__xludf.DUMMYFUNCTION("""COMPUTED_VALUE"""),19.816476)</f>
        <v>19.816476</v>
      </c>
      <c r="AA386" s="13"/>
      <c r="AB386" s="32">
        <f>IFERROR(__xludf.DUMMYFUNCTION("""COMPUTED_VALUE"""),29.3601)</f>
        <v>29.3601</v>
      </c>
      <c r="AC386" s="32">
        <f>IFERROR(__xludf.DUMMYFUNCTION("""COMPUTED_VALUE"""),3.5837)</f>
        <v>3.5837</v>
      </c>
      <c r="AD386" s="32">
        <f>IFERROR(__xludf.DUMMYFUNCTION("""COMPUTED_VALUE"""),4.4315)</f>
        <v>4.4315</v>
      </c>
      <c r="AE386" s="32">
        <f>IFERROR(__xludf.DUMMYFUNCTION("""COMPUTED_VALUE"""),2.02623)</f>
        <v>2.02623</v>
      </c>
      <c r="AF386" s="13"/>
      <c r="AG386" s="32">
        <f>IFERROR(__xludf.DUMMYFUNCTION("""COMPUTED_VALUE"""),0.291)</f>
        <v>0.291</v>
      </c>
      <c r="AH386" s="32">
        <f>IFERROR(__xludf.DUMMYFUNCTION("""COMPUTED_VALUE"""),20.055139)</f>
        <v>20.055139</v>
      </c>
      <c r="AI386" s="32">
        <f>IFERROR(__xludf.DUMMYFUNCTION("""COMPUTED_VALUE"""),1.1355629923571808)</f>
        <v>1.135562992</v>
      </c>
      <c r="AJ386" s="32">
        <f>IFERROR(__xludf.DUMMYFUNCTION("""COMPUTED_VALUE"""),11.910244927226161)</f>
        <v>11.91024493</v>
      </c>
      <c r="AK386" s="32">
        <f>IFERROR(__xludf.DUMMYFUNCTION("""COMPUTED_VALUE"""),-1.8547)</f>
        <v>-1.8547</v>
      </c>
      <c r="AL386" s="32">
        <f>IFERROR(__xludf.DUMMYFUNCTION("""COMPUTED_VALUE"""),47.9393)</f>
        <v>47.9393</v>
      </c>
      <c r="AM386" s="32">
        <f>IFERROR(__xludf.DUMMYFUNCTION("""COMPUTED_VALUE"""),14.430421)</f>
        <v>14.430421</v>
      </c>
      <c r="AN386" s="32">
        <f>IFERROR(__xludf.DUMMYFUNCTION("""COMPUTED_VALUE"""),-5.261596)</f>
        <v>-5.261596</v>
      </c>
      <c r="AO386" s="32">
        <f>IFERROR(__xludf.DUMMYFUNCTION("""COMPUTED_VALUE"""),0.5)</f>
        <v>0.5</v>
      </c>
      <c r="AP386" s="32">
        <f>IFERROR(__xludf.DUMMYFUNCTION("""COMPUTED_VALUE"""),0.45928492676011967)</f>
        <v>0.4592849268</v>
      </c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>
      <c r="A387" s="13" t="str">
        <f>IFERROR(__xludf.DUMMYFUNCTION("""COMPUTED_VALUE"""),"NBCC India Ltd.")</f>
        <v>NBCC India Ltd.</v>
      </c>
      <c r="B387" s="30">
        <f>IFERROR(__xludf.DUMMYFUNCTION("""COMPUTED_VALUE"""),534309.0)</f>
        <v>534309</v>
      </c>
      <c r="C387" s="13" t="str">
        <f>IFERROR(__xludf.DUMMYFUNCTION("""COMPUTED_VALUE"""),"NBCC")</f>
        <v>NBCC</v>
      </c>
      <c r="D387" s="13" t="str">
        <f>IFERROR(__xludf.DUMMYFUNCTION("""COMPUTED_VALUE"""),"INE095N01031")</f>
        <v>INE095N01031</v>
      </c>
      <c r="E387" s="13" t="str">
        <f>IFERROR(__xludf.DUMMYFUNCTION("""COMPUTED_VALUE"""),"Construction")</f>
        <v>Construction</v>
      </c>
      <c r="F387" s="13" t="str">
        <f>IFERROR(__xludf.DUMMYFUNCTION("""COMPUTED_VALUE"""),"Real Estate")</f>
        <v>Real Estate</v>
      </c>
      <c r="G387" s="31">
        <f>IFERROR(__xludf.DUMMYFUNCTION("""COMPUTED_VALUE"""),44809.0)</f>
        <v>44809</v>
      </c>
      <c r="H387" s="32">
        <f>IFERROR(__xludf.DUMMYFUNCTION("""COMPUTED_VALUE"""),34.6)</f>
        <v>34.6</v>
      </c>
      <c r="I387" s="32">
        <f>IFERROR(__xludf.DUMMYFUNCTION("""COMPUTED_VALUE"""),1.021898)</f>
        <v>1.021898</v>
      </c>
      <c r="J387" s="32">
        <f>IFERROR(__xludf.DUMMYFUNCTION("""COMPUTED_VALUE"""),26.55)</f>
        <v>26.55</v>
      </c>
      <c r="K387" s="32">
        <f>IFERROR(__xludf.DUMMYFUNCTION("""COMPUTED_VALUE"""),53.7)</f>
        <v>53.7</v>
      </c>
      <c r="L387" s="32">
        <f>IFERROR(__xludf.DUMMYFUNCTION("""COMPUTED_VALUE"""),14.05)</f>
        <v>14.05</v>
      </c>
      <c r="M387" s="32">
        <f>IFERROR(__xludf.DUMMYFUNCTION("""COMPUTED_VALUE"""),59.8)</f>
        <v>59.8</v>
      </c>
      <c r="N387" s="32">
        <f>IFERROR(__xludf.DUMMYFUNCTION("""COMPUTED_VALUE"""),14.05)</f>
        <v>14.05</v>
      </c>
      <c r="O387" s="32">
        <f>IFERROR(__xludf.DUMMYFUNCTION("""COMPUTED_VALUE"""),145.875)</f>
        <v>145.875</v>
      </c>
      <c r="P387" s="32">
        <f>IFERROR(__xludf.DUMMYFUNCTION("""COMPUTED_VALUE"""),4.866667)</f>
        <v>4.866667</v>
      </c>
      <c r="Q387" s="32">
        <f>IFERROR(__xludf.DUMMYFUNCTION("""COMPUTED_VALUE"""),145.875)</f>
        <v>145.875</v>
      </c>
      <c r="R387" s="32">
        <f>IFERROR(__xludf.DUMMYFUNCTION("""COMPUTED_VALUE"""),6228.0)</f>
        <v>6228</v>
      </c>
      <c r="S387" s="32">
        <f>IFERROR(__xludf.DUMMYFUNCTION("""COMPUTED_VALUE"""),469.3133)</f>
        <v>469.3133</v>
      </c>
      <c r="T387" s="32">
        <f>IFERROR(__xludf.DUMMYFUNCTION("""COMPUTED_VALUE"""),2.366864)</f>
        <v>2.366864</v>
      </c>
      <c r="U387" s="32">
        <f>IFERROR(__xludf.DUMMYFUNCTION("""COMPUTED_VALUE"""),5.327245)</f>
        <v>5.327245</v>
      </c>
      <c r="V387" s="32">
        <f>IFERROR(__xludf.DUMMYFUNCTION("""COMPUTED_VALUE"""),4.216867)</f>
        <v>4.216867</v>
      </c>
      <c r="W387" s="32">
        <f>IFERROR(__xludf.DUMMYFUNCTION("""COMPUTED_VALUE"""),-22.939866)</f>
        <v>-22.939866</v>
      </c>
      <c r="X387" s="32">
        <f>IFERROR(__xludf.DUMMYFUNCTION("""COMPUTED_VALUE"""),1.183542)</f>
        <v>1.183542</v>
      </c>
      <c r="Y387" s="32">
        <f>IFERROR(__xludf.DUMMYFUNCTION("""COMPUTED_VALUE"""),-19.663832)</f>
        <v>-19.663832</v>
      </c>
      <c r="Z387" s="32">
        <f>IFERROR(__xludf.DUMMYFUNCTION("""COMPUTED_VALUE"""),18.759522)</f>
        <v>18.759522</v>
      </c>
      <c r="AA387" s="32">
        <f>IFERROR(__xludf.DUMMYFUNCTION("""COMPUTED_VALUE"""),33.8153)</f>
        <v>33.8153</v>
      </c>
      <c r="AB387" s="32">
        <f>IFERROR(__xludf.DUMMYFUNCTION("""COMPUTED_VALUE"""),32.1379)</f>
        <v>32.1379</v>
      </c>
      <c r="AC387" s="32">
        <f>IFERROR(__xludf.DUMMYFUNCTION("""COMPUTED_VALUE"""),3.5348)</f>
        <v>3.5348</v>
      </c>
      <c r="AD387" s="32">
        <f>IFERROR(__xludf.DUMMYFUNCTION("""COMPUTED_VALUE"""),4.92285)</f>
        <v>4.92285</v>
      </c>
      <c r="AE387" s="32">
        <f>IFERROR(__xludf.DUMMYFUNCTION("""COMPUTED_VALUE"""),125.314797)</f>
        <v>125.314797</v>
      </c>
      <c r="AF387" s="32">
        <f>IFERROR(__xludf.DUMMYFUNCTION("""COMPUTED_VALUE"""),-3.149106)</f>
        <v>-3.149106</v>
      </c>
      <c r="AG387" s="32">
        <f>IFERROR(__xludf.DUMMYFUNCTION("""COMPUTED_VALUE"""),1.4451)</f>
        <v>1.4451</v>
      </c>
      <c r="AH387" s="32">
        <f>IFERROR(__xludf.DUMMYFUNCTION("""COMPUTED_VALUE"""),1.030909)</f>
        <v>1.030909</v>
      </c>
      <c r="AI387" s="32">
        <f>IFERROR(__xludf.DUMMYFUNCTION("""COMPUTED_VALUE"""),0.7745466172472429)</f>
        <v>0.7745466172</v>
      </c>
      <c r="AJ387" s="32">
        <f>IFERROR(__xludf.DUMMYFUNCTION("""COMPUTED_VALUE"""),14.464174112612003)</f>
        <v>14.46417411</v>
      </c>
      <c r="AK387" s="32">
        <f>IFERROR(__xludf.DUMMYFUNCTION("""COMPUTED_VALUE"""),1.0232)</f>
        <v>1.0232</v>
      </c>
      <c r="AL387" s="32">
        <f>IFERROR(__xludf.DUMMYFUNCTION("""COMPUTED_VALUE"""),9.7885)</f>
        <v>9.7885</v>
      </c>
      <c r="AM387" s="32">
        <f>IFERROR(__xludf.DUMMYFUNCTION("""COMPUTED_VALUE"""),2.392117)</f>
        <v>2.392117</v>
      </c>
      <c r="AN387" s="32">
        <f>IFERROR(__xludf.DUMMYFUNCTION("""COMPUTED_VALUE"""),2.949917)</f>
        <v>2.949917</v>
      </c>
      <c r="AO387" s="32">
        <f>IFERROR(__xludf.DUMMYFUNCTION("""COMPUTED_VALUE"""),0.47)</f>
        <v>0.47</v>
      </c>
      <c r="AP387" s="32">
        <f>IFERROR(__xludf.DUMMYFUNCTION("""COMPUTED_VALUE"""),0.35567970204841715)</f>
        <v>0.355679702</v>
      </c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>
      <c r="A388" s="13" t="str">
        <f>IFERROR(__xludf.DUMMYFUNCTION("""COMPUTED_VALUE"""),"Capri Global Capital Ltd.")</f>
        <v>Capri Global Capital Ltd.</v>
      </c>
      <c r="B388" s="30">
        <f>IFERROR(__xludf.DUMMYFUNCTION("""COMPUTED_VALUE"""),531595.0)</f>
        <v>531595</v>
      </c>
      <c r="C388" s="13" t="str">
        <f>IFERROR(__xludf.DUMMYFUNCTION("""COMPUTED_VALUE"""),"CGCL")</f>
        <v>CGCL</v>
      </c>
      <c r="D388" s="13" t="str">
        <f>IFERROR(__xludf.DUMMYFUNCTION("""COMPUTED_VALUE"""),"INE180C01026")</f>
        <v>INE180C01026</v>
      </c>
      <c r="E388" s="13" t="str">
        <f>IFERROR(__xludf.DUMMYFUNCTION("""COMPUTED_VALUE"""),"Financial")</f>
        <v>Financial</v>
      </c>
      <c r="F388" s="13" t="str">
        <f>IFERROR(__xludf.DUMMYFUNCTION("""COMPUTED_VALUE"""),"Misc. Fin.services")</f>
        <v>Misc. Fin.services</v>
      </c>
      <c r="G388" s="31">
        <f>IFERROR(__xludf.DUMMYFUNCTION("""COMPUTED_VALUE"""),44809.0)</f>
        <v>44809</v>
      </c>
      <c r="H388" s="32">
        <f>IFERROR(__xludf.DUMMYFUNCTION("""COMPUTED_VALUE"""),728.45)</f>
        <v>728.45</v>
      </c>
      <c r="I388" s="32">
        <f>IFERROR(__xludf.DUMMYFUNCTION("""COMPUTED_VALUE"""),0.0412)</f>
        <v>0.0412</v>
      </c>
      <c r="J388" s="32">
        <f>IFERROR(__xludf.DUMMYFUNCTION("""COMPUTED_VALUE"""),452.2)</f>
        <v>452.2</v>
      </c>
      <c r="K388" s="32">
        <f>IFERROR(__xludf.DUMMYFUNCTION("""COMPUTED_VALUE"""),805.5)</f>
        <v>805.5</v>
      </c>
      <c r="L388" s="32">
        <f>IFERROR(__xludf.DUMMYFUNCTION("""COMPUTED_VALUE"""),115.0)</f>
        <v>115</v>
      </c>
      <c r="M388" s="32">
        <f>IFERROR(__xludf.DUMMYFUNCTION("""COMPUTED_VALUE"""),805.5)</f>
        <v>805.5</v>
      </c>
      <c r="N388" s="32">
        <f>IFERROR(__xludf.DUMMYFUNCTION("""COMPUTED_VALUE"""),72.6)</f>
        <v>72.6</v>
      </c>
      <c r="O388" s="32">
        <f>IFERROR(__xludf.DUMMYFUNCTION("""COMPUTED_VALUE"""),805.5)</f>
        <v>805.5</v>
      </c>
      <c r="P388" s="32">
        <f>IFERROR(__xludf.DUMMYFUNCTION("""COMPUTED_VALUE"""),0.324135)</f>
        <v>0.324135</v>
      </c>
      <c r="Q388" s="32">
        <f>IFERROR(__xludf.DUMMYFUNCTION("""COMPUTED_VALUE"""),805.5)</f>
        <v>805.5</v>
      </c>
      <c r="R388" s="32">
        <f>IFERROR(__xludf.DUMMYFUNCTION("""COMPUTED_VALUE"""),12794.341924)</f>
        <v>12794.34192</v>
      </c>
      <c r="S388" s="32">
        <f>IFERROR(__xludf.DUMMYFUNCTION("""COMPUTED_VALUE"""),15538.8868531)</f>
        <v>15538.88685</v>
      </c>
      <c r="T388" s="32">
        <f>IFERROR(__xludf.DUMMYFUNCTION("""COMPUTED_VALUE"""),0.482792)</f>
        <v>0.482792</v>
      </c>
      <c r="U388" s="32">
        <f>IFERROR(__xludf.DUMMYFUNCTION("""COMPUTED_VALUE"""),4.079154)</f>
        <v>4.079154</v>
      </c>
      <c r="V388" s="32">
        <f>IFERROR(__xludf.DUMMYFUNCTION("""COMPUTED_VALUE"""),3.679192)</f>
        <v>3.679192</v>
      </c>
      <c r="W388" s="32">
        <f>IFERROR(__xludf.DUMMYFUNCTION("""COMPUTED_VALUE"""),43.170204)</f>
        <v>43.170204</v>
      </c>
      <c r="X388" s="32">
        <f>IFERROR(__xludf.DUMMYFUNCTION("""COMPUTED_VALUE"""),63.098394)</f>
        <v>63.098394</v>
      </c>
      <c r="Y388" s="32">
        <f>IFERROR(__xludf.DUMMYFUNCTION("""COMPUTED_VALUE"""),58.639871)</f>
        <v>58.639871</v>
      </c>
      <c r="Z388" s="32">
        <f>IFERROR(__xludf.DUMMYFUNCTION("""COMPUTED_VALUE"""),45.534436)</f>
        <v>45.534436</v>
      </c>
      <c r="AA388" s="32">
        <f>IFERROR(__xludf.DUMMYFUNCTION("""COMPUTED_VALUE"""),62.3527)</f>
        <v>62.3527</v>
      </c>
      <c r="AB388" s="32">
        <f>IFERROR(__xludf.DUMMYFUNCTION("""COMPUTED_VALUE"""),23.9787)</f>
        <v>23.9787</v>
      </c>
      <c r="AC388" s="32">
        <f>IFERROR(__xludf.DUMMYFUNCTION("""COMPUTED_VALUE"""),6.4993)</f>
        <v>6.4993</v>
      </c>
      <c r="AD388" s="32">
        <f>IFERROR(__xludf.DUMMYFUNCTION("""COMPUTED_VALUE"""),2.3981)</f>
        <v>2.3981</v>
      </c>
      <c r="AE388" s="32">
        <f>IFERROR(__xludf.DUMMYFUNCTION("""COMPUTED_VALUE"""),4.2322)</f>
        <v>4.2322</v>
      </c>
      <c r="AF388" s="32">
        <f>IFERROR(__xludf.DUMMYFUNCTION("""COMPUTED_VALUE"""),1.878172)</f>
        <v>1.878172</v>
      </c>
      <c r="AG388" s="32">
        <f>IFERROR(__xludf.DUMMYFUNCTION("""COMPUTED_VALUE"""),0.0687)</f>
        <v>0.0687</v>
      </c>
      <c r="AH388" s="32">
        <f>IFERROR(__xludf.DUMMYFUNCTION("""COMPUTED_VALUE"""),24.279473)</f>
        <v>24.279473</v>
      </c>
      <c r="AI388" s="32">
        <f>IFERROR(__xludf.DUMMYFUNCTION("""COMPUTED_VALUE"""),13.036773769008482)</f>
        <v>13.03677377</v>
      </c>
      <c r="AJ388" s="32">
        <f>IFERROR(__xludf.DUMMYFUNCTION("""COMPUTED_VALUE"""),-36.27850943941929)</f>
        <v>-36.27850944</v>
      </c>
      <c r="AK388" s="32">
        <f>IFERROR(__xludf.DUMMYFUNCTION("""COMPUTED_VALUE"""),11.6755)</f>
        <v>11.6755</v>
      </c>
      <c r="AL388" s="32">
        <f>IFERROR(__xludf.DUMMYFUNCTION("""COMPUTED_VALUE"""),112.012)</f>
        <v>112.012</v>
      </c>
      <c r="AM388" s="32">
        <f>IFERROR(__xludf.DUMMYFUNCTION("""COMPUTED_VALUE"""),-20.119805)</f>
        <v>-20.119805</v>
      </c>
      <c r="AN388" s="32">
        <f>IFERROR(__xludf.DUMMYFUNCTION("""COMPUTED_VALUE"""),-21.759991)</f>
        <v>-21.759991</v>
      </c>
      <c r="AO388" s="32">
        <f>IFERROR(__xludf.DUMMYFUNCTION("""COMPUTED_VALUE"""),0.4)</f>
        <v>0.4</v>
      </c>
      <c r="AP388" s="32">
        <f>IFERROR(__xludf.DUMMYFUNCTION("""COMPUTED_VALUE"""),0.09565487274984476)</f>
        <v>0.09565487275</v>
      </c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>
      <c r="A389" s="13" t="str">
        <f>IFERROR(__xludf.DUMMYFUNCTION("""COMPUTED_VALUE"""),"The Indian Hotels Company Ltd.")</f>
        <v>The Indian Hotels Company Ltd.</v>
      </c>
      <c r="B389" s="30">
        <f>IFERROR(__xludf.DUMMYFUNCTION("""COMPUTED_VALUE"""),500850.0)</f>
        <v>500850</v>
      </c>
      <c r="C389" s="13" t="str">
        <f>IFERROR(__xludf.DUMMYFUNCTION("""COMPUTED_VALUE"""),"INDHOTEL")</f>
        <v>INDHOTEL</v>
      </c>
      <c r="D389" s="13" t="str">
        <f>IFERROR(__xludf.DUMMYFUNCTION("""COMPUTED_VALUE"""),"INE053A01029")</f>
        <v>INE053A01029</v>
      </c>
      <c r="E389" s="13" t="str">
        <f>IFERROR(__xludf.DUMMYFUNCTION("""COMPUTED_VALUE"""),"Services")</f>
        <v>Services</v>
      </c>
      <c r="F389" s="13" t="str">
        <f>IFERROR(__xludf.DUMMYFUNCTION("""COMPUTED_VALUE"""),"Hotels")</f>
        <v>Hotels</v>
      </c>
      <c r="G389" s="31">
        <f>IFERROR(__xludf.DUMMYFUNCTION("""COMPUTED_VALUE"""),44809.0)</f>
        <v>44809</v>
      </c>
      <c r="H389" s="32">
        <f>IFERROR(__xludf.DUMMYFUNCTION("""COMPUTED_VALUE"""),309.95)</f>
        <v>309.95</v>
      </c>
      <c r="I389" s="32">
        <f>IFERROR(__xludf.DUMMYFUNCTION("""COMPUTED_VALUE"""),4.501011)</f>
        <v>4.501011</v>
      </c>
      <c r="J389" s="32">
        <f>IFERROR(__xludf.DUMMYFUNCTION("""COMPUTED_VALUE"""),138.129524)</f>
        <v>138.129524</v>
      </c>
      <c r="K389" s="32">
        <f>IFERROR(__xludf.DUMMYFUNCTION("""COMPUTED_VALUE"""),311.45)</f>
        <v>311.45</v>
      </c>
      <c r="L389" s="32">
        <f>IFERROR(__xludf.DUMMYFUNCTION("""COMPUTED_VALUE"""),60.203498)</f>
        <v>60.203498</v>
      </c>
      <c r="M389" s="32">
        <f>IFERROR(__xludf.DUMMYFUNCTION("""COMPUTED_VALUE"""),311.45)</f>
        <v>311.45</v>
      </c>
      <c r="N389" s="32">
        <f>IFERROR(__xludf.DUMMYFUNCTION("""COMPUTED_VALUE"""),60.203498)</f>
        <v>60.203498</v>
      </c>
      <c r="O389" s="32">
        <f>IFERROR(__xludf.DUMMYFUNCTION("""COMPUTED_VALUE"""),311.45)</f>
        <v>311.45</v>
      </c>
      <c r="P389" s="32">
        <f>IFERROR(__xludf.DUMMYFUNCTION("""COMPUTED_VALUE"""),9.658989)</f>
        <v>9.658989</v>
      </c>
      <c r="Q389" s="32">
        <f>IFERROR(__xludf.DUMMYFUNCTION("""COMPUTED_VALUE"""),311.45)</f>
        <v>311.45</v>
      </c>
      <c r="R389" s="32">
        <f>IFERROR(__xludf.DUMMYFUNCTION("""COMPUTED_VALUE"""),44025.28566399)</f>
        <v>44025.28566</v>
      </c>
      <c r="S389" s="32">
        <f>IFERROR(__xludf.DUMMYFUNCTION("""COMPUTED_VALUE"""),42009.3281993)</f>
        <v>42009.3282</v>
      </c>
      <c r="T389" s="32">
        <f>IFERROR(__xludf.DUMMYFUNCTION("""COMPUTED_VALUE"""),10.361403)</f>
        <v>10.361403</v>
      </c>
      <c r="U389" s="32">
        <f>IFERROR(__xludf.DUMMYFUNCTION("""COMPUTED_VALUE"""),14.605287)</f>
        <v>14.605287</v>
      </c>
      <c r="V389" s="32">
        <f>IFERROR(__xludf.DUMMYFUNCTION("""COMPUTED_VALUE"""),32.968683)</f>
        <v>32.968683</v>
      </c>
      <c r="W389" s="32">
        <f>IFERROR(__xludf.DUMMYFUNCTION("""COMPUTED_VALUE"""),117.445411)</f>
        <v>117.445411</v>
      </c>
      <c r="X389" s="32">
        <f>IFERROR(__xludf.DUMMYFUNCTION("""COMPUTED_VALUE"""),33.948744)</f>
        <v>33.948744</v>
      </c>
      <c r="Y389" s="32">
        <f>IFERROR(__xludf.DUMMYFUNCTION("""COMPUTED_VALUE"""),23.694454)</f>
        <v>23.694454</v>
      </c>
      <c r="Z389" s="32">
        <f>IFERROR(__xludf.DUMMYFUNCTION("""COMPUTED_VALUE"""),19.195458)</f>
        <v>19.195458</v>
      </c>
      <c r="AA389" s="32">
        <f>IFERROR(__xludf.DUMMYFUNCTION("""COMPUTED_VALUE"""),220.5614)</f>
        <v>220.5614</v>
      </c>
      <c r="AB389" s="32">
        <f>IFERROR(__xludf.DUMMYFUNCTION("""COMPUTED_VALUE"""),82.58145)</f>
        <v>82.58145</v>
      </c>
      <c r="AC389" s="32">
        <f>IFERROR(__xludf.DUMMYFUNCTION("""COMPUTED_VALUE"""),6.0926)</f>
        <v>6.0926</v>
      </c>
      <c r="AD389" s="32">
        <f>IFERROR(__xludf.DUMMYFUNCTION("""COMPUTED_VALUE"""),3.9958)</f>
        <v>3.9958</v>
      </c>
      <c r="AE389" s="32">
        <f>IFERROR(__xludf.DUMMYFUNCTION("""COMPUTED_VALUE"""),1.908981)</f>
        <v>1.908981</v>
      </c>
      <c r="AF389" s="32">
        <f>IFERROR(__xludf.DUMMYFUNCTION("""COMPUTED_VALUE"""),6.930393)</f>
        <v>6.930393</v>
      </c>
      <c r="AG389" s="32">
        <f>IFERROR(__xludf.DUMMYFUNCTION("""COMPUTED_VALUE"""),0.129)</f>
        <v>0.129</v>
      </c>
      <c r="AH389" s="32">
        <f>IFERROR(__xludf.DUMMYFUNCTION("""COMPUTED_VALUE"""),38.612225)</f>
        <v>38.612225</v>
      </c>
      <c r="AI389" s="32">
        <f>IFERROR(__xludf.DUMMYFUNCTION("""COMPUTED_VALUE"""),11.067914359407604)</f>
        <v>11.06791436</v>
      </c>
      <c r="AJ389" s="32">
        <f>IFERROR(__xludf.DUMMYFUNCTION("""COMPUTED_VALUE"""),65.54990942035049)</f>
        <v>65.54990942</v>
      </c>
      <c r="AK389" s="32">
        <f>IFERROR(__xludf.DUMMYFUNCTION("""COMPUTED_VALUE"""),1.4057)</f>
        <v>1.4057</v>
      </c>
      <c r="AL389" s="32">
        <f>IFERROR(__xludf.DUMMYFUNCTION("""COMPUTED_VALUE"""),50.8898)</f>
        <v>50.8898</v>
      </c>
      <c r="AM389" s="32">
        <f>IFERROR(__xludf.DUMMYFUNCTION("""COMPUTED_VALUE"""),4.728457)</f>
        <v>4.728457</v>
      </c>
      <c r="AN389" s="32">
        <f>IFERROR(__xludf.DUMMYFUNCTION("""COMPUTED_VALUE"""),-0.092791)</f>
        <v>-0.092791</v>
      </c>
      <c r="AO389" s="32">
        <f>IFERROR(__xludf.DUMMYFUNCTION("""COMPUTED_VALUE"""),0.4)</f>
        <v>0.4</v>
      </c>
      <c r="AP389" s="32">
        <f>IFERROR(__xludf.DUMMYFUNCTION("""COMPUTED_VALUE"""),0.0048161823727725156)</f>
        <v>0.004816182373</v>
      </c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>
      <c r="A390" s="13" t="str">
        <f>IFERROR(__xludf.DUMMYFUNCTION("""COMPUTED_VALUE"""),"Trident Ltd.")</f>
        <v>Trident Ltd.</v>
      </c>
      <c r="B390" s="30">
        <f>IFERROR(__xludf.DUMMYFUNCTION("""COMPUTED_VALUE"""),521064.0)</f>
        <v>521064</v>
      </c>
      <c r="C390" s="13" t="str">
        <f>IFERROR(__xludf.DUMMYFUNCTION("""COMPUTED_VALUE"""),"TRIDENT")</f>
        <v>TRIDENT</v>
      </c>
      <c r="D390" s="13" t="str">
        <f>IFERROR(__xludf.DUMMYFUNCTION("""COMPUTED_VALUE"""),"INE064C01022")</f>
        <v>INE064C01022</v>
      </c>
      <c r="E390" s="13" t="str">
        <f>IFERROR(__xludf.DUMMYFUNCTION("""COMPUTED_VALUE"""),"Textiles")</f>
        <v>Textiles</v>
      </c>
      <c r="F390" s="13" t="str">
        <f>IFERROR(__xludf.DUMMYFUNCTION("""COMPUTED_VALUE"""),"Cotton &amp; Blended Yarn")</f>
        <v>Cotton &amp; Blended Yarn</v>
      </c>
      <c r="G390" s="31">
        <f>IFERROR(__xludf.DUMMYFUNCTION("""COMPUTED_VALUE"""),44809.0)</f>
        <v>44809</v>
      </c>
      <c r="H390" s="32">
        <f>IFERROR(__xludf.DUMMYFUNCTION("""COMPUTED_VALUE"""),40.95)</f>
        <v>40.95</v>
      </c>
      <c r="I390" s="32">
        <f>IFERROR(__xludf.DUMMYFUNCTION("""COMPUTED_VALUE"""),3.018868)</f>
        <v>3.018868</v>
      </c>
      <c r="J390" s="32">
        <f>IFERROR(__xludf.DUMMYFUNCTION("""COMPUTED_VALUE"""),23.1)</f>
        <v>23.1</v>
      </c>
      <c r="K390" s="32">
        <f>IFERROR(__xludf.DUMMYFUNCTION("""COMPUTED_VALUE"""),70.9)</f>
        <v>70.9</v>
      </c>
      <c r="L390" s="32">
        <f>IFERROR(__xludf.DUMMYFUNCTION("""COMPUTED_VALUE"""),3.05)</f>
        <v>3.05</v>
      </c>
      <c r="M390" s="32">
        <f>IFERROR(__xludf.DUMMYFUNCTION("""COMPUTED_VALUE"""),70.9)</f>
        <v>70.9</v>
      </c>
      <c r="N390" s="32">
        <f>IFERROR(__xludf.DUMMYFUNCTION("""COMPUTED_VALUE"""),3.05)</f>
        <v>3.05</v>
      </c>
      <c r="O390" s="32">
        <f>IFERROR(__xludf.DUMMYFUNCTION("""COMPUTED_VALUE"""),70.9)</f>
        <v>70.9</v>
      </c>
      <c r="P390" s="32">
        <f>IFERROR(__xludf.DUMMYFUNCTION("""COMPUTED_VALUE"""),0.18)</f>
        <v>0.18</v>
      </c>
      <c r="Q390" s="32">
        <f>IFERROR(__xludf.DUMMYFUNCTION("""COMPUTED_VALUE"""),70.9)</f>
        <v>70.9</v>
      </c>
      <c r="R390" s="32">
        <f>IFERROR(__xludf.DUMMYFUNCTION("""COMPUTED_VALUE"""),20867.93846865)</f>
        <v>20867.93847</v>
      </c>
      <c r="S390" s="32">
        <f>IFERROR(__xludf.DUMMYFUNCTION("""COMPUTED_VALUE"""),21534.58378825)</f>
        <v>21534.58379</v>
      </c>
      <c r="T390" s="32">
        <f>IFERROR(__xludf.DUMMYFUNCTION("""COMPUTED_VALUE"""),10.675676)</f>
        <v>10.675676</v>
      </c>
      <c r="U390" s="32">
        <f>IFERROR(__xludf.DUMMYFUNCTION("""COMPUTED_VALUE"""),-0.243605)</f>
        <v>-0.243605</v>
      </c>
      <c r="V390" s="32">
        <f>IFERROR(__xludf.DUMMYFUNCTION("""COMPUTED_VALUE"""),-11.171367)</f>
        <v>-11.171367</v>
      </c>
      <c r="W390" s="32">
        <f>IFERROR(__xludf.DUMMYFUNCTION("""COMPUTED_VALUE"""),72.78481)</f>
        <v>72.78481</v>
      </c>
      <c r="X390" s="32">
        <f>IFERROR(__xludf.DUMMYFUNCTION("""COMPUTED_VALUE"""),93.524143)</f>
        <v>93.524143</v>
      </c>
      <c r="Y390" s="32">
        <f>IFERROR(__xludf.DUMMYFUNCTION("""COMPUTED_VALUE"""),33.547381)</f>
        <v>33.547381</v>
      </c>
      <c r="Z390" s="32">
        <f>IFERROR(__xludf.DUMMYFUNCTION("""COMPUTED_VALUE"""),47.327391)</f>
        <v>47.327391</v>
      </c>
      <c r="AA390" s="32">
        <f>IFERROR(__xludf.DUMMYFUNCTION("""COMPUTED_VALUE"""),27.5929)</f>
        <v>27.5929</v>
      </c>
      <c r="AB390" s="32">
        <f>IFERROR(__xludf.DUMMYFUNCTION("""COMPUTED_VALUE"""),13.7556)</f>
        <v>13.7556</v>
      </c>
      <c r="AC390" s="32">
        <f>IFERROR(__xludf.DUMMYFUNCTION("""COMPUTED_VALUE"""),5.2516)</f>
        <v>5.2516</v>
      </c>
      <c r="AD390" s="32">
        <f>IFERROR(__xludf.DUMMYFUNCTION("""COMPUTED_VALUE"""),1.1838)</f>
        <v>1.1838</v>
      </c>
      <c r="AE390" s="32">
        <f>IFERROR(__xludf.DUMMYFUNCTION("""COMPUTED_VALUE"""),5.243858)</f>
        <v>5.243858</v>
      </c>
      <c r="AF390" s="32">
        <f>IFERROR(__xludf.DUMMYFUNCTION("""COMPUTED_VALUE"""),1.388254)</f>
        <v>1.388254</v>
      </c>
      <c r="AG390" s="32">
        <f>IFERROR(__xludf.DUMMYFUNCTION("""COMPUTED_VALUE"""),0.8791)</f>
        <v>0.8791</v>
      </c>
      <c r="AH390" s="32">
        <f>IFERROR(__xludf.DUMMYFUNCTION("""COMPUTED_VALUE"""),14.946372)</f>
        <v>14.946372</v>
      </c>
      <c r="AI390" s="32">
        <f>IFERROR(__xludf.DUMMYFUNCTION("""COMPUTED_VALUE"""),2.8897558584821397)</f>
        <v>2.889755858</v>
      </c>
      <c r="AJ390" s="32">
        <f>IFERROR(__xludf.DUMMYFUNCTION("""COMPUTED_VALUE"""),23.1203200476966)</f>
        <v>23.12032005</v>
      </c>
      <c r="AK390" s="32">
        <f>IFERROR(__xludf.DUMMYFUNCTION("""COMPUTED_VALUE"""),1.4841)</f>
        <v>1.4841</v>
      </c>
      <c r="AL390" s="32">
        <f>IFERROR(__xludf.DUMMYFUNCTION("""COMPUTED_VALUE"""),7.7977)</f>
        <v>7.7977</v>
      </c>
      <c r="AM390" s="32">
        <f>IFERROR(__xludf.DUMMYFUNCTION("""COMPUTED_VALUE"""),1.771154)</f>
        <v>1.771154</v>
      </c>
      <c r="AN390" s="32">
        <f>IFERROR(__xludf.DUMMYFUNCTION("""COMPUTED_VALUE"""),0.874568)</f>
        <v>0.874568</v>
      </c>
      <c r="AO390" s="32">
        <f>IFERROR(__xludf.DUMMYFUNCTION("""COMPUTED_VALUE"""),0.36)</f>
        <v>0.36</v>
      </c>
      <c r="AP390" s="32">
        <f>IFERROR(__xludf.DUMMYFUNCTION("""COMPUTED_VALUE"""),0.422425952045134)</f>
        <v>0.422425952</v>
      </c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>
      <c r="A391" s="13" t="str">
        <f>IFERROR(__xludf.DUMMYFUNCTION("""COMPUTED_VALUE"""),"Hindustan Copper Ltd.")</f>
        <v>Hindustan Copper Ltd.</v>
      </c>
      <c r="B391" s="30">
        <f>IFERROR(__xludf.DUMMYFUNCTION("""COMPUTED_VALUE"""),513599.0)</f>
        <v>513599</v>
      </c>
      <c r="C391" s="13" t="str">
        <f>IFERROR(__xludf.DUMMYFUNCTION("""COMPUTED_VALUE"""),"HINDCOPPER")</f>
        <v>HINDCOPPER</v>
      </c>
      <c r="D391" s="13" t="str">
        <f>IFERROR(__xludf.DUMMYFUNCTION("""COMPUTED_VALUE"""),"INE531E01026")</f>
        <v>INE531E01026</v>
      </c>
      <c r="E391" s="13" t="str">
        <f>IFERROR(__xludf.DUMMYFUNCTION("""COMPUTED_VALUE"""),"Metals &amp; Mining")</f>
        <v>Metals &amp; Mining</v>
      </c>
      <c r="F391" s="13" t="str">
        <f>IFERROR(__xludf.DUMMYFUNCTION("""COMPUTED_VALUE"""),"Non-Ferrous Metal")</f>
        <v>Non-Ferrous Metal</v>
      </c>
      <c r="G391" s="31">
        <f>IFERROR(__xludf.DUMMYFUNCTION("""COMPUTED_VALUE"""),44809.0)</f>
        <v>44809</v>
      </c>
      <c r="H391" s="32">
        <f>IFERROR(__xludf.DUMMYFUNCTION("""COMPUTED_VALUE"""),116.8)</f>
        <v>116.8</v>
      </c>
      <c r="I391" s="32">
        <f>IFERROR(__xludf.DUMMYFUNCTION("""COMPUTED_VALUE"""),1.257044)</f>
        <v>1.257044</v>
      </c>
      <c r="J391" s="32">
        <f>IFERROR(__xludf.DUMMYFUNCTION("""COMPUTED_VALUE"""),81.2)</f>
        <v>81.2</v>
      </c>
      <c r="K391" s="32">
        <f>IFERROR(__xludf.DUMMYFUNCTION("""COMPUTED_VALUE"""),159.4)</f>
        <v>159.4</v>
      </c>
      <c r="L391" s="32">
        <f>IFERROR(__xludf.DUMMYFUNCTION("""COMPUTED_VALUE"""),18.25)</f>
        <v>18.25</v>
      </c>
      <c r="M391" s="32">
        <f>IFERROR(__xludf.DUMMYFUNCTION("""COMPUTED_VALUE"""),196.9)</f>
        <v>196.9</v>
      </c>
      <c r="N391" s="32">
        <f>IFERROR(__xludf.DUMMYFUNCTION("""COMPUTED_VALUE"""),18.25)</f>
        <v>18.25</v>
      </c>
      <c r="O391" s="32">
        <f>IFERROR(__xludf.DUMMYFUNCTION("""COMPUTED_VALUE"""),196.9)</f>
        <v>196.9</v>
      </c>
      <c r="P391" s="32">
        <f>IFERROR(__xludf.DUMMYFUNCTION("""COMPUTED_VALUE"""),12.675)</f>
        <v>12.675</v>
      </c>
      <c r="Q391" s="32">
        <f>IFERROR(__xludf.DUMMYFUNCTION("""COMPUTED_VALUE"""),658.0)</f>
        <v>658</v>
      </c>
      <c r="R391" s="32">
        <f>IFERROR(__xludf.DUMMYFUNCTION("""COMPUTED_VALUE"""),11294.8405536)</f>
        <v>11294.84055</v>
      </c>
      <c r="S391" s="32">
        <f>IFERROR(__xludf.DUMMYFUNCTION("""COMPUTED_VALUE"""),12290.7850109)</f>
        <v>12290.78501</v>
      </c>
      <c r="T391" s="32">
        <f>IFERROR(__xludf.DUMMYFUNCTION("""COMPUTED_VALUE"""),-0.932994)</f>
        <v>-0.932994</v>
      </c>
      <c r="U391" s="32">
        <f>IFERROR(__xludf.DUMMYFUNCTION("""COMPUTED_VALUE"""),12.145943)</f>
        <v>12.145943</v>
      </c>
      <c r="V391" s="32">
        <f>IFERROR(__xludf.DUMMYFUNCTION("""COMPUTED_VALUE"""),9.209911)</f>
        <v>9.209911</v>
      </c>
      <c r="W391" s="32">
        <f>IFERROR(__xludf.DUMMYFUNCTION("""COMPUTED_VALUE"""),-1.93115)</f>
        <v>-1.93115</v>
      </c>
      <c r="X391" s="32">
        <f>IFERROR(__xludf.DUMMYFUNCTION("""COMPUTED_VALUE"""),54.860526)</f>
        <v>54.860526</v>
      </c>
      <c r="Y391" s="32">
        <f>IFERROR(__xludf.DUMMYFUNCTION("""COMPUTED_VALUE"""),13.249179)</f>
        <v>13.249179</v>
      </c>
      <c r="Z391" s="32">
        <f>IFERROR(__xludf.DUMMYFUNCTION("""COMPUTED_VALUE"""),-7.520024)</f>
        <v>-7.520024</v>
      </c>
      <c r="AA391" s="32">
        <f>IFERROR(__xludf.DUMMYFUNCTION("""COMPUTED_VALUE"""),29.2908)</f>
        <v>29.2908</v>
      </c>
      <c r="AB391" s="32">
        <f>IFERROR(__xludf.DUMMYFUNCTION("""COMPUTED_VALUE"""),44.40265)</f>
        <v>44.40265</v>
      </c>
      <c r="AC391" s="32">
        <f>IFERROR(__xludf.DUMMYFUNCTION("""COMPUTED_VALUE"""),5.7334)</f>
        <v>5.7334</v>
      </c>
      <c r="AD391" s="32">
        <f>IFERROR(__xludf.DUMMYFUNCTION("""COMPUTED_VALUE"""),4.4661)</f>
        <v>4.4661</v>
      </c>
      <c r="AE391" s="32">
        <f>IFERROR(__xludf.DUMMYFUNCTION("""COMPUTED_VALUE"""),3.792669)</f>
        <v>3.792669</v>
      </c>
      <c r="AF391" s="32">
        <f>IFERROR(__xludf.DUMMYFUNCTION("""COMPUTED_VALUE"""),1.443197)</f>
        <v>1.443197</v>
      </c>
      <c r="AG391" s="32">
        <f>IFERROR(__xludf.DUMMYFUNCTION("""COMPUTED_VALUE"""),0.994)</f>
        <v>0.994</v>
      </c>
      <c r="AH391" s="32">
        <f>IFERROR(__xludf.DUMMYFUNCTION("""COMPUTED_VALUE"""),21.678016)</f>
        <v>21.678016</v>
      </c>
      <c r="AI391" s="32">
        <f>IFERROR(__xludf.DUMMYFUNCTION("""COMPUTED_VALUE"""),5.93615484863774)</f>
        <v>5.936154849</v>
      </c>
      <c r="AJ391" s="32">
        <f>IFERROR(__xludf.DUMMYFUNCTION("""COMPUTED_VALUE"""),13.58109416899304)</f>
        <v>13.58109417</v>
      </c>
      <c r="AK391" s="32">
        <f>IFERROR(__xludf.DUMMYFUNCTION("""COMPUTED_VALUE"""),3.9842)</f>
        <v>3.9842</v>
      </c>
      <c r="AL391" s="32">
        <f>IFERROR(__xludf.DUMMYFUNCTION("""COMPUTED_VALUE"""),20.3543)</f>
        <v>20.3543</v>
      </c>
      <c r="AM391" s="32">
        <f>IFERROR(__xludf.DUMMYFUNCTION("""COMPUTED_VALUE"""),8.988791)</f>
        <v>8.988791</v>
      </c>
      <c r="AN391" s="32">
        <f>IFERROR(__xludf.DUMMYFUNCTION("""COMPUTED_VALUE"""),1.226624)</f>
        <v>1.226624</v>
      </c>
      <c r="AO391" s="32">
        <f>IFERROR(__xludf.DUMMYFUNCTION("""COMPUTED_VALUE"""),0.35)</f>
        <v>0.35</v>
      </c>
      <c r="AP391" s="32">
        <f>IFERROR(__xludf.DUMMYFUNCTION("""COMPUTED_VALUE"""),0.26725219573400255)</f>
        <v>0.2672521957</v>
      </c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>
      <c r="A392" s="13" t="str">
        <f>IFERROR(__xludf.DUMMYFUNCTION("""COMPUTED_VALUE"""),"Jubilant Ingrevia Ltd.")</f>
        <v>Jubilant Ingrevia Ltd.</v>
      </c>
      <c r="B392" s="30">
        <f>IFERROR(__xludf.DUMMYFUNCTION("""COMPUTED_VALUE"""),543271.0)</f>
        <v>543271</v>
      </c>
      <c r="C392" s="13" t="str">
        <f>IFERROR(__xludf.DUMMYFUNCTION("""COMPUTED_VALUE"""),"JUBLINGREA")</f>
        <v>JUBLINGREA</v>
      </c>
      <c r="D392" s="13" t="str">
        <f>IFERROR(__xludf.DUMMYFUNCTION("""COMPUTED_VALUE"""),"INE0BY001018")</f>
        <v>INE0BY001018</v>
      </c>
      <c r="E392" s="13" t="str">
        <f>IFERROR(__xludf.DUMMYFUNCTION("""COMPUTED_VALUE"""),"Chemicals")</f>
        <v>Chemicals</v>
      </c>
      <c r="F392" s="13" t="str">
        <f>IFERROR(__xludf.DUMMYFUNCTION("""COMPUTED_VALUE"""),"Speciality Chemicals")</f>
        <v>Speciality Chemicals</v>
      </c>
      <c r="G392" s="31">
        <f>IFERROR(__xludf.DUMMYFUNCTION("""COMPUTED_VALUE"""),44809.0)</f>
        <v>44809</v>
      </c>
      <c r="H392" s="32">
        <f>IFERROR(__xludf.DUMMYFUNCTION("""COMPUTED_VALUE"""),465.55)</f>
        <v>465.55</v>
      </c>
      <c r="I392" s="32">
        <f>IFERROR(__xludf.DUMMYFUNCTION("""COMPUTED_VALUE"""),-0.672072)</f>
        <v>-0.672072</v>
      </c>
      <c r="J392" s="32">
        <f>IFERROR(__xludf.DUMMYFUNCTION("""COMPUTED_VALUE"""),401.2)</f>
        <v>401.2</v>
      </c>
      <c r="K392" s="32">
        <f>IFERROR(__xludf.DUMMYFUNCTION("""COMPUTED_VALUE"""),877.95)</f>
        <v>877.95</v>
      </c>
      <c r="L392" s="13"/>
      <c r="M392" s="13"/>
      <c r="N392" s="13"/>
      <c r="O392" s="13"/>
      <c r="P392" s="32">
        <f>IFERROR(__xludf.DUMMYFUNCTION("""COMPUTED_VALUE"""),241.3)</f>
        <v>241.3</v>
      </c>
      <c r="Q392" s="32">
        <f>IFERROR(__xludf.DUMMYFUNCTION("""COMPUTED_VALUE"""),877.95)</f>
        <v>877.95</v>
      </c>
      <c r="R392" s="32">
        <f>IFERROR(__xludf.DUMMYFUNCTION("""COMPUTED_VALUE"""),7417.72264323)</f>
        <v>7417.722643</v>
      </c>
      <c r="S392" s="32">
        <f>IFERROR(__xludf.DUMMYFUNCTION("""COMPUTED_VALUE"""),7897.58560771)</f>
        <v>7897.585608</v>
      </c>
      <c r="T392" s="32">
        <f>IFERROR(__xludf.DUMMYFUNCTION("""COMPUTED_VALUE"""),-2.57403)</f>
        <v>-2.57403</v>
      </c>
      <c r="U392" s="32">
        <f>IFERROR(__xludf.DUMMYFUNCTION("""COMPUTED_VALUE"""),-9.258357)</f>
        <v>-9.258357</v>
      </c>
      <c r="V392" s="32">
        <f>IFERROR(__xludf.DUMMYFUNCTION("""COMPUTED_VALUE"""),-6.56297)</f>
        <v>-6.56297</v>
      </c>
      <c r="W392" s="32">
        <f>IFERROR(__xludf.DUMMYFUNCTION("""COMPUTED_VALUE"""),-38.009321)</f>
        <v>-38.009321</v>
      </c>
      <c r="X392" s="13"/>
      <c r="Y392" s="13"/>
      <c r="Z392" s="13"/>
      <c r="AA392" s="32">
        <f>IFERROR(__xludf.DUMMYFUNCTION("""COMPUTED_VALUE"""),19.1262)</f>
        <v>19.1262</v>
      </c>
      <c r="AB392" s="32">
        <f>IFERROR(__xludf.DUMMYFUNCTION("""COMPUTED_VALUE"""),19.385)</f>
        <v>19.385</v>
      </c>
      <c r="AC392" s="32">
        <f>IFERROR(__xludf.DUMMYFUNCTION("""COMPUTED_VALUE"""),2.9523)</f>
        <v>2.9523</v>
      </c>
      <c r="AD392" s="32">
        <f>IFERROR(__xludf.DUMMYFUNCTION("""COMPUTED_VALUE"""),3.5367)</f>
        <v>3.5367</v>
      </c>
      <c r="AE392" s="32">
        <f>IFERROR(__xludf.DUMMYFUNCTION("""COMPUTED_VALUE"""),8.146824)</f>
        <v>8.146824</v>
      </c>
      <c r="AF392" s="32">
        <f>IFERROR(__xludf.DUMMYFUNCTION("""COMPUTED_VALUE"""),0.25769)</f>
        <v>0.25769</v>
      </c>
      <c r="AG392" s="32">
        <f>IFERROR(__xludf.DUMMYFUNCTION("""COMPUTED_VALUE"""),1.0737)</f>
        <v>1.0737</v>
      </c>
      <c r="AH392" s="32">
        <f>IFERROR(__xludf.DUMMYFUNCTION("""COMPUTED_VALUE"""),10.866393)</f>
        <v>10.866393</v>
      </c>
      <c r="AI392" s="32">
        <f>IFERROR(__xludf.DUMMYFUNCTION("""COMPUTED_VALUE"""),1.5029810799722005)</f>
        <v>1.50298108</v>
      </c>
      <c r="AJ392" s="32">
        <f>IFERROR(__xludf.DUMMYFUNCTION("""COMPUTED_VALUE"""),66.06391680898817)</f>
        <v>66.06391681</v>
      </c>
      <c r="AK392" s="32">
        <f>IFERROR(__xludf.DUMMYFUNCTION("""COMPUTED_VALUE"""),24.3488)</f>
        <v>24.3488</v>
      </c>
      <c r="AL392" s="32">
        <f>IFERROR(__xludf.DUMMYFUNCTION("""COMPUTED_VALUE"""),157.7417)</f>
        <v>157.7417</v>
      </c>
      <c r="AM392" s="32">
        <f>IFERROR(__xludf.DUMMYFUNCTION("""COMPUTED_VALUE"""),7.049284)</f>
        <v>7.049284</v>
      </c>
      <c r="AN392" s="32">
        <f>IFERROR(__xludf.DUMMYFUNCTION("""COMPUTED_VALUE"""),3.128579)</f>
        <v>3.128579</v>
      </c>
      <c r="AO392" s="32">
        <f>IFERROR(__xludf.DUMMYFUNCTION("""COMPUTED_VALUE"""),0.35)</f>
        <v>0.35</v>
      </c>
      <c r="AP392" s="32">
        <f>IFERROR(__xludf.DUMMYFUNCTION("""COMPUTED_VALUE"""),0.469730622472806)</f>
        <v>0.4697306225</v>
      </c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>
      <c r="A393" s="13" t="str">
        <f>IFERROR(__xludf.DUMMYFUNCTION("""COMPUTED_VALUE"""),"Punjab &amp; Sind Bank")</f>
        <v>Punjab &amp; Sind Bank</v>
      </c>
      <c r="B393" s="30">
        <f>IFERROR(__xludf.DUMMYFUNCTION("""COMPUTED_VALUE"""),533295.0)</f>
        <v>533295</v>
      </c>
      <c r="C393" s="13" t="str">
        <f>IFERROR(__xludf.DUMMYFUNCTION("""COMPUTED_VALUE"""),"PSB")</f>
        <v>PSB</v>
      </c>
      <c r="D393" s="13" t="str">
        <f>IFERROR(__xludf.DUMMYFUNCTION("""COMPUTED_VALUE"""),"INE608A01012")</f>
        <v>INE608A01012</v>
      </c>
      <c r="E393" s="13" t="str">
        <f>IFERROR(__xludf.DUMMYFUNCTION("""COMPUTED_VALUE"""),"Financial")</f>
        <v>Financial</v>
      </c>
      <c r="F393" s="13" t="str">
        <f>IFERROR(__xludf.DUMMYFUNCTION("""COMPUTED_VALUE"""),"Banking")</f>
        <v>Banking</v>
      </c>
      <c r="G393" s="31">
        <f>IFERROR(__xludf.DUMMYFUNCTION("""COMPUTED_VALUE"""),44809.0)</f>
        <v>44809</v>
      </c>
      <c r="H393" s="32">
        <f>IFERROR(__xludf.DUMMYFUNCTION("""COMPUTED_VALUE"""),15.6)</f>
        <v>15.6</v>
      </c>
      <c r="I393" s="32">
        <f>IFERROR(__xludf.DUMMYFUNCTION("""COMPUTED_VALUE"""),0.321543)</f>
        <v>0.321543</v>
      </c>
      <c r="J393" s="32">
        <f>IFERROR(__xludf.DUMMYFUNCTION("""COMPUTED_VALUE"""),13.0)</f>
        <v>13</v>
      </c>
      <c r="K393" s="32">
        <f>IFERROR(__xludf.DUMMYFUNCTION("""COMPUTED_VALUE"""),19.95)</f>
        <v>19.95</v>
      </c>
      <c r="L393" s="32">
        <f>IFERROR(__xludf.DUMMYFUNCTION("""COMPUTED_VALUE"""),9.2)</f>
        <v>9.2</v>
      </c>
      <c r="M393" s="32">
        <f>IFERROR(__xludf.DUMMYFUNCTION("""COMPUTED_VALUE"""),24.1)</f>
        <v>24.1</v>
      </c>
      <c r="N393" s="32">
        <f>IFERROR(__xludf.DUMMYFUNCTION("""COMPUTED_VALUE"""),9.2)</f>
        <v>9.2</v>
      </c>
      <c r="O393" s="32">
        <f>IFERROR(__xludf.DUMMYFUNCTION("""COMPUTED_VALUE"""),56.9)</f>
        <v>56.9</v>
      </c>
      <c r="P393" s="32">
        <f>IFERROR(__xludf.DUMMYFUNCTION("""COMPUTED_VALUE"""),9.2)</f>
        <v>9.2</v>
      </c>
      <c r="Q393" s="32">
        <f>IFERROR(__xludf.DUMMYFUNCTION("""COMPUTED_VALUE"""),149.7)</f>
        <v>149.7</v>
      </c>
      <c r="R393" s="32">
        <f>IFERROR(__xludf.DUMMYFUNCTION("""COMPUTED_VALUE"""),10573.34685732)</f>
        <v>10573.34686</v>
      </c>
      <c r="S393" s="32">
        <f>IFERROR(__xludf.DUMMYFUNCTION("""COMPUTED_VALUE"""),6728.75515732)</f>
        <v>6728.755157</v>
      </c>
      <c r="T393" s="32">
        <f>IFERROR(__xludf.DUMMYFUNCTION("""COMPUTED_VALUE"""),0.0)</f>
        <v>0</v>
      </c>
      <c r="U393" s="32">
        <f>IFERROR(__xludf.DUMMYFUNCTION("""COMPUTED_VALUE"""),2.631579)</f>
        <v>2.631579</v>
      </c>
      <c r="V393" s="32">
        <f>IFERROR(__xludf.DUMMYFUNCTION("""COMPUTED_VALUE"""),2.295082)</f>
        <v>2.295082</v>
      </c>
      <c r="W393" s="32">
        <f>IFERROR(__xludf.DUMMYFUNCTION("""COMPUTED_VALUE"""),-9.037901)</f>
        <v>-9.037901</v>
      </c>
      <c r="X393" s="32">
        <f>IFERROR(__xludf.DUMMYFUNCTION("""COMPUTED_VALUE"""),-8.55398)</f>
        <v>-8.55398</v>
      </c>
      <c r="Y393" s="32">
        <f>IFERROR(__xludf.DUMMYFUNCTION("""COMPUTED_VALUE"""),-20.329477)</f>
        <v>-20.329477</v>
      </c>
      <c r="Z393" s="32">
        <f>IFERROR(__xludf.DUMMYFUNCTION("""COMPUTED_VALUE"""),-12.624656)</f>
        <v>-12.624656</v>
      </c>
      <c r="AA393" s="32">
        <f>IFERROR(__xludf.DUMMYFUNCTION("""COMPUTED_VALUE"""),9.8826)</f>
        <v>9.8826</v>
      </c>
      <c r="AB393" s="32">
        <f>IFERROR(__xludf.DUMMYFUNCTION("""COMPUTED_VALUE"""),9.9079)</f>
        <v>9.9079</v>
      </c>
      <c r="AC393" s="32">
        <f>IFERROR(__xludf.DUMMYFUNCTION("""COMPUTED_VALUE"""),0.7953)</f>
        <v>0.7953</v>
      </c>
      <c r="AD393" s="32">
        <f>IFERROR(__xludf.DUMMYFUNCTION("""COMPUTED_VALUE"""),0.3288)</f>
        <v>0.3288</v>
      </c>
      <c r="AE393" s="32">
        <f>IFERROR(__xludf.DUMMYFUNCTION("""COMPUTED_VALUE"""),76.221528)</f>
        <v>76.221528</v>
      </c>
      <c r="AF393" s="32">
        <f>IFERROR(__xludf.DUMMYFUNCTION("""COMPUTED_VALUE"""),1.918626)</f>
        <v>1.918626</v>
      </c>
      <c r="AG393" s="32">
        <f>IFERROR(__xludf.DUMMYFUNCTION("""COMPUTED_VALUE"""),1.9872)</f>
        <v>1.9872</v>
      </c>
      <c r="AH393" s="32">
        <f>IFERROR(__xludf.DUMMYFUNCTION("""COMPUTED_VALUE"""),5.847837)</f>
        <v>5.847837</v>
      </c>
      <c r="AI393" s="32">
        <f>IFERROR(__xludf.DUMMYFUNCTION("""COMPUTED_VALUE"""),1.467326156394934)</f>
        <v>1.467326156</v>
      </c>
      <c r="AJ393" s="32">
        <f>IFERROR(__xludf.DUMMYFUNCTION("""COMPUTED_VALUE"""),-1.762645484093876)</f>
        <v>-1.762645484</v>
      </c>
      <c r="AK393" s="32">
        <f>IFERROR(__xludf.DUMMYFUNCTION("""COMPUTED_VALUE"""),1.5785)</f>
        <v>1.5785</v>
      </c>
      <c r="AL393" s="32">
        <f>IFERROR(__xludf.DUMMYFUNCTION("""COMPUTED_VALUE"""),19.6161)</f>
        <v>19.6161</v>
      </c>
      <c r="AM393" s="32">
        <f>IFERROR(__xludf.DUMMYFUNCTION("""COMPUTED_VALUE"""),-8.850333)</f>
        <v>-8.850333</v>
      </c>
      <c r="AN393" s="32">
        <f>IFERROR(__xludf.DUMMYFUNCTION("""COMPUTED_VALUE"""),-11.059287)</f>
        <v>-11.059287</v>
      </c>
      <c r="AO393" s="32">
        <f>IFERROR(__xludf.DUMMYFUNCTION("""COMPUTED_VALUE"""),0.31)</f>
        <v>0.31</v>
      </c>
      <c r="AP393" s="32">
        <f>IFERROR(__xludf.DUMMYFUNCTION("""COMPUTED_VALUE"""),0.21804511278195488)</f>
        <v>0.2180451128</v>
      </c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>
      <c r="A394" s="13" t="str">
        <f>IFERROR(__xludf.DUMMYFUNCTION("""COMPUTED_VALUE"""),"The New India Assurance Co. Ltd.")</f>
        <v>The New India Assurance Co. Ltd.</v>
      </c>
      <c r="B394" s="30">
        <f>IFERROR(__xludf.DUMMYFUNCTION("""COMPUTED_VALUE"""),540769.0)</f>
        <v>540769</v>
      </c>
      <c r="C394" s="13" t="str">
        <f>IFERROR(__xludf.DUMMYFUNCTION("""COMPUTED_VALUE"""),"NIACL")</f>
        <v>NIACL</v>
      </c>
      <c r="D394" s="13" t="str">
        <f>IFERROR(__xludf.DUMMYFUNCTION("""COMPUTED_VALUE"""),"INE470Y01017")</f>
        <v>INE470Y01017</v>
      </c>
      <c r="E394" s="13" t="str">
        <f>IFERROR(__xludf.DUMMYFUNCTION("""COMPUTED_VALUE"""),"Insurance")</f>
        <v>Insurance</v>
      </c>
      <c r="F394" s="13" t="str">
        <f>IFERROR(__xludf.DUMMYFUNCTION("""COMPUTED_VALUE"""),"General Insurance")</f>
        <v>General Insurance</v>
      </c>
      <c r="G394" s="31">
        <f>IFERROR(__xludf.DUMMYFUNCTION("""COMPUTED_VALUE"""),44809.0)</f>
        <v>44809</v>
      </c>
      <c r="H394" s="32">
        <f>IFERROR(__xludf.DUMMYFUNCTION("""COMPUTED_VALUE"""),95.05)</f>
        <v>95.05</v>
      </c>
      <c r="I394" s="32">
        <f>IFERROR(__xludf.DUMMYFUNCTION("""COMPUTED_VALUE"""),1.224707)</f>
        <v>1.224707</v>
      </c>
      <c r="J394" s="32">
        <f>IFERROR(__xludf.DUMMYFUNCTION("""COMPUTED_VALUE"""),78.15)</f>
        <v>78.15</v>
      </c>
      <c r="K394" s="32">
        <f>IFERROR(__xludf.DUMMYFUNCTION("""COMPUTED_VALUE"""),178.9)</f>
        <v>178.9</v>
      </c>
      <c r="L394" s="32">
        <f>IFERROR(__xludf.DUMMYFUNCTION("""COMPUTED_VALUE"""),74.1)</f>
        <v>74.1</v>
      </c>
      <c r="M394" s="32">
        <f>IFERROR(__xludf.DUMMYFUNCTION("""COMPUTED_VALUE"""),197.0)</f>
        <v>197</v>
      </c>
      <c r="N394" s="13"/>
      <c r="O394" s="13"/>
      <c r="P394" s="32">
        <f>IFERROR(__xludf.DUMMYFUNCTION("""COMPUTED_VALUE"""),74.1)</f>
        <v>74.1</v>
      </c>
      <c r="Q394" s="32">
        <f>IFERROR(__xludf.DUMMYFUNCTION("""COMPUTED_VALUE"""),382.425)</f>
        <v>382.425</v>
      </c>
      <c r="R394" s="32">
        <f>IFERROR(__xludf.DUMMYFUNCTION("""COMPUTED_VALUE"""),15664.24)</f>
        <v>15664.24</v>
      </c>
      <c r="S394" s="32">
        <f>IFERROR(__xludf.DUMMYFUNCTION("""COMPUTED_VALUE"""),2937.44)</f>
        <v>2937.44</v>
      </c>
      <c r="T394" s="32">
        <f>IFERROR(__xludf.DUMMYFUNCTION("""COMPUTED_VALUE"""),-2.562788)</f>
        <v>-2.562788</v>
      </c>
      <c r="U394" s="32">
        <f>IFERROR(__xludf.DUMMYFUNCTION("""COMPUTED_VALUE"""),5.846325)</f>
        <v>5.846325</v>
      </c>
      <c r="V394" s="32">
        <f>IFERROR(__xludf.DUMMYFUNCTION("""COMPUTED_VALUE"""),-5.139721)</f>
        <v>-5.139721</v>
      </c>
      <c r="W394" s="32">
        <f>IFERROR(__xludf.DUMMYFUNCTION("""COMPUTED_VALUE"""),-40.870918)</f>
        <v>-40.870918</v>
      </c>
      <c r="X394" s="32">
        <f>IFERROR(__xludf.DUMMYFUNCTION("""COMPUTED_VALUE"""),-3.125525)</f>
        <v>-3.125525</v>
      </c>
      <c r="Y394" s="13"/>
      <c r="Z394" s="13"/>
      <c r="AA394" s="32">
        <f>IFERROR(__xludf.DUMMYFUNCTION("""COMPUTED_VALUE"""),68.0285)</f>
        <v>68.0285</v>
      </c>
      <c r="AB394" s="32">
        <f>IFERROR(__xludf.DUMMYFUNCTION("""COMPUTED_VALUE"""),18.8332)</f>
        <v>18.8332</v>
      </c>
      <c r="AC394" s="32">
        <f>IFERROR(__xludf.DUMMYFUNCTION("""COMPUTED_VALUE"""),0.787)</f>
        <v>0.787</v>
      </c>
      <c r="AD394" s="32">
        <f>IFERROR(__xludf.DUMMYFUNCTION("""COMPUTED_VALUE"""),1.2842)</f>
        <v>1.2842</v>
      </c>
      <c r="AE394" s="32">
        <f>IFERROR(__xludf.DUMMYFUNCTION("""COMPUTED_VALUE"""),223.140348)</f>
        <v>223.140348</v>
      </c>
      <c r="AF394" s="32">
        <f>IFERROR(__xludf.DUMMYFUNCTION("""COMPUTED_VALUE"""),-9.167331)</f>
        <v>-9.167331</v>
      </c>
      <c r="AG394" s="32">
        <f>IFERROR(__xludf.DUMMYFUNCTION("""COMPUTED_VALUE"""),0.3156)</f>
        <v>0.3156</v>
      </c>
      <c r="AH394" s="32">
        <f>IFERROR(__xludf.DUMMYFUNCTION("""COMPUTED_VALUE"""),13.258587)</f>
        <v>13.258587</v>
      </c>
      <c r="AI394" s="32">
        <f>IFERROR(__xludf.DUMMYFUNCTION("""COMPUTED_VALUE"""),0.5313667456490435)</f>
        <v>0.5313667456</v>
      </c>
      <c r="AJ394" s="32">
        <f>IFERROR(__xludf.DUMMYFUNCTION("""COMPUTED_VALUE"""),-3.8538776835755093)</f>
        <v>-3.853877684</v>
      </c>
      <c r="AK394" s="32">
        <f>IFERROR(__xludf.DUMMYFUNCTION("""COMPUTED_VALUE"""),1.3972)</f>
        <v>1.3972</v>
      </c>
      <c r="AL394" s="32">
        <f>IFERROR(__xludf.DUMMYFUNCTION("""COMPUTED_VALUE"""),120.7791)</f>
        <v>120.7791</v>
      </c>
      <c r="AM394" s="32">
        <f>IFERROR(__xludf.DUMMYFUNCTION("""COMPUTED_VALUE"""),-24.663471)</f>
        <v>-24.663471</v>
      </c>
      <c r="AN394" s="32">
        <f>IFERROR(__xludf.DUMMYFUNCTION("""COMPUTED_VALUE"""),0.207646)</f>
        <v>0.207646</v>
      </c>
      <c r="AO394" s="32">
        <f>IFERROR(__xludf.DUMMYFUNCTION("""COMPUTED_VALUE"""),0.3)</f>
        <v>0.3</v>
      </c>
      <c r="AP394" s="32">
        <f>IFERROR(__xludf.DUMMYFUNCTION("""COMPUTED_VALUE"""),0.46869759642258246)</f>
        <v>0.4686975964</v>
      </c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>
      <c r="A395" s="13" t="str">
        <f>IFERROR(__xludf.DUMMYFUNCTION("""COMPUTED_VALUE"""),"Adani Total Gas Ltd.")</f>
        <v>Adani Total Gas Ltd.</v>
      </c>
      <c r="B395" s="30">
        <f>IFERROR(__xludf.DUMMYFUNCTION("""COMPUTED_VALUE"""),542066.0)</f>
        <v>542066</v>
      </c>
      <c r="C395" s="13" t="str">
        <f>IFERROR(__xludf.DUMMYFUNCTION("""COMPUTED_VALUE"""),"ATGL")</f>
        <v>ATGL</v>
      </c>
      <c r="D395" s="13" t="str">
        <f>IFERROR(__xludf.DUMMYFUNCTION("""COMPUTED_VALUE"""),"INE399L01023")</f>
        <v>INE399L01023</v>
      </c>
      <c r="E395" s="13" t="str">
        <f>IFERROR(__xludf.DUMMYFUNCTION("""COMPUTED_VALUE"""),"Energy")</f>
        <v>Energy</v>
      </c>
      <c r="F395" s="13" t="str">
        <f>IFERROR(__xludf.DUMMYFUNCTION("""COMPUTED_VALUE"""),"Natural Gas Utilities")</f>
        <v>Natural Gas Utilities</v>
      </c>
      <c r="G395" s="31">
        <f>IFERROR(__xludf.DUMMYFUNCTION("""COMPUTED_VALUE"""),44809.0)</f>
        <v>44809</v>
      </c>
      <c r="H395" s="32">
        <f>IFERROR(__xludf.DUMMYFUNCTION("""COMPUTED_VALUE"""),3530.6)</f>
        <v>3530.6</v>
      </c>
      <c r="I395" s="32">
        <f>IFERROR(__xludf.DUMMYFUNCTION("""COMPUTED_VALUE"""),-2.546338)</f>
        <v>-2.546338</v>
      </c>
      <c r="J395" s="32">
        <f>IFERROR(__xludf.DUMMYFUNCTION("""COMPUTED_VALUE"""),1267.55)</f>
        <v>1267.55</v>
      </c>
      <c r="K395" s="32">
        <f>IFERROR(__xludf.DUMMYFUNCTION("""COMPUTED_VALUE"""),3816.3)</f>
        <v>3816.3</v>
      </c>
      <c r="L395" s="32">
        <f>IFERROR(__xludf.DUMMYFUNCTION("""COMPUTED_VALUE"""),76.6)</f>
        <v>76.6</v>
      </c>
      <c r="M395" s="32">
        <f>IFERROR(__xludf.DUMMYFUNCTION("""COMPUTED_VALUE"""),3816.3)</f>
        <v>3816.3</v>
      </c>
      <c r="N395" s="13"/>
      <c r="O395" s="13"/>
      <c r="P395" s="32">
        <f>IFERROR(__xludf.DUMMYFUNCTION("""COMPUTED_VALUE"""),70.2)</f>
        <v>70.2</v>
      </c>
      <c r="Q395" s="32">
        <f>IFERROR(__xludf.DUMMYFUNCTION("""COMPUTED_VALUE"""),3816.3)</f>
        <v>3816.3</v>
      </c>
      <c r="R395" s="32">
        <f>IFERROR(__xludf.DUMMYFUNCTION("""COMPUTED_VALUE"""),387721.54761040496)</f>
        <v>387721.5476</v>
      </c>
      <c r="S395" s="32">
        <f>IFERROR(__xludf.DUMMYFUNCTION("""COMPUTED_VALUE"""),399697.29559165)</f>
        <v>399697.2956</v>
      </c>
      <c r="T395" s="32">
        <f>IFERROR(__xludf.DUMMYFUNCTION("""COMPUTED_VALUE"""),2.050785)</f>
        <v>2.050785</v>
      </c>
      <c r="U395" s="32">
        <f>IFERROR(__xludf.DUMMYFUNCTION("""COMPUTED_VALUE"""),5.402057)</f>
        <v>5.402057</v>
      </c>
      <c r="V395" s="32">
        <f>IFERROR(__xludf.DUMMYFUNCTION("""COMPUTED_VALUE"""),47.69604)</f>
        <v>47.69604</v>
      </c>
      <c r="W395" s="32">
        <f>IFERROR(__xludf.DUMMYFUNCTION("""COMPUTED_VALUE"""),138.973873)</f>
        <v>138.973873</v>
      </c>
      <c r="X395" s="32">
        <f>IFERROR(__xludf.DUMMYFUNCTION("""COMPUTED_VALUE"""),196.13502)</f>
        <v>196.13502</v>
      </c>
      <c r="Y395" s="13"/>
      <c r="Z395" s="13"/>
      <c r="AA395" s="32">
        <f>IFERROR(__xludf.DUMMYFUNCTION("""COMPUTED_VALUE"""),767.4767)</f>
        <v>767.4767</v>
      </c>
      <c r="AB395" s="32">
        <f>IFERROR(__xludf.DUMMYFUNCTION("""COMPUTED_VALUE"""),154.5664)</f>
        <v>154.5664</v>
      </c>
      <c r="AC395" s="32">
        <f>IFERROR(__xludf.DUMMYFUNCTION("""COMPUTED_VALUE"""),151.8053)</f>
        <v>151.8053</v>
      </c>
      <c r="AD395" s="32">
        <f>IFERROR(__xludf.DUMMYFUNCTION("""COMPUTED_VALUE"""),41.41665)</f>
        <v>41.41665</v>
      </c>
      <c r="AE395" s="32">
        <f>IFERROR(__xludf.DUMMYFUNCTION("""COMPUTED_VALUE"""),0.201015)</f>
        <v>0.201015</v>
      </c>
      <c r="AF395" s="32">
        <f>IFERROR(__xludf.DUMMYFUNCTION("""COMPUTED_VALUE"""),29.639228)</f>
        <v>29.639228</v>
      </c>
      <c r="AG395" s="32">
        <f>IFERROR(__xludf.DUMMYFUNCTION("""COMPUTED_VALUE"""),0.0071)</f>
        <v>0.0071</v>
      </c>
      <c r="AH395" s="32">
        <f>IFERROR(__xludf.DUMMYFUNCTION("""COMPUTED_VALUE"""),483.415127)</f>
        <v>483.415127</v>
      </c>
      <c r="AI395" s="32">
        <f>IFERROR(__xludf.DUMMYFUNCTION("""COMPUTED_VALUE"""),102.18526410942862)</f>
        <v>102.1852641</v>
      </c>
      <c r="AJ395" s="32">
        <f>IFERROR(__xludf.DUMMYFUNCTION("""COMPUTED_VALUE"""),526.9960686272019)</f>
        <v>526.9960686</v>
      </c>
      <c r="AK395" s="32">
        <f>IFERROR(__xludf.DUMMYFUNCTION("""COMPUTED_VALUE"""),4.5934)</f>
        <v>4.5934</v>
      </c>
      <c r="AL395" s="32">
        <f>IFERROR(__xludf.DUMMYFUNCTION("""COMPUTED_VALUE"""),23.2228)</f>
        <v>23.2228</v>
      </c>
      <c r="AM395" s="32">
        <f>IFERROR(__xludf.DUMMYFUNCTION("""COMPUTED_VALUE"""),6.68958)</f>
        <v>6.68958</v>
      </c>
      <c r="AN395" s="32">
        <f>IFERROR(__xludf.DUMMYFUNCTION("""COMPUTED_VALUE"""),-2.375977)</f>
        <v>-2.375977</v>
      </c>
      <c r="AO395" s="32">
        <f>IFERROR(__xludf.DUMMYFUNCTION("""COMPUTED_VALUE"""),0.25)</f>
        <v>0.25</v>
      </c>
      <c r="AP395" s="32">
        <f>IFERROR(__xludf.DUMMYFUNCTION("""COMPUTED_VALUE"""),0.07486308728349456)</f>
        <v>0.07486308728</v>
      </c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>
      <c r="A396" s="13" t="str">
        <f>IFERROR(__xludf.DUMMYFUNCTION("""COMPUTED_VALUE"""),"KNR Constructions Ltd.")</f>
        <v>KNR Constructions Ltd.</v>
      </c>
      <c r="B396" s="30">
        <f>IFERROR(__xludf.DUMMYFUNCTION("""COMPUTED_VALUE"""),532942.0)</f>
        <v>532942</v>
      </c>
      <c r="C396" s="13" t="str">
        <f>IFERROR(__xludf.DUMMYFUNCTION("""COMPUTED_VALUE"""),"KNRCON")</f>
        <v>KNRCON</v>
      </c>
      <c r="D396" s="13" t="str">
        <f>IFERROR(__xludf.DUMMYFUNCTION("""COMPUTED_VALUE"""),"INE634I01029")</f>
        <v>INE634I01029</v>
      </c>
      <c r="E396" s="13" t="str">
        <f>IFERROR(__xludf.DUMMYFUNCTION("""COMPUTED_VALUE"""),"Construction")</f>
        <v>Construction</v>
      </c>
      <c r="F396" s="13" t="str">
        <f>IFERROR(__xludf.DUMMYFUNCTION("""COMPUTED_VALUE"""),"Construction")</f>
        <v>Construction</v>
      </c>
      <c r="G396" s="31">
        <f>IFERROR(__xludf.DUMMYFUNCTION("""COMPUTED_VALUE"""),44809.0)</f>
        <v>44809</v>
      </c>
      <c r="H396" s="32">
        <f>IFERROR(__xludf.DUMMYFUNCTION("""COMPUTED_VALUE"""),254.5)</f>
        <v>254.5</v>
      </c>
      <c r="I396" s="32">
        <f>IFERROR(__xludf.DUMMYFUNCTION("""COMPUTED_VALUE"""),-0.566517)</f>
        <v>-0.566517</v>
      </c>
      <c r="J396" s="32">
        <f>IFERROR(__xludf.DUMMYFUNCTION("""COMPUTED_VALUE"""),207.5)</f>
        <v>207.5</v>
      </c>
      <c r="K396" s="32">
        <f>IFERROR(__xludf.DUMMYFUNCTION("""COMPUTED_VALUE"""),331.4)</f>
        <v>331.4</v>
      </c>
      <c r="L396" s="32">
        <f>IFERROR(__xludf.DUMMYFUNCTION("""COMPUTED_VALUE"""),85.5)</f>
        <v>85.5</v>
      </c>
      <c r="M396" s="32">
        <f>IFERROR(__xludf.DUMMYFUNCTION("""COMPUTED_VALUE"""),343.9)</f>
        <v>343.9</v>
      </c>
      <c r="N396" s="32">
        <f>IFERROR(__xludf.DUMMYFUNCTION("""COMPUTED_VALUE"""),81.65)</f>
        <v>81.65</v>
      </c>
      <c r="O396" s="32">
        <f>IFERROR(__xludf.DUMMYFUNCTION("""COMPUTED_VALUE"""),343.9)</f>
        <v>343.9</v>
      </c>
      <c r="P396" s="32">
        <f>IFERROR(__xludf.DUMMYFUNCTION("""COMPUTED_VALUE"""),2.0)</f>
        <v>2</v>
      </c>
      <c r="Q396" s="32">
        <f>IFERROR(__xludf.DUMMYFUNCTION("""COMPUTED_VALUE"""),343.9)</f>
        <v>343.9</v>
      </c>
      <c r="R396" s="32">
        <f>IFERROR(__xludf.DUMMYFUNCTION("""COMPUTED_VALUE"""),7185.54403)</f>
        <v>7185.54403</v>
      </c>
      <c r="S396" s="32">
        <f>IFERROR(__xludf.DUMMYFUNCTION("""COMPUTED_VALUE"""),7799.71336)</f>
        <v>7799.71336</v>
      </c>
      <c r="T396" s="32">
        <f>IFERROR(__xludf.DUMMYFUNCTION("""COMPUTED_VALUE"""),-2.751242)</f>
        <v>-2.751242</v>
      </c>
      <c r="U396" s="32">
        <f>IFERROR(__xludf.DUMMYFUNCTION("""COMPUTED_VALUE"""),-2.00231)</f>
        <v>-2.00231</v>
      </c>
      <c r="V396" s="32">
        <f>IFERROR(__xludf.DUMMYFUNCTION("""COMPUTED_VALUE"""),1.8)</f>
        <v>1.8</v>
      </c>
      <c r="W396" s="32">
        <f>IFERROR(__xludf.DUMMYFUNCTION("""COMPUTED_VALUE"""),-21.908561)</f>
        <v>-21.908561</v>
      </c>
      <c r="X396" s="32">
        <f>IFERROR(__xludf.DUMMYFUNCTION("""COMPUTED_VALUE"""),33.548112)</f>
        <v>33.548112</v>
      </c>
      <c r="Y396" s="32">
        <f>IFERROR(__xludf.DUMMYFUNCTION("""COMPUTED_VALUE"""),19.680583)</f>
        <v>19.680583</v>
      </c>
      <c r="Z396" s="32">
        <f>IFERROR(__xludf.DUMMYFUNCTION("""COMPUTED_VALUE"""),36.600889)</f>
        <v>36.600889</v>
      </c>
      <c r="AA396" s="32">
        <f>IFERROR(__xludf.DUMMYFUNCTION("""COMPUTED_VALUE"""),20.0139)</f>
        <v>20.0139</v>
      </c>
      <c r="AB396" s="32">
        <f>IFERROR(__xludf.DUMMYFUNCTION("""COMPUTED_VALUE"""),14.5537)</f>
        <v>14.5537</v>
      </c>
      <c r="AC396" s="32">
        <f>IFERROR(__xludf.DUMMYFUNCTION("""COMPUTED_VALUE"""),2.9797)</f>
        <v>2.9797</v>
      </c>
      <c r="AD396" s="32">
        <f>IFERROR(__xludf.DUMMYFUNCTION("""COMPUTED_VALUE"""),2.9025)</f>
        <v>2.9025</v>
      </c>
      <c r="AE396" s="32">
        <f>IFERROR(__xludf.DUMMYFUNCTION("""COMPUTED_VALUE"""),9.448548)</f>
        <v>9.448548</v>
      </c>
      <c r="AF396" s="32">
        <f>IFERROR(__xludf.DUMMYFUNCTION("""COMPUTED_VALUE"""),0.712143)</f>
        <v>0.712143</v>
      </c>
      <c r="AG396" s="32">
        <f>IFERROR(__xludf.DUMMYFUNCTION("""COMPUTED_VALUE"""),0.0983)</f>
        <v>0.0983</v>
      </c>
      <c r="AH396" s="32">
        <f>IFERROR(__xludf.DUMMYFUNCTION("""COMPUTED_VALUE"""),9.099176)</f>
        <v>9.099176</v>
      </c>
      <c r="AI396" s="32">
        <f>IFERROR(__xludf.DUMMYFUNCTION("""COMPUTED_VALUE"""),1.9013500362512503)</f>
        <v>1.901350036</v>
      </c>
      <c r="AJ396" s="32">
        <f>IFERROR(__xludf.DUMMYFUNCTION("""COMPUTED_VALUE"""),-95.06247096084543)</f>
        <v>-95.06247096</v>
      </c>
      <c r="AK396" s="32">
        <f>IFERROR(__xludf.DUMMYFUNCTION("""COMPUTED_VALUE"""),12.7661)</f>
        <v>12.7661</v>
      </c>
      <c r="AL396" s="32">
        <f>IFERROR(__xludf.DUMMYFUNCTION("""COMPUTED_VALUE"""),85.7459)</f>
        <v>85.7459</v>
      </c>
      <c r="AM396" s="32">
        <f>IFERROR(__xludf.DUMMYFUNCTION("""COMPUTED_VALUE"""),-2.687702)</f>
        <v>-2.687702</v>
      </c>
      <c r="AN396" s="32">
        <f>IFERROR(__xludf.DUMMYFUNCTION("""COMPUTED_VALUE"""),-4.839622)</f>
        <v>-4.839622</v>
      </c>
      <c r="AO396" s="32">
        <f>IFERROR(__xludf.DUMMYFUNCTION("""COMPUTED_VALUE"""),0.25)</f>
        <v>0.25</v>
      </c>
      <c r="AP396" s="32">
        <f>IFERROR(__xludf.DUMMYFUNCTION("""COMPUTED_VALUE"""),0.23204586602293295)</f>
        <v>0.232045866</v>
      </c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>
      <c r="A397" s="13" t="str">
        <f>IFERROR(__xludf.DUMMYFUNCTION("""COMPUTED_VALUE"""),"Shipping Corporation Of India Ltd.")</f>
        <v>Shipping Corporation Of India Ltd.</v>
      </c>
      <c r="B397" s="30">
        <f>IFERROR(__xludf.DUMMYFUNCTION("""COMPUTED_VALUE"""),523598.0)</f>
        <v>523598</v>
      </c>
      <c r="C397" s="13" t="str">
        <f>IFERROR(__xludf.DUMMYFUNCTION("""COMPUTED_VALUE"""),"SCI")</f>
        <v>SCI</v>
      </c>
      <c r="D397" s="13" t="str">
        <f>IFERROR(__xludf.DUMMYFUNCTION("""COMPUTED_VALUE"""),"INE109A01011")</f>
        <v>INE109A01011</v>
      </c>
      <c r="E397" s="13" t="str">
        <f>IFERROR(__xludf.DUMMYFUNCTION("""COMPUTED_VALUE"""),"Services")</f>
        <v>Services</v>
      </c>
      <c r="F397" s="13" t="str">
        <f>IFERROR(__xludf.DUMMYFUNCTION("""COMPUTED_VALUE"""),"Shipping")</f>
        <v>Shipping</v>
      </c>
      <c r="G397" s="31">
        <f>IFERROR(__xludf.DUMMYFUNCTION("""COMPUTED_VALUE"""),44809.0)</f>
        <v>44809</v>
      </c>
      <c r="H397" s="32">
        <f>IFERROR(__xludf.DUMMYFUNCTION("""COMPUTED_VALUE"""),120.55)</f>
        <v>120.55</v>
      </c>
      <c r="I397" s="32">
        <f>IFERROR(__xludf.DUMMYFUNCTION("""COMPUTED_VALUE"""),0.752194)</f>
        <v>0.752194</v>
      </c>
      <c r="J397" s="32">
        <f>IFERROR(__xludf.DUMMYFUNCTION("""COMPUTED_VALUE"""),85.6)</f>
        <v>85.6</v>
      </c>
      <c r="K397" s="32">
        <f>IFERROR(__xludf.DUMMYFUNCTION("""COMPUTED_VALUE"""),160.2)</f>
        <v>160.2</v>
      </c>
      <c r="L397" s="32">
        <f>IFERROR(__xludf.DUMMYFUNCTION("""COMPUTED_VALUE"""),29.4)</f>
        <v>29.4</v>
      </c>
      <c r="M397" s="32">
        <f>IFERROR(__xludf.DUMMYFUNCTION("""COMPUTED_VALUE"""),160.2)</f>
        <v>160.2</v>
      </c>
      <c r="N397" s="32">
        <f>IFERROR(__xludf.DUMMYFUNCTION("""COMPUTED_VALUE"""),24.8)</f>
        <v>24.8</v>
      </c>
      <c r="O397" s="32">
        <f>IFERROR(__xludf.DUMMYFUNCTION("""COMPUTED_VALUE"""),160.2)</f>
        <v>160.2</v>
      </c>
      <c r="P397" s="32">
        <f>IFERROR(__xludf.DUMMYFUNCTION("""COMPUTED_VALUE"""),7.6)</f>
        <v>7.6</v>
      </c>
      <c r="Q397" s="32">
        <f>IFERROR(__xludf.DUMMYFUNCTION("""COMPUTED_VALUE"""),221.333333)</f>
        <v>221.333333</v>
      </c>
      <c r="R397" s="32">
        <f>IFERROR(__xludf.DUMMYFUNCTION("""COMPUTED_VALUE"""),5615.20706555)</f>
        <v>5615.207066</v>
      </c>
      <c r="S397" s="32">
        <f>IFERROR(__xludf.DUMMYFUNCTION("""COMPUTED_VALUE"""),8187.10716455)</f>
        <v>8187.107165</v>
      </c>
      <c r="T397" s="32">
        <f>IFERROR(__xludf.DUMMYFUNCTION("""COMPUTED_VALUE"""),3.922414)</f>
        <v>3.922414</v>
      </c>
      <c r="U397" s="32">
        <f>IFERROR(__xludf.DUMMYFUNCTION("""COMPUTED_VALUE"""),4.735013)</f>
        <v>4.735013</v>
      </c>
      <c r="V397" s="32">
        <f>IFERROR(__xludf.DUMMYFUNCTION("""COMPUTED_VALUE"""),2.464938)</f>
        <v>2.464938</v>
      </c>
      <c r="W397" s="32">
        <f>IFERROR(__xludf.DUMMYFUNCTION("""COMPUTED_VALUE"""),14.211274)</f>
        <v>14.211274</v>
      </c>
      <c r="X397" s="32">
        <f>IFERROR(__xludf.DUMMYFUNCTION("""COMPUTED_VALUE"""),62.295335)</f>
        <v>62.295335</v>
      </c>
      <c r="Y397" s="32">
        <f>IFERROR(__xludf.DUMMYFUNCTION("""COMPUTED_VALUE"""),4.442942)</f>
        <v>4.442942</v>
      </c>
      <c r="Z397" s="32">
        <f>IFERROR(__xludf.DUMMYFUNCTION("""COMPUTED_VALUE"""),9.210192)</f>
        <v>9.210192</v>
      </c>
      <c r="AA397" s="32">
        <f>IFERROR(__xludf.DUMMYFUNCTION("""COMPUTED_VALUE"""),6.8234)</f>
        <v>6.8234</v>
      </c>
      <c r="AB397" s="32">
        <f>IFERROR(__xludf.DUMMYFUNCTION("""COMPUTED_VALUE"""),9.1865)</f>
        <v>9.1865</v>
      </c>
      <c r="AC397" s="32">
        <f>IFERROR(__xludf.DUMMYFUNCTION("""COMPUTED_VALUE"""),0.6091)</f>
        <v>0.6091</v>
      </c>
      <c r="AD397" s="32">
        <f>IFERROR(__xludf.DUMMYFUNCTION("""COMPUTED_VALUE"""),0.41895)</f>
        <v>0.41895</v>
      </c>
      <c r="AE397" s="32">
        <f>IFERROR(__xludf.DUMMYFUNCTION("""COMPUTED_VALUE"""),12.953978)</f>
        <v>12.953978</v>
      </c>
      <c r="AF397" s="32">
        <f>IFERROR(__xludf.DUMMYFUNCTION("""COMPUTED_VALUE"""),-1.755414)</f>
        <v>-1.755414</v>
      </c>
      <c r="AG397" s="32">
        <f>IFERROR(__xludf.DUMMYFUNCTION("""COMPUTED_VALUE"""),0.2739)</f>
        <v>0.2739</v>
      </c>
      <c r="AH397" s="32">
        <f>IFERROR(__xludf.DUMMYFUNCTION("""COMPUTED_VALUE"""),5.094463)</f>
        <v>5.094463</v>
      </c>
      <c r="AI397" s="32">
        <f>IFERROR(__xludf.DUMMYFUNCTION("""COMPUTED_VALUE"""),1.0323855713211474)</f>
        <v>1.032385571</v>
      </c>
      <c r="AJ397" s="32">
        <f>IFERROR(__xludf.DUMMYFUNCTION("""COMPUTED_VALUE"""),4.189765162100252)</f>
        <v>4.189765162</v>
      </c>
      <c r="AK397" s="32">
        <f>IFERROR(__xludf.DUMMYFUNCTION("""COMPUTED_VALUE"""),17.6231)</f>
        <v>17.6231</v>
      </c>
      <c r="AL397" s="32">
        <f>IFERROR(__xludf.DUMMYFUNCTION("""COMPUTED_VALUE"""),197.4083)</f>
        <v>197.4083</v>
      </c>
      <c r="AM397" s="32">
        <f>IFERROR(__xludf.DUMMYFUNCTION("""COMPUTED_VALUE"""),28.772435)</f>
        <v>28.772435</v>
      </c>
      <c r="AN397" s="32">
        <f>IFERROR(__xludf.DUMMYFUNCTION("""COMPUTED_VALUE"""),26.091241)</f>
        <v>26.091241</v>
      </c>
      <c r="AO397" s="32">
        <f>IFERROR(__xludf.DUMMYFUNCTION("""COMPUTED_VALUE"""),0.25)</f>
        <v>0.25</v>
      </c>
      <c r="AP397" s="32">
        <f>IFERROR(__xludf.DUMMYFUNCTION("""COMPUTED_VALUE"""),0.24750312109862668)</f>
        <v>0.2475031211</v>
      </c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>
      <c r="A398" s="13" t="str">
        <f>IFERROR(__xludf.DUMMYFUNCTION("""COMPUTED_VALUE"""),"Greaves Cotton Ltd.")</f>
        <v>Greaves Cotton Ltd.</v>
      </c>
      <c r="B398" s="30">
        <f>IFERROR(__xludf.DUMMYFUNCTION("""COMPUTED_VALUE"""),501455.0)</f>
        <v>501455</v>
      </c>
      <c r="C398" s="13" t="str">
        <f>IFERROR(__xludf.DUMMYFUNCTION("""COMPUTED_VALUE"""),"GREAVESCOT")</f>
        <v>GREAVESCOT</v>
      </c>
      <c r="D398" s="13" t="str">
        <f>IFERROR(__xludf.DUMMYFUNCTION("""COMPUTED_VALUE"""),"INE224A01026")</f>
        <v>INE224A01026</v>
      </c>
      <c r="E398" s="13" t="str">
        <f>IFERROR(__xludf.DUMMYFUNCTION("""COMPUTED_VALUE"""),"Capital Goods")</f>
        <v>Capital Goods</v>
      </c>
      <c r="F398" s="13" t="str">
        <f>IFERROR(__xludf.DUMMYFUNCTION("""COMPUTED_VALUE"""),"Diesel Engines")</f>
        <v>Diesel Engines</v>
      </c>
      <c r="G398" s="31">
        <f>IFERROR(__xludf.DUMMYFUNCTION("""COMPUTED_VALUE"""),44809.0)</f>
        <v>44809</v>
      </c>
      <c r="H398" s="32">
        <f>IFERROR(__xludf.DUMMYFUNCTION("""COMPUTED_VALUE"""),175.1)</f>
        <v>175.1</v>
      </c>
      <c r="I398" s="32">
        <f>IFERROR(__xludf.DUMMYFUNCTION("""COMPUTED_VALUE"""),0.286369)</f>
        <v>0.286369</v>
      </c>
      <c r="J398" s="32">
        <f>IFERROR(__xludf.DUMMYFUNCTION("""COMPUTED_VALUE"""),129.05)</f>
        <v>129.05</v>
      </c>
      <c r="K398" s="32">
        <f>IFERROR(__xludf.DUMMYFUNCTION("""COMPUTED_VALUE"""),258.9)</f>
        <v>258.9</v>
      </c>
      <c r="L398" s="32">
        <f>IFERROR(__xludf.DUMMYFUNCTION("""COMPUTED_VALUE"""),66.0)</f>
        <v>66</v>
      </c>
      <c r="M398" s="32">
        <f>IFERROR(__xludf.DUMMYFUNCTION("""COMPUTED_VALUE"""),258.9)</f>
        <v>258.9</v>
      </c>
      <c r="N398" s="32">
        <f>IFERROR(__xludf.DUMMYFUNCTION("""COMPUTED_VALUE"""),66.0)</f>
        <v>66</v>
      </c>
      <c r="O398" s="32">
        <f>IFERROR(__xludf.DUMMYFUNCTION("""COMPUTED_VALUE"""),258.9)</f>
        <v>258.9</v>
      </c>
      <c r="P398" s="32">
        <f>IFERROR(__xludf.DUMMYFUNCTION("""COMPUTED_VALUE"""),0.77)</f>
        <v>0.77</v>
      </c>
      <c r="Q398" s="32">
        <f>IFERROR(__xludf.DUMMYFUNCTION("""COMPUTED_VALUE"""),258.9)</f>
        <v>258.9</v>
      </c>
      <c r="R398" s="32">
        <f>IFERROR(__xludf.DUMMYFUNCTION("""COMPUTED_VALUE"""),4054.66485563)</f>
        <v>4054.664856</v>
      </c>
      <c r="S398" s="32">
        <f>IFERROR(__xludf.DUMMYFUNCTION("""COMPUTED_VALUE"""),3825.632016525)</f>
        <v>3825.632017</v>
      </c>
      <c r="T398" s="32">
        <f>IFERROR(__xludf.DUMMYFUNCTION("""COMPUTED_VALUE"""),0.747986)</f>
        <v>0.747986</v>
      </c>
      <c r="U398" s="32">
        <f>IFERROR(__xludf.DUMMYFUNCTION("""COMPUTED_VALUE"""),7.654473)</f>
        <v>7.654473</v>
      </c>
      <c r="V398" s="32">
        <f>IFERROR(__xludf.DUMMYFUNCTION("""COMPUTED_VALUE"""),5.832578)</f>
        <v>5.832578</v>
      </c>
      <c r="W398" s="32">
        <f>IFERROR(__xludf.DUMMYFUNCTION("""COMPUTED_VALUE"""),23.440254)</f>
        <v>23.440254</v>
      </c>
      <c r="X398" s="32">
        <f>IFERROR(__xludf.DUMMYFUNCTION("""COMPUTED_VALUE"""),12.969934)</f>
        <v>12.969934</v>
      </c>
      <c r="Y398" s="32">
        <f>IFERROR(__xludf.DUMMYFUNCTION("""COMPUTED_VALUE"""),2.186695)</f>
        <v>2.186695</v>
      </c>
      <c r="Z398" s="32">
        <f>IFERROR(__xludf.DUMMYFUNCTION("""COMPUTED_VALUE"""),10.099666)</f>
        <v>10.099666</v>
      </c>
      <c r="AA398" s="13"/>
      <c r="AB398" s="32">
        <f>IFERROR(__xludf.DUMMYFUNCTION("""COMPUTED_VALUE"""),19.76005)</f>
        <v>19.76005</v>
      </c>
      <c r="AC398" s="32">
        <f>IFERROR(__xludf.DUMMYFUNCTION("""COMPUTED_VALUE"""),5.3032)</f>
        <v>5.3032</v>
      </c>
      <c r="AD398" s="32">
        <f>IFERROR(__xludf.DUMMYFUNCTION("""COMPUTED_VALUE"""),3.53)</f>
        <v>3.53</v>
      </c>
      <c r="AE398" s="32">
        <f>IFERROR(__xludf.DUMMYFUNCTION("""COMPUTED_VALUE"""),2.176155)</f>
        <v>2.176155</v>
      </c>
      <c r="AF398" s="13"/>
      <c r="AG398" s="32">
        <f>IFERROR(__xludf.DUMMYFUNCTION("""COMPUTED_VALUE"""),0.1141)</f>
        <v>0.1141</v>
      </c>
      <c r="AH398" s="32">
        <f>IFERROR(__xludf.DUMMYFUNCTION("""COMPUTED_VALUE"""),34.075283)</f>
        <v>34.075283</v>
      </c>
      <c r="AI398" s="32">
        <f>IFERROR(__xludf.DUMMYFUNCTION("""COMPUTED_VALUE"""),1.8938890082908282)</f>
        <v>1.893889008</v>
      </c>
      <c r="AJ398" s="32">
        <f>IFERROR(__xludf.DUMMYFUNCTION("""COMPUTED_VALUE"""),-64.58529556594456)</f>
        <v>-64.58529557</v>
      </c>
      <c r="AK398" s="32">
        <f>IFERROR(__xludf.DUMMYFUNCTION("""COMPUTED_VALUE"""),0.1404)</f>
        <v>0.1404</v>
      </c>
      <c r="AL398" s="32">
        <f>IFERROR(__xludf.DUMMYFUNCTION("""COMPUTED_VALUE"""),32.9238)</f>
        <v>32.9238</v>
      </c>
      <c r="AM398" s="32">
        <f>IFERROR(__xludf.DUMMYFUNCTION("""COMPUTED_VALUE"""),-2.711879)</f>
        <v>-2.711879</v>
      </c>
      <c r="AN398" s="32">
        <f>IFERROR(__xludf.DUMMYFUNCTION("""COMPUTED_VALUE"""),-5.34514)</f>
        <v>-5.34514</v>
      </c>
      <c r="AO398" s="32">
        <f>IFERROR(__xludf.DUMMYFUNCTION("""COMPUTED_VALUE"""),0.2)</f>
        <v>0.2</v>
      </c>
      <c r="AP398" s="32">
        <f>IFERROR(__xludf.DUMMYFUNCTION("""COMPUTED_VALUE"""),0.3236770954036307)</f>
        <v>0.3236770954</v>
      </c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>
      <c r="A399" s="13" t="str">
        <f>IFERROR(__xludf.DUMMYFUNCTION("""COMPUTED_VALUE"""),"HFCL Ltd.")</f>
        <v>HFCL Ltd.</v>
      </c>
      <c r="B399" s="30">
        <f>IFERROR(__xludf.DUMMYFUNCTION("""COMPUTED_VALUE"""),500183.0)</f>
        <v>500183</v>
      </c>
      <c r="C399" s="13" t="str">
        <f>IFERROR(__xludf.DUMMYFUNCTION("""COMPUTED_VALUE"""),"HFCL")</f>
        <v>HFCL</v>
      </c>
      <c r="D399" s="13" t="str">
        <f>IFERROR(__xludf.DUMMYFUNCTION("""COMPUTED_VALUE"""),"INE548A01028")</f>
        <v>INE548A01028</v>
      </c>
      <c r="E399" s="13" t="str">
        <f>IFERROR(__xludf.DUMMYFUNCTION("""COMPUTED_VALUE"""),"Communication")</f>
        <v>Communication</v>
      </c>
      <c r="F399" s="13" t="str">
        <f>IFERROR(__xludf.DUMMYFUNCTION("""COMPUTED_VALUE"""),"Communication Equipment")</f>
        <v>Communication Equipment</v>
      </c>
      <c r="G399" s="31">
        <f>IFERROR(__xludf.DUMMYFUNCTION("""COMPUTED_VALUE"""),44809.0)</f>
        <v>44809</v>
      </c>
      <c r="H399" s="32">
        <f>IFERROR(__xludf.DUMMYFUNCTION("""COMPUTED_VALUE"""),78.7)</f>
        <v>78.7</v>
      </c>
      <c r="I399" s="32">
        <f>IFERROR(__xludf.DUMMYFUNCTION("""COMPUTED_VALUE"""),3.010471)</f>
        <v>3.010471</v>
      </c>
      <c r="J399" s="32">
        <f>IFERROR(__xludf.DUMMYFUNCTION("""COMPUTED_VALUE"""),51.55)</f>
        <v>51.55</v>
      </c>
      <c r="K399" s="32">
        <f>IFERROR(__xludf.DUMMYFUNCTION("""COMPUTED_VALUE"""),101.35)</f>
        <v>101.35</v>
      </c>
      <c r="L399" s="32">
        <f>IFERROR(__xludf.DUMMYFUNCTION("""COMPUTED_VALUE"""),8.1)</f>
        <v>8.1</v>
      </c>
      <c r="M399" s="32">
        <f>IFERROR(__xludf.DUMMYFUNCTION("""COMPUTED_VALUE"""),101.35)</f>
        <v>101.35</v>
      </c>
      <c r="N399" s="32">
        <f>IFERROR(__xludf.DUMMYFUNCTION("""COMPUTED_VALUE"""),8.1)</f>
        <v>8.1</v>
      </c>
      <c r="O399" s="32">
        <f>IFERROR(__xludf.DUMMYFUNCTION("""COMPUTED_VALUE"""),101.35)</f>
        <v>101.35</v>
      </c>
      <c r="P399" s="32">
        <f>IFERROR(__xludf.DUMMYFUNCTION("""COMPUTED_VALUE"""),5.95)</f>
        <v>5.95</v>
      </c>
      <c r="Q399" s="32">
        <f>IFERROR(__xludf.DUMMYFUNCTION("""COMPUTED_VALUE"""),2578.05)</f>
        <v>2578.05</v>
      </c>
      <c r="R399" s="32">
        <f>IFERROR(__xludf.DUMMYFUNCTION("""COMPUTED_VALUE"""),10842.95798627)</f>
        <v>10842.95799</v>
      </c>
      <c r="S399" s="32">
        <f>IFERROR(__xludf.DUMMYFUNCTION("""COMPUTED_VALUE"""),11126.574780835)</f>
        <v>11126.57478</v>
      </c>
      <c r="T399" s="32">
        <f>IFERROR(__xludf.DUMMYFUNCTION("""COMPUTED_VALUE"""),9.839498)</f>
        <v>9.839498</v>
      </c>
      <c r="U399" s="32">
        <f>IFERROR(__xludf.DUMMYFUNCTION("""COMPUTED_VALUE"""),19.514047)</f>
        <v>19.514047</v>
      </c>
      <c r="V399" s="32">
        <f>IFERROR(__xludf.DUMMYFUNCTION("""COMPUTED_VALUE"""),22.015504)</f>
        <v>22.015504</v>
      </c>
      <c r="W399" s="32">
        <f>IFERROR(__xludf.DUMMYFUNCTION("""COMPUTED_VALUE"""),14.389535)</f>
        <v>14.389535</v>
      </c>
      <c r="X399" s="32">
        <f>IFERROR(__xludf.DUMMYFUNCTION("""COMPUTED_VALUE"""),62.178316)</f>
        <v>62.178316</v>
      </c>
      <c r="Y399" s="32">
        <f>IFERROR(__xludf.DUMMYFUNCTION("""COMPUTED_VALUE"""),29.450391)</f>
        <v>29.450391</v>
      </c>
      <c r="Z399" s="32">
        <f>IFERROR(__xludf.DUMMYFUNCTION("""COMPUTED_VALUE"""),21.970582)</f>
        <v>21.970582</v>
      </c>
      <c r="AA399" s="32">
        <f>IFERROR(__xludf.DUMMYFUNCTION("""COMPUTED_VALUE"""),39.2207)</f>
        <v>39.2207</v>
      </c>
      <c r="AB399" s="32">
        <f>IFERROR(__xludf.DUMMYFUNCTION("""COMPUTED_VALUE"""),19.1192)</f>
        <v>19.1192</v>
      </c>
      <c r="AC399" s="32">
        <f>IFERROR(__xludf.DUMMYFUNCTION("""COMPUTED_VALUE"""),3.7745)</f>
        <v>3.7745</v>
      </c>
      <c r="AD399" s="32">
        <f>IFERROR(__xludf.DUMMYFUNCTION("""COMPUTED_VALUE"""),2.13075)</f>
        <v>2.13075</v>
      </c>
      <c r="AE399" s="32">
        <f>IFERROR(__xludf.DUMMYFUNCTION("""COMPUTED_VALUE"""),5.311367)</f>
        <v>5.311367</v>
      </c>
      <c r="AF399" s="32">
        <f>IFERROR(__xludf.DUMMYFUNCTION("""COMPUTED_VALUE"""),3.9393)</f>
        <v>3.9393</v>
      </c>
      <c r="AG399" s="32">
        <f>IFERROR(__xludf.DUMMYFUNCTION("""COMPUTED_VALUE"""),0.2287)</f>
        <v>0.2287</v>
      </c>
      <c r="AH399" s="32">
        <f>IFERROR(__xludf.DUMMYFUNCTION("""COMPUTED_VALUE"""),17.627653)</f>
        <v>17.627653</v>
      </c>
      <c r="AI399" s="32">
        <f>IFERROR(__xludf.DUMMYFUNCTION("""COMPUTED_VALUE"""),2.3719845264259747)</f>
        <v>2.371984526</v>
      </c>
      <c r="AJ399" s="32">
        <f>IFERROR(__xludf.DUMMYFUNCTION("""COMPUTED_VALUE"""),190.829953999824)</f>
        <v>190.829954</v>
      </c>
      <c r="AK399" s="32">
        <f>IFERROR(__xludf.DUMMYFUNCTION("""COMPUTED_VALUE"""),2.0066)</f>
        <v>2.0066</v>
      </c>
      <c r="AL399" s="32">
        <f>IFERROR(__xludf.DUMMYFUNCTION("""COMPUTED_VALUE"""),20.8504)</f>
        <v>20.8504</v>
      </c>
      <c r="AM399" s="32">
        <f>IFERROR(__xludf.DUMMYFUNCTION("""COMPUTED_VALUE"""),0.442386)</f>
        <v>0.442386</v>
      </c>
      <c r="AN399" s="32">
        <f>IFERROR(__xludf.DUMMYFUNCTION("""COMPUTED_VALUE"""),-2.355808)</f>
        <v>-2.355808</v>
      </c>
      <c r="AO399" s="32">
        <f>IFERROR(__xludf.DUMMYFUNCTION("""COMPUTED_VALUE"""),0.15)</f>
        <v>0.15</v>
      </c>
      <c r="AP399" s="32">
        <f>IFERROR(__xludf.DUMMYFUNCTION("""COMPUTED_VALUE"""),0.22348297977306356)</f>
        <v>0.2234829798</v>
      </c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>
      <c r="A400" s="13" t="str">
        <f>IFERROR(__xludf.DUMMYFUNCTION("""COMPUTED_VALUE"""),"KPR Mills Ltd.")</f>
        <v>KPR Mills Ltd.</v>
      </c>
      <c r="B400" s="30">
        <f>IFERROR(__xludf.DUMMYFUNCTION("""COMPUTED_VALUE"""),532889.0)</f>
        <v>532889</v>
      </c>
      <c r="C400" s="13" t="str">
        <f>IFERROR(__xludf.DUMMYFUNCTION("""COMPUTED_VALUE"""),"KPRMILL")</f>
        <v>KPRMILL</v>
      </c>
      <c r="D400" s="13" t="str">
        <f>IFERROR(__xludf.DUMMYFUNCTION("""COMPUTED_VALUE"""),"INE930H01031")</f>
        <v>INE930H01031</v>
      </c>
      <c r="E400" s="13" t="str">
        <f>IFERROR(__xludf.DUMMYFUNCTION("""COMPUTED_VALUE"""),"Textiles")</f>
        <v>Textiles</v>
      </c>
      <c r="F400" s="13" t="str">
        <f>IFERROR(__xludf.DUMMYFUNCTION("""COMPUTED_VALUE"""),"Cotton &amp; Blended Yarn")</f>
        <v>Cotton &amp; Blended Yarn</v>
      </c>
      <c r="G400" s="31">
        <f>IFERROR(__xludf.DUMMYFUNCTION("""COMPUTED_VALUE"""),44809.0)</f>
        <v>44809</v>
      </c>
      <c r="H400" s="32">
        <f>IFERROR(__xludf.DUMMYFUNCTION("""COMPUTED_VALUE"""),596.8)</f>
        <v>596.8</v>
      </c>
      <c r="I400" s="32">
        <f>IFERROR(__xludf.DUMMYFUNCTION("""COMPUTED_VALUE"""),0.861923)</f>
        <v>0.861923</v>
      </c>
      <c r="J400" s="32">
        <f>IFERROR(__xludf.DUMMYFUNCTION("""COMPUTED_VALUE"""),390.24)</f>
        <v>390.24</v>
      </c>
      <c r="K400" s="32">
        <f>IFERROR(__xludf.DUMMYFUNCTION("""COMPUTED_VALUE"""),771.8)</f>
        <v>771.8</v>
      </c>
      <c r="L400" s="32">
        <f>IFERROR(__xludf.DUMMYFUNCTION("""COMPUTED_VALUE"""),62.47)</f>
        <v>62.47</v>
      </c>
      <c r="M400" s="32">
        <f>IFERROR(__xludf.DUMMYFUNCTION("""COMPUTED_VALUE"""),771.8)</f>
        <v>771.8</v>
      </c>
      <c r="N400" s="32">
        <f>IFERROR(__xludf.DUMMYFUNCTION("""COMPUTED_VALUE"""),62.47)</f>
        <v>62.47</v>
      </c>
      <c r="O400" s="32">
        <f>IFERROR(__xludf.DUMMYFUNCTION("""COMPUTED_VALUE"""),771.8)</f>
        <v>771.8</v>
      </c>
      <c r="P400" s="32">
        <f>IFERROR(__xludf.DUMMYFUNCTION("""COMPUTED_VALUE"""),1.905)</f>
        <v>1.905</v>
      </c>
      <c r="Q400" s="32">
        <f>IFERROR(__xludf.DUMMYFUNCTION("""COMPUTED_VALUE"""),771.8)</f>
        <v>771.8</v>
      </c>
      <c r="R400" s="32">
        <f>IFERROR(__xludf.DUMMYFUNCTION("""COMPUTED_VALUE"""),20440.4772)</f>
        <v>20440.4772</v>
      </c>
      <c r="S400" s="32">
        <f>IFERROR(__xludf.DUMMYFUNCTION("""COMPUTED_VALUE"""),20980.08066)</f>
        <v>20980.08066</v>
      </c>
      <c r="T400" s="32">
        <f>IFERROR(__xludf.DUMMYFUNCTION("""COMPUTED_VALUE"""),-2.642741)</f>
        <v>-2.642741</v>
      </c>
      <c r="U400" s="32">
        <f>IFERROR(__xludf.DUMMYFUNCTION("""COMPUTED_VALUE"""),5.731243)</f>
        <v>5.731243</v>
      </c>
      <c r="V400" s="32">
        <f>IFERROR(__xludf.DUMMYFUNCTION("""COMPUTED_VALUE"""),2.737132)</f>
        <v>2.737132</v>
      </c>
      <c r="W400" s="32">
        <f>IFERROR(__xludf.DUMMYFUNCTION("""COMPUTED_VALUE"""),51.352996)</f>
        <v>51.352996</v>
      </c>
      <c r="X400" s="32">
        <f>IFERROR(__xludf.DUMMYFUNCTION("""COMPUTED_VALUE"""),74.363612)</f>
        <v>74.363612</v>
      </c>
      <c r="Y400" s="32">
        <f>IFERROR(__xludf.DUMMYFUNCTION("""COMPUTED_VALUE"""),30.998915)</f>
        <v>30.998915</v>
      </c>
      <c r="Z400" s="32">
        <f>IFERROR(__xludf.DUMMYFUNCTION("""COMPUTED_VALUE"""),47.065693)</f>
        <v>47.065693</v>
      </c>
      <c r="AA400" s="32">
        <f>IFERROR(__xludf.DUMMYFUNCTION("""COMPUTED_VALUE"""),22.7)</f>
        <v>22.7</v>
      </c>
      <c r="AB400" s="32">
        <f>IFERROR(__xludf.DUMMYFUNCTION("""COMPUTED_VALUE"""),15.70905)</f>
        <v>15.70905</v>
      </c>
      <c r="AC400" s="32">
        <f>IFERROR(__xludf.DUMMYFUNCTION("""COMPUTED_VALUE"""),5.9885)</f>
        <v>5.9885</v>
      </c>
      <c r="AD400" s="32">
        <f>IFERROR(__xludf.DUMMYFUNCTION("""COMPUTED_VALUE"""),3.04485)</f>
        <v>3.04485</v>
      </c>
      <c r="AE400" s="32">
        <f>IFERROR(__xludf.DUMMYFUNCTION("""COMPUTED_VALUE"""),6.350636)</f>
        <v>6.350636</v>
      </c>
      <c r="AF400" s="32">
        <f>IFERROR(__xludf.DUMMYFUNCTION("""COMPUTED_VALUE"""),0.914101)</f>
        <v>0.914101</v>
      </c>
      <c r="AG400" s="32">
        <f>IFERROR(__xludf.DUMMYFUNCTION("""COMPUTED_VALUE"""),0.0251)</f>
        <v>0.0251</v>
      </c>
      <c r="AH400" s="32">
        <f>IFERROR(__xludf.DUMMYFUNCTION("""COMPUTED_VALUE"""),14.645167)</f>
        <v>14.645167</v>
      </c>
      <c r="AI400" s="32">
        <f>IFERROR(__xludf.DUMMYFUNCTION("""COMPUTED_VALUE"""),3.8433653104892844)</f>
        <v>3.84336531</v>
      </c>
      <c r="AJ400" s="32">
        <f>IFERROR(__xludf.DUMMYFUNCTION("""COMPUTED_VALUE"""),41.35822835521923)</f>
        <v>41.35822836</v>
      </c>
      <c r="AK400" s="32">
        <f>IFERROR(__xludf.DUMMYFUNCTION("""COMPUTED_VALUE"""),26.3436)</f>
        <v>26.3436</v>
      </c>
      <c r="AL400" s="32">
        <f>IFERROR(__xludf.DUMMYFUNCTION("""COMPUTED_VALUE"""),99.8587)</f>
        <v>99.8587</v>
      </c>
      <c r="AM400" s="32">
        <f>IFERROR(__xludf.DUMMYFUNCTION("""COMPUTED_VALUE"""),14.362976)</f>
        <v>14.362976</v>
      </c>
      <c r="AN400" s="32">
        <f>IFERROR(__xludf.DUMMYFUNCTION("""COMPUTED_VALUE"""),-12.226097)</f>
        <v>-12.226097</v>
      </c>
      <c r="AO400" s="32">
        <f>IFERROR(__xludf.DUMMYFUNCTION("""COMPUTED_VALUE"""),0.15)</f>
        <v>0.15</v>
      </c>
      <c r="AP400" s="32">
        <f>IFERROR(__xludf.DUMMYFUNCTION("""COMPUTED_VALUE"""),0.2267426794506349)</f>
        <v>0.2267426795</v>
      </c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>
      <c r="A401" s="13" t="str">
        <f>IFERROR(__xludf.DUMMYFUNCTION("""COMPUTED_VALUE"""),"Welspun India Ltd.")</f>
        <v>Welspun India Ltd.</v>
      </c>
      <c r="B401" s="30">
        <f>IFERROR(__xludf.DUMMYFUNCTION("""COMPUTED_VALUE"""),514162.0)</f>
        <v>514162</v>
      </c>
      <c r="C401" s="13" t="str">
        <f>IFERROR(__xludf.DUMMYFUNCTION("""COMPUTED_VALUE"""),"WELSPUNIND")</f>
        <v>WELSPUNIND</v>
      </c>
      <c r="D401" s="13" t="str">
        <f>IFERROR(__xludf.DUMMYFUNCTION("""COMPUTED_VALUE"""),"INE192B01031")</f>
        <v>INE192B01031</v>
      </c>
      <c r="E401" s="13" t="str">
        <f>IFERROR(__xludf.DUMMYFUNCTION("""COMPUTED_VALUE"""),"Textiles")</f>
        <v>Textiles</v>
      </c>
      <c r="F401" s="13" t="str">
        <f>IFERROR(__xludf.DUMMYFUNCTION("""COMPUTED_VALUE"""),"Synthetic Yarn")</f>
        <v>Synthetic Yarn</v>
      </c>
      <c r="G401" s="31">
        <f>IFERROR(__xludf.DUMMYFUNCTION("""COMPUTED_VALUE"""),44809.0)</f>
        <v>44809</v>
      </c>
      <c r="H401" s="32">
        <f>IFERROR(__xludf.DUMMYFUNCTION("""COMPUTED_VALUE"""),74.4)</f>
        <v>74.4</v>
      </c>
      <c r="I401" s="32">
        <f>IFERROR(__xludf.DUMMYFUNCTION("""COMPUTED_VALUE"""),0.13459)</f>
        <v>0.13459</v>
      </c>
      <c r="J401" s="32">
        <f>IFERROR(__xludf.DUMMYFUNCTION("""COMPUTED_VALUE"""),62.2)</f>
        <v>62.2</v>
      </c>
      <c r="K401" s="32">
        <f>IFERROR(__xludf.DUMMYFUNCTION("""COMPUTED_VALUE"""),170.75)</f>
        <v>170.75</v>
      </c>
      <c r="L401" s="32">
        <f>IFERROR(__xludf.DUMMYFUNCTION("""COMPUTED_VALUE"""),18.3)</f>
        <v>18.3</v>
      </c>
      <c r="M401" s="32">
        <f>IFERROR(__xludf.DUMMYFUNCTION("""COMPUTED_VALUE"""),170.75)</f>
        <v>170.75</v>
      </c>
      <c r="N401" s="32">
        <f>IFERROR(__xludf.DUMMYFUNCTION("""COMPUTED_VALUE"""),18.3)</f>
        <v>18.3</v>
      </c>
      <c r="O401" s="32">
        <f>IFERROR(__xludf.DUMMYFUNCTION("""COMPUTED_VALUE"""),170.75)</f>
        <v>170.75</v>
      </c>
      <c r="P401" s="32">
        <f>IFERROR(__xludf.DUMMYFUNCTION("""COMPUTED_VALUE"""),0.5)</f>
        <v>0.5</v>
      </c>
      <c r="Q401" s="32">
        <f>IFERROR(__xludf.DUMMYFUNCTION("""COMPUTED_VALUE"""),170.75)</f>
        <v>170.75</v>
      </c>
      <c r="R401" s="32">
        <f>IFERROR(__xludf.DUMMYFUNCTION("""COMPUTED_VALUE"""),7351.15512096)</f>
        <v>7351.155121</v>
      </c>
      <c r="S401" s="32">
        <f>IFERROR(__xludf.DUMMYFUNCTION("""COMPUTED_VALUE"""),9575.12182854)</f>
        <v>9575.121829</v>
      </c>
      <c r="T401" s="32">
        <f>IFERROR(__xludf.DUMMYFUNCTION("""COMPUTED_VALUE"""),-4.615385)</f>
        <v>-4.615385</v>
      </c>
      <c r="U401" s="32">
        <f>IFERROR(__xludf.DUMMYFUNCTION("""COMPUTED_VALUE"""),0.67659)</f>
        <v>0.67659</v>
      </c>
      <c r="V401" s="32">
        <f>IFERROR(__xludf.DUMMYFUNCTION("""COMPUTED_VALUE"""),3.118503)</f>
        <v>3.118503</v>
      </c>
      <c r="W401" s="32">
        <f>IFERROR(__xludf.DUMMYFUNCTION("""COMPUTED_VALUE"""),-40.999207)</f>
        <v>-40.999207</v>
      </c>
      <c r="X401" s="32">
        <f>IFERROR(__xludf.DUMMYFUNCTION("""COMPUTED_VALUE"""),14.279744)</f>
        <v>14.279744</v>
      </c>
      <c r="Y401" s="32">
        <f>IFERROR(__xludf.DUMMYFUNCTION("""COMPUTED_VALUE"""),-0.632962)</f>
        <v>-0.632962</v>
      </c>
      <c r="Z401" s="32">
        <f>IFERROR(__xludf.DUMMYFUNCTION("""COMPUTED_VALUE"""),30.016484)</f>
        <v>30.016484</v>
      </c>
      <c r="AA401" s="32">
        <f>IFERROR(__xludf.DUMMYFUNCTION("""COMPUTED_VALUE"""),18.0928)</f>
        <v>18.0928</v>
      </c>
      <c r="AB401" s="32">
        <f>IFERROR(__xludf.DUMMYFUNCTION("""COMPUTED_VALUE"""),15.4897)</f>
        <v>15.4897</v>
      </c>
      <c r="AC401" s="32">
        <f>IFERROR(__xludf.DUMMYFUNCTION("""COMPUTED_VALUE"""),1.841)</f>
        <v>1.841</v>
      </c>
      <c r="AD401" s="32">
        <f>IFERROR(__xludf.DUMMYFUNCTION("""COMPUTED_VALUE"""),2.16955)</f>
        <v>2.16955</v>
      </c>
      <c r="AE401" s="32">
        <f>IFERROR(__xludf.DUMMYFUNCTION("""COMPUTED_VALUE"""),8.571761)</f>
        <v>8.571761</v>
      </c>
      <c r="AF401" s="32">
        <f>IFERROR(__xludf.DUMMYFUNCTION("""COMPUTED_VALUE"""),2.416244)</f>
        <v>2.416244</v>
      </c>
      <c r="AG401" s="32">
        <f>IFERROR(__xludf.DUMMYFUNCTION("""COMPUTED_VALUE"""),0.2019)</f>
        <v>0.2019</v>
      </c>
      <c r="AH401" s="32">
        <f>IFERROR(__xludf.DUMMYFUNCTION("""COMPUTED_VALUE"""),8.154592)</f>
        <v>8.154592</v>
      </c>
      <c r="AI401" s="32">
        <f>IFERROR(__xludf.DUMMYFUNCTION("""COMPUTED_VALUE"""),0.8086954789431186)</f>
        <v>0.8086954789</v>
      </c>
      <c r="AJ401" s="32">
        <f>IFERROR(__xludf.DUMMYFUNCTION("""COMPUTED_VALUE"""),12.529644778106736)</f>
        <v>12.52964478</v>
      </c>
      <c r="AK401" s="32">
        <f>IFERROR(__xludf.DUMMYFUNCTION("""COMPUTED_VALUE"""),4.1094)</f>
        <v>4.1094</v>
      </c>
      <c r="AL401" s="32">
        <f>IFERROR(__xludf.DUMMYFUNCTION("""COMPUTED_VALUE"""),40.3864)</f>
        <v>40.3864</v>
      </c>
      <c r="AM401" s="32">
        <f>IFERROR(__xludf.DUMMYFUNCTION("""COMPUTED_VALUE"""),5.937909)</f>
        <v>5.937909</v>
      </c>
      <c r="AN401" s="32">
        <f>IFERROR(__xludf.DUMMYFUNCTION("""COMPUTED_VALUE"""),1.027863)</f>
        <v>1.027863</v>
      </c>
      <c r="AO401" s="32">
        <f>IFERROR(__xludf.DUMMYFUNCTION("""COMPUTED_VALUE"""),0.15)</f>
        <v>0.15</v>
      </c>
      <c r="AP401" s="32">
        <f>IFERROR(__xludf.DUMMYFUNCTION("""COMPUTED_VALUE"""),0.5642752562225476)</f>
        <v>0.5642752562</v>
      </c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>
      <c r="A402" s="13" t="str">
        <f>IFERROR(__xludf.DUMMYFUNCTION("""COMPUTED_VALUE"""),"Responsive Industries Ltd.")</f>
        <v>Responsive Industries Ltd.</v>
      </c>
      <c r="B402" s="30">
        <f>IFERROR(__xludf.DUMMYFUNCTION("""COMPUTED_VALUE"""),505509.0)</f>
        <v>505509</v>
      </c>
      <c r="C402" s="13" t="str">
        <f>IFERROR(__xludf.DUMMYFUNCTION("""COMPUTED_VALUE"""),"RESPONIND")</f>
        <v>RESPONIND</v>
      </c>
      <c r="D402" s="13" t="str">
        <f>IFERROR(__xludf.DUMMYFUNCTION("""COMPUTED_VALUE"""),"INE688D01026")</f>
        <v>INE688D01026</v>
      </c>
      <c r="E402" s="13" t="str">
        <f>IFERROR(__xludf.DUMMYFUNCTION("""COMPUTED_VALUE"""),"Materials")</f>
        <v>Materials</v>
      </c>
      <c r="F402" s="13" t="str">
        <f>IFERROR(__xludf.DUMMYFUNCTION("""COMPUTED_VALUE"""),"Other Plastic Products")</f>
        <v>Other Plastic Products</v>
      </c>
      <c r="G402" s="31">
        <f>IFERROR(__xludf.DUMMYFUNCTION("""COMPUTED_VALUE"""),44809.0)</f>
        <v>44809</v>
      </c>
      <c r="H402" s="32">
        <f>IFERROR(__xludf.DUMMYFUNCTION("""COMPUTED_VALUE"""),145.25)</f>
        <v>145.25</v>
      </c>
      <c r="I402" s="32">
        <f>IFERROR(__xludf.DUMMYFUNCTION("""COMPUTED_VALUE"""),-1.190476)</f>
        <v>-1.190476</v>
      </c>
      <c r="J402" s="32">
        <f>IFERROR(__xludf.DUMMYFUNCTION("""COMPUTED_VALUE"""),90.3)</f>
        <v>90.3</v>
      </c>
      <c r="K402" s="32">
        <f>IFERROR(__xludf.DUMMYFUNCTION("""COMPUTED_VALUE"""),215.0)</f>
        <v>215</v>
      </c>
      <c r="L402" s="32">
        <f>IFERROR(__xludf.DUMMYFUNCTION("""COMPUTED_VALUE"""),67.6)</f>
        <v>67.6</v>
      </c>
      <c r="M402" s="32">
        <f>IFERROR(__xludf.DUMMYFUNCTION("""COMPUTED_VALUE"""),215.0)</f>
        <v>215</v>
      </c>
      <c r="N402" s="32">
        <f>IFERROR(__xludf.DUMMYFUNCTION("""COMPUTED_VALUE"""),34.5)</f>
        <v>34.5</v>
      </c>
      <c r="O402" s="32">
        <f>IFERROR(__xludf.DUMMYFUNCTION("""COMPUTED_VALUE"""),215.0)</f>
        <v>215</v>
      </c>
      <c r="P402" s="32">
        <f>IFERROR(__xludf.DUMMYFUNCTION("""COMPUTED_VALUE"""),0.05)</f>
        <v>0.05</v>
      </c>
      <c r="Q402" s="32">
        <f>IFERROR(__xludf.DUMMYFUNCTION("""COMPUTED_VALUE"""),215.0)</f>
        <v>215</v>
      </c>
      <c r="R402" s="32">
        <f>IFERROR(__xludf.DUMMYFUNCTION("""COMPUTED_VALUE"""),3876.9069675)</f>
        <v>3876.906968</v>
      </c>
      <c r="S402" s="32">
        <f>IFERROR(__xludf.DUMMYFUNCTION("""COMPUTED_VALUE"""),4053.2629995)</f>
        <v>4053.263</v>
      </c>
      <c r="T402" s="32">
        <f>IFERROR(__xludf.DUMMYFUNCTION("""COMPUTED_VALUE"""),3.675946)</f>
        <v>3.675946</v>
      </c>
      <c r="U402" s="32">
        <f>IFERROR(__xludf.DUMMYFUNCTION("""COMPUTED_VALUE"""),3.898426)</f>
        <v>3.898426</v>
      </c>
      <c r="V402" s="32">
        <f>IFERROR(__xludf.DUMMYFUNCTION("""COMPUTED_VALUE"""),2.722772)</f>
        <v>2.722772</v>
      </c>
      <c r="W402" s="32">
        <f>IFERROR(__xludf.DUMMYFUNCTION("""COMPUTED_VALUE"""),14.190252)</f>
        <v>14.190252</v>
      </c>
      <c r="X402" s="32">
        <f>IFERROR(__xludf.DUMMYFUNCTION("""COMPUTED_VALUE"""),15.857216)</f>
        <v>15.857216</v>
      </c>
      <c r="Y402" s="32">
        <f>IFERROR(__xludf.DUMMYFUNCTION("""COMPUTED_VALUE"""),27.094983)</f>
        <v>27.094983</v>
      </c>
      <c r="Z402" s="32">
        <f>IFERROR(__xludf.DUMMYFUNCTION("""COMPUTED_VALUE"""),4.850561)</f>
        <v>4.850561</v>
      </c>
      <c r="AA402" s="13"/>
      <c r="AB402" s="32">
        <f>IFERROR(__xludf.DUMMYFUNCTION("""COMPUTED_VALUE"""),120.72755)</f>
        <v>120.72755</v>
      </c>
      <c r="AC402" s="32">
        <f>IFERROR(__xludf.DUMMYFUNCTION("""COMPUTED_VALUE"""),4.0402)</f>
        <v>4.0402</v>
      </c>
      <c r="AD402" s="32">
        <f>IFERROR(__xludf.DUMMYFUNCTION("""COMPUTED_VALUE"""),3.60565)</f>
        <v>3.60565</v>
      </c>
      <c r="AE402" s="32">
        <f>IFERROR(__xludf.DUMMYFUNCTION("""COMPUTED_VALUE"""),1.145377)</f>
        <v>1.145377</v>
      </c>
      <c r="AF402" s="13"/>
      <c r="AG402" s="32">
        <f>IFERROR(__xludf.DUMMYFUNCTION("""COMPUTED_VALUE"""),0.0687)</f>
        <v>0.0687</v>
      </c>
      <c r="AH402" s="32">
        <f>IFERROR(__xludf.DUMMYFUNCTION("""COMPUTED_VALUE"""),31.5272)</f>
        <v>31.5272</v>
      </c>
      <c r="AI402" s="32">
        <f>IFERROR(__xludf.DUMMYFUNCTION("""COMPUTED_VALUE"""),3.3501495527265877)</f>
        <v>3.350149553</v>
      </c>
      <c r="AJ402" s="32">
        <f>IFERROR(__xludf.DUMMYFUNCTION("""COMPUTED_VALUE"""),26.6951295368005)</f>
        <v>26.69512954</v>
      </c>
      <c r="AK402" s="32">
        <f>IFERROR(__xludf.DUMMYFUNCTION("""COMPUTED_VALUE"""),-0.2237)</f>
        <v>-0.2237</v>
      </c>
      <c r="AL402" s="32">
        <f>IFERROR(__xludf.DUMMYFUNCTION("""COMPUTED_VALUE"""),35.9509)</f>
        <v>35.9509</v>
      </c>
      <c r="AM402" s="32">
        <f>IFERROR(__xludf.DUMMYFUNCTION("""COMPUTED_VALUE"""),5.532533)</f>
        <v>5.532533</v>
      </c>
      <c r="AN402" s="32">
        <f>IFERROR(__xludf.DUMMYFUNCTION("""COMPUTED_VALUE"""),-11.876724)</f>
        <v>-11.876724</v>
      </c>
      <c r="AO402" s="32">
        <f>IFERROR(__xludf.DUMMYFUNCTION("""COMPUTED_VALUE"""),0.1)</f>
        <v>0.1</v>
      </c>
      <c r="AP402" s="32">
        <f>IFERROR(__xludf.DUMMYFUNCTION("""COMPUTED_VALUE"""),0.3244186046511628)</f>
        <v>0.3244186047</v>
      </c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>
      <c r="A403" s="13" t="str">
        <f>IFERROR(__xludf.DUMMYFUNCTION("""COMPUTED_VALUE"""),"Swan Energy Ltd.")</f>
        <v>Swan Energy Ltd.</v>
      </c>
      <c r="B403" s="30">
        <f>IFERROR(__xludf.DUMMYFUNCTION("""COMPUTED_VALUE"""),503310.0)</f>
        <v>503310</v>
      </c>
      <c r="C403" s="13" t="str">
        <f>IFERROR(__xludf.DUMMYFUNCTION("""COMPUTED_VALUE"""),"SWANENERGY")</f>
        <v>SWANENERGY</v>
      </c>
      <c r="D403" s="13" t="str">
        <f>IFERROR(__xludf.DUMMYFUNCTION("""COMPUTED_VALUE"""),"INE665A01038")</f>
        <v>INE665A01038</v>
      </c>
      <c r="E403" s="13" t="str">
        <f>IFERROR(__xludf.DUMMYFUNCTION("""COMPUTED_VALUE"""),"Construction")</f>
        <v>Construction</v>
      </c>
      <c r="F403" s="13" t="str">
        <f>IFERROR(__xludf.DUMMYFUNCTION("""COMPUTED_VALUE"""),"Real Estate")</f>
        <v>Real Estate</v>
      </c>
      <c r="G403" s="31">
        <f>IFERROR(__xludf.DUMMYFUNCTION("""COMPUTED_VALUE"""),44809.0)</f>
        <v>44809</v>
      </c>
      <c r="H403" s="32">
        <f>IFERROR(__xludf.DUMMYFUNCTION("""COMPUTED_VALUE"""),216.45)</f>
        <v>216.45</v>
      </c>
      <c r="I403" s="32">
        <f>IFERROR(__xludf.DUMMYFUNCTION("""COMPUTED_VALUE"""),-3.067622)</f>
        <v>-3.067622</v>
      </c>
      <c r="J403" s="32">
        <f>IFERROR(__xludf.DUMMYFUNCTION("""COMPUTED_VALUE"""),113.7)</f>
        <v>113.7</v>
      </c>
      <c r="K403" s="32">
        <f>IFERROR(__xludf.DUMMYFUNCTION("""COMPUTED_VALUE"""),337.0)</f>
        <v>337</v>
      </c>
      <c r="L403" s="32">
        <f>IFERROR(__xludf.DUMMYFUNCTION("""COMPUTED_VALUE"""),86.0)</f>
        <v>86</v>
      </c>
      <c r="M403" s="32">
        <f>IFERROR(__xludf.DUMMYFUNCTION("""COMPUTED_VALUE"""),337.0)</f>
        <v>337</v>
      </c>
      <c r="N403" s="32">
        <f>IFERROR(__xludf.DUMMYFUNCTION("""COMPUTED_VALUE"""),86.0)</f>
        <v>86</v>
      </c>
      <c r="O403" s="32">
        <f>IFERROR(__xludf.DUMMYFUNCTION("""COMPUTED_VALUE"""),337.0)</f>
        <v>337</v>
      </c>
      <c r="P403" s="32">
        <f>IFERROR(__xludf.DUMMYFUNCTION("""COMPUTED_VALUE"""),0.5645)</f>
        <v>0.5645</v>
      </c>
      <c r="Q403" s="32">
        <f>IFERROR(__xludf.DUMMYFUNCTION("""COMPUTED_VALUE"""),337.0)</f>
        <v>337</v>
      </c>
      <c r="R403" s="32">
        <f>IFERROR(__xludf.DUMMYFUNCTION("""COMPUTED_VALUE"""),5712.483465)</f>
        <v>5712.483465</v>
      </c>
      <c r="S403" s="32">
        <f>IFERROR(__xludf.DUMMYFUNCTION("""COMPUTED_VALUE"""),9065.241275)</f>
        <v>9065.241275</v>
      </c>
      <c r="T403" s="32">
        <f>IFERROR(__xludf.DUMMYFUNCTION("""COMPUTED_VALUE"""),6.442095)</f>
        <v>6.442095</v>
      </c>
      <c r="U403" s="32">
        <f>IFERROR(__xludf.DUMMYFUNCTION("""COMPUTED_VALUE"""),4.793028)</f>
        <v>4.793028</v>
      </c>
      <c r="V403" s="32">
        <f>IFERROR(__xludf.DUMMYFUNCTION("""COMPUTED_VALUE"""),-21.433757)</f>
        <v>-21.433757</v>
      </c>
      <c r="W403" s="32">
        <f>IFERROR(__xludf.DUMMYFUNCTION("""COMPUTED_VALUE"""),63.112283)</f>
        <v>63.112283</v>
      </c>
      <c r="X403" s="32">
        <f>IFERROR(__xludf.DUMMYFUNCTION("""COMPUTED_VALUE"""),24.764924)</f>
        <v>24.764924</v>
      </c>
      <c r="Y403" s="32">
        <f>IFERROR(__xludf.DUMMYFUNCTION("""COMPUTED_VALUE"""),8.514943)</f>
        <v>8.514943</v>
      </c>
      <c r="Z403" s="32">
        <f>IFERROR(__xludf.DUMMYFUNCTION("""COMPUTED_VALUE"""),12.765866)</f>
        <v>12.765866</v>
      </c>
      <c r="AA403" s="13"/>
      <c r="AB403" s="32">
        <f>IFERROR(__xludf.DUMMYFUNCTION("""COMPUTED_VALUE"""),53.7731)</f>
        <v>53.7731</v>
      </c>
      <c r="AC403" s="32">
        <f>IFERROR(__xludf.DUMMYFUNCTION("""COMPUTED_VALUE"""),4.8424)</f>
        <v>4.8424</v>
      </c>
      <c r="AD403" s="32">
        <f>IFERROR(__xludf.DUMMYFUNCTION("""COMPUTED_VALUE"""),3.6725)</f>
        <v>3.6725</v>
      </c>
      <c r="AE403" s="32">
        <f>IFERROR(__xludf.DUMMYFUNCTION("""COMPUTED_VALUE"""),0.109878)</f>
        <v>0.109878</v>
      </c>
      <c r="AF403" s="13"/>
      <c r="AG403" s="32">
        <f>IFERROR(__xludf.DUMMYFUNCTION("""COMPUTED_VALUE"""),0.0463)</f>
        <v>0.0463</v>
      </c>
      <c r="AH403" s="32">
        <f>IFERROR(__xludf.DUMMYFUNCTION("""COMPUTED_VALUE"""),123.703519)</f>
        <v>123.703519</v>
      </c>
      <c r="AI403" s="32">
        <f>IFERROR(__xludf.DUMMYFUNCTION("""COMPUTED_VALUE"""),8.14412319082324)</f>
        <v>8.144123191</v>
      </c>
      <c r="AJ403" s="32">
        <f>IFERROR(__xludf.DUMMYFUNCTION("""COMPUTED_VALUE"""),198.64394781864843)</f>
        <v>198.6439478</v>
      </c>
      <c r="AK403" s="32">
        <f>IFERROR(__xludf.DUMMYFUNCTION("""COMPUTED_VALUE"""),-4.7658)</f>
        <v>-4.7658</v>
      </c>
      <c r="AL403" s="32">
        <f>IFERROR(__xludf.DUMMYFUNCTION("""COMPUTED_VALUE"""),44.6989)</f>
        <v>44.6989</v>
      </c>
      <c r="AM403" s="32">
        <f>IFERROR(__xludf.DUMMYFUNCTION("""COMPUTED_VALUE"""),1.089638)</f>
        <v>1.089638</v>
      </c>
      <c r="AN403" s="32">
        <f>IFERROR(__xludf.DUMMYFUNCTION("""COMPUTED_VALUE"""),-5.708742)</f>
        <v>-5.708742</v>
      </c>
      <c r="AO403" s="32">
        <f>IFERROR(__xludf.DUMMYFUNCTION("""COMPUTED_VALUE"""),0.1)</f>
        <v>0.1</v>
      </c>
      <c r="AP403" s="32">
        <f>IFERROR(__xludf.DUMMYFUNCTION("""COMPUTED_VALUE"""),0.3577151335311573)</f>
        <v>0.3577151335</v>
      </c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>
      <c r="A404" s="13" t="str">
        <f>IFERROR(__xludf.DUMMYFUNCTION("""COMPUTED_VALUE"""),"Brightcom Group Ltd.")</f>
        <v>Brightcom Group Ltd.</v>
      </c>
      <c r="B404" s="30">
        <f>IFERROR(__xludf.DUMMYFUNCTION("""COMPUTED_VALUE"""),532368.0)</f>
        <v>532368</v>
      </c>
      <c r="C404" s="13" t="str">
        <f>IFERROR(__xludf.DUMMYFUNCTION("""COMPUTED_VALUE"""),"BCG")</f>
        <v>BCG</v>
      </c>
      <c r="D404" s="13" t="str">
        <f>IFERROR(__xludf.DUMMYFUNCTION("""COMPUTED_VALUE"""),"INE425B01027")</f>
        <v>INE425B01027</v>
      </c>
      <c r="E404" s="13" t="str">
        <f>IFERROR(__xludf.DUMMYFUNCTION("""COMPUTED_VALUE"""),"Technology")</f>
        <v>Technology</v>
      </c>
      <c r="F404" s="13" t="str">
        <f>IFERROR(__xludf.DUMMYFUNCTION("""COMPUTED_VALUE"""),"Software")</f>
        <v>Software</v>
      </c>
      <c r="G404" s="31">
        <f>IFERROR(__xludf.DUMMYFUNCTION("""COMPUTED_VALUE"""),44809.0)</f>
        <v>44809</v>
      </c>
      <c r="H404" s="32">
        <f>IFERROR(__xludf.DUMMYFUNCTION("""COMPUTED_VALUE"""),42.5)</f>
        <v>42.5</v>
      </c>
      <c r="I404" s="32">
        <f>IFERROR(__xludf.DUMMYFUNCTION("""COMPUTED_VALUE"""),-1.162791)</f>
        <v>-1.162791</v>
      </c>
      <c r="J404" s="32">
        <f>IFERROR(__xludf.DUMMYFUNCTION("""COMPUTED_VALUE"""),20.52)</f>
        <v>20.52</v>
      </c>
      <c r="K404" s="32">
        <f>IFERROR(__xludf.DUMMYFUNCTION("""COMPUTED_VALUE"""),122.88)</f>
        <v>122.88</v>
      </c>
      <c r="L404" s="32">
        <f>IFERROR(__xludf.DUMMYFUNCTION("""COMPUTED_VALUE"""),1.176)</f>
        <v>1.176</v>
      </c>
      <c r="M404" s="32">
        <f>IFERROR(__xludf.DUMMYFUNCTION("""COMPUTED_VALUE"""),122.88)</f>
        <v>122.88</v>
      </c>
      <c r="N404" s="32">
        <f>IFERROR(__xludf.DUMMYFUNCTION("""COMPUTED_VALUE"""),1.08)</f>
        <v>1.08</v>
      </c>
      <c r="O404" s="32">
        <f>IFERROR(__xludf.DUMMYFUNCTION("""COMPUTED_VALUE"""),122.88)</f>
        <v>122.88</v>
      </c>
      <c r="P404" s="32">
        <f>IFERROR(__xludf.DUMMYFUNCTION("""COMPUTED_VALUE"""),1.08)</f>
        <v>1.08</v>
      </c>
      <c r="Q404" s="32">
        <f>IFERROR(__xludf.DUMMYFUNCTION("""COMPUTED_VALUE"""),122.88)</f>
        <v>122.88</v>
      </c>
      <c r="R404" s="32">
        <f>IFERROR(__xludf.DUMMYFUNCTION("""COMPUTED_VALUE"""),8555.98874152)</f>
        <v>8555.988742</v>
      </c>
      <c r="S404" s="32">
        <f>IFERROR(__xludf.DUMMYFUNCTION("""COMPUTED_VALUE"""),8540.456612535)</f>
        <v>8540.456613</v>
      </c>
      <c r="T404" s="32">
        <f>IFERROR(__xludf.DUMMYFUNCTION("""COMPUTED_VALUE"""),-5.450501)</f>
        <v>-5.450501</v>
      </c>
      <c r="U404" s="32">
        <f>IFERROR(__xludf.DUMMYFUNCTION("""COMPUTED_VALUE"""),-0.117509)</f>
        <v>-0.117509</v>
      </c>
      <c r="V404" s="32">
        <f>IFERROR(__xludf.DUMMYFUNCTION("""COMPUTED_VALUE"""),-22.867514)</f>
        <v>-22.867514</v>
      </c>
      <c r="W404" s="32">
        <f>IFERROR(__xludf.DUMMYFUNCTION("""COMPUTED_VALUE"""),99.530516)</f>
        <v>99.530516</v>
      </c>
      <c r="X404" s="32">
        <f>IFERROR(__xludf.DUMMYFUNCTION("""COMPUTED_VALUE"""),202.458577)</f>
        <v>202.458577</v>
      </c>
      <c r="Y404" s="32">
        <f>IFERROR(__xludf.DUMMYFUNCTION("""COMPUTED_VALUE"""),72.482064)</f>
        <v>72.482064</v>
      </c>
      <c r="Z404" s="13"/>
      <c r="AA404" s="32">
        <f>IFERROR(__xludf.DUMMYFUNCTION("""COMPUTED_VALUE"""),7.8938)</f>
        <v>7.8938</v>
      </c>
      <c r="AB404" s="32">
        <f>IFERROR(__xludf.DUMMYFUNCTION("""COMPUTED_VALUE"""),1.0246)</f>
        <v>1.0246</v>
      </c>
      <c r="AC404" s="32">
        <f>IFERROR(__xludf.DUMMYFUNCTION("""COMPUTED_VALUE"""),1.5356)</f>
        <v>1.5356</v>
      </c>
      <c r="AD404" s="32">
        <f>IFERROR(__xludf.DUMMYFUNCTION("""COMPUTED_VALUE"""),0.28655)</f>
        <v>0.28655</v>
      </c>
      <c r="AE404" s="32">
        <f>IFERROR(__xludf.DUMMYFUNCTION("""COMPUTED_VALUE"""),17.72855)</f>
        <v>17.72855</v>
      </c>
      <c r="AF404" s="32">
        <f>IFERROR(__xludf.DUMMYFUNCTION("""COMPUTED_VALUE"""),2.040384)</f>
        <v>2.040384</v>
      </c>
      <c r="AG404" s="32">
        <f>IFERROR(__xludf.DUMMYFUNCTION("""COMPUTED_VALUE"""),0.7075)</f>
        <v>0.7075</v>
      </c>
      <c r="AH404" s="32">
        <f>IFERROR(__xludf.DUMMYFUNCTION("""COMPUTED_VALUE"""),4.871092)</f>
        <v>4.871092</v>
      </c>
      <c r="AI404" s="32">
        <f>IFERROR(__xludf.DUMMYFUNCTION("""COMPUTED_VALUE"""),1.4635263542032648)</f>
        <v>1.463526354</v>
      </c>
      <c r="AJ404" s="32">
        <f>IFERROR(__xludf.DUMMYFUNCTION("""COMPUTED_VALUE"""),18.601540715292646)</f>
        <v>18.60154072</v>
      </c>
      <c r="AK404" s="32">
        <f>IFERROR(__xludf.DUMMYFUNCTION("""COMPUTED_VALUE"""),5.3713)</f>
        <v>5.3713</v>
      </c>
      <c r="AL404" s="32">
        <f>IFERROR(__xludf.DUMMYFUNCTION("""COMPUTED_VALUE"""),27.6112)</f>
        <v>27.6112</v>
      </c>
      <c r="AM404" s="32">
        <f>IFERROR(__xludf.DUMMYFUNCTION("""COMPUTED_VALUE"""),9.060572)</f>
        <v>9.060572</v>
      </c>
      <c r="AN404" s="32">
        <f>IFERROR(__xludf.DUMMYFUNCTION("""COMPUTED_VALUE"""),8.815843)</f>
        <v>8.815843</v>
      </c>
      <c r="AO404" s="32">
        <f>IFERROR(__xludf.DUMMYFUNCTION("""COMPUTED_VALUE"""),0.05)</f>
        <v>0.05</v>
      </c>
      <c r="AP404" s="32">
        <f>IFERROR(__xludf.DUMMYFUNCTION("""COMPUTED_VALUE"""),0.6541341145833334)</f>
        <v>0.6541341146</v>
      </c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>
      <c r="A405" s="13" t="str">
        <f>IFERROR(__xludf.DUMMYFUNCTION("""COMPUTED_VALUE"""),"Infibeam Avenues Ltd.")</f>
        <v>Infibeam Avenues Ltd.</v>
      </c>
      <c r="B405" s="30">
        <f>IFERROR(__xludf.DUMMYFUNCTION("""COMPUTED_VALUE"""),539807.0)</f>
        <v>539807</v>
      </c>
      <c r="C405" s="13" t="str">
        <f>IFERROR(__xludf.DUMMYFUNCTION("""COMPUTED_VALUE"""),"INFIBEAM")</f>
        <v>INFIBEAM</v>
      </c>
      <c r="D405" s="13" t="str">
        <f>IFERROR(__xludf.DUMMYFUNCTION("""COMPUTED_VALUE"""),"INE483S01020")</f>
        <v>INE483S01020</v>
      </c>
      <c r="E405" s="13" t="str">
        <f>IFERROR(__xludf.DUMMYFUNCTION("""COMPUTED_VALUE"""),"Services")</f>
        <v>Services</v>
      </c>
      <c r="F405" s="13" t="str">
        <f>IFERROR(__xludf.DUMMYFUNCTION("""COMPUTED_VALUE"""),"E-Commerce")</f>
        <v>E-Commerce</v>
      </c>
      <c r="G405" s="31">
        <f>IFERROR(__xludf.DUMMYFUNCTION("""COMPUTED_VALUE"""),44809.0)</f>
        <v>44809</v>
      </c>
      <c r="H405" s="32">
        <f>IFERROR(__xludf.DUMMYFUNCTION("""COMPUTED_VALUE"""),15.6)</f>
        <v>15.6</v>
      </c>
      <c r="I405" s="32">
        <f>IFERROR(__xludf.DUMMYFUNCTION("""COMPUTED_VALUE"""),0.321543)</f>
        <v>0.321543</v>
      </c>
      <c r="J405" s="32">
        <f>IFERROR(__xludf.DUMMYFUNCTION("""COMPUTED_VALUE"""),12.5)</f>
        <v>12.5</v>
      </c>
      <c r="K405" s="32">
        <f>IFERROR(__xludf.DUMMYFUNCTION("""COMPUTED_VALUE"""),26.5)</f>
        <v>26.5</v>
      </c>
      <c r="L405" s="32">
        <f>IFERROR(__xludf.DUMMYFUNCTION("""COMPUTED_VALUE"""),6.6)</f>
        <v>6.6</v>
      </c>
      <c r="M405" s="32">
        <f>IFERROR(__xludf.DUMMYFUNCTION("""COMPUTED_VALUE"""),29.225)</f>
        <v>29.225</v>
      </c>
      <c r="N405" s="32">
        <f>IFERROR(__xludf.DUMMYFUNCTION("""COMPUTED_VALUE"""),6.6)</f>
        <v>6.6</v>
      </c>
      <c r="O405" s="32">
        <f>IFERROR(__xludf.DUMMYFUNCTION("""COMPUTED_VALUE"""),60.7)</f>
        <v>60.7</v>
      </c>
      <c r="P405" s="32">
        <f>IFERROR(__xludf.DUMMYFUNCTION("""COMPUTED_VALUE"""),6.6)</f>
        <v>6.6</v>
      </c>
      <c r="Q405" s="32">
        <f>IFERROR(__xludf.DUMMYFUNCTION("""COMPUTED_VALUE"""),60.7)</f>
        <v>60.7</v>
      </c>
      <c r="R405" s="32">
        <f>IFERROR(__xludf.DUMMYFUNCTION("""COMPUTED_VALUE"""),4189.02777203)</f>
        <v>4189.027772</v>
      </c>
      <c r="S405" s="32">
        <f>IFERROR(__xludf.DUMMYFUNCTION("""COMPUTED_VALUE"""),3952.94882141)</f>
        <v>3952.948821</v>
      </c>
      <c r="T405" s="32">
        <f>IFERROR(__xludf.DUMMYFUNCTION("""COMPUTED_VALUE"""),-2.5)</f>
        <v>-2.5</v>
      </c>
      <c r="U405" s="32">
        <f>IFERROR(__xludf.DUMMYFUNCTION("""COMPUTED_VALUE"""),-1.886792)</f>
        <v>-1.886792</v>
      </c>
      <c r="V405" s="32">
        <f>IFERROR(__xludf.DUMMYFUNCTION("""COMPUTED_VALUE"""),5.050505)</f>
        <v>5.050505</v>
      </c>
      <c r="W405" s="32">
        <f>IFERROR(__xludf.DUMMYFUNCTION("""COMPUTED_VALUE"""),-31.428571)</f>
        <v>-31.428571</v>
      </c>
      <c r="X405" s="32">
        <f>IFERROR(__xludf.DUMMYFUNCTION("""COMPUTED_VALUE"""),16.662339)</f>
        <v>16.662339</v>
      </c>
      <c r="Y405" s="32">
        <f>IFERROR(__xludf.DUMMYFUNCTION("""COMPUTED_VALUE"""),-15.283167)</f>
        <v>-15.283167</v>
      </c>
      <c r="Z405" s="13"/>
      <c r="AA405" s="32">
        <f>IFERROR(__xludf.DUMMYFUNCTION("""COMPUTED_VALUE"""),43.545)</f>
        <v>43.545</v>
      </c>
      <c r="AB405" s="32">
        <f>IFERROR(__xludf.DUMMYFUNCTION("""COMPUTED_VALUE"""),68.9181)</f>
        <v>68.9181</v>
      </c>
      <c r="AC405" s="32">
        <f>IFERROR(__xludf.DUMMYFUNCTION("""COMPUTED_VALUE"""),1.4333)</f>
        <v>1.4333</v>
      </c>
      <c r="AD405" s="32">
        <f>IFERROR(__xludf.DUMMYFUNCTION("""COMPUTED_VALUE"""),1.7957)</f>
        <v>1.7957</v>
      </c>
      <c r="AE405" s="32">
        <f>IFERROR(__xludf.DUMMYFUNCTION("""COMPUTED_VALUE"""),3.042931)</f>
        <v>3.042931</v>
      </c>
      <c r="AF405" s="32">
        <f>IFERROR(__xludf.DUMMYFUNCTION("""COMPUTED_VALUE"""),4.041685)</f>
        <v>4.041685</v>
      </c>
      <c r="AG405" s="32">
        <f>IFERROR(__xludf.DUMMYFUNCTION("""COMPUTED_VALUE"""),0.3195)</f>
        <v>0.3195</v>
      </c>
      <c r="AH405" s="32">
        <f>IFERROR(__xludf.DUMMYFUNCTION("""COMPUTED_VALUE"""),23.173577)</f>
        <v>23.173577</v>
      </c>
      <c r="AI405" s="32">
        <f>IFERROR(__xludf.DUMMYFUNCTION("""COMPUTED_VALUE"""),2.8004892112887916)</f>
        <v>2.800489211</v>
      </c>
      <c r="AJ405" s="32">
        <f>IFERROR(__xludf.DUMMYFUNCTION("""COMPUTED_VALUE"""),34.33488604589976)</f>
        <v>34.33488605</v>
      </c>
      <c r="AK405" s="32">
        <f>IFERROR(__xludf.DUMMYFUNCTION("""COMPUTED_VALUE"""),0.3594)</f>
        <v>0.3594</v>
      </c>
      <c r="AL405" s="32">
        <f>IFERROR(__xludf.DUMMYFUNCTION("""COMPUTED_VALUE"""),10.9188)</f>
        <v>10.9188</v>
      </c>
      <c r="AM405" s="32">
        <f>IFERROR(__xludf.DUMMYFUNCTION("""COMPUTED_VALUE"""),0.45587)</f>
        <v>0.45587</v>
      </c>
      <c r="AN405" s="32">
        <f>IFERROR(__xludf.DUMMYFUNCTION("""COMPUTED_VALUE"""),0.393747)</f>
        <v>0.393747</v>
      </c>
      <c r="AO405" s="32">
        <f>IFERROR(__xludf.DUMMYFUNCTION("""COMPUTED_VALUE"""),0.05)</f>
        <v>0.05</v>
      </c>
      <c r="AP405" s="32">
        <f>IFERROR(__xludf.DUMMYFUNCTION("""COMPUTED_VALUE"""),0.41132075471698115)</f>
        <v>0.4113207547</v>
      </c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>
      <c r="A406" s="13" t="str">
        <f>IFERROR(__xludf.DUMMYFUNCTION("""COMPUTED_VALUE"""),"Vakrangee Ltd.")</f>
        <v>Vakrangee Ltd.</v>
      </c>
      <c r="B406" s="30">
        <f>IFERROR(__xludf.DUMMYFUNCTION("""COMPUTED_VALUE"""),511431.0)</f>
        <v>511431</v>
      </c>
      <c r="C406" s="13" t="str">
        <f>IFERROR(__xludf.DUMMYFUNCTION("""COMPUTED_VALUE"""),"VAKRANGEE")</f>
        <v>VAKRANGEE</v>
      </c>
      <c r="D406" s="13" t="str">
        <f>IFERROR(__xludf.DUMMYFUNCTION("""COMPUTED_VALUE"""),"INE051B01021")</f>
        <v>INE051B01021</v>
      </c>
      <c r="E406" s="13" t="str">
        <f>IFERROR(__xludf.DUMMYFUNCTION("""COMPUTED_VALUE"""),"Technology")</f>
        <v>Technology</v>
      </c>
      <c r="F406" s="13" t="str">
        <f>IFERROR(__xludf.DUMMYFUNCTION("""COMPUTED_VALUE"""),"Software")</f>
        <v>Software</v>
      </c>
      <c r="G406" s="31">
        <f>IFERROR(__xludf.DUMMYFUNCTION("""COMPUTED_VALUE"""),44809.0)</f>
        <v>44809</v>
      </c>
      <c r="H406" s="32">
        <f>IFERROR(__xludf.DUMMYFUNCTION("""COMPUTED_VALUE"""),32.9)</f>
        <v>32.9</v>
      </c>
      <c r="I406" s="32">
        <f>IFERROR(__xludf.DUMMYFUNCTION("""COMPUTED_VALUE"""),19.419238)</f>
        <v>19.419238</v>
      </c>
      <c r="J406" s="32">
        <f>IFERROR(__xludf.DUMMYFUNCTION("""COMPUTED_VALUE"""),23.55)</f>
        <v>23.55</v>
      </c>
      <c r="K406" s="32">
        <f>IFERROR(__xludf.DUMMYFUNCTION("""COMPUTED_VALUE"""),47.2)</f>
        <v>47.2</v>
      </c>
      <c r="L406" s="32">
        <f>IFERROR(__xludf.DUMMYFUNCTION("""COMPUTED_VALUE"""),17.1)</f>
        <v>17.1</v>
      </c>
      <c r="M406" s="32">
        <f>IFERROR(__xludf.DUMMYFUNCTION("""COMPUTED_VALUE"""),69.85)</f>
        <v>69.85</v>
      </c>
      <c r="N406" s="32">
        <f>IFERROR(__xludf.DUMMYFUNCTION("""COMPUTED_VALUE"""),17.1)</f>
        <v>17.1</v>
      </c>
      <c r="O406" s="32">
        <f>IFERROR(__xludf.DUMMYFUNCTION("""COMPUTED_VALUE"""),515.4)</f>
        <v>515.4</v>
      </c>
      <c r="P406" s="32">
        <f>IFERROR(__xludf.DUMMYFUNCTION("""COMPUTED_VALUE"""),0.2625)</f>
        <v>0.2625</v>
      </c>
      <c r="Q406" s="32">
        <f>IFERROR(__xludf.DUMMYFUNCTION("""COMPUTED_VALUE"""),515.4)</f>
        <v>515.4</v>
      </c>
      <c r="R406" s="32">
        <f>IFERROR(__xludf.DUMMYFUNCTION("""COMPUTED_VALUE"""),3485.7543091)</f>
        <v>3485.754309</v>
      </c>
      <c r="S406" s="32">
        <f>IFERROR(__xludf.DUMMYFUNCTION("""COMPUTED_VALUE"""),2867.4967204)</f>
        <v>2867.49672</v>
      </c>
      <c r="T406" s="32">
        <f>IFERROR(__xludf.DUMMYFUNCTION("""COMPUTED_VALUE"""),18.132855)</f>
        <v>18.132855</v>
      </c>
      <c r="U406" s="32">
        <f>IFERROR(__xludf.DUMMYFUNCTION("""COMPUTED_VALUE"""),11.525424)</f>
        <v>11.525424</v>
      </c>
      <c r="V406" s="32">
        <f>IFERROR(__xludf.DUMMYFUNCTION("""COMPUTED_VALUE"""),17.921147)</f>
        <v>17.921147</v>
      </c>
      <c r="W406" s="32">
        <f>IFERROR(__xludf.DUMMYFUNCTION("""COMPUTED_VALUE"""),-15.856777)</f>
        <v>-15.856777</v>
      </c>
      <c r="X406" s="32">
        <f>IFERROR(__xludf.DUMMYFUNCTION("""COMPUTED_VALUE"""),3.18099)</f>
        <v>3.18099</v>
      </c>
      <c r="Y406" s="32">
        <f>IFERROR(__xludf.DUMMYFUNCTION("""COMPUTED_VALUE"""),-33.252487)</f>
        <v>-33.252487</v>
      </c>
      <c r="Z406" s="32">
        <f>IFERROR(__xludf.DUMMYFUNCTION("""COMPUTED_VALUE"""),4.480398)</f>
        <v>4.480398</v>
      </c>
      <c r="AA406" s="32">
        <f>IFERROR(__xludf.DUMMYFUNCTION("""COMPUTED_VALUE"""),38.5383)</f>
        <v>38.5383</v>
      </c>
      <c r="AB406" s="32">
        <f>IFERROR(__xludf.DUMMYFUNCTION("""COMPUTED_VALUE"""),56.19955)</f>
        <v>56.19955</v>
      </c>
      <c r="AC406" s="32">
        <f>IFERROR(__xludf.DUMMYFUNCTION("""COMPUTED_VALUE"""),1.2713)</f>
        <v>1.2713</v>
      </c>
      <c r="AD406" s="32">
        <f>IFERROR(__xludf.DUMMYFUNCTION("""COMPUTED_VALUE"""),1.5598)</f>
        <v>1.5598</v>
      </c>
      <c r="AE406" s="32">
        <f>IFERROR(__xludf.DUMMYFUNCTION("""COMPUTED_VALUE"""),3.603116)</f>
        <v>3.603116</v>
      </c>
      <c r="AF406" s="32">
        <f>IFERROR(__xludf.DUMMYFUNCTION("""COMPUTED_VALUE"""),-1.245791)</f>
        <v>-1.245791</v>
      </c>
      <c r="AG406" s="32">
        <f>IFERROR(__xludf.DUMMYFUNCTION("""COMPUTED_VALUE"""),0.1515)</f>
        <v>0.1515</v>
      </c>
      <c r="AH406" s="32">
        <f>IFERROR(__xludf.DUMMYFUNCTION("""COMPUTED_VALUE"""),21.234582)</f>
        <v>21.234582</v>
      </c>
      <c r="AI406" s="32">
        <f>IFERROR(__xludf.DUMMYFUNCTION("""COMPUTED_VALUE"""),4.097517816642549)</f>
        <v>4.097517817</v>
      </c>
      <c r="AJ406" s="32">
        <f>IFERROR(__xludf.DUMMYFUNCTION("""COMPUTED_VALUE"""),71.99502462172065)</f>
        <v>71.99502462</v>
      </c>
      <c r="AK406" s="32">
        <f>IFERROR(__xludf.DUMMYFUNCTION("""COMPUTED_VALUE"""),0.8563)</f>
        <v>0.8563</v>
      </c>
      <c r="AL406" s="32">
        <f>IFERROR(__xludf.DUMMYFUNCTION("""COMPUTED_VALUE"""),25.957)</f>
        <v>25.957</v>
      </c>
      <c r="AM406" s="32">
        <f>IFERROR(__xludf.DUMMYFUNCTION("""COMPUTED_VALUE"""),0.456976)</f>
        <v>0.456976</v>
      </c>
      <c r="AN406" s="32">
        <f>IFERROR(__xludf.DUMMYFUNCTION("""COMPUTED_VALUE"""),0.340801)</f>
        <v>0.340801</v>
      </c>
      <c r="AO406" s="32">
        <f>IFERROR(__xludf.DUMMYFUNCTION("""COMPUTED_VALUE"""),0.05)</f>
        <v>0.05</v>
      </c>
      <c r="AP406" s="32">
        <f>IFERROR(__xludf.DUMMYFUNCTION("""COMPUTED_VALUE"""),0.30296610169491534)</f>
        <v>0.3029661017</v>
      </c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>
      <c r="A407" s="13" t="str">
        <f>IFERROR(__xludf.DUMMYFUNCTION("""COMPUTED_VALUE"""),"3M India Ltd.")</f>
        <v>3M India Ltd.</v>
      </c>
      <c r="B407" s="30">
        <f>IFERROR(__xludf.DUMMYFUNCTION("""COMPUTED_VALUE"""),523395.0)</f>
        <v>523395</v>
      </c>
      <c r="C407" s="13" t="str">
        <f>IFERROR(__xludf.DUMMYFUNCTION("""COMPUTED_VALUE"""),"3MINDIA")</f>
        <v>3MINDIA</v>
      </c>
      <c r="D407" s="13" t="str">
        <f>IFERROR(__xludf.DUMMYFUNCTION("""COMPUTED_VALUE"""),"INE470A01017")</f>
        <v>INE470A01017</v>
      </c>
      <c r="E407" s="13" t="str">
        <f>IFERROR(__xludf.DUMMYFUNCTION("""COMPUTED_VALUE"""),"Diversified")</f>
        <v>Diversified</v>
      </c>
      <c r="F407" s="13" t="str">
        <f>IFERROR(__xludf.DUMMYFUNCTION("""COMPUTED_VALUE"""),"Diversified")</f>
        <v>Diversified</v>
      </c>
      <c r="G407" s="31">
        <f>IFERROR(__xludf.DUMMYFUNCTION("""COMPUTED_VALUE"""),44809.0)</f>
        <v>44809</v>
      </c>
      <c r="H407" s="32">
        <f>IFERROR(__xludf.DUMMYFUNCTION("""COMPUTED_VALUE"""),23244.85)</f>
        <v>23244.85</v>
      </c>
      <c r="I407" s="32">
        <f>IFERROR(__xludf.DUMMYFUNCTION("""COMPUTED_VALUE"""),0.728439)</f>
        <v>0.728439</v>
      </c>
      <c r="J407" s="32">
        <f>IFERROR(__xludf.DUMMYFUNCTION("""COMPUTED_VALUE"""),17273.0)</f>
        <v>17273</v>
      </c>
      <c r="K407" s="32">
        <f>IFERROR(__xludf.DUMMYFUNCTION("""COMPUTED_VALUE"""),27800.0)</f>
        <v>27800</v>
      </c>
      <c r="L407" s="32">
        <f>IFERROR(__xludf.DUMMYFUNCTION("""COMPUTED_VALUE"""),15685.6)</f>
        <v>15685.6</v>
      </c>
      <c r="M407" s="32">
        <f>IFERROR(__xludf.DUMMYFUNCTION("""COMPUTED_VALUE"""),31000.0)</f>
        <v>31000</v>
      </c>
      <c r="N407" s="32">
        <f>IFERROR(__xludf.DUMMYFUNCTION("""COMPUTED_VALUE"""),14000.0)</f>
        <v>14000</v>
      </c>
      <c r="O407" s="32">
        <f>IFERROR(__xludf.DUMMYFUNCTION("""COMPUTED_VALUE"""),31000.0)</f>
        <v>31000</v>
      </c>
      <c r="P407" s="32">
        <f>IFERROR(__xludf.DUMMYFUNCTION("""COMPUTED_VALUE"""),223.25)</f>
        <v>223.25</v>
      </c>
      <c r="Q407" s="32">
        <f>IFERROR(__xludf.DUMMYFUNCTION("""COMPUTED_VALUE"""),31000.0)</f>
        <v>31000</v>
      </c>
      <c r="R407" s="32">
        <f>IFERROR(__xludf.DUMMYFUNCTION("""COMPUTED_VALUE"""),26185.48623895)</f>
        <v>26185.48624</v>
      </c>
      <c r="S407" s="32">
        <f>IFERROR(__xludf.DUMMYFUNCTION("""COMPUTED_VALUE"""),24613.39502135)</f>
        <v>24613.39502</v>
      </c>
      <c r="T407" s="32">
        <f>IFERROR(__xludf.DUMMYFUNCTION("""COMPUTED_VALUE"""),0.685899)</f>
        <v>0.685899</v>
      </c>
      <c r="U407" s="32">
        <f>IFERROR(__xludf.DUMMYFUNCTION("""COMPUTED_VALUE"""),-0.937573)</f>
        <v>-0.937573</v>
      </c>
      <c r="V407" s="32">
        <f>IFERROR(__xludf.DUMMYFUNCTION("""COMPUTED_VALUE"""),9.179959)</f>
        <v>9.179959</v>
      </c>
      <c r="W407" s="32">
        <f>IFERROR(__xludf.DUMMYFUNCTION("""COMPUTED_VALUE"""),-5.266322)</f>
        <v>-5.266322</v>
      </c>
      <c r="X407" s="32">
        <f>IFERROR(__xludf.DUMMYFUNCTION("""COMPUTED_VALUE"""),4.532911)</f>
        <v>4.532911</v>
      </c>
      <c r="Y407" s="32">
        <f>IFERROR(__xludf.DUMMYFUNCTION("""COMPUTED_VALUE"""),9.695293)</f>
        <v>9.695293</v>
      </c>
      <c r="Z407" s="32">
        <f>IFERROR(__xludf.DUMMYFUNCTION("""COMPUTED_VALUE"""),19.137456)</f>
        <v>19.137456</v>
      </c>
      <c r="AA407" s="32">
        <f>IFERROR(__xludf.DUMMYFUNCTION("""COMPUTED_VALUE"""),80.6191)</f>
        <v>80.6191</v>
      </c>
      <c r="AB407" s="32">
        <f>IFERROR(__xludf.DUMMYFUNCTION("""COMPUTED_VALUE"""),79.59045)</f>
        <v>79.59045</v>
      </c>
      <c r="AC407" s="32">
        <f>IFERROR(__xludf.DUMMYFUNCTION("""COMPUTED_VALUE"""),11.5937)</f>
        <v>11.5937</v>
      </c>
      <c r="AD407" s="32">
        <f>IFERROR(__xludf.DUMMYFUNCTION("""COMPUTED_VALUE"""),14.06225)</f>
        <v>14.06225</v>
      </c>
      <c r="AE407" s="32">
        <f>IFERROR(__xludf.DUMMYFUNCTION("""COMPUTED_VALUE"""),1.933282)</f>
        <v>1.933282</v>
      </c>
      <c r="AF407" s="32">
        <f>IFERROR(__xludf.DUMMYFUNCTION("""COMPUTED_VALUE"""),39.76138)</f>
        <v>39.76138</v>
      </c>
      <c r="AG407" s="32">
        <f>IFERROR(__xludf.DUMMYFUNCTION("""COMPUTED_VALUE"""),0.0)</f>
        <v>0</v>
      </c>
      <c r="AH407" s="32">
        <f>IFERROR(__xludf.DUMMYFUNCTION("""COMPUTED_VALUE"""),49.38393)</f>
        <v>49.38393</v>
      </c>
      <c r="AI407" s="32">
        <f>IFERROR(__xludf.DUMMYFUNCTION("""COMPUTED_VALUE"""),7.406306724001192)</f>
        <v>7.406306724</v>
      </c>
      <c r="AJ407" s="32">
        <f>IFERROR(__xludf.DUMMYFUNCTION("""COMPUTED_VALUE"""),79.9881424827052)</f>
        <v>79.98814248</v>
      </c>
      <c r="AK407" s="32">
        <f>IFERROR(__xludf.DUMMYFUNCTION("""COMPUTED_VALUE"""),289.5091)</f>
        <v>289.5091</v>
      </c>
      <c r="AL407" s="32">
        <f>IFERROR(__xludf.DUMMYFUNCTION("""COMPUTED_VALUE"""),2013.1537)</f>
        <v>2013.1537</v>
      </c>
      <c r="AM407" s="32">
        <f>IFERROR(__xludf.DUMMYFUNCTION("""COMPUTED_VALUE"""),290.602924)</f>
        <v>290.602924</v>
      </c>
      <c r="AN407" s="32">
        <f>IFERROR(__xludf.DUMMYFUNCTION("""COMPUTED_VALUE"""),263.214885)</f>
        <v>263.214885</v>
      </c>
      <c r="AO407" s="32">
        <f>IFERROR(__xludf.DUMMYFUNCTION("""COMPUTED_VALUE"""),0.0)</f>
        <v>0</v>
      </c>
      <c r="AP407" s="32">
        <f>IFERROR(__xludf.DUMMYFUNCTION("""COMPUTED_VALUE"""),0.16385431654676264)</f>
        <v>0.1638543165</v>
      </c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>
      <c r="A408" s="13" t="str">
        <f>IFERROR(__xludf.DUMMYFUNCTION("""COMPUTED_VALUE"""),"Aavas Financiers Ltd.")</f>
        <v>Aavas Financiers Ltd.</v>
      </c>
      <c r="B408" s="30">
        <f>IFERROR(__xludf.DUMMYFUNCTION("""COMPUTED_VALUE"""),541988.0)</f>
        <v>541988</v>
      </c>
      <c r="C408" s="13" t="str">
        <f>IFERROR(__xludf.DUMMYFUNCTION("""COMPUTED_VALUE"""),"AAVAS")</f>
        <v>AAVAS</v>
      </c>
      <c r="D408" s="13" t="str">
        <f>IFERROR(__xludf.DUMMYFUNCTION("""COMPUTED_VALUE"""),"INE216P01012")</f>
        <v>INE216P01012</v>
      </c>
      <c r="E408" s="13" t="str">
        <f>IFERROR(__xludf.DUMMYFUNCTION("""COMPUTED_VALUE"""),"Financial")</f>
        <v>Financial</v>
      </c>
      <c r="F408" s="13" t="str">
        <f>IFERROR(__xludf.DUMMYFUNCTION("""COMPUTED_VALUE"""),"Housing Finance")</f>
        <v>Housing Finance</v>
      </c>
      <c r="G408" s="31">
        <f>IFERROR(__xludf.DUMMYFUNCTION("""COMPUTED_VALUE"""),44809.0)</f>
        <v>44809</v>
      </c>
      <c r="H408" s="32">
        <f>IFERROR(__xludf.DUMMYFUNCTION("""COMPUTED_VALUE"""),2287.95)</f>
        <v>2287.95</v>
      </c>
      <c r="I408" s="32">
        <f>IFERROR(__xludf.DUMMYFUNCTION("""COMPUTED_VALUE"""),0.485309)</f>
        <v>0.485309</v>
      </c>
      <c r="J408" s="32">
        <f>IFERROR(__xludf.DUMMYFUNCTION("""COMPUTED_VALUE"""),1815.0)</f>
        <v>1815</v>
      </c>
      <c r="K408" s="32">
        <f>IFERROR(__xludf.DUMMYFUNCTION("""COMPUTED_VALUE"""),3340.0)</f>
        <v>3340</v>
      </c>
      <c r="L408" s="32">
        <f>IFERROR(__xludf.DUMMYFUNCTION("""COMPUTED_VALUE"""),845.75)</f>
        <v>845.75</v>
      </c>
      <c r="M408" s="32">
        <f>IFERROR(__xludf.DUMMYFUNCTION("""COMPUTED_VALUE"""),3340.0)</f>
        <v>3340</v>
      </c>
      <c r="N408" s="13"/>
      <c r="O408" s="13"/>
      <c r="P408" s="32">
        <f>IFERROR(__xludf.DUMMYFUNCTION("""COMPUTED_VALUE"""),611.5)</f>
        <v>611.5</v>
      </c>
      <c r="Q408" s="32">
        <f>IFERROR(__xludf.DUMMYFUNCTION("""COMPUTED_VALUE"""),3340.0)</f>
        <v>3340</v>
      </c>
      <c r="R408" s="32">
        <f>IFERROR(__xludf.DUMMYFUNCTION("""COMPUTED_VALUE"""),17987.59722261)</f>
        <v>17987.59722</v>
      </c>
      <c r="S408" s="32">
        <f>IFERROR(__xludf.DUMMYFUNCTION("""COMPUTED_VALUE"""),24383.24798584)</f>
        <v>24383.24799</v>
      </c>
      <c r="T408" s="32">
        <f>IFERROR(__xludf.DUMMYFUNCTION("""COMPUTED_VALUE"""),2.56416)</f>
        <v>2.56416</v>
      </c>
      <c r="U408" s="32">
        <f>IFERROR(__xludf.DUMMYFUNCTION("""COMPUTED_VALUE"""),1.252406)</f>
        <v>1.252406</v>
      </c>
      <c r="V408" s="32">
        <f>IFERROR(__xludf.DUMMYFUNCTION("""COMPUTED_VALUE"""),10.464948)</f>
        <v>10.464948</v>
      </c>
      <c r="W408" s="32">
        <f>IFERROR(__xludf.DUMMYFUNCTION("""COMPUTED_VALUE"""),-5.1509)</f>
        <v>-5.1509</v>
      </c>
      <c r="X408" s="32">
        <f>IFERROR(__xludf.DUMMYFUNCTION("""COMPUTED_VALUE"""),14.864358)</f>
        <v>14.864358</v>
      </c>
      <c r="Y408" s="13"/>
      <c r="Z408" s="13"/>
      <c r="AA408" s="32">
        <f>IFERROR(__xludf.DUMMYFUNCTION("""COMPUTED_VALUE"""),46.6991)</f>
        <v>46.6991</v>
      </c>
      <c r="AB408" s="32">
        <f>IFERROR(__xludf.DUMMYFUNCTION("""COMPUTED_VALUE"""),60.58035)</f>
        <v>60.58035</v>
      </c>
      <c r="AC408" s="32">
        <f>IFERROR(__xludf.DUMMYFUNCTION("""COMPUTED_VALUE"""),6.2746)</f>
        <v>6.2746</v>
      </c>
      <c r="AD408" s="32">
        <f>IFERROR(__xludf.DUMMYFUNCTION("""COMPUTED_VALUE"""),7.00475)</f>
        <v>7.00475</v>
      </c>
      <c r="AE408" s="32">
        <f>IFERROR(__xludf.DUMMYFUNCTION("""COMPUTED_VALUE"""),4.173322)</f>
        <v>4.173322</v>
      </c>
      <c r="AF408" s="32">
        <f>IFERROR(__xludf.DUMMYFUNCTION("""COMPUTED_VALUE"""),1.777424)</f>
        <v>1.777424</v>
      </c>
      <c r="AG408" s="32">
        <f>IFERROR(__xludf.DUMMYFUNCTION("""COMPUTED_VALUE"""),0.0)</f>
        <v>0</v>
      </c>
      <c r="AH408" s="32">
        <f>IFERROR(__xludf.DUMMYFUNCTION("""COMPUTED_VALUE"""),23.959383)</f>
        <v>23.959383</v>
      </c>
      <c r="AI408" s="32">
        <f>IFERROR(__xludf.DUMMYFUNCTION("""COMPUTED_VALUE"""),12.983900571909308)</f>
        <v>12.98390057</v>
      </c>
      <c r="AJ408" s="32">
        <f>IFERROR(__xludf.DUMMYFUNCTION("""COMPUTED_VALUE"""),-15.84658424162512)</f>
        <v>-15.84658424</v>
      </c>
      <c r="AK408" s="32">
        <f>IFERROR(__xludf.DUMMYFUNCTION("""COMPUTED_VALUE"""),48.7813)</f>
        <v>48.7813</v>
      </c>
      <c r="AL408" s="32">
        <f>IFERROR(__xludf.DUMMYFUNCTION("""COMPUTED_VALUE"""),362.7587)</f>
        <v>362.7587</v>
      </c>
      <c r="AM408" s="32">
        <f>IFERROR(__xludf.DUMMYFUNCTION("""COMPUTED_VALUE"""),-143.800245)</f>
        <v>-143.800245</v>
      </c>
      <c r="AN408" s="32">
        <f>IFERROR(__xludf.DUMMYFUNCTION("""COMPUTED_VALUE"""),-148.650738)</f>
        <v>-148.650738</v>
      </c>
      <c r="AO408" s="32">
        <f>IFERROR(__xludf.DUMMYFUNCTION("""COMPUTED_VALUE"""),0.0)</f>
        <v>0</v>
      </c>
      <c r="AP408" s="32">
        <f>IFERROR(__xludf.DUMMYFUNCTION("""COMPUTED_VALUE"""),0.3149850299401198)</f>
        <v>0.3149850299</v>
      </c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</row>
    <row r="409">
      <c r="A409" s="13" t="str">
        <f>IFERROR(__xludf.DUMMYFUNCTION("""COMPUTED_VALUE"""),"Adani Green Energy Ltd.")</f>
        <v>Adani Green Energy Ltd.</v>
      </c>
      <c r="B409" s="30">
        <f>IFERROR(__xludf.DUMMYFUNCTION("""COMPUTED_VALUE"""),541450.0)</f>
        <v>541450</v>
      </c>
      <c r="C409" s="13" t="str">
        <f>IFERROR(__xludf.DUMMYFUNCTION("""COMPUTED_VALUE"""),"ADANIGREEN")</f>
        <v>ADANIGREEN</v>
      </c>
      <c r="D409" s="13" t="str">
        <f>IFERROR(__xludf.DUMMYFUNCTION("""COMPUTED_VALUE"""),"INE364U01010")</f>
        <v>INE364U01010</v>
      </c>
      <c r="E409" s="13" t="str">
        <f>IFERROR(__xludf.DUMMYFUNCTION("""COMPUTED_VALUE"""),"Capital Goods")</f>
        <v>Capital Goods</v>
      </c>
      <c r="F409" s="13" t="str">
        <f>IFERROR(__xludf.DUMMYFUNCTION("""COMPUTED_VALUE"""),"Power Projects")</f>
        <v>Power Projects</v>
      </c>
      <c r="G409" s="31">
        <f>IFERROR(__xludf.DUMMYFUNCTION("""COMPUTED_VALUE"""),44809.0)</f>
        <v>44809</v>
      </c>
      <c r="H409" s="32">
        <f>IFERROR(__xludf.DUMMYFUNCTION("""COMPUTED_VALUE"""),2353.8)</f>
        <v>2353.8</v>
      </c>
      <c r="I409" s="32">
        <f>IFERROR(__xludf.DUMMYFUNCTION("""COMPUTED_VALUE"""),-1.229491)</f>
        <v>-1.229491</v>
      </c>
      <c r="J409" s="32">
        <f>IFERROR(__xludf.DUMMYFUNCTION("""COMPUTED_VALUE"""),1080.0)</f>
        <v>1080</v>
      </c>
      <c r="K409" s="32">
        <f>IFERROR(__xludf.DUMMYFUNCTION("""COMPUTED_VALUE"""),3050.0)</f>
        <v>3050</v>
      </c>
      <c r="L409" s="32">
        <f>IFERROR(__xludf.DUMMYFUNCTION("""COMPUTED_VALUE"""),44.75)</f>
        <v>44.75</v>
      </c>
      <c r="M409" s="32">
        <f>IFERROR(__xludf.DUMMYFUNCTION("""COMPUTED_VALUE"""),3050.0)</f>
        <v>3050</v>
      </c>
      <c r="N409" s="13"/>
      <c r="O409" s="13"/>
      <c r="P409" s="32">
        <f>IFERROR(__xludf.DUMMYFUNCTION("""COMPUTED_VALUE"""),22.75)</f>
        <v>22.75</v>
      </c>
      <c r="Q409" s="32">
        <f>IFERROR(__xludf.DUMMYFUNCTION("""COMPUTED_VALUE"""),3050.0)</f>
        <v>3050</v>
      </c>
      <c r="R409" s="32">
        <f>IFERROR(__xludf.DUMMYFUNCTION("""COMPUTED_VALUE"""),373039.648569)</f>
        <v>373039.6486</v>
      </c>
      <c r="S409" s="32">
        <f>IFERROR(__xludf.DUMMYFUNCTION("""COMPUTED_VALUE"""),427576.85966979)</f>
        <v>427576.8597</v>
      </c>
      <c r="T409" s="32">
        <f>IFERROR(__xludf.DUMMYFUNCTION("""COMPUTED_VALUE"""),-1.627834)</f>
        <v>-1.627834</v>
      </c>
      <c r="U409" s="32">
        <f>IFERROR(__xludf.DUMMYFUNCTION("""COMPUTED_VALUE"""),7.432849)</f>
        <v>7.432849</v>
      </c>
      <c r="V409" s="32">
        <f>IFERROR(__xludf.DUMMYFUNCTION("""COMPUTED_VALUE"""),26.827954)</f>
        <v>26.827954</v>
      </c>
      <c r="W409" s="32">
        <f>IFERROR(__xludf.DUMMYFUNCTION("""COMPUTED_VALUE"""),117.672354)</f>
        <v>117.672354</v>
      </c>
      <c r="X409" s="32">
        <f>IFERROR(__xludf.DUMMYFUNCTION("""COMPUTED_VALUE"""),277.224583)</f>
        <v>277.224583</v>
      </c>
      <c r="Y409" s="13"/>
      <c r="Z409" s="13"/>
      <c r="AA409" s="32">
        <f>IFERROR(__xludf.DUMMYFUNCTION("""COMPUTED_VALUE"""),770.7431)</f>
        <v>770.7431</v>
      </c>
      <c r="AB409" s="32">
        <f>IFERROR(__xludf.DUMMYFUNCTION("""COMPUTED_VALUE"""),624.44455)</f>
        <v>624.44455</v>
      </c>
      <c r="AC409" s="32">
        <f>IFERROR(__xludf.DUMMYFUNCTION("""COMPUTED_VALUE"""),70.9604)</f>
        <v>70.9604</v>
      </c>
      <c r="AD409" s="32">
        <f>IFERROR(__xludf.DUMMYFUNCTION("""COMPUTED_VALUE"""),77.2855)</f>
        <v>77.2855</v>
      </c>
      <c r="AE409" s="32">
        <f>IFERROR(__xludf.DUMMYFUNCTION("""COMPUTED_VALUE"""),0.863084)</f>
        <v>0.863084</v>
      </c>
      <c r="AF409" s="32">
        <f>IFERROR(__xludf.DUMMYFUNCTION("""COMPUTED_VALUE"""),17.546647)</f>
        <v>17.546647</v>
      </c>
      <c r="AG409" s="32">
        <f>IFERROR(__xludf.DUMMYFUNCTION("""COMPUTED_VALUE"""),0.0)</f>
        <v>0</v>
      </c>
      <c r="AH409" s="32">
        <f>IFERROR(__xludf.DUMMYFUNCTION("""COMPUTED_VALUE"""),103.982699)</f>
        <v>103.982699</v>
      </c>
      <c r="AI409" s="32">
        <f>IFERROR(__xludf.DUMMYFUNCTION("""COMPUTED_VALUE"""),65.53753488562896)</f>
        <v>65.53753489</v>
      </c>
      <c r="AJ409" s="32">
        <f>IFERROR(__xludf.DUMMYFUNCTION("""COMPUTED_VALUE"""),121.90838188529412)</f>
        <v>121.9083819</v>
      </c>
      <c r="AK409" s="32">
        <f>IFERROR(__xludf.DUMMYFUNCTION("""COMPUTED_VALUE"""),3.0555)</f>
        <v>3.0555</v>
      </c>
      <c r="AL409" s="32">
        <f>IFERROR(__xludf.DUMMYFUNCTION("""COMPUTED_VALUE"""),33.1875)</f>
        <v>33.1875</v>
      </c>
      <c r="AM409" s="32">
        <f>IFERROR(__xludf.DUMMYFUNCTION("""COMPUTED_VALUE"""),19.565217)</f>
        <v>19.565217</v>
      </c>
      <c r="AN409" s="32">
        <f>IFERROR(__xludf.DUMMYFUNCTION("""COMPUTED_VALUE"""),-89.002558)</f>
        <v>-89.002558</v>
      </c>
      <c r="AO409" s="32">
        <f>IFERROR(__xludf.DUMMYFUNCTION("""COMPUTED_VALUE"""),0.0)</f>
        <v>0</v>
      </c>
      <c r="AP409" s="32">
        <f>IFERROR(__xludf.DUMMYFUNCTION("""COMPUTED_VALUE"""),0.22826229508196716)</f>
        <v>0.2282622951</v>
      </c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</row>
    <row r="410">
      <c r="A410" s="13" t="str">
        <f>IFERROR(__xludf.DUMMYFUNCTION("""COMPUTED_VALUE"""),"Adani Power Ltd.")</f>
        <v>Adani Power Ltd.</v>
      </c>
      <c r="B410" s="30">
        <f>IFERROR(__xludf.DUMMYFUNCTION("""COMPUTED_VALUE"""),533096.0)</f>
        <v>533096</v>
      </c>
      <c r="C410" s="13" t="str">
        <f>IFERROR(__xludf.DUMMYFUNCTION("""COMPUTED_VALUE"""),"ADANIPOWER")</f>
        <v>ADANIPOWER</v>
      </c>
      <c r="D410" s="13" t="str">
        <f>IFERROR(__xludf.DUMMYFUNCTION("""COMPUTED_VALUE"""),"INE814H01011")</f>
        <v>INE814H01011</v>
      </c>
      <c r="E410" s="13" t="str">
        <f>IFERROR(__xludf.DUMMYFUNCTION("""COMPUTED_VALUE"""),"Energy")</f>
        <v>Energy</v>
      </c>
      <c r="F410" s="13" t="str">
        <f>IFERROR(__xludf.DUMMYFUNCTION("""COMPUTED_VALUE"""),"Electricity Generation")</f>
        <v>Electricity Generation</v>
      </c>
      <c r="G410" s="31">
        <f>IFERROR(__xludf.DUMMYFUNCTION("""COMPUTED_VALUE"""),44809.0)</f>
        <v>44809</v>
      </c>
      <c r="H410" s="32">
        <f>IFERROR(__xludf.DUMMYFUNCTION("""COMPUTED_VALUE"""),389.85)</f>
        <v>389.85</v>
      </c>
      <c r="I410" s="32">
        <f>IFERROR(__xludf.DUMMYFUNCTION("""COMPUTED_VALUE"""),-2.841121)</f>
        <v>-2.841121</v>
      </c>
      <c r="J410" s="32">
        <f>IFERROR(__xludf.DUMMYFUNCTION("""COMPUTED_VALUE"""),89.2)</f>
        <v>89.2</v>
      </c>
      <c r="K410" s="32">
        <f>IFERROR(__xludf.DUMMYFUNCTION("""COMPUTED_VALUE"""),432.8)</f>
        <v>432.8</v>
      </c>
      <c r="L410" s="32">
        <f>IFERROR(__xludf.DUMMYFUNCTION("""COMPUTED_VALUE"""),23.0)</f>
        <v>23</v>
      </c>
      <c r="M410" s="32">
        <f>IFERROR(__xludf.DUMMYFUNCTION("""COMPUTED_VALUE"""),432.8)</f>
        <v>432.8</v>
      </c>
      <c r="N410" s="32">
        <f>IFERROR(__xludf.DUMMYFUNCTION("""COMPUTED_VALUE"""),15.15)</f>
        <v>15.15</v>
      </c>
      <c r="O410" s="32">
        <f>IFERROR(__xludf.DUMMYFUNCTION("""COMPUTED_VALUE"""),432.8)</f>
        <v>432.8</v>
      </c>
      <c r="P410" s="32">
        <f>IFERROR(__xludf.DUMMYFUNCTION("""COMPUTED_VALUE"""),15.15)</f>
        <v>15.15</v>
      </c>
      <c r="Q410" s="32">
        <f>IFERROR(__xludf.DUMMYFUNCTION("""COMPUTED_VALUE"""),432.8)</f>
        <v>432.8</v>
      </c>
      <c r="R410" s="32">
        <f>IFERROR(__xludf.DUMMYFUNCTION("""COMPUTED_VALUE"""),150536.32686723)</f>
        <v>150536.3269</v>
      </c>
      <c r="S410" s="32">
        <f>IFERROR(__xludf.DUMMYFUNCTION("""COMPUTED_VALUE"""),200891.726839395)</f>
        <v>200891.7268</v>
      </c>
      <c r="T410" s="32">
        <f>IFERROR(__xludf.DUMMYFUNCTION("""COMPUTED_VALUE"""),3.821571)</f>
        <v>3.821571</v>
      </c>
      <c r="U410" s="32">
        <f>IFERROR(__xludf.DUMMYFUNCTION("""COMPUTED_VALUE"""),12.267819)</f>
        <v>12.267819</v>
      </c>
      <c r="V410" s="32">
        <f>IFERROR(__xludf.DUMMYFUNCTION("""COMPUTED_VALUE"""),37.222809)</f>
        <v>37.222809</v>
      </c>
      <c r="W410" s="32">
        <f>IFERROR(__xludf.DUMMYFUNCTION("""COMPUTED_VALUE"""),277.944741)</f>
        <v>277.944741</v>
      </c>
      <c r="X410" s="32">
        <f>IFERROR(__xludf.DUMMYFUNCTION("""COMPUTED_VALUE"""),90.209648)</f>
        <v>90.209648</v>
      </c>
      <c r="Y410" s="32">
        <f>IFERROR(__xludf.DUMMYFUNCTION("""COMPUTED_VALUE"""),66.084259)</f>
        <v>66.084259</v>
      </c>
      <c r="Z410" s="32">
        <f>IFERROR(__xludf.DUMMYFUNCTION("""COMPUTED_VALUE"""),25.123044)</f>
        <v>25.123044</v>
      </c>
      <c r="AA410" s="32">
        <f>IFERROR(__xludf.DUMMYFUNCTION("""COMPUTED_VALUE"""),15.992)</f>
        <v>15.992</v>
      </c>
      <c r="AB410" s="32">
        <f>IFERROR(__xludf.DUMMYFUNCTION("""COMPUTED_VALUE"""),28.7862)</f>
        <v>28.7862</v>
      </c>
      <c r="AC410" s="32">
        <f>IFERROR(__xludf.DUMMYFUNCTION("""COMPUTED_VALUE"""),6.4104)</f>
        <v>6.4104</v>
      </c>
      <c r="AD410" s="32">
        <f>IFERROR(__xludf.DUMMYFUNCTION("""COMPUTED_VALUE"""),3.1136)</f>
        <v>3.1136</v>
      </c>
      <c r="AE410" s="32">
        <f>IFERROR(__xludf.DUMMYFUNCTION("""COMPUTED_VALUE"""),10.651471)</f>
        <v>10.651471</v>
      </c>
      <c r="AF410" s="32">
        <f>IFERROR(__xludf.DUMMYFUNCTION("""COMPUTED_VALUE"""),0.565724)</f>
        <v>0.565724</v>
      </c>
      <c r="AG410" s="32">
        <f>IFERROR(__xludf.DUMMYFUNCTION("""COMPUTED_VALUE"""),0.0)</f>
        <v>0</v>
      </c>
      <c r="AH410" s="32">
        <f>IFERROR(__xludf.DUMMYFUNCTION("""COMPUTED_VALUE"""),10.571708)</f>
        <v>10.571708</v>
      </c>
      <c r="AI410" s="32">
        <f>IFERROR(__xludf.DUMMYFUNCTION("""COMPUTED_VALUE"""),4.317644806029075)</f>
        <v>4.317644806</v>
      </c>
      <c r="AJ410" s="32">
        <f>IFERROR(__xludf.DUMMYFUNCTION("""COMPUTED_VALUE"""),14.711257588857519)</f>
        <v>14.71125759</v>
      </c>
      <c r="AK410" s="32">
        <f>IFERROR(__xludf.DUMMYFUNCTION("""COMPUTED_VALUE"""),24.4059)</f>
        <v>24.4059</v>
      </c>
      <c r="AL410" s="32">
        <f>IFERROR(__xludf.DUMMYFUNCTION("""COMPUTED_VALUE"""),60.8858)</f>
        <v>60.8858</v>
      </c>
      <c r="AM410" s="32">
        <f>IFERROR(__xludf.DUMMYFUNCTION("""COMPUTED_VALUE"""),26.530695)</f>
        <v>26.530695</v>
      </c>
      <c r="AN410" s="32">
        <f>IFERROR(__xludf.DUMMYFUNCTION("""COMPUTED_VALUE"""),12.702246)</f>
        <v>12.702246</v>
      </c>
      <c r="AO410" s="32">
        <f>IFERROR(__xludf.DUMMYFUNCTION("""COMPUTED_VALUE"""),0.0)</f>
        <v>0</v>
      </c>
      <c r="AP410" s="32">
        <f>IFERROR(__xludf.DUMMYFUNCTION("""COMPUTED_VALUE"""),0.09923752310536041)</f>
        <v>0.09923752311</v>
      </c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</row>
    <row r="411">
      <c r="A411" s="13" t="str">
        <f>IFERROR(__xludf.DUMMYFUNCTION("""COMPUTED_VALUE"""),"Adani Transmission Ltd.")</f>
        <v>Adani Transmission Ltd.</v>
      </c>
      <c r="B411" s="30">
        <f>IFERROR(__xludf.DUMMYFUNCTION("""COMPUTED_VALUE"""),539254.0)</f>
        <v>539254</v>
      </c>
      <c r="C411" s="13" t="str">
        <f>IFERROR(__xludf.DUMMYFUNCTION("""COMPUTED_VALUE"""),"ADANITRANS")</f>
        <v>ADANITRANS</v>
      </c>
      <c r="D411" s="13" t="str">
        <f>IFERROR(__xludf.DUMMYFUNCTION("""COMPUTED_VALUE"""),"INE931S01010")</f>
        <v>INE931S01010</v>
      </c>
      <c r="E411" s="13" t="str">
        <f>IFERROR(__xludf.DUMMYFUNCTION("""COMPUTED_VALUE"""),"Energy")</f>
        <v>Energy</v>
      </c>
      <c r="F411" s="13" t="str">
        <f>IFERROR(__xludf.DUMMYFUNCTION("""COMPUTED_VALUE"""),"Electricity Distribution")</f>
        <v>Electricity Distribution</v>
      </c>
      <c r="G411" s="31">
        <f>IFERROR(__xludf.DUMMYFUNCTION("""COMPUTED_VALUE"""),44809.0)</f>
        <v>44809</v>
      </c>
      <c r="H411" s="32">
        <f>IFERROR(__xludf.DUMMYFUNCTION("""COMPUTED_VALUE"""),3881.25)</f>
        <v>3881.25</v>
      </c>
      <c r="I411" s="32">
        <f>IFERROR(__xludf.DUMMYFUNCTION("""COMPUTED_VALUE"""),0.380184)</f>
        <v>0.380184</v>
      </c>
      <c r="J411" s="32">
        <f>IFERROR(__xludf.DUMMYFUNCTION("""COMPUTED_VALUE"""),1482.8)</f>
        <v>1482.8</v>
      </c>
      <c r="K411" s="32">
        <f>IFERROR(__xludf.DUMMYFUNCTION("""COMPUTED_VALUE"""),4048.0)</f>
        <v>4048</v>
      </c>
      <c r="L411" s="32">
        <f>IFERROR(__xludf.DUMMYFUNCTION("""COMPUTED_VALUE"""),147.5)</f>
        <v>147.5</v>
      </c>
      <c r="M411" s="32">
        <f>IFERROR(__xludf.DUMMYFUNCTION("""COMPUTED_VALUE"""),4048.0)</f>
        <v>4048</v>
      </c>
      <c r="N411" s="32">
        <f>IFERROR(__xludf.DUMMYFUNCTION("""COMPUTED_VALUE"""),115.0)</f>
        <v>115</v>
      </c>
      <c r="O411" s="32">
        <f>IFERROR(__xludf.DUMMYFUNCTION("""COMPUTED_VALUE"""),4048.0)</f>
        <v>4048</v>
      </c>
      <c r="P411" s="32">
        <f>IFERROR(__xludf.DUMMYFUNCTION("""COMPUTED_VALUE"""),25.0)</f>
        <v>25</v>
      </c>
      <c r="Q411" s="32">
        <f>IFERROR(__xludf.DUMMYFUNCTION("""COMPUTED_VALUE"""),4048.0)</f>
        <v>4048</v>
      </c>
      <c r="R411" s="32">
        <f>IFERROR(__xludf.DUMMYFUNCTION("""COMPUTED_VALUE"""),431472.5697844)</f>
        <v>431472.5698</v>
      </c>
      <c r="S411" s="32">
        <f>IFERROR(__xludf.DUMMYFUNCTION("""COMPUTED_VALUE"""),461923.626418505)</f>
        <v>461923.6264</v>
      </c>
      <c r="T411" s="32">
        <f>IFERROR(__xludf.DUMMYFUNCTION("""COMPUTED_VALUE"""),3.466891)</f>
        <v>3.466891</v>
      </c>
      <c r="U411" s="32">
        <f>IFERROR(__xludf.DUMMYFUNCTION("""COMPUTED_VALUE"""),9.93641)</f>
        <v>9.93641</v>
      </c>
      <c r="V411" s="32">
        <f>IFERROR(__xludf.DUMMYFUNCTION("""COMPUTED_VALUE"""),98.422842)</f>
        <v>98.422842</v>
      </c>
      <c r="W411" s="32">
        <f>IFERROR(__xludf.DUMMYFUNCTION("""COMPUTED_VALUE"""),121.722365)</f>
        <v>121.722365</v>
      </c>
      <c r="X411" s="32">
        <f>IFERROR(__xludf.DUMMYFUNCTION("""COMPUTED_VALUE"""),154.286051)</f>
        <v>154.286051</v>
      </c>
      <c r="Y411" s="32">
        <f>IFERROR(__xludf.DUMMYFUNCTION("""COMPUTED_VALUE"""),99.294863)</f>
        <v>99.294863</v>
      </c>
      <c r="Z411" s="13"/>
      <c r="AA411" s="32">
        <f>IFERROR(__xludf.DUMMYFUNCTION("""COMPUTED_VALUE"""),443.2087)</f>
        <v>443.2087</v>
      </c>
      <c r="AB411" s="32">
        <f>IFERROR(__xludf.DUMMYFUNCTION("""COMPUTED_VALUE"""),43.1711)</f>
        <v>43.1711</v>
      </c>
      <c r="AC411" s="32">
        <f>IFERROR(__xludf.DUMMYFUNCTION("""COMPUTED_VALUE"""),39.6766)</f>
        <v>39.6766</v>
      </c>
      <c r="AD411" s="32">
        <f>IFERROR(__xludf.DUMMYFUNCTION("""COMPUTED_VALUE"""),5.3837)</f>
        <v>5.3837</v>
      </c>
      <c r="AE411" s="32">
        <f>IFERROR(__xludf.DUMMYFUNCTION("""COMPUTED_VALUE"""),0.966084)</f>
        <v>0.966084</v>
      </c>
      <c r="AF411" s="32">
        <f>IFERROR(__xludf.DUMMYFUNCTION("""COMPUTED_VALUE"""),21.331717)</f>
        <v>21.331717</v>
      </c>
      <c r="AG411" s="32">
        <f>IFERROR(__xludf.DUMMYFUNCTION("""COMPUTED_VALUE"""),0.0)</f>
        <v>0</v>
      </c>
      <c r="AH411" s="32">
        <f>IFERROR(__xludf.DUMMYFUNCTION("""COMPUTED_VALUE"""),86.796261)</f>
        <v>86.796261</v>
      </c>
      <c r="AI411" s="32">
        <f>IFERROR(__xludf.DUMMYFUNCTION("""COMPUTED_VALUE"""),37.32542397408248)</f>
        <v>37.32542397</v>
      </c>
      <c r="AJ411" s="32">
        <f>IFERROR(__xludf.DUMMYFUNCTION("""COMPUTED_VALUE"""),105.32429735425144)</f>
        <v>105.3242974</v>
      </c>
      <c r="AK411" s="32">
        <f>IFERROR(__xludf.DUMMYFUNCTION("""COMPUTED_VALUE"""),8.7273)</f>
        <v>8.7273</v>
      </c>
      <c r="AL411" s="32">
        <f>IFERROR(__xludf.DUMMYFUNCTION("""COMPUTED_VALUE"""),97.4882)</f>
        <v>97.4882</v>
      </c>
      <c r="AM411" s="32">
        <f>IFERROR(__xludf.DUMMYFUNCTION("""COMPUTED_VALUE"""),37.248343)</f>
        <v>37.248343</v>
      </c>
      <c r="AN411" s="32">
        <f>IFERROR(__xludf.DUMMYFUNCTION("""COMPUTED_VALUE"""),-19.02274)</f>
        <v>-19.02274</v>
      </c>
      <c r="AO411" s="32">
        <f>IFERROR(__xludf.DUMMYFUNCTION("""COMPUTED_VALUE"""),0.0)</f>
        <v>0</v>
      </c>
      <c r="AP411" s="32">
        <f>IFERROR(__xludf.DUMMYFUNCTION("""COMPUTED_VALUE"""),0.041193181818181816)</f>
        <v>0.04119318182</v>
      </c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</row>
    <row r="412">
      <c r="A412" s="13" t="str">
        <f>IFERROR(__xludf.DUMMYFUNCTION("""COMPUTED_VALUE"""),"Aditya Birla Capital Ltd.")</f>
        <v>Aditya Birla Capital Ltd.</v>
      </c>
      <c r="B412" s="30">
        <f>IFERROR(__xludf.DUMMYFUNCTION("""COMPUTED_VALUE"""),540691.0)</f>
        <v>540691</v>
      </c>
      <c r="C412" s="13" t="str">
        <f>IFERROR(__xludf.DUMMYFUNCTION("""COMPUTED_VALUE"""),"ABCAPITAL")</f>
        <v>ABCAPITAL</v>
      </c>
      <c r="D412" s="13" t="str">
        <f>IFERROR(__xludf.DUMMYFUNCTION("""COMPUTED_VALUE"""),"INE674K01013")</f>
        <v>INE674K01013</v>
      </c>
      <c r="E412" s="13" t="str">
        <f>IFERROR(__xludf.DUMMYFUNCTION("""COMPUTED_VALUE"""),"Financial")</f>
        <v>Financial</v>
      </c>
      <c r="F412" s="13" t="str">
        <f>IFERROR(__xludf.DUMMYFUNCTION("""COMPUTED_VALUE"""),"Misc. Fin.services")</f>
        <v>Misc. Fin.services</v>
      </c>
      <c r="G412" s="31">
        <f>IFERROR(__xludf.DUMMYFUNCTION("""COMPUTED_VALUE"""),44809.0)</f>
        <v>44809</v>
      </c>
      <c r="H412" s="32">
        <f>IFERROR(__xludf.DUMMYFUNCTION("""COMPUTED_VALUE"""),115.4)</f>
        <v>115.4</v>
      </c>
      <c r="I412" s="32">
        <f>IFERROR(__xludf.DUMMYFUNCTION("""COMPUTED_VALUE"""),0.610288)</f>
        <v>0.610288</v>
      </c>
      <c r="J412" s="32">
        <f>IFERROR(__xludf.DUMMYFUNCTION("""COMPUTED_VALUE"""),85.6)</f>
        <v>85.6</v>
      </c>
      <c r="K412" s="32">
        <f>IFERROR(__xludf.DUMMYFUNCTION("""COMPUTED_VALUE"""),139.2)</f>
        <v>139.2</v>
      </c>
      <c r="L412" s="32">
        <f>IFERROR(__xludf.DUMMYFUNCTION("""COMPUTED_VALUE"""),37.35)</f>
        <v>37.35</v>
      </c>
      <c r="M412" s="32">
        <f>IFERROR(__xludf.DUMMYFUNCTION("""COMPUTED_VALUE"""),139.7)</f>
        <v>139.7</v>
      </c>
      <c r="N412" s="32">
        <f>IFERROR(__xludf.DUMMYFUNCTION("""COMPUTED_VALUE"""),37.35)</f>
        <v>37.35</v>
      </c>
      <c r="O412" s="32">
        <f>IFERROR(__xludf.DUMMYFUNCTION("""COMPUTED_VALUE"""),218.95)</f>
        <v>218.95</v>
      </c>
      <c r="P412" s="32">
        <f>IFERROR(__xludf.DUMMYFUNCTION("""COMPUTED_VALUE"""),37.35)</f>
        <v>37.35</v>
      </c>
      <c r="Q412" s="32">
        <f>IFERROR(__xludf.DUMMYFUNCTION("""COMPUTED_VALUE"""),264.0)</f>
        <v>264</v>
      </c>
      <c r="R412" s="32">
        <f>IFERROR(__xludf.DUMMYFUNCTION("""COMPUTED_VALUE"""),27887.09384886)</f>
        <v>27887.09385</v>
      </c>
      <c r="S412" s="32">
        <f>IFERROR(__xludf.DUMMYFUNCTION("""COMPUTED_VALUE"""),82630.65470073)</f>
        <v>82630.6547</v>
      </c>
      <c r="T412" s="32">
        <f>IFERROR(__xludf.DUMMYFUNCTION("""COMPUTED_VALUE"""),-0.602929)</f>
        <v>-0.602929</v>
      </c>
      <c r="U412" s="32">
        <f>IFERROR(__xludf.DUMMYFUNCTION("""COMPUTED_VALUE"""),9.747979)</f>
        <v>9.747979</v>
      </c>
      <c r="V412" s="32">
        <f>IFERROR(__xludf.DUMMYFUNCTION("""COMPUTED_VALUE"""),12.366115)</f>
        <v>12.366115</v>
      </c>
      <c r="W412" s="32">
        <f>IFERROR(__xludf.DUMMYFUNCTION("""COMPUTED_VALUE"""),8.816596)</f>
        <v>8.816596</v>
      </c>
      <c r="X412" s="32">
        <f>IFERROR(__xludf.DUMMYFUNCTION("""COMPUTED_VALUE"""),8.47903)</f>
        <v>8.47903</v>
      </c>
      <c r="Y412" s="32">
        <f>IFERROR(__xludf.DUMMYFUNCTION("""COMPUTED_VALUE"""),-12.551152)</f>
        <v>-12.551152</v>
      </c>
      <c r="Z412" s="13"/>
      <c r="AA412" s="32">
        <f>IFERROR(__xludf.DUMMYFUNCTION("""COMPUTED_VALUE"""),15.2108)</f>
        <v>15.2108</v>
      </c>
      <c r="AB412" s="32">
        <f>IFERROR(__xludf.DUMMYFUNCTION("""COMPUTED_VALUE"""),23.09955)</f>
        <v>23.09955</v>
      </c>
      <c r="AC412" s="32">
        <f>IFERROR(__xludf.DUMMYFUNCTION("""COMPUTED_VALUE"""),1.7794)</f>
        <v>1.7794</v>
      </c>
      <c r="AD412" s="32">
        <f>IFERROR(__xludf.DUMMYFUNCTION("""COMPUTED_VALUE"""),2.0336)</f>
        <v>2.0336</v>
      </c>
      <c r="AE412" s="32">
        <f>IFERROR(__xludf.DUMMYFUNCTION("""COMPUTED_VALUE"""),7.092142)</f>
        <v>7.092142</v>
      </c>
      <c r="AF412" s="32">
        <f>IFERROR(__xludf.DUMMYFUNCTION("""COMPUTED_VALUE"""),0.882422)</f>
        <v>0.882422</v>
      </c>
      <c r="AG412" s="32">
        <f>IFERROR(__xludf.DUMMYFUNCTION("""COMPUTED_VALUE"""),0.0)</f>
        <v>0</v>
      </c>
      <c r="AH412" s="32">
        <f>IFERROR(__xludf.DUMMYFUNCTION("""COMPUTED_VALUE"""),14.148431)</f>
        <v>14.148431</v>
      </c>
      <c r="AI412" s="32">
        <f>IFERROR(__xludf.DUMMYFUNCTION("""COMPUTED_VALUE"""),3.196191888787521)</f>
        <v>3.196191889</v>
      </c>
      <c r="AJ412" s="32">
        <f>IFERROR(__xludf.DUMMYFUNCTION("""COMPUTED_VALUE"""),-5.500944637422552)</f>
        <v>-5.500944637</v>
      </c>
      <c r="AK412" s="32">
        <f>IFERROR(__xludf.DUMMYFUNCTION("""COMPUTED_VALUE"""),7.5867)</f>
        <v>7.5867</v>
      </c>
      <c r="AL412" s="32">
        <f>IFERROR(__xludf.DUMMYFUNCTION("""COMPUTED_VALUE"""),64.8529)</f>
        <v>64.8529</v>
      </c>
      <c r="AM412" s="32">
        <f>IFERROR(__xludf.DUMMYFUNCTION("""COMPUTED_VALUE"""),-20.980379)</f>
        <v>-20.980379</v>
      </c>
      <c r="AN412" s="32">
        <f>IFERROR(__xludf.DUMMYFUNCTION("""COMPUTED_VALUE"""),-39.679304)</f>
        <v>-39.679304</v>
      </c>
      <c r="AO412" s="32">
        <f>IFERROR(__xludf.DUMMYFUNCTION("""COMPUTED_VALUE"""),0.0)</f>
        <v>0</v>
      </c>
      <c r="AP412" s="32">
        <f>IFERROR(__xludf.DUMMYFUNCTION("""COMPUTED_VALUE"""),0.17097701149425276)</f>
        <v>0.1709770115</v>
      </c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</row>
    <row r="413">
      <c r="A413" s="13" t="str">
        <f>IFERROR(__xludf.DUMMYFUNCTION("""COMPUTED_VALUE"""),"Aditya Birla Fashion and Retail Ltd.")</f>
        <v>Aditya Birla Fashion and Retail Ltd.</v>
      </c>
      <c r="B413" s="30">
        <f>IFERROR(__xludf.DUMMYFUNCTION("""COMPUTED_VALUE"""),535755.0)</f>
        <v>535755</v>
      </c>
      <c r="C413" s="13" t="str">
        <f>IFERROR(__xludf.DUMMYFUNCTION("""COMPUTED_VALUE"""),"ABFRL")</f>
        <v>ABFRL</v>
      </c>
      <c r="D413" s="13" t="str">
        <f>IFERROR(__xludf.DUMMYFUNCTION("""COMPUTED_VALUE"""),"INE647O01011")</f>
        <v>INE647O01011</v>
      </c>
      <c r="E413" s="13" t="str">
        <f>IFERROR(__xludf.DUMMYFUNCTION("""COMPUTED_VALUE"""),"Services")</f>
        <v>Services</v>
      </c>
      <c r="F413" s="13" t="str">
        <f>IFERROR(__xludf.DUMMYFUNCTION("""COMPUTED_VALUE"""),"Retailing")</f>
        <v>Retailing</v>
      </c>
      <c r="G413" s="31">
        <f>IFERROR(__xludf.DUMMYFUNCTION("""COMPUTED_VALUE"""),44809.0)</f>
        <v>44809</v>
      </c>
      <c r="H413" s="32">
        <f>IFERROR(__xludf.DUMMYFUNCTION("""COMPUTED_VALUE"""),313.55)</f>
        <v>313.55</v>
      </c>
      <c r="I413" s="32">
        <f>IFERROR(__xludf.DUMMYFUNCTION("""COMPUTED_VALUE"""),1.984062)</f>
        <v>1.984062</v>
      </c>
      <c r="J413" s="32">
        <f>IFERROR(__xludf.DUMMYFUNCTION("""COMPUTED_VALUE"""),198.0)</f>
        <v>198</v>
      </c>
      <c r="K413" s="32">
        <f>IFERROR(__xludf.DUMMYFUNCTION("""COMPUTED_VALUE"""),322.0)</f>
        <v>322</v>
      </c>
      <c r="L413" s="32">
        <f>IFERROR(__xludf.DUMMYFUNCTION("""COMPUTED_VALUE"""),95.596463)</f>
        <v>95.596463</v>
      </c>
      <c r="M413" s="32">
        <f>IFERROR(__xludf.DUMMYFUNCTION("""COMPUTED_VALUE"""),322.0)</f>
        <v>322</v>
      </c>
      <c r="N413" s="32">
        <f>IFERROR(__xludf.DUMMYFUNCTION("""COMPUTED_VALUE"""),95.596463)</f>
        <v>95.596463</v>
      </c>
      <c r="O413" s="32">
        <f>IFERROR(__xludf.DUMMYFUNCTION("""COMPUTED_VALUE"""),322.0)</f>
        <v>322</v>
      </c>
      <c r="P413" s="32">
        <f>IFERROR(__xludf.DUMMYFUNCTION("""COMPUTED_VALUE"""),72.436495)</f>
        <v>72.436495</v>
      </c>
      <c r="Q413" s="32">
        <f>IFERROR(__xludf.DUMMYFUNCTION("""COMPUTED_VALUE"""),322.0)</f>
        <v>322</v>
      </c>
      <c r="R413" s="32">
        <f>IFERROR(__xludf.DUMMYFUNCTION("""COMPUTED_VALUE"""),29420.8667148)</f>
        <v>29420.86671</v>
      </c>
      <c r="S413" s="32">
        <f>IFERROR(__xludf.DUMMYFUNCTION("""COMPUTED_VALUE"""),29368.11381912)</f>
        <v>29368.11382</v>
      </c>
      <c r="T413" s="32">
        <f>IFERROR(__xludf.DUMMYFUNCTION("""COMPUTED_VALUE"""),2.735911)</f>
        <v>2.735911</v>
      </c>
      <c r="U413" s="32">
        <f>IFERROR(__xludf.DUMMYFUNCTION("""COMPUTED_VALUE"""),13.976736)</f>
        <v>13.976736</v>
      </c>
      <c r="V413" s="32">
        <f>IFERROR(__xludf.DUMMYFUNCTION("""COMPUTED_VALUE"""),15.701107)</f>
        <v>15.701107</v>
      </c>
      <c r="W413" s="32">
        <f>IFERROR(__xludf.DUMMYFUNCTION("""COMPUTED_VALUE"""),42.912489)</f>
        <v>42.912489</v>
      </c>
      <c r="X413" s="32">
        <f>IFERROR(__xludf.DUMMYFUNCTION("""COMPUTED_VALUE"""),19.146871)</f>
        <v>19.146871</v>
      </c>
      <c r="Y413" s="32">
        <f>IFERROR(__xludf.DUMMYFUNCTION("""COMPUTED_VALUE"""),13.188219)</f>
        <v>13.188219</v>
      </c>
      <c r="Z413" s="13"/>
      <c r="AA413" s="32">
        <f>IFERROR(__xludf.DUMMYFUNCTION("""COMPUTED_VALUE"""),87.5934)</f>
        <v>87.5934</v>
      </c>
      <c r="AB413" s="32">
        <f>IFERROR(__xludf.DUMMYFUNCTION("""COMPUTED_VALUE"""),74.4271)</f>
        <v>74.4271</v>
      </c>
      <c r="AC413" s="32">
        <f>IFERROR(__xludf.DUMMYFUNCTION("""COMPUTED_VALUE"""),10.4798)</f>
        <v>10.4798</v>
      </c>
      <c r="AD413" s="32">
        <f>IFERROR(__xludf.DUMMYFUNCTION("""COMPUTED_VALUE"""),11.2367)</f>
        <v>11.2367</v>
      </c>
      <c r="AE413" s="32">
        <f>IFERROR(__xludf.DUMMYFUNCTION("""COMPUTED_VALUE"""),3.081753)</f>
        <v>3.081753</v>
      </c>
      <c r="AF413" s="32">
        <f>IFERROR(__xludf.DUMMYFUNCTION("""COMPUTED_VALUE"""),-0.419974)</f>
        <v>-0.419974</v>
      </c>
      <c r="AG413" s="32">
        <f>IFERROR(__xludf.DUMMYFUNCTION("""COMPUTED_VALUE"""),0.0)</f>
        <v>0</v>
      </c>
      <c r="AH413" s="32">
        <f>IFERROR(__xludf.DUMMYFUNCTION("""COMPUTED_VALUE"""),15.922596)</f>
        <v>15.922596</v>
      </c>
      <c r="AI413" s="32">
        <f>IFERROR(__xludf.DUMMYFUNCTION("""COMPUTED_VALUE"""),2.884673024277799)</f>
        <v>2.884673024</v>
      </c>
      <c r="AJ413" s="32">
        <f>IFERROR(__xludf.DUMMYFUNCTION("""COMPUTED_VALUE"""),30.95271666242333)</f>
        <v>30.95271666</v>
      </c>
      <c r="AK413" s="32">
        <f>IFERROR(__xludf.DUMMYFUNCTION("""COMPUTED_VALUE"""),3.5794)</f>
        <v>3.5794</v>
      </c>
      <c r="AL413" s="32">
        <f>IFERROR(__xludf.DUMMYFUNCTION("""COMPUTED_VALUE"""),29.9148)</f>
        <v>29.9148</v>
      </c>
      <c r="AM413" s="32">
        <f>IFERROR(__xludf.DUMMYFUNCTION("""COMPUTED_VALUE"""),10.130237)</f>
        <v>10.130237</v>
      </c>
      <c r="AN413" s="32">
        <f>IFERROR(__xludf.DUMMYFUNCTION("""COMPUTED_VALUE"""),5.888585)</f>
        <v>5.888585</v>
      </c>
      <c r="AO413" s="32">
        <f>IFERROR(__xludf.DUMMYFUNCTION("""COMPUTED_VALUE"""),0.0)</f>
        <v>0</v>
      </c>
      <c r="AP413" s="32">
        <f>IFERROR(__xludf.DUMMYFUNCTION("""COMPUTED_VALUE"""),0.026242236024844684)</f>
        <v>0.02624223602</v>
      </c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</row>
    <row r="414">
      <c r="A414" s="13" t="str">
        <f>IFERROR(__xludf.DUMMYFUNCTION("""COMPUTED_VALUE"""),"Affle (India) Ltd.")</f>
        <v>Affle (India) Ltd.</v>
      </c>
      <c r="B414" s="30">
        <f>IFERROR(__xludf.DUMMYFUNCTION("""COMPUTED_VALUE"""),542752.0)</f>
        <v>542752</v>
      </c>
      <c r="C414" s="13" t="str">
        <f>IFERROR(__xludf.DUMMYFUNCTION("""COMPUTED_VALUE"""),"AFFLE")</f>
        <v>AFFLE</v>
      </c>
      <c r="D414" s="13" t="str">
        <f>IFERROR(__xludf.DUMMYFUNCTION("""COMPUTED_VALUE"""),"INE00WC01027")</f>
        <v>INE00WC01027</v>
      </c>
      <c r="E414" s="13" t="str">
        <f>IFERROR(__xludf.DUMMYFUNCTION("""COMPUTED_VALUE"""),"Technology")</f>
        <v>Technology</v>
      </c>
      <c r="F414" s="13" t="str">
        <f>IFERROR(__xludf.DUMMYFUNCTION("""COMPUTED_VALUE"""),"Software")</f>
        <v>Software</v>
      </c>
      <c r="G414" s="31">
        <f>IFERROR(__xludf.DUMMYFUNCTION("""COMPUTED_VALUE"""),44809.0)</f>
        <v>44809</v>
      </c>
      <c r="H414" s="32">
        <f>IFERROR(__xludf.DUMMYFUNCTION("""COMPUTED_VALUE"""),1279.2)</f>
        <v>1279.2</v>
      </c>
      <c r="I414" s="32">
        <f>IFERROR(__xludf.DUMMYFUNCTION("""COMPUTED_VALUE"""),-1.212449)</f>
        <v>-1.212449</v>
      </c>
      <c r="J414" s="32">
        <f>IFERROR(__xludf.DUMMYFUNCTION("""COMPUTED_VALUE"""),871.55)</f>
        <v>871.55</v>
      </c>
      <c r="K414" s="32">
        <f>IFERROR(__xludf.DUMMYFUNCTION("""COMPUTED_VALUE"""),1511.0)</f>
        <v>1511</v>
      </c>
      <c r="L414" s="32">
        <f>IFERROR(__xludf.DUMMYFUNCTION("""COMPUTED_VALUE"""),165.11)</f>
        <v>165.11</v>
      </c>
      <c r="M414" s="32">
        <f>IFERROR(__xludf.DUMMYFUNCTION("""COMPUTED_VALUE"""),1511.0)</f>
        <v>1511</v>
      </c>
      <c r="N414" s="13"/>
      <c r="O414" s="13"/>
      <c r="P414" s="32">
        <f>IFERROR(__xludf.DUMMYFUNCTION("""COMPUTED_VALUE"""),150.0)</f>
        <v>150</v>
      </c>
      <c r="Q414" s="32">
        <f>IFERROR(__xludf.DUMMYFUNCTION("""COMPUTED_VALUE"""),1511.0)</f>
        <v>1511</v>
      </c>
      <c r="R414" s="32">
        <f>IFERROR(__xludf.DUMMYFUNCTION("""COMPUTED_VALUE"""),17058.8007012)</f>
        <v>17058.8007</v>
      </c>
      <c r="S414" s="32">
        <f>IFERROR(__xludf.DUMMYFUNCTION("""COMPUTED_VALUE"""),16794.4982276)</f>
        <v>16794.49823</v>
      </c>
      <c r="T414" s="32">
        <f>IFERROR(__xludf.DUMMYFUNCTION("""COMPUTED_VALUE"""),-4.079184)</f>
        <v>-4.079184</v>
      </c>
      <c r="U414" s="32">
        <f>IFERROR(__xludf.DUMMYFUNCTION("""COMPUTED_VALUE"""),15.785663)</f>
        <v>15.785663</v>
      </c>
      <c r="V414" s="32">
        <f>IFERROR(__xludf.DUMMYFUNCTION("""COMPUTED_VALUE"""),25.924103)</f>
        <v>25.924103</v>
      </c>
      <c r="W414" s="32">
        <f>IFERROR(__xludf.DUMMYFUNCTION("""COMPUTED_VALUE"""),38.909099)</f>
        <v>38.909099</v>
      </c>
      <c r="X414" s="32">
        <f>IFERROR(__xludf.DUMMYFUNCTION("""COMPUTED_VALUE"""),97.290057)</f>
        <v>97.290057</v>
      </c>
      <c r="Y414" s="13"/>
      <c r="Z414" s="13"/>
      <c r="AA414" s="32">
        <f>IFERROR(__xludf.DUMMYFUNCTION("""COMPUTED_VALUE"""),73.3129)</f>
        <v>73.3129</v>
      </c>
      <c r="AB414" s="32">
        <f>IFERROR(__xludf.DUMMYFUNCTION("""COMPUTED_VALUE"""),83.335)</f>
        <v>83.335</v>
      </c>
      <c r="AC414" s="32">
        <f>IFERROR(__xludf.DUMMYFUNCTION("""COMPUTED_VALUE"""),13.8712)</f>
        <v>13.8712</v>
      </c>
      <c r="AD414" s="32">
        <f>IFERROR(__xludf.DUMMYFUNCTION("""COMPUTED_VALUE"""),16.1052)</f>
        <v>16.1052</v>
      </c>
      <c r="AE414" s="32">
        <f>IFERROR(__xludf.DUMMYFUNCTION("""COMPUTED_VALUE"""),2.066698)</f>
        <v>2.066698</v>
      </c>
      <c r="AF414" s="32">
        <f>IFERROR(__xludf.DUMMYFUNCTION("""COMPUTED_VALUE"""),1.167446)</f>
        <v>1.167446</v>
      </c>
      <c r="AG414" s="32">
        <f>IFERROR(__xludf.DUMMYFUNCTION("""COMPUTED_VALUE"""),0.0)</f>
        <v>0</v>
      </c>
      <c r="AH414" s="32">
        <f>IFERROR(__xludf.DUMMYFUNCTION("""COMPUTED_VALUE"""),53.622452)</f>
        <v>53.622452</v>
      </c>
      <c r="AI414" s="32">
        <f>IFERROR(__xludf.DUMMYFUNCTION("""COMPUTED_VALUE"""),13.362002327313743)</f>
        <v>13.36200233</v>
      </c>
      <c r="AJ414" s="32">
        <f>IFERROR(__xludf.DUMMYFUNCTION("""COMPUTED_VALUE"""),82.81654651694558)</f>
        <v>82.81654652</v>
      </c>
      <c r="AK414" s="32">
        <f>IFERROR(__xludf.DUMMYFUNCTION("""COMPUTED_VALUE"""),17.4622)</f>
        <v>17.4622</v>
      </c>
      <c r="AL414" s="32">
        <f>IFERROR(__xludf.DUMMYFUNCTION("""COMPUTED_VALUE"""),92.2917)</f>
        <v>92.2917</v>
      </c>
      <c r="AM414" s="32">
        <f>IFERROR(__xludf.DUMMYFUNCTION("""COMPUTED_VALUE"""),15.458386)</f>
        <v>15.458386</v>
      </c>
      <c r="AN414" s="32">
        <f>IFERROR(__xludf.DUMMYFUNCTION("""COMPUTED_VALUE"""),12.395872)</f>
        <v>12.395872</v>
      </c>
      <c r="AO414" s="32">
        <f>IFERROR(__xludf.DUMMYFUNCTION("""COMPUTED_VALUE"""),0.0)</f>
        <v>0</v>
      </c>
      <c r="AP414" s="32">
        <f>IFERROR(__xludf.DUMMYFUNCTION("""COMPUTED_VALUE"""),0.1534083388484447)</f>
        <v>0.1534083388</v>
      </c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</row>
    <row r="415">
      <c r="A415" s="13" t="str">
        <f>IFERROR(__xludf.DUMMYFUNCTION("""COMPUTED_VALUE"""),"Alok Industries Ltd.")</f>
        <v>Alok Industries Ltd.</v>
      </c>
      <c r="B415" s="30">
        <f>IFERROR(__xludf.DUMMYFUNCTION("""COMPUTED_VALUE"""),521070.0)</f>
        <v>521070</v>
      </c>
      <c r="C415" s="13" t="str">
        <f>IFERROR(__xludf.DUMMYFUNCTION("""COMPUTED_VALUE"""),"ALOKINDS")</f>
        <v>ALOKINDS</v>
      </c>
      <c r="D415" s="13" t="str">
        <f>IFERROR(__xludf.DUMMYFUNCTION("""COMPUTED_VALUE"""),"INE270A01029")</f>
        <v>INE270A01029</v>
      </c>
      <c r="E415" s="13" t="str">
        <f>IFERROR(__xludf.DUMMYFUNCTION("""COMPUTED_VALUE"""),"Textiles")</f>
        <v>Textiles</v>
      </c>
      <c r="F415" s="13" t="str">
        <f>IFERROR(__xludf.DUMMYFUNCTION("""COMPUTED_VALUE"""),"Cloth")</f>
        <v>Cloth</v>
      </c>
      <c r="G415" s="31">
        <f>IFERROR(__xludf.DUMMYFUNCTION("""COMPUTED_VALUE"""),44809.0)</f>
        <v>44809</v>
      </c>
      <c r="H415" s="32">
        <f>IFERROR(__xludf.DUMMYFUNCTION("""COMPUTED_VALUE"""),20.6)</f>
        <v>20.6</v>
      </c>
      <c r="I415" s="32">
        <f>IFERROR(__xludf.DUMMYFUNCTION("""COMPUTED_VALUE"""),4.834606)</f>
        <v>4.834606</v>
      </c>
      <c r="J415" s="32">
        <f>IFERROR(__xludf.DUMMYFUNCTION("""COMPUTED_VALUE"""),18.85)</f>
        <v>18.85</v>
      </c>
      <c r="K415" s="32">
        <f>IFERROR(__xludf.DUMMYFUNCTION("""COMPUTED_VALUE"""),35.8)</f>
        <v>35.8</v>
      </c>
      <c r="L415" s="32">
        <f>IFERROR(__xludf.DUMMYFUNCTION("""COMPUTED_VALUE"""),1.36)</f>
        <v>1.36</v>
      </c>
      <c r="M415" s="32">
        <f>IFERROR(__xludf.DUMMYFUNCTION("""COMPUTED_VALUE"""),61.4)</f>
        <v>61.4</v>
      </c>
      <c r="N415" s="32">
        <f>IFERROR(__xludf.DUMMYFUNCTION("""COMPUTED_VALUE"""),1.36)</f>
        <v>1.36</v>
      </c>
      <c r="O415" s="32">
        <f>IFERROR(__xludf.DUMMYFUNCTION("""COMPUTED_VALUE"""),61.4)</f>
        <v>61.4</v>
      </c>
      <c r="P415" s="32">
        <f>IFERROR(__xludf.DUMMYFUNCTION("""COMPUTED_VALUE"""),1.36)</f>
        <v>1.36</v>
      </c>
      <c r="Q415" s="32">
        <f>IFERROR(__xludf.DUMMYFUNCTION("""COMPUTED_VALUE"""),97.667538)</f>
        <v>97.667538</v>
      </c>
      <c r="R415" s="32">
        <f>IFERROR(__xludf.DUMMYFUNCTION("""COMPUTED_VALUE"""),10228.39522606)</f>
        <v>10228.39523</v>
      </c>
      <c r="S415" s="32">
        <f>IFERROR(__xludf.DUMMYFUNCTION("""COMPUTED_VALUE"""),34038.857387965)</f>
        <v>34038.85739</v>
      </c>
      <c r="T415" s="32">
        <f>IFERROR(__xludf.DUMMYFUNCTION("""COMPUTED_VALUE"""),3.517588)</f>
        <v>3.517588</v>
      </c>
      <c r="U415" s="32">
        <f>IFERROR(__xludf.DUMMYFUNCTION("""COMPUTED_VALUE"""),5.102041)</f>
        <v>5.102041</v>
      </c>
      <c r="V415" s="32">
        <f>IFERROR(__xludf.DUMMYFUNCTION("""COMPUTED_VALUE"""),-8.444444)</f>
        <v>-8.444444</v>
      </c>
      <c r="W415" s="32">
        <f>IFERROR(__xludf.DUMMYFUNCTION("""COMPUTED_VALUE"""),-7.623318)</f>
        <v>-7.623318</v>
      </c>
      <c r="X415" s="32">
        <f>IFERROR(__xludf.DUMMYFUNCTION("""COMPUTED_VALUE"""),101.980327)</f>
        <v>101.980327</v>
      </c>
      <c r="Y415" s="32">
        <f>IFERROR(__xludf.DUMMYFUNCTION("""COMPUTED_VALUE"""),48.010949)</f>
        <v>48.010949</v>
      </c>
      <c r="Z415" s="32">
        <f>IFERROR(__xludf.DUMMYFUNCTION("""COMPUTED_VALUE"""),5.841174)</f>
        <v>5.841174</v>
      </c>
      <c r="AA415" s="13"/>
      <c r="AB415" s="32">
        <f>IFERROR(__xludf.DUMMYFUNCTION("""COMPUTED_VALUE"""),0.2765)</f>
        <v>0.2765</v>
      </c>
      <c r="AC415" s="32">
        <f>IFERROR(__xludf.DUMMYFUNCTION("""COMPUTED_VALUE"""),-0.5667)</f>
        <v>-0.5667</v>
      </c>
      <c r="AD415" s="32">
        <f>IFERROR(__xludf.DUMMYFUNCTION("""COMPUTED_VALUE"""),0.35465)</f>
        <v>0.35465</v>
      </c>
      <c r="AE415" s="32">
        <f>IFERROR(__xludf.DUMMYFUNCTION("""COMPUTED_VALUE"""),0.8203)</f>
        <v>0.8203</v>
      </c>
      <c r="AF415" s="13"/>
      <c r="AG415" s="32">
        <f>IFERROR(__xludf.DUMMYFUNCTION("""COMPUTED_VALUE"""),0.0)</f>
        <v>0</v>
      </c>
      <c r="AH415" s="32">
        <f>IFERROR(__xludf.DUMMYFUNCTION("""COMPUTED_VALUE"""),59.483534)</f>
        <v>59.483534</v>
      </c>
      <c r="AI415" s="32">
        <f>IFERROR(__xludf.DUMMYFUNCTION("""COMPUTED_VALUE"""),1.2759066815433533)</f>
        <v>1.275906682</v>
      </c>
      <c r="AJ415" s="32">
        <f>IFERROR(__xludf.DUMMYFUNCTION("""COMPUTED_VALUE"""),55.336481422094785)</f>
        <v>55.33648142</v>
      </c>
      <c r="AK415" s="32">
        <f>IFERROR(__xludf.DUMMYFUNCTION("""COMPUTED_VALUE"""),-0.5086)</f>
        <v>-0.5086</v>
      </c>
      <c r="AL415" s="32">
        <f>IFERROR(__xludf.DUMMYFUNCTION("""COMPUTED_VALUE"""),-36.35)</f>
        <v>-36.35</v>
      </c>
      <c r="AM415" s="32">
        <f>IFERROR(__xludf.DUMMYFUNCTION("""COMPUTED_VALUE"""),0.372271)</f>
        <v>0.372271</v>
      </c>
      <c r="AN415" s="32">
        <f>IFERROR(__xludf.DUMMYFUNCTION("""COMPUTED_VALUE"""),-0.703154)</f>
        <v>-0.703154</v>
      </c>
      <c r="AO415" s="32">
        <f>IFERROR(__xludf.DUMMYFUNCTION("""COMPUTED_VALUE"""),0.0)</f>
        <v>0</v>
      </c>
      <c r="AP415" s="32">
        <f>IFERROR(__xludf.DUMMYFUNCTION("""COMPUTED_VALUE"""),0.4245810055865921)</f>
        <v>0.4245810056</v>
      </c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</row>
    <row r="416">
      <c r="A416" s="13" t="str">
        <f>IFERROR(__xludf.DUMMYFUNCTION("""COMPUTED_VALUE"""),"Amber Enterprises India Ltd.")</f>
        <v>Amber Enterprises India Ltd.</v>
      </c>
      <c r="B416" s="30">
        <f>IFERROR(__xludf.DUMMYFUNCTION("""COMPUTED_VALUE"""),540902.0)</f>
        <v>540902</v>
      </c>
      <c r="C416" s="13" t="str">
        <f>IFERROR(__xludf.DUMMYFUNCTION("""COMPUTED_VALUE"""),"AMBER")</f>
        <v>AMBER</v>
      </c>
      <c r="D416" s="13" t="str">
        <f>IFERROR(__xludf.DUMMYFUNCTION("""COMPUTED_VALUE"""),"INE371P01015")</f>
        <v>INE371P01015</v>
      </c>
      <c r="E416" s="13" t="str">
        <f>IFERROR(__xludf.DUMMYFUNCTION("""COMPUTED_VALUE"""),"Consumer Discretionary")</f>
        <v>Consumer Discretionary</v>
      </c>
      <c r="F416" s="13" t="str">
        <f>IFERROR(__xludf.DUMMYFUNCTION("""COMPUTED_VALUE"""),"ACs &amp; Refrigerators")</f>
        <v>ACs &amp; Refrigerators</v>
      </c>
      <c r="G416" s="31">
        <f>IFERROR(__xludf.DUMMYFUNCTION("""COMPUTED_VALUE"""),44809.0)</f>
        <v>44809</v>
      </c>
      <c r="H416" s="32">
        <f>IFERROR(__xludf.DUMMYFUNCTION("""COMPUTED_VALUE"""),2293.55)</f>
        <v>2293.55</v>
      </c>
      <c r="I416" s="32">
        <f>IFERROR(__xludf.DUMMYFUNCTION("""COMPUTED_VALUE"""),1.80886)</f>
        <v>1.80886</v>
      </c>
      <c r="J416" s="32">
        <f>IFERROR(__xludf.DUMMYFUNCTION("""COMPUTED_VALUE"""),2040.0)</f>
        <v>2040</v>
      </c>
      <c r="K416" s="32">
        <f>IFERROR(__xludf.DUMMYFUNCTION("""COMPUTED_VALUE"""),4025.95)</f>
        <v>4025.95</v>
      </c>
      <c r="L416" s="32">
        <f>IFERROR(__xludf.DUMMYFUNCTION("""COMPUTED_VALUE"""),804.0)</f>
        <v>804</v>
      </c>
      <c r="M416" s="32">
        <f>IFERROR(__xludf.DUMMYFUNCTION("""COMPUTED_VALUE"""),4025.95)</f>
        <v>4025.95</v>
      </c>
      <c r="N416" s="13"/>
      <c r="O416" s="13"/>
      <c r="P416" s="32">
        <f>IFERROR(__xludf.DUMMYFUNCTION("""COMPUTED_VALUE"""),621.05)</f>
        <v>621.05</v>
      </c>
      <c r="Q416" s="32">
        <f>IFERROR(__xludf.DUMMYFUNCTION("""COMPUTED_VALUE"""),4025.95)</f>
        <v>4025.95</v>
      </c>
      <c r="R416" s="32">
        <f>IFERROR(__xludf.DUMMYFUNCTION("""COMPUTED_VALUE"""),7749.55813)</f>
        <v>7749.55813</v>
      </c>
      <c r="S416" s="32">
        <f>IFERROR(__xludf.DUMMYFUNCTION("""COMPUTED_VALUE"""),7972.855440615)</f>
        <v>7972.855441</v>
      </c>
      <c r="T416" s="32">
        <f>IFERROR(__xludf.DUMMYFUNCTION("""COMPUTED_VALUE"""),0.51935)</f>
        <v>0.51935</v>
      </c>
      <c r="U416" s="32">
        <f>IFERROR(__xludf.DUMMYFUNCTION("""COMPUTED_VALUE"""),-3.737514)</f>
        <v>-3.737514</v>
      </c>
      <c r="V416" s="32">
        <f>IFERROR(__xludf.DUMMYFUNCTION("""COMPUTED_VALUE"""),-12.521693)</f>
        <v>-12.521693</v>
      </c>
      <c r="W416" s="32">
        <f>IFERROR(__xludf.DUMMYFUNCTION("""COMPUTED_VALUE"""),-27.193512)</f>
        <v>-27.193512</v>
      </c>
      <c r="X416" s="32">
        <f>IFERROR(__xludf.DUMMYFUNCTION("""COMPUTED_VALUE"""),40.770044)</f>
        <v>40.770044</v>
      </c>
      <c r="Y416" s="13"/>
      <c r="Z416" s="13"/>
      <c r="AA416" s="32">
        <f>IFERROR(__xludf.DUMMYFUNCTION("""COMPUTED_VALUE"""),55.8265)</f>
        <v>55.8265</v>
      </c>
      <c r="AB416" s="32">
        <f>IFERROR(__xludf.DUMMYFUNCTION("""COMPUTED_VALUE"""),88.22825)</f>
        <v>88.22825</v>
      </c>
      <c r="AC416" s="32">
        <f>IFERROR(__xludf.DUMMYFUNCTION("""COMPUTED_VALUE"""),4.3996)</f>
        <v>4.3996</v>
      </c>
      <c r="AD416" s="32">
        <f>IFERROR(__xludf.DUMMYFUNCTION("""COMPUTED_VALUE"""),5.18565)</f>
        <v>5.18565</v>
      </c>
      <c r="AE416" s="32">
        <f>IFERROR(__xludf.DUMMYFUNCTION("""COMPUTED_VALUE"""),3.622487)</f>
        <v>3.622487</v>
      </c>
      <c r="AF416" s="32">
        <f>IFERROR(__xludf.DUMMYFUNCTION("""COMPUTED_VALUE"""),21.859322)</f>
        <v>21.859322</v>
      </c>
      <c r="AG416" s="32">
        <f>IFERROR(__xludf.DUMMYFUNCTION("""COMPUTED_VALUE"""),0.0)</f>
        <v>0</v>
      </c>
      <c r="AH416" s="32">
        <f>IFERROR(__xludf.DUMMYFUNCTION("""COMPUTED_VALUE"""),21.464777)</f>
        <v>21.464777</v>
      </c>
      <c r="AI416" s="32">
        <f>IFERROR(__xludf.DUMMYFUNCTION("""COMPUTED_VALUE"""),1.4555363929263283)</f>
        <v>1.455536393</v>
      </c>
      <c r="AJ416" s="32">
        <f>IFERROR(__xludf.DUMMYFUNCTION("""COMPUTED_VALUE"""),31.054665057342202)</f>
        <v>31.05466506</v>
      </c>
      <c r="AK416" s="32">
        <f>IFERROR(__xludf.DUMMYFUNCTION("""COMPUTED_VALUE"""),41.1991)</f>
        <v>41.1991</v>
      </c>
      <c r="AL416" s="32">
        <f>IFERROR(__xludf.DUMMYFUNCTION("""COMPUTED_VALUE"""),522.7756)</f>
        <v>522.7756</v>
      </c>
      <c r="AM416" s="32">
        <f>IFERROR(__xludf.DUMMYFUNCTION("""COMPUTED_VALUE"""),74.063015)</f>
        <v>74.063015</v>
      </c>
      <c r="AN416" s="32">
        <f>IFERROR(__xludf.DUMMYFUNCTION("""COMPUTED_VALUE"""),-56.944295)</f>
        <v>-56.944295</v>
      </c>
      <c r="AO416" s="32">
        <f>IFERROR(__xludf.DUMMYFUNCTION("""COMPUTED_VALUE"""),0.0)</f>
        <v>0</v>
      </c>
      <c r="AP416" s="32">
        <f>IFERROR(__xludf.DUMMYFUNCTION("""COMPUTED_VALUE"""),0.43030837442094405)</f>
        <v>0.4303083744</v>
      </c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</row>
    <row r="417">
      <c r="A417" s="13" t="str">
        <f>IFERROR(__xludf.DUMMYFUNCTION("""COMPUTED_VALUE"""),"Aptus Value Housing Finance India Ltd.")</f>
        <v>Aptus Value Housing Finance India Ltd.</v>
      </c>
      <c r="B417" s="30">
        <f>IFERROR(__xludf.DUMMYFUNCTION("""COMPUTED_VALUE"""),543335.0)</f>
        <v>543335</v>
      </c>
      <c r="C417" s="13" t="str">
        <f>IFERROR(__xludf.DUMMYFUNCTION("""COMPUTED_VALUE"""),"APTUS")</f>
        <v>APTUS</v>
      </c>
      <c r="D417" s="13" t="str">
        <f>IFERROR(__xludf.DUMMYFUNCTION("""COMPUTED_VALUE"""),"INE852O01025")</f>
        <v>INE852O01025</v>
      </c>
      <c r="E417" s="13" t="str">
        <f>IFERROR(__xludf.DUMMYFUNCTION("""COMPUTED_VALUE"""),"Financial")</f>
        <v>Financial</v>
      </c>
      <c r="F417" s="13" t="str">
        <f>IFERROR(__xludf.DUMMYFUNCTION("""COMPUTED_VALUE"""),"Housing Finance")</f>
        <v>Housing Finance</v>
      </c>
      <c r="G417" s="31">
        <f>IFERROR(__xludf.DUMMYFUNCTION("""COMPUTED_VALUE"""),44809.0)</f>
        <v>44809</v>
      </c>
      <c r="H417" s="32">
        <f>IFERROR(__xludf.DUMMYFUNCTION("""COMPUTED_VALUE"""),353.3)</f>
        <v>353.3</v>
      </c>
      <c r="I417" s="32">
        <f>IFERROR(__xludf.DUMMYFUNCTION("""COMPUTED_VALUE"""),-0.169539)</f>
        <v>-0.169539</v>
      </c>
      <c r="J417" s="32">
        <f>IFERROR(__xludf.DUMMYFUNCTION("""COMPUTED_VALUE"""),220.1)</f>
        <v>220.1</v>
      </c>
      <c r="K417" s="32">
        <f>IFERROR(__xludf.DUMMYFUNCTION("""COMPUTED_VALUE"""),394.95)</f>
        <v>394.95</v>
      </c>
      <c r="L417" s="13"/>
      <c r="M417" s="13"/>
      <c r="N417" s="13"/>
      <c r="O417" s="13"/>
      <c r="P417" s="32">
        <f>IFERROR(__xludf.DUMMYFUNCTION("""COMPUTED_VALUE"""),220.1)</f>
        <v>220.1</v>
      </c>
      <c r="Q417" s="32">
        <f>IFERROR(__xludf.DUMMYFUNCTION("""COMPUTED_VALUE"""),394.95)</f>
        <v>394.95</v>
      </c>
      <c r="R417" s="32">
        <f>IFERROR(__xludf.DUMMYFUNCTION("""COMPUTED_VALUE"""),17623.6333854)</f>
        <v>17623.63339</v>
      </c>
      <c r="S417" s="32">
        <f>IFERROR(__xludf.DUMMYFUNCTION("""COMPUTED_VALUE"""),19802.22045546)</f>
        <v>19802.22046</v>
      </c>
      <c r="T417" s="32">
        <f>IFERROR(__xludf.DUMMYFUNCTION("""COMPUTED_VALUE"""),1.130671)</f>
        <v>1.130671</v>
      </c>
      <c r="U417" s="32">
        <f>IFERROR(__xludf.DUMMYFUNCTION("""COMPUTED_VALUE"""),21.785591)</f>
        <v>21.785591</v>
      </c>
      <c r="V417" s="32">
        <f>IFERROR(__xludf.DUMMYFUNCTION("""COMPUTED_VALUE"""),26.336492)</f>
        <v>26.336492</v>
      </c>
      <c r="W417" s="32">
        <f>IFERROR(__xludf.DUMMYFUNCTION("""COMPUTED_VALUE"""),-5.987227)</f>
        <v>-5.987227</v>
      </c>
      <c r="X417" s="13"/>
      <c r="Y417" s="13"/>
      <c r="Z417" s="13"/>
      <c r="AA417" s="32">
        <f>IFERROR(__xludf.DUMMYFUNCTION("""COMPUTED_VALUE"""),42.4213)</f>
        <v>42.4213</v>
      </c>
      <c r="AB417" s="32">
        <f>IFERROR(__xludf.DUMMYFUNCTION("""COMPUTED_VALUE"""),61.3553)</f>
        <v>61.3553</v>
      </c>
      <c r="AC417" s="32">
        <f>IFERROR(__xludf.DUMMYFUNCTION("""COMPUTED_VALUE"""),5.8071)</f>
        <v>5.8071</v>
      </c>
      <c r="AD417" s="32">
        <f>IFERROR(__xludf.DUMMYFUNCTION("""COMPUTED_VALUE"""),5.7029)</f>
        <v>5.7029</v>
      </c>
      <c r="AE417" s="32">
        <f>IFERROR(__xludf.DUMMYFUNCTION("""COMPUTED_VALUE"""),3.947326)</f>
        <v>3.947326</v>
      </c>
      <c r="AF417" s="32">
        <f>IFERROR(__xludf.DUMMYFUNCTION("""COMPUTED_VALUE"""),0.909836)</f>
        <v>0.909836</v>
      </c>
      <c r="AG417" s="32">
        <f>IFERROR(__xludf.DUMMYFUNCTION("""COMPUTED_VALUE"""),0.0)</f>
        <v>0</v>
      </c>
      <c r="AH417" s="32">
        <f>IFERROR(__xludf.DUMMYFUNCTION("""COMPUTED_VALUE"""),26.355661)</f>
        <v>26.355661</v>
      </c>
      <c r="AI417" s="32">
        <f>IFERROR(__xludf.DUMMYFUNCTION("""COMPUTED_VALUE"""),20.197594650001548)</f>
        <v>20.19759465</v>
      </c>
      <c r="AJ417" s="32">
        <f>IFERROR(__xludf.DUMMYFUNCTION("""COMPUTED_VALUE"""),-24.35795857347075)</f>
        <v>-24.35795857</v>
      </c>
      <c r="AK417" s="32">
        <f>IFERROR(__xludf.DUMMYFUNCTION("""COMPUTED_VALUE"""),8.3564)</f>
        <v>8.3564</v>
      </c>
      <c r="AL417" s="32">
        <f>IFERROR(__xludf.DUMMYFUNCTION("""COMPUTED_VALUE"""),60.9601)</f>
        <v>60.9601</v>
      </c>
      <c r="AM417" s="32">
        <f>IFERROR(__xludf.DUMMYFUNCTION("""COMPUTED_VALUE"""),-14.560284)</f>
        <v>-14.560284</v>
      </c>
      <c r="AN417" s="32">
        <f>IFERROR(__xludf.DUMMYFUNCTION("""COMPUTED_VALUE"""),-15.011595)</f>
        <v>-15.011595</v>
      </c>
      <c r="AO417" s="32">
        <f>IFERROR(__xludf.DUMMYFUNCTION("""COMPUTED_VALUE"""),0.0)</f>
        <v>0</v>
      </c>
      <c r="AP417" s="32">
        <f>IFERROR(__xludf.DUMMYFUNCTION("""COMPUTED_VALUE"""),0.10545638688441569)</f>
        <v>0.1054563869</v>
      </c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</row>
    <row r="418">
      <c r="A418" s="13" t="str">
        <f>IFERROR(__xludf.DUMMYFUNCTION("""COMPUTED_VALUE"""),"Aster DM Healthcare Ltd.")</f>
        <v>Aster DM Healthcare Ltd.</v>
      </c>
      <c r="B418" s="30">
        <f>IFERROR(__xludf.DUMMYFUNCTION("""COMPUTED_VALUE"""),540975.0)</f>
        <v>540975</v>
      </c>
      <c r="C418" s="13" t="str">
        <f>IFERROR(__xludf.DUMMYFUNCTION("""COMPUTED_VALUE"""),"ASTERDM")</f>
        <v>ASTERDM</v>
      </c>
      <c r="D418" s="13" t="str">
        <f>IFERROR(__xludf.DUMMYFUNCTION("""COMPUTED_VALUE"""),"INE914M01019")</f>
        <v>INE914M01019</v>
      </c>
      <c r="E418" s="13" t="str">
        <f>IFERROR(__xludf.DUMMYFUNCTION("""COMPUTED_VALUE"""),"Healthcare")</f>
        <v>Healthcare</v>
      </c>
      <c r="F418" s="13" t="str">
        <f>IFERROR(__xludf.DUMMYFUNCTION("""COMPUTED_VALUE"""),"Health Services")</f>
        <v>Health Services</v>
      </c>
      <c r="G418" s="31">
        <f>IFERROR(__xludf.DUMMYFUNCTION("""COMPUTED_VALUE"""),44809.0)</f>
        <v>44809</v>
      </c>
      <c r="H418" s="32">
        <f>IFERROR(__xludf.DUMMYFUNCTION("""COMPUTED_VALUE"""),240.95)</f>
        <v>240.95</v>
      </c>
      <c r="I418" s="32">
        <f>IFERROR(__xludf.DUMMYFUNCTION("""COMPUTED_VALUE"""),4.284787)</f>
        <v>4.284787</v>
      </c>
      <c r="J418" s="32">
        <f>IFERROR(__xludf.DUMMYFUNCTION("""COMPUTED_VALUE"""),160.3)</f>
        <v>160.3</v>
      </c>
      <c r="K418" s="32">
        <f>IFERROR(__xludf.DUMMYFUNCTION("""COMPUTED_VALUE"""),244.3)</f>
        <v>244.3</v>
      </c>
      <c r="L418" s="32">
        <f>IFERROR(__xludf.DUMMYFUNCTION("""COMPUTED_VALUE"""),78.0)</f>
        <v>78</v>
      </c>
      <c r="M418" s="32">
        <f>IFERROR(__xludf.DUMMYFUNCTION("""COMPUTED_VALUE"""),244.3)</f>
        <v>244.3</v>
      </c>
      <c r="N418" s="13"/>
      <c r="O418" s="13"/>
      <c r="P418" s="32">
        <f>IFERROR(__xludf.DUMMYFUNCTION("""COMPUTED_VALUE"""),78.0)</f>
        <v>78</v>
      </c>
      <c r="Q418" s="32">
        <f>IFERROR(__xludf.DUMMYFUNCTION("""COMPUTED_VALUE"""),244.3)</f>
        <v>244.3</v>
      </c>
      <c r="R418" s="32">
        <f>IFERROR(__xludf.DUMMYFUNCTION("""COMPUTED_VALUE"""),11890.9083933)</f>
        <v>11890.90839</v>
      </c>
      <c r="S418" s="32">
        <f>IFERROR(__xludf.DUMMYFUNCTION("""COMPUTED_VALUE"""),13374.6324696)</f>
        <v>13374.63247</v>
      </c>
      <c r="T418" s="32">
        <f>IFERROR(__xludf.DUMMYFUNCTION("""COMPUTED_VALUE"""),11.783809)</f>
        <v>11.783809</v>
      </c>
      <c r="U418" s="32">
        <f>IFERROR(__xludf.DUMMYFUNCTION("""COMPUTED_VALUE"""),2.750533)</f>
        <v>2.750533</v>
      </c>
      <c r="V418" s="32">
        <f>IFERROR(__xludf.DUMMYFUNCTION("""COMPUTED_VALUE"""),26.516146)</f>
        <v>26.516146</v>
      </c>
      <c r="W418" s="32">
        <f>IFERROR(__xludf.DUMMYFUNCTION("""COMPUTED_VALUE"""),5.540955)</f>
        <v>5.540955</v>
      </c>
      <c r="X418" s="32">
        <f>IFERROR(__xludf.DUMMYFUNCTION("""COMPUTED_VALUE"""),27.29989)</f>
        <v>27.29989</v>
      </c>
      <c r="Y418" s="13"/>
      <c r="Z418" s="13"/>
      <c r="AA418" s="32">
        <f>IFERROR(__xludf.DUMMYFUNCTION("""COMPUTED_VALUE"""),21.6175)</f>
        <v>21.6175</v>
      </c>
      <c r="AB418" s="32">
        <f>IFERROR(__xludf.DUMMYFUNCTION("""COMPUTED_VALUE"""),26.24185)</f>
        <v>26.24185</v>
      </c>
      <c r="AC418" s="32">
        <f>IFERROR(__xludf.DUMMYFUNCTION("""COMPUTED_VALUE"""),2.9463)</f>
        <v>2.9463</v>
      </c>
      <c r="AD418" s="32">
        <f>IFERROR(__xludf.DUMMYFUNCTION("""COMPUTED_VALUE"""),2.3707)</f>
        <v>2.3707</v>
      </c>
      <c r="AE418" s="32">
        <f>IFERROR(__xludf.DUMMYFUNCTION("""COMPUTED_VALUE"""),7.240514)</f>
        <v>7.240514</v>
      </c>
      <c r="AF418" s="32">
        <f>IFERROR(__xludf.DUMMYFUNCTION("""COMPUTED_VALUE"""),1.097635)</f>
        <v>1.097635</v>
      </c>
      <c r="AG418" s="32">
        <f>IFERROR(__xludf.DUMMYFUNCTION("""COMPUTED_VALUE"""),0.0)</f>
        <v>0</v>
      </c>
      <c r="AH418" s="32">
        <f>IFERROR(__xludf.DUMMYFUNCTION("""COMPUTED_VALUE"""),8.49512)</f>
        <v>8.49512</v>
      </c>
      <c r="AI418" s="32">
        <f>IFERROR(__xludf.DUMMYFUNCTION("""COMPUTED_VALUE"""),1.1277620132855202)</f>
        <v>1.127762013</v>
      </c>
      <c r="AJ418" s="32">
        <f>IFERROR(__xludf.DUMMYFUNCTION("""COMPUTED_VALUE"""),9.053118019048924)</f>
        <v>9.053118019</v>
      </c>
      <c r="AK418" s="32">
        <f>IFERROR(__xludf.DUMMYFUNCTION("""COMPUTED_VALUE"""),11.0119)</f>
        <v>11.0119</v>
      </c>
      <c r="AL418" s="32">
        <f>IFERROR(__xludf.DUMMYFUNCTION("""COMPUTED_VALUE"""),80.7959)</f>
        <v>80.7959</v>
      </c>
      <c r="AM418" s="32">
        <f>IFERROR(__xludf.DUMMYFUNCTION("""COMPUTED_VALUE"""),26.416073)</f>
        <v>26.416073</v>
      </c>
      <c r="AN418" s="32">
        <f>IFERROR(__xludf.DUMMYFUNCTION("""COMPUTED_VALUE"""),5.846909)</f>
        <v>5.846909</v>
      </c>
      <c r="AO418" s="32">
        <f>IFERROR(__xludf.DUMMYFUNCTION("""COMPUTED_VALUE"""),0.0)</f>
        <v>0</v>
      </c>
      <c r="AP418" s="32">
        <f>IFERROR(__xludf.DUMMYFUNCTION("""COMPUTED_VALUE"""),0.013712648383135581)</f>
        <v>0.01371264838</v>
      </c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</row>
    <row r="419">
      <c r="A419" s="13" t="str">
        <f>IFERROR(__xludf.DUMMYFUNCTION("""COMPUTED_VALUE"""),"Avenue Supermarts Ltd.")</f>
        <v>Avenue Supermarts Ltd.</v>
      </c>
      <c r="B419" s="30">
        <f>IFERROR(__xludf.DUMMYFUNCTION("""COMPUTED_VALUE"""),540376.0)</f>
        <v>540376</v>
      </c>
      <c r="C419" s="13" t="str">
        <f>IFERROR(__xludf.DUMMYFUNCTION("""COMPUTED_VALUE"""),"DMART")</f>
        <v>DMART</v>
      </c>
      <c r="D419" s="13" t="str">
        <f>IFERROR(__xludf.DUMMYFUNCTION("""COMPUTED_VALUE"""),"INE192R01011")</f>
        <v>INE192R01011</v>
      </c>
      <c r="E419" s="13" t="str">
        <f>IFERROR(__xludf.DUMMYFUNCTION("""COMPUTED_VALUE"""),"Services")</f>
        <v>Services</v>
      </c>
      <c r="F419" s="13" t="str">
        <f>IFERROR(__xludf.DUMMYFUNCTION("""COMPUTED_VALUE"""),"Retailing")</f>
        <v>Retailing</v>
      </c>
      <c r="G419" s="31">
        <f>IFERROR(__xludf.DUMMYFUNCTION("""COMPUTED_VALUE"""),44809.0)</f>
        <v>44809</v>
      </c>
      <c r="H419" s="32">
        <f>IFERROR(__xludf.DUMMYFUNCTION("""COMPUTED_VALUE"""),4577.45)</f>
        <v>4577.45</v>
      </c>
      <c r="I419" s="32">
        <f>IFERROR(__xludf.DUMMYFUNCTION("""COMPUTED_VALUE"""),0.014202)</f>
        <v>0.014202</v>
      </c>
      <c r="J419" s="32">
        <f>IFERROR(__xludf.DUMMYFUNCTION("""COMPUTED_VALUE"""),3186.0)</f>
        <v>3186</v>
      </c>
      <c r="K419" s="32">
        <f>IFERROR(__xludf.DUMMYFUNCTION("""COMPUTED_VALUE"""),5900.0)</f>
        <v>5900</v>
      </c>
      <c r="L419" s="32">
        <f>IFERROR(__xludf.DUMMYFUNCTION("""COMPUTED_VALUE"""),1515.15)</f>
        <v>1515.15</v>
      </c>
      <c r="M419" s="32">
        <f>IFERROR(__xludf.DUMMYFUNCTION("""COMPUTED_VALUE"""),5900.0)</f>
        <v>5900</v>
      </c>
      <c r="N419" s="32">
        <f>IFERROR(__xludf.DUMMYFUNCTION("""COMPUTED_VALUE"""),982.05)</f>
        <v>982.05</v>
      </c>
      <c r="O419" s="32">
        <f>IFERROR(__xludf.DUMMYFUNCTION("""COMPUTED_VALUE"""),5900.0)</f>
        <v>5900</v>
      </c>
      <c r="P419" s="32">
        <f>IFERROR(__xludf.DUMMYFUNCTION("""COMPUTED_VALUE"""),558.3)</f>
        <v>558.3</v>
      </c>
      <c r="Q419" s="32">
        <f>IFERROR(__xludf.DUMMYFUNCTION("""COMPUTED_VALUE"""),5900.0)</f>
        <v>5900</v>
      </c>
      <c r="R419" s="32">
        <f>IFERROR(__xludf.DUMMYFUNCTION("""COMPUTED_VALUE"""),296356.9211325)</f>
        <v>296356.9211</v>
      </c>
      <c r="S419" s="32">
        <f>IFERROR(__xludf.DUMMYFUNCTION("""COMPUTED_VALUE"""),296126.905221965)</f>
        <v>296126.9052</v>
      </c>
      <c r="T419" s="32">
        <f>IFERROR(__xludf.DUMMYFUNCTION("""COMPUTED_VALUE"""),3.805291)</f>
        <v>3.805291</v>
      </c>
      <c r="U419" s="32">
        <f>IFERROR(__xludf.DUMMYFUNCTION("""COMPUTED_VALUE"""),7.981647)</f>
        <v>7.981647</v>
      </c>
      <c r="V419" s="32">
        <f>IFERROR(__xludf.DUMMYFUNCTION("""COMPUTED_VALUE"""),19.825397)</f>
        <v>19.825397</v>
      </c>
      <c r="W419" s="32">
        <f>IFERROR(__xludf.DUMMYFUNCTION("""COMPUTED_VALUE"""),16.211379)</f>
        <v>16.211379</v>
      </c>
      <c r="X419" s="32">
        <f>IFERROR(__xludf.DUMMYFUNCTION("""COMPUTED_VALUE"""),44.255427)</f>
        <v>44.255427</v>
      </c>
      <c r="Y419" s="32">
        <f>IFERROR(__xludf.DUMMYFUNCTION("""COMPUTED_VALUE"""),35.004845)</f>
        <v>35.004845</v>
      </c>
      <c r="Z419" s="13"/>
      <c r="AA419" s="32">
        <f>IFERROR(__xludf.DUMMYFUNCTION("""COMPUTED_VALUE"""),145.2652)</f>
        <v>145.2652</v>
      </c>
      <c r="AB419" s="32">
        <f>IFERROR(__xludf.DUMMYFUNCTION("""COMPUTED_VALUE"""),126.61915)</f>
        <v>126.61915</v>
      </c>
      <c r="AC419" s="32">
        <f>IFERROR(__xludf.DUMMYFUNCTION("""COMPUTED_VALUE"""),20.7517)</f>
        <v>20.7517</v>
      </c>
      <c r="AD419" s="32">
        <f>IFERROR(__xludf.DUMMYFUNCTION("""COMPUTED_VALUE"""),17.6297)</f>
        <v>17.6297</v>
      </c>
      <c r="AE419" s="32">
        <f>IFERROR(__xludf.DUMMYFUNCTION("""COMPUTED_VALUE"""),1.005741)</f>
        <v>1.005741</v>
      </c>
      <c r="AF419" s="32">
        <f>IFERROR(__xludf.DUMMYFUNCTION("""COMPUTED_VALUE"""),5.842629)</f>
        <v>5.842629</v>
      </c>
      <c r="AG419" s="32">
        <f>IFERROR(__xludf.DUMMYFUNCTION("""COMPUTED_VALUE"""),0.0)</f>
        <v>0</v>
      </c>
      <c r="AH419" s="32">
        <f>IFERROR(__xludf.DUMMYFUNCTION("""COMPUTED_VALUE"""),87.154337)</f>
        <v>87.154337</v>
      </c>
      <c r="AI419" s="32">
        <f>IFERROR(__xludf.DUMMYFUNCTION("""COMPUTED_VALUE"""),8.270913497572787)</f>
        <v>8.270913498</v>
      </c>
      <c r="AJ419" s="32">
        <f>IFERROR(__xludf.DUMMYFUNCTION("""COMPUTED_VALUE"""),215.94849792873538)</f>
        <v>215.9484979</v>
      </c>
      <c r="AK419" s="32">
        <f>IFERROR(__xludf.DUMMYFUNCTION("""COMPUTED_VALUE"""),31.4941)</f>
        <v>31.4941</v>
      </c>
      <c r="AL419" s="32">
        <f>IFERROR(__xludf.DUMMYFUNCTION("""COMPUTED_VALUE"""),220.4639)</f>
        <v>220.4639</v>
      </c>
      <c r="AM419" s="32">
        <f>IFERROR(__xludf.DUMMYFUNCTION("""COMPUTED_VALUE"""),21.18576)</f>
        <v>21.18576</v>
      </c>
      <c r="AN419" s="32">
        <f>IFERROR(__xludf.DUMMYFUNCTION("""COMPUTED_VALUE"""),-15.475091)</f>
        <v>-15.475091</v>
      </c>
      <c r="AO419" s="32">
        <f>IFERROR(__xludf.DUMMYFUNCTION("""COMPUTED_VALUE"""),0.0)</f>
        <v>0</v>
      </c>
      <c r="AP419" s="32">
        <f>IFERROR(__xludf.DUMMYFUNCTION("""COMPUTED_VALUE"""),0.22416101694915258)</f>
        <v>0.2241610169</v>
      </c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</row>
    <row r="420">
      <c r="A420" s="13" t="str">
        <f>IFERROR(__xludf.DUMMYFUNCTION("""COMPUTED_VALUE"""),"Bandhan Bank Ltd.")</f>
        <v>Bandhan Bank Ltd.</v>
      </c>
      <c r="B420" s="30">
        <f>IFERROR(__xludf.DUMMYFUNCTION("""COMPUTED_VALUE"""),541153.0)</f>
        <v>541153</v>
      </c>
      <c r="C420" s="13" t="str">
        <f>IFERROR(__xludf.DUMMYFUNCTION("""COMPUTED_VALUE"""),"BANDHANBNK")</f>
        <v>BANDHANBNK</v>
      </c>
      <c r="D420" s="13" t="str">
        <f>IFERROR(__xludf.DUMMYFUNCTION("""COMPUTED_VALUE"""),"INE545U01014")</f>
        <v>INE545U01014</v>
      </c>
      <c r="E420" s="13" t="str">
        <f>IFERROR(__xludf.DUMMYFUNCTION("""COMPUTED_VALUE"""),"Financial")</f>
        <v>Financial</v>
      </c>
      <c r="F420" s="13" t="str">
        <f>IFERROR(__xludf.DUMMYFUNCTION("""COMPUTED_VALUE"""),"Banking")</f>
        <v>Banking</v>
      </c>
      <c r="G420" s="31">
        <f>IFERROR(__xludf.DUMMYFUNCTION("""COMPUTED_VALUE"""),44809.0)</f>
        <v>44809</v>
      </c>
      <c r="H420" s="32">
        <f>IFERROR(__xludf.DUMMYFUNCTION("""COMPUTED_VALUE"""),283.85)</f>
        <v>283.85</v>
      </c>
      <c r="I420" s="32">
        <f>IFERROR(__xludf.DUMMYFUNCTION("""COMPUTED_VALUE"""),2.806954)</f>
        <v>2.806954</v>
      </c>
      <c r="J420" s="32">
        <f>IFERROR(__xludf.DUMMYFUNCTION("""COMPUTED_VALUE"""),229.55)</f>
        <v>229.55</v>
      </c>
      <c r="K420" s="32">
        <f>IFERROR(__xludf.DUMMYFUNCTION("""COMPUTED_VALUE"""),349.55)</f>
        <v>349.55</v>
      </c>
      <c r="L420" s="32">
        <f>IFERROR(__xludf.DUMMYFUNCTION("""COMPUTED_VALUE"""),152.2)</f>
        <v>152.2</v>
      </c>
      <c r="M420" s="32">
        <f>IFERROR(__xludf.DUMMYFUNCTION("""COMPUTED_VALUE"""),650.0)</f>
        <v>650</v>
      </c>
      <c r="N420" s="13"/>
      <c r="O420" s="13"/>
      <c r="P420" s="32">
        <f>IFERROR(__xludf.DUMMYFUNCTION("""COMPUTED_VALUE"""),152.2)</f>
        <v>152.2</v>
      </c>
      <c r="Q420" s="32">
        <f>IFERROR(__xludf.DUMMYFUNCTION("""COMPUTED_VALUE"""),741.8)</f>
        <v>741.8</v>
      </c>
      <c r="R420" s="32">
        <f>IFERROR(__xludf.DUMMYFUNCTION("""COMPUTED_VALUE"""),45731.01210027)</f>
        <v>45731.0121</v>
      </c>
      <c r="S420" s="32">
        <f>IFERROR(__xludf.DUMMYFUNCTION("""COMPUTED_VALUE"""),55082.506378195)</f>
        <v>55082.50638</v>
      </c>
      <c r="T420" s="32">
        <f>IFERROR(__xludf.DUMMYFUNCTION("""COMPUTED_VALUE"""),-0.873057)</f>
        <v>-0.873057</v>
      </c>
      <c r="U420" s="32">
        <f>IFERROR(__xludf.DUMMYFUNCTION("""COMPUTED_VALUE"""),1.811334)</f>
        <v>1.811334</v>
      </c>
      <c r="V420" s="32">
        <f>IFERROR(__xludf.DUMMYFUNCTION("""COMPUTED_VALUE"""),-10.753026)</f>
        <v>-10.753026</v>
      </c>
      <c r="W420" s="32">
        <f>IFERROR(__xludf.DUMMYFUNCTION("""COMPUTED_VALUE"""),-0.647532)</f>
        <v>-0.647532</v>
      </c>
      <c r="X420" s="32">
        <f>IFERROR(__xludf.DUMMYFUNCTION("""COMPUTED_VALUE"""),-14.374697)</f>
        <v>-14.374697</v>
      </c>
      <c r="Y420" s="13"/>
      <c r="Z420" s="13"/>
      <c r="AA420" s="32">
        <f>IFERROR(__xludf.DUMMYFUNCTION("""COMPUTED_VALUE"""),71.5422)</f>
        <v>71.5422</v>
      </c>
      <c r="AB420" s="32">
        <f>IFERROR(__xludf.DUMMYFUNCTION("""COMPUTED_VALUE"""),22.4064)</f>
        <v>22.4064</v>
      </c>
      <c r="AC420" s="32">
        <f>IFERROR(__xludf.DUMMYFUNCTION("""COMPUTED_VALUE"""),2.5041)</f>
        <v>2.5041</v>
      </c>
      <c r="AD420" s="32">
        <f>IFERROR(__xludf.DUMMYFUNCTION("""COMPUTED_VALUE"""),3.1234)</f>
        <v>3.1234</v>
      </c>
      <c r="AE420" s="32">
        <f>IFERROR(__xludf.DUMMYFUNCTION("""COMPUTED_VALUE"""),14.02448)</f>
        <v>14.02448</v>
      </c>
      <c r="AF420" s="32">
        <f>IFERROR(__xludf.DUMMYFUNCTION("""COMPUTED_VALUE"""),3.268687)</f>
        <v>3.268687</v>
      </c>
      <c r="AG420" s="32">
        <f>IFERROR(__xludf.DUMMYFUNCTION("""COMPUTED_VALUE"""),0.0)</f>
        <v>0</v>
      </c>
      <c r="AH420" s="32">
        <f>IFERROR(__xludf.DUMMYFUNCTION("""COMPUTED_VALUE"""),7.02458)</f>
        <v>7.02458</v>
      </c>
      <c r="AI420" s="32">
        <f>IFERROR(__xludf.DUMMYFUNCTION("""COMPUTED_VALUE"""),3.150285916754245)</f>
        <v>3.150285917</v>
      </c>
      <c r="AJ420" s="32">
        <f>IFERROR(__xludf.DUMMYFUNCTION("""COMPUTED_VALUE"""),50.69736107979996)</f>
        <v>50.69736108</v>
      </c>
      <c r="AK420" s="32">
        <f>IFERROR(__xludf.DUMMYFUNCTION("""COMPUTED_VALUE"""),3.9683)</f>
        <v>3.9683</v>
      </c>
      <c r="AL420" s="32">
        <f>IFERROR(__xludf.DUMMYFUNCTION("""COMPUTED_VALUE"""),113.3741)</f>
        <v>113.3741</v>
      </c>
      <c r="AM420" s="32">
        <f>IFERROR(__xludf.DUMMYFUNCTION("""COMPUTED_VALUE"""),5.600065)</f>
        <v>5.600065</v>
      </c>
      <c r="AN420" s="32">
        <f>IFERROR(__xludf.DUMMYFUNCTION("""COMPUTED_VALUE"""),-32.980145)</f>
        <v>-32.980145</v>
      </c>
      <c r="AO420" s="32">
        <f>IFERROR(__xludf.DUMMYFUNCTION("""COMPUTED_VALUE"""),0.0)</f>
        <v>0</v>
      </c>
      <c r="AP420" s="32">
        <f>IFERROR(__xludf.DUMMYFUNCTION("""COMPUTED_VALUE"""),0.18795594335574306)</f>
        <v>0.1879559434</v>
      </c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</row>
    <row r="421">
      <c r="A421" s="13" t="str">
        <f>IFERROR(__xludf.DUMMYFUNCTION("""COMPUTED_VALUE"""),"Bharat Heavy Electricals Ltd.")</f>
        <v>Bharat Heavy Electricals Ltd.</v>
      </c>
      <c r="B421" s="30">
        <f>IFERROR(__xludf.DUMMYFUNCTION("""COMPUTED_VALUE"""),500103.0)</f>
        <v>500103</v>
      </c>
      <c r="C421" s="13" t="str">
        <f>IFERROR(__xludf.DUMMYFUNCTION("""COMPUTED_VALUE"""),"BHEL")</f>
        <v>BHEL</v>
      </c>
      <c r="D421" s="13" t="str">
        <f>IFERROR(__xludf.DUMMYFUNCTION("""COMPUTED_VALUE"""),"INE257A01026")</f>
        <v>INE257A01026</v>
      </c>
      <c r="E421" s="13" t="str">
        <f>IFERROR(__xludf.DUMMYFUNCTION("""COMPUTED_VALUE"""),"Capital Goods")</f>
        <v>Capital Goods</v>
      </c>
      <c r="F421" s="13" t="str">
        <f>IFERROR(__xludf.DUMMYFUNCTION("""COMPUTED_VALUE"""),"Electrical Machinery")</f>
        <v>Electrical Machinery</v>
      </c>
      <c r="G421" s="31">
        <f>IFERROR(__xludf.DUMMYFUNCTION("""COMPUTED_VALUE"""),44809.0)</f>
        <v>44809</v>
      </c>
      <c r="H421" s="32">
        <f>IFERROR(__xludf.DUMMYFUNCTION("""COMPUTED_VALUE"""),60.5)</f>
        <v>60.5</v>
      </c>
      <c r="I421" s="32">
        <f>IFERROR(__xludf.DUMMYFUNCTION("""COMPUTED_VALUE"""),2.023609)</f>
        <v>2.023609</v>
      </c>
      <c r="J421" s="32">
        <f>IFERROR(__xludf.DUMMYFUNCTION("""COMPUTED_VALUE"""),41.4)</f>
        <v>41.4</v>
      </c>
      <c r="K421" s="32">
        <f>IFERROR(__xludf.DUMMYFUNCTION("""COMPUTED_VALUE"""),80.35)</f>
        <v>80.35</v>
      </c>
      <c r="L421" s="32">
        <f>IFERROR(__xludf.DUMMYFUNCTION("""COMPUTED_VALUE"""),18.4)</f>
        <v>18.4</v>
      </c>
      <c r="M421" s="32">
        <f>IFERROR(__xludf.DUMMYFUNCTION("""COMPUTED_VALUE"""),80.35)</f>
        <v>80.35</v>
      </c>
      <c r="N421" s="32">
        <f>IFERROR(__xludf.DUMMYFUNCTION("""COMPUTED_VALUE"""),18.4)</f>
        <v>18.4</v>
      </c>
      <c r="O421" s="32">
        <f>IFERROR(__xludf.DUMMYFUNCTION("""COMPUTED_VALUE"""),108.0)</f>
        <v>108</v>
      </c>
      <c r="P421" s="32">
        <f>IFERROR(__xludf.DUMMYFUNCTION("""COMPUTED_VALUE"""),5.486667)</f>
        <v>5.486667</v>
      </c>
      <c r="Q421" s="32">
        <f>IFERROR(__xludf.DUMMYFUNCTION("""COMPUTED_VALUE"""),390.666667)</f>
        <v>390.666667</v>
      </c>
      <c r="R421" s="32">
        <f>IFERROR(__xludf.DUMMYFUNCTION("""COMPUTED_VALUE"""),21066.48329775)</f>
        <v>21066.4833</v>
      </c>
      <c r="S421" s="32">
        <f>IFERROR(__xludf.DUMMYFUNCTION("""COMPUTED_VALUE"""),18796.46569515)</f>
        <v>18796.4657</v>
      </c>
      <c r="T421" s="32">
        <f>IFERROR(__xludf.DUMMYFUNCTION("""COMPUTED_VALUE"""),4.580812)</f>
        <v>4.580812</v>
      </c>
      <c r="U421" s="32">
        <f>IFERROR(__xludf.DUMMYFUNCTION("""COMPUTED_VALUE"""),14.909782)</f>
        <v>14.909782</v>
      </c>
      <c r="V421" s="32">
        <f>IFERROR(__xludf.DUMMYFUNCTION("""COMPUTED_VALUE"""),19.565217)</f>
        <v>19.565217</v>
      </c>
      <c r="W421" s="32">
        <f>IFERROR(__xludf.DUMMYFUNCTION("""COMPUTED_VALUE"""),9.107304)</f>
        <v>9.107304</v>
      </c>
      <c r="X421" s="32">
        <f>IFERROR(__xludf.DUMMYFUNCTION("""COMPUTED_VALUE"""),6.489278)</f>
        <v>6.489278</v>
      </c>
      <c r="Y421" s="32">
        <f>IFERROR(__xludf.DUMMYFUNCTION("""COMPUTED_VALUE"""),-7.10001)</f>
        <v>-7.10001</v>
      </c>
      <c r="Z421" s="32">
        <f>IFERROR(__xludf.DUMMYFUNCTION("""COMPUTED_VALUE"""),-8.426459)</f>
        <v>-8.426459</v>
      </c>
      <c r="AA421" s="32">
        <f>IFERROR(__xludf.DUMMYFUNCTION("""COMPUTED_VALUE"""),29.8348)</f>
        <v>29.8348</v>
      </c>
      <c r="AB421" s="32">
        <f>IFERROR(__xludf.DUMMYFUNCTION("""COMPUTED_VALUE"""),25.7395)</f>
        <v>25.7395</v>
      </c>
      <c r="AC421" s="32">
        <f>IFERROR(__xludf.DUMMYFUNCTION("""COMPUTED_VALUE"""),0.8002)</f>
        <v>0.8002</v>
      </c>
      <c r="AD421" s="32">
        <f>IFERROR(__xludf.DUMMYFUNCTION("""COMPUTED_VALUE"""),0.72285)</f>
        <v>0.72285</v>
      </c>
      <c r="AE421" s="32">
        <f>IFERROR(__xludf.DUMMYFUNCTION("""COMPUTED_VALUE"""),7.756613)</f>
        <v>7.756613</v>
      </c>
      <c r="AF421" s="32">
        <f>IFERROR(__xludf.DUMMYFUNCTION("""COMPUTED_VALUE"""),-0.139014)</f>
        <v>-0.139014</v>
      </c>
      <c r="AG421" s="32">
        <f>IFERROR(__xludf.DUMMYFUNCTION("""COMPUTED_VALUE"""),0.6617)</f>
        <v>0.6617</v>
      </c>
      <c r="AH421" s="32">
        <f>IFERROR(__xludf.DUMMYFUNCTION("""COMPUTED_VALUE"""),13.420391)</f>
        <v>13.420391</v>
      </c>
      <c r="AI421" s="32">
        <f>IFERROR(__xludf.DUMMYFUNCTION("""COMPUTED_VALUE"""),0.9628609696376214)</f>
        <v>0.9628609696</v>
      </c>
      <c r="AJ421" s="32">
        <f>IFERROR(__xludf.DUMMYFUNCTION("""COMPUTED_VALUE"""),37.510876404889515)</f>
        <v>37.5108764</v>
      </c>
      <c r="AK421" s="32">
        <f>IFERROR(__xludf.DUMMYFUNCTION("""COMPUTED_VALUE"""),2.0262)</f>
        <v>2.0262</v>
      </c>
      <c r="AL421" s="32">
        <f>IFERROR(__xludf.DUMMYFUNCTION("""COMPUTED_VALUE"""),75.545)</f>
        <v>75.545</v>
      </c>
      <c r="AM421" s="32">
        <f>IFERROR(__xludf.DUMMYFUNCTION("""COMPUTED_VALUE"""),1.612872)</f>
        <v>1.612872</v>
      </c>
      <c r="AN421" s="32">
        <f>IFERROR(__xludf.DUMMYFUNCTION("""COMPUTED_VALUE"""),0.308611)</f>
        <v>0.308611</v>
      </c>
      <c r="AO421" s="32">
        <f>IFERROR(__xludf.DUMMYFUNCTION("""COMPUTED_VALUE"""),0.0)</f>
        <v>0</v>
      </c>
      <c r="AP421" s="32">
        <f>IFERROR(__xludf.DUMMYFUNCTION("""COMPUTED_VALUE"""),0.2470441817050404)</f>
        <v>0.2470441817</v>
      </c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</row>
    <row r="422">
      <c r="A422" s="13" t="str">
        <f>IFERROR(__xludf.DUMMYFUNCTION("""COMPUTED_VALUE"""),"Borosil Renewables Ltd.")</f>
        <v>Borosil Renewables Ltd.</v>
      </c>
      <c r="B422" s="30">
        <f>IFERROR(__xludf.DUMMYFUNCTION("""COMPUTED_VALUE"""),502219.0)</f>
        <v>502219</v>
      </c>
      <c r="C422" s="13" t="str">
        <f>IFERROR(__xludf.DUMMYFUNCTION("""COMPUTED_VALUE"""),"BORORENEW")</f>
        <v>BORORENEW</v>
      </c>
      <c r="D422" s="13" t="str">
        <f>IFERROR(__xludf.DUMMYFUNCTION("""COMPUTED_VALUE"""),"INE666D01022")</f>
        <v>INE666D01022</v>
      </c>
      <c r="E422" s="13" t="str">
        <f>IFERROR(__xludf.DUMMYFUNCTION("""COMPUTED_VALUE"""),"Materials")</f>
        <v>Materials</v>
      </c>
      <c r="F422" s="13" t="str">
        <f>IFERROR(__xludf.DUMMYFUNCTION("""COMPUTED_VALUE"""),"Glass &amp; Glassware")</f>
        <v>Glass &amp; Glassware</v>
      </c>
      <c r="G422" s="31">
        <f>IFERROR(__xludf.DUMMYFUNCTION("""COMPUTED_VALUE"""),44809.0)</f>
        <v>44809</v>
      </c>
      <c r="H422" s="32">
        <f>IFERROR(__xludf.DUMMYFUNCTION("""COMPUTED_VALUE"""),559.0)</f>
        <v>559</v>
      </c>
      <c r="I422" s="32">
        <f>IFERROR(__xludf.DUMMYFUNCTION("""COMPUTED_VALUE"""),-0.551503)</f>
        <v>-0.551503</v>
      </c>
      <c r="J422" s="32">
        <f>IFERROR(__xludf.DUMMYFUNCTION("""COMPUTED_VALUE"""),289.95)</f>
        <v>289.95</v>
      </c>
      <c r="K422" s="32">
        <f>IFERROR(__xludf.DUMMYFUNCTION("""COMPUTED_VALUE"""),833.35)</f>
        <v>833.35</v>
      </c>
      <c r="L422" s="32">
        <f>IFERROR(__xludf.DUMMYFUNCTION("""COMPUTED_VALUE"""),27.5)</f>
        <v>27.5</v>
      </c>
      <c r="M422" s="32">
        <f>IFERROR(__xludf.DUMMYFUNCTION("""COMPUTED_VALUE"""),833.35)</f>
        <v>833.35</v>
      </c>
      <c r="N422" s="32">
        <f>IFERROR(__xludf.DUMMYFUNCTION("""COMPUTED_VALUE"""),28.0)</f>
        <v>28</v>
      </c>
      <c r="O422" s="32">
        <f>IFERROR(__xludf.DUMMYFUNCTION("""COMPUTED_VALUE"""),833.0)</f>
        <v>833</v>
      </c>
      <c r="P422" s="32">
        <f>IFERROR(__xludf.DUMMYFUNCTION("""COMPUTED_VALUE"""),0.14375)</f>
        <v>0.14375</v>
      </c>
      <c r="Q422" s="32">
        <f>IFERROR(__xludf.DUMMYFUNCTION("""COMPUTED_VALUE"""),833.35)</f>
        <v>833.35</v>
      </c>
      <c r="R422" s="32">
        <f>IFERROR(__xludf.DUMMYFUNCTION("""COMPUTED_VALUE"""),7291.894824495)</f>
        <v>7291.894824</v>
      </c>
      <c r="S422" s="32">
        <f>IFERROR(__xludf.DUMMYFUNCTION("""COMPUTED_VALUE"""),7253.658554615)</f>
        <v>7253.658555</v>
      </c>
      <c r="T422" s="32">
        <f>IFERROR(__xludf.DUMMYFUNCTION("""COMPUTED_VALUE"""),-0.338741)</f>
        <v>-0.338741</v>
      </c>
      <c r="U422" s="32">
        <f>IFERROR(__xludf.DUMMYFUNCTION("""COMPUTED_VALUE"""),-12.279325)</f>
        <v>-12.279325</v>
      </c>
      <c r="V422" s="32">
        <f>IFERROR(__xludf.DUMMYFUNCTION("""COMPUTED_VALUE"""),-16.336152)</f>
        <v>-16.336152</v>
      </c>
      <c r="W422" s="32">
        <f>IFERROR(__xludf.DUMMYFUNCTION("""COMPUTED_VALUE"""),86.488741)</f>
        <v>86.488741</v>
      </c>
      <c r="X422" s="32">
        <f>IFERROR(__xludf.DUMMYFUNCTION("""COMPUTED_VALUE"""),62.198501)</f>
        <v>62.198501</v>
      </c>
      <c r="Y422" s="13"/>
      <c r="Z422" s="13"/>
      <c r="AA422" s="32">
        <f>IFERROR(__xludf.DUMMYFUNCTION("""COMPUTED_VALUE"""),46.6436)</f>
        <v>46.6436</v>
      </c>
      <c r="AB422" s="32">
        <f>IFERROR(__xludf.DUMMYFUNCTION("""COMPUTED_VALUE"""),40.4512)</f>
        <v>40.4512</v>
      </c>
      <c r="AC422" s="32">
        <f>IFERROR(__xludf.DUMMYFUNCTION("""COMPUTED_VALUE"""),8.9626)</f>
        <v>8.9626</v>
      </c>
      <c r="AD422" s="32">
        <f>IFERROR(__xludf.DUMMYFUNCTION("""COMPUTED_VALUE"""),2.8617)</f>
        <v>2.8617</v>
      </c>
      <c r="AE422" s="32">
        <f>IFERROR(__xludf.DUMMYFUNCTION("""COMPUTED_VALUE"""),3.091392)</f>
        <v>3.091392</v>
      </c>
      <c r="AF422" s="32">
        <f>IFERROR(__xludf.DUMMYFUNCTION("""COMPUTED_VALUE"""),8.428645)</f>
        <v>8.428645</v>
      </c>
      <c r="AG422" s="32">
        <f>IFERROR(__xludf.DUMMYFUNCTION("""COMPUTED_VALUE"""),0.0)</f>
        <v>0</v>
      </c>
      <c r="AH422" s="32">
        <f>IFERROR(__xludf.DUMMYFUNCTION("""COMPUTED_VALUE"""),29.23271)</f>
        <v>29.23271</v>
      </c>
      <c r="AI422" s="32">
        <f>IFERROR(__xludf.DUMMYFUNCTION("""COMPUTED_VALUE"""),10.753960270084328)</f>
        <v>10.75396027</v>
      </c>
      <c r="AJ422" s="32">
        <f>IFERROR(__xludf.DUMMYFUNCTION("""COMPUTED_VALUE"""),42.049903693807465)</f>
        <v>42.04990369</v>
      </c>
      <c r="AK422" s="32">
        <f>IFERROR(__xludf.DUMMYFUNCTION("""COMPUTED_VALUE"""),11.9856)</f>
        <v>11.9856</v>
      </c>
      <c r="AL422" s="32">
        <f>IFERROR(__xludf.DUMMYFUNCTION("""COMPUTED_VALUE"""),62.3759)</f>
        <v>62.3759</v>
      </c>
      <c r="AM422" s="32">
        <f>IFERROR(__xludf.DUMMYFUNCTION("""COMPUTED_VALUE"""),13.302942)</f>
        <v>13.302942</v>
      </c>
      <c r="AN422" s="32">
        <f>IFERROR(__xludf.DUMMYFUNCTION("""COMPUTED_VALUE"""),-13.111871)</f>
        <v>-13.111871</v>
      </c>
      <c r="AO422" s="32">
        <f>IFERROR(__xludf.DUMMYFUNCTION("""COMPUTED_VALUE"""),0.0)</f>
        <v>0</v>
      </c>
      <c r="AP422" s="32">
        <f>IFERROR(__xludf.DUMMYFUNCTION("""COMPUTED_VALUE"""),0.3292134157316854)</f>
        <v>0.3292134157</v>
      </c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</row>
    <row r="423">
      <c r="A423" s="13" t="str">
        <f>IFERROR(__xludf.DUMMYFUNCTION("""COMPUTED_VALUE"""),"Central Bank Of India")</f>
        <v>Central Bank Of India</v>
      </c>
      <c r="B423" s="30">
        <f>IFERROR(__xludf.DUMMYFUNCTION("""COMPUTED_VALUE"""),532885.0)</f>
        <v>532885</v>
      </c>
      <c r="C423" s="13" t="str">
        <f>IFERROR(__xludf.DUMMYFUNCTION("""COMPUTED_VALUE"""),"CENTRALBK")</f>
        <v>CENTRALBK</v>
      </c>
      <c r="D423" s="13" t="str">
        <f>IFERROR(__xludf.DUMMYFUNCTION("""COMPUTED_VALUE"""),"INE483A01010")</f>
        <v>INE483A01010</v>
      </c>
      <c r="E423" s="13" t="str">
        <f>IFERROR(__xludf.DUMMYFUNCTION("""COMPUTED_VALUE"""),"Financial")</f>
        <v>Financial</v>
      </c>
      <c r="F423" s="13" t="str">
        <f>IFERROR(__xludf.DUMMYFUNCTION("""COMPUTED_VALUE"""),"Banking")</f>
        <v>Banking</v>
      </c>
      <c r="G423" s="31">
        <f>IFERROR(__xludf.DUMMYFUNCTION("""COMPUTED_VALUE"""),44809.0)</f>
        <v>44809</v>
      </c>
      <c r="H423" s="32">
        <f>IFERROR(__xludf.DUMMYFUNCTION("""COMPUTED_VALUE"""),19.3)</f>
        <v>19.3</v>
      </c>
      <c r="I423" s="32">
        <f>IFERROR(__xludf.DUMMYFUNCTION("""COMPUTED_VALUE"""),1.312336)</f>
        <v>1.312336</v>
      </c>
      <c r="J423" s="32">
        <f>IFERROR(__xludf.DUMMYFUNCTION("""COMPUTED_VALUE"""),16.25)</f>
        <v>16.25</v>
      </c>
      <c r="K423" s="32">
        <f>IFERROR(__xludf.DUMMYFUNCTION("""COMPUTED_VALUE"""),25.15)</f>
        <v>25.15</v>
      </c>
      <c r="L423" s="32">
        <f>IFERROR(__xludf.DUMMYFUNCTION("""COMPUTED_VALUE"""),10.04)</f>
        <v>10.04</v>
      </c>
      <c r="M423" s="32">
        <f>IFERROR(__xludf.DUMMYFUNCTION("""COMPUTED_VALUE"""),29.65)</f>
        <v>29.65</v>
      </c>
      <c r="N423" s="32">
        <f>IFERROR(__xludf.DUMMYFUNCTION("""COMPUTED_VALUE"""),10.04)</f>
        <v>10.04</v>
      </c>
      <c r="O423" s="32">
        <f>IFERROR(__xludf.DUMMYFUNCTION("""COMPUTED_VALUE"""),104.0)</f>
        <v>104</v>
      </c>
      <c r="P423" s="32">
        <f>IFERROR(__xludf.DUMMYFUNCTION("""COMPUTED_VALUE"""),10.04)</f>
        <v>10.04</v>
      </c>
      <c r="Q423" s="32">
        <f>IFERROR(__xludf.DUMMYFUNCTION("""COMPUTED_VALUE"""),212.142961)</f>
        <v>212.142961</v>
      </c>
      <c r="R423" s="32">
        <f>IFERROR(__xludf.DUMMYFUNCTION("""COMPUTED_VALUE"""),16754.21310376)</f>
        <v>16754.2131</v>
      </c>
      <c r="S423" s="32">
        <f>IFERROR(__xludf.DUMMYFUNCTION("""COMPUTED_VALUE"""),-28853.04148488)</f>
        <v>-28853.04148</v>
      </c>
      <c r="T423" s="32">
        <f>IFERROR(__xludf.DUMMYFUNCTION("""COMPUTED_VALUE"""),-1.530612)</f>
        <v>-1.530612</v>
      </c>
      <c r="U423" s="32">
        <f>IFERROR(__xludf.DUMMYFUNCTION("""COMPUTED_VALUE"""),5.177112)</f>
        <v>5.177112</v>
      </c>
      <c r="V423" s="32">
        <f>IFERROR(__xludf.DUMMYFUNCTION("""COMPUTED_VALUE"""),4.607046)</f>
        <v>4.607046</v>
      </c>
      <c r="W423" s="32">
        <f>IFERROR(__xludf.DUMMYFUNCTION("""COMPUTED_VALUE"""),-7.434053)</f>
        <v>-7.434053</v>
      </c>
      <c r="X423" s="32">
        <f>IFERROR(__xludf.DUMMYFUNCTION("""COMPUTED_VALUE"""),0.611903)</f>
        <v>0.611903</v>
      </c>
      <c r="Y423" s="32">
        <f>IFERROR(__xludf.DUMMYFUNCTION("""COMPUTED_VALUE"""),-27.431568)</f>
        <v>-27.431568</v>
      </c>
      <c r="Z423" s="32">
        <f>IFERROR(__xludf.DUMMYFUNCTION("""COMPUTED_VALUE"""),-11.7157)</f>
        <v>-11.7157</v>
      </c>
      <c r="AA423" s="32">
        <f>IFERROR(__xludf.DUMMYFUNCTION("""COMPUTED_VALUE"""),15.253)</f>
        <v>15.253</v>
      </c>
      <c r="AB423" s="32">
        <f>IFERROR(__xludf.DUMMYFUNCTION("""COMPUTED_VALUE"""),14.4038)</f>
        <v>14.4038</v>
      </c>
      <c r="AC423" s="32">
        <f>IFERROR(__xludf.DUMMYFUNCTION("""COMPUTED_VALUE"""),0.6951)</f>
        <v>0.6951</v>
      </c>
      <c r="AD423" s="32">
        <f>IFERROR(__xludf.DUMMYFUNCTION("""COMPUTED_VALUE"""),0.6433)</f>
        <v>0.6433</v>
      </c>
      <c r="AE423" s="32">
        <f>IFERROR(__xludf.DUMMYFUNCTION("""COMPUTED_VALUE"""),-55.237653)</f>
        <v>-55.237653</v>
      </c>
      <c r="AF423" s="32">
        <f>IFERROR(__xludf.DUMMYFUNCTION("""COMPUTED_VALUE"""),2.00051)</f>
        <v>2.00051</v>
      </c>
      <c r="AG423" s="32">
        <f>IFERROR(__xludf.DUMMYFUNCTION("""COMPUTED_VALUE"""),0.0)</f>
        <v>0</v>
      </c>
      <c r="AH423" s="32">
        <f>IFERROR(__xludf.DUMMYFUNCTION("""COMPUTED_VALUE"""),-5.063749)</f>
        <v>-5.063749</v>
      </c>
      <c r="AI423" s="32">
        <f>IFERROR(__xludf.DUMMYFUNCTION("""COMPUTED_VALUE"""),0.7202615634713294)</f>
        <v>0.7202615635</v>
      </c>
      <c r="AJ423" s="32">
        <f>IFERROR(__xludf.DUMMYFUNCTION("""COMPUTED_VALUE"""),1.173547748143634)</f>
        <v>1.173547748</v>
      </c>
      <c r="AK423" s="32">
        <f>IFERROR(__xludf.DUMMYFUNCTION("""COMPUTED_VALUE"""),1.2653)</f>
        <v>1.2653</v>
      </c>
      <c r="AL423" s="32">
        <f>IFERROR(__xludf.DUMMYFUNCTION("""COMPUTED_VALUE"""),27.7663)</f>
        <v>27.7663</v>
      </c>
      <c r="AM423" s="32">
        <f>IFERROR(__xludf.DUMMYFUNCTION("""COMPUTED_VALUE"""),16.445858)</f>
        <v>16.445858</v>
      </c>
      <c r="AN423" s="32">
        <f>IFERROR(__xludf.DUMMYFUNCTION("""COMPUTED_VALUE"""),11.13171)</f>
        <v>11.13171</v>
      </c>
      <c r="AO423" s="32">
        <f>IFERROR(__xludf.DUMMYFUNCTION("""COMPUTED_VALUE"""),0.0)</f>
        <v>0</v>
      </c>
      <c r="AP423" s="32">
        <f>IFERROR(__xludf.DUMMYFUNCTION("""COMPUTED_VALUE"""),0.23260437375745519)</f>
        <v>0.2326043738</v>
      </c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</row>
    <row r="424">
      <c r="A424" s="13" t="str">
        <f>IFERROR(__xludf.DUMMYFUNCTION("""COMPUTED_VALUE"""),"Chalet Hotels Ltd.")</f>
        <v>Chalet Hotels Ltd.</v>
      </c>
      <c r="B424" s="30">
        <f>IFERROR(__xludf.DUMMYFUNCTION("""COMPUTED_VALUE"""),542399.0)</f>
        <v>542399</v>
      </c>
      <c r="C424" s="13" t="str">
        <f>IFERROR(__xludf.DUMMYFUNCTION("""COMPUTED_VALUE"""),"CHALET")</f>
        <v>CHALET</v>
      </c>
      <c r="D424" s="13" t="str">
        <f>IFERROR(__xludf.DUMMYFUNCTION("""COMPUTED_VALUE"""),"INE427F01016")</f>
        <v>INE427F01016</v>
      </c>
      <c r="E424" s="13" t="str">
        <f>IFERROR(__xludf.DUMMYFUNCTION("""COMPUTED_VALUE"""),"Services")</f>
        <v>Services</v>
      </c>
      <c r="F424" s="13" t="str">
        <f>IFERROR(__xludf.DUMMYFUNCTION("""COMPUTED_VALUE"""),"Hotels")</f>
        <v>Hotels</v>
      </c>
      <c r="G424" s="31">
        <f>IFERROR(__xludf.DUMMYFUNCTION("""COMPUTED_VALUE"""),44809.0)</f>
        <v>44809</v>
      </c>
      <c r="H424" s="32">
        <f>IFERROR(__xludf.DUMMYFUNCTION("""COMPUTED_VALUE"""),330.6)</f>
        <v>330.6</v>
      </c>
      <c r="I424" s="32">
        <f>IFERROR(__xludf.DUMMYFUNCTION("""COMPUTED_VALUE"""),-0.451671)</f>
        <v>-0.451671</v>
      </c>
      <c r="J424" s="32">
        <f>IFERROR(__xludf.DUMMYFUNCTION("""COMPUTED_VALUE"""),172.85)</f>
        <v>172.85</v>
      </c>
      <c r="K424" s="32">
        <f>IFERROR(__xludf.DUMMYFUNCTION("""COMPUTED_VALUE"""),361.05)</f>
        <v>361.05</v>
      </c>
      <c r="L424" s="32">
        <f>IFERROR(__xludf.DUMMYFUNCTION("""COMPUTED_VALUE"""),99.0)</f>
        <v>99</v>
      </c>
      <c r="M424" s="32">
        <f>IFERROR(__xludf.DUMMYFUNCTION("""COMPUTED_VALUE"""),402.0)</f>
        <v>402</v>
      </c>
      <c r="N424" s="13"/>
      <c r="O424" s="13"/>
      <c r="P424" s="32">
        <f>IFERROR(__xludf.DUMMYFUNCTION("""COMPUTED_VALUE"""),99.0)</f>
        <v>99</v>
      </c>
      <c r="Q424" s="32">
        <f>IFERROR(__xludf.DUMMYFUNCTION("""COMPUTED_VALUE"""),402.0)</f>
        <v>402</v>
      </c>
      <c r="R424" s="32">
        <f>IFERROR(__xludf.DUMMYFUNCTION("""COMPUTED_VALUE"""),6799.61644956)</f>
        <v>6799.61645</v>
      </c>
      <c r="S424" s="32">
        <f>IFERROR(__xludf.DUMMYFUNCTION("""COMPUTED_VALUE"""),9255.28095528)</f>
        <v>9255.280955</v>
      </c>
      <c r="T424" s="32">
        <f>IFERROR(__xludf.DUMMYFUNCTION("""COMPUTED_VALUE"""),1.240239)</f>
        <v>1.240239</v>
      </c>
      <c r="U424" s="32">
        <f>IFERROR(__xludf.DUMMYFUNCTION("""COMPUTED_VALUE"""),5.555556)</f>
        <v>5.555556</v>
      </c>
      <c r="V424" s="32">
        <f>IFERROR(__xludf.DUMMYFUNCTION("""COMPUTED_VALUE"""),11.406908)</f>
        <v>11.406908</v>
      </c>
      <c r="W424" s="32">
        <f>IFERROR(__xludf.DUMMYFUNCTION("""COMPUTED_VALUE"""),85.158219)</f>
        <v>85.158219</v>
      </c>
      <c r="X424" s="32">
        <f>IFERROR(__xludf.DUMMYFUNCTION("""COMPUTED_VALUE"""),4.729899)</f>
        <v>4.729899</v>
      </c>
      <c r="Y424" s="13"/>
      <c r="Z424" s="13"/>
      <c r="AA424" s="13"/>
      <c r="AB424" s="32">
        <f>IFERROR(__xludf.DUMMYFUNCTION("""COMPUTED_VALUE"""),57.6652)</f>
        <v>57.6652</v>
      </c>
      <c r="AC424" s="32">
        <f>IFERROR(__xludf.DUMMYFUNCTION("""COMPUTED_VALUE"""),4.9726)</f>
        <v>4.9726</v>
      </c>
      <c r="AD424" s="32">
        <f>IFERROR(__xludf.DUMMYFUNCTION("""COMPUTED_VALUE"""),2.83595)</f>
        <v>2.83595</v>
      </c>
      <c r="AE424" s="32">
        <f>IFERROR(__xludf.DUMMYFUNCTION("""COMPUTED_VALUE"""),1.472229)</f>
        <v>1.472229</v>
      </c>
      <c r="AF424" s="13"/>
      <c r="AG424" s="32">
        <f>IFERROR(__xludf.DUMMYFUNCTION("""COMPUTED_VALUE"""),0.0)</f>
        <v>0</v>
      </c>
      <c r="AH424" s="32">
        <f>IFERROR(__xludf.DUMMYFUNCTION("""COMPUTED_VALUE"""),39.944071)</f>
        <v>39.944071</v>
      </c>
      <c r="AI424" s="32">
        <f>IFERROR(__xludf.DUMMYFUNCTION("""COMPUTED_VALUE"""),9.803778487797212)</f>
        <v>9.803778488</v>
      </c>
      <c r="AJ424" s="32">
        <f>IFERROR(__xludf.DUMMYFUNCTION("""COMPUTED_VALUE"""),109.2834530626808)</f>
        <v>109.2834531</v>
      </c>
      <c r="AK424" s="32">
        <f>IFERROR(__xludf.DUMMYFUNCTION("""COMPUTED_VALUE"""),-0.5524)</f>
        <v>-0.5524</v>
      </c>
      <c r="AL424" s="32">
        <f>IFERROR(__xludf.DUMMYFUNCTION("""COMPUTED_VALUE"""),66.696)</f>
        <v>66.696</v>
      </c>
      <c r="AM424" s="32">
        <f>IFERROR(__xludf.DUMMYFUNCTION("""COMPUTED_VALUE"""),3.034767)</f>
        <v>3.034767</v>
      </c>
      <c r="AN424" s="32">
        <f>IFERROR(__xludf.DUMMYFUNCTION("""COMPUTED_VALUE"""),-2.112777)</f>
        <v>-2.112777</v>
      </c>
      <c r="AO424" s="32">
        <f>IFERROR(__xludf.DUMMYFUNCTION("""COMPUTED_VALUE"""),0.0)</f>
        <v>0</v>
      </c>
      <c r="AP424" s="32">
        <f>IFERROR(__xludf.DUMMYFUNCTION("""COMPUTED_VALUE"""),0.08433734939759033)</f>
        <v>0.0843373494</v>
      </c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</row>
    <row r="425">
      <c r="A425" s="13" t="str">
        <f>IFERROR(__xludf.DUMMYFUNCTION("""COMPUTED_VALUE"""),"Chemplast Sanmar Ltd.")</f>
        <v>Chemplast Sanmar Ltd.</v>
      </c>
      <c r="B425" s="30">
        <f>IFERROR(__xludf.DUMMYFUNCTION("""COMPUTED_VALUE"""),543336.0)</f>
        <v>543336</v>
      </c>
      <c r="C425" s="13" t="str">
        <f>IFERROR(__xludf.DUMMYFUNCTION("""COMPUTED_VALUE"""),"CHEMPLASTS")</f>
        <v>CHEMPLASTS</v>
      </c>
      <c r="D425" s="13" t="str">
        <f>IFERROR(__xludf.DUMMYFUNCTION("""COMPUTED_VALUE"""),"INE488A01050")</f>
        <v>INE488A01050</v>
      </c>
      <c r="E425" s="13" t="str">
        <f>IFERROR(__xludf.DUMMYFUNCTION("""COMPUTED_VALUE"""),"Chemicals")</f>
        <v>Chemicals</v>
      </c>
      <c r="F425" s="13" t="str">
        <f>IFERROR(__xludf.DUMMYFUNCTION("""COMPUTED_VALUE"""),"Thermoplastics")</f>
        <v>Thermoplastics</v>
      </c>
      <c r="G425" s="31">
        <f>IFERROR(__xludf.DUMMYFUNCTION("""COMPUTED_VALUE"""),44809.0)</f>
        <v>44809</v>
      </c>
      <c r="H425" s="32">
        <f>IFERROR(__xludf.DUMMYFUNCTION("""COMPUTED_VALUE"""),415.5)</f>
        <v>415.5</v>
      </c>
      <c r="I425" s="32">
        <f>IFERROR(__xludf.DUMMYFUNCTION("""COMPUTED_VALUE"""),-1.703336)</f>
        <v>-1.703336</v>
      </c>
      <c r="J425" s="32">
        <f>IFERROR(__xludf.DUMMYFUNCTION("""COMPUTED_VALUE"""),382.7)</f>
        <v>382.7</v>
      </c>
      <c r="K425" s="32">
        <f>IFERROR(__xludf.DUMMYFUNCTION("""COMPUTED_VALUE"""),826.35)</f>
        <v>826.35</v>
      </c>
      <c r="L425" s="13"/>
      <c r="M425" s="13"/>
      <c r="N425" s="13"/>
      <c r="O425" s="13"/>
      <c r="P425" s="32">
        <f>IFERROR(__xludf.DUMMYFUNCTION("""COMPUTED_VALUE"""),382.4)</f>
        <v>382.4</v>
      </c>
      <c r="Q425" s="32">
        <f>IFERROR(__xludf.DUMMYFUNCTION("""COMPUTED_VALUE"""),826.35)</f>
        <v>826.35</v>
      </c>
      <c r="R425" s="32">
        <f>IFERROR(__xludf.DUMMYFUNCTION("""COMPUTED_VALUE"""),6632.6966293)</f>
        <v>6632.696629</v>
      </c>
      <c r="S425" s="32">
        <f>IFERROR(__xludf.DUMMYFUNCTION("""COMPUTED_VALUE"""),6353.42504937)</f>
        <v>6353.425049</v>
      </c>
      <c r="T425" s="32">
        <f>IFERROR(__xludf.DUMMYFUNCTION("""COMPUTED_VALUE"""),-1.540284)</f>
        <v>-1.540284</v>
      </c>
      <c r="U425" s="32">
        <f>IFERROR(__xludf.DUMMYFUNCTION("""COMPUTED_VALUE"""),-14.488578)</f>
        <v>-14.488578</v>
      </c>
      <c r="V425" s="32">
        <f>IFERROR(__xludf.DUMMYFUNCTION("""COMPUTED_VALUE"""),-12.323275)</f>
        <v>-12.323275</v>
      </c>
      <c r="W425" s="32">
        <f>IFERROR(__xludf.DUMMYFUNCTION("""COMPUTED_VALUE"""),-31.542961)</f>
        <v>-31.542961</v>
      </c>
      <c r="X425" s="13"/>
      <c r="Y425" s="13"/>
      <c r="Z425" s="13"/>
      <c r="AA425" s="32">
        <f>IFERROR(__xludf.DUMMYFUNCTION("""COMPUTED_VALUE"""),10.043)</f>
        <v>10.043</v>
      </c>
      <c r="AB425" s="32">
        <f>IFERROR(__xludf.DUMMYFUNCTION("""COMPUTED_VALUE"""),21.467)</f>
        <v>21.467</v>
      </c>
      <c r="AC425" s="32">
        <f>IFERROR(__xludf.DUMMYFUNCTION("""COMPUTED_VALUE"""),59.2063)</f>
        <v>59.2063</v>
      </c>
      <c r="AD425" s="32">
        <f>IFERROR(__xludf.DUMMYFUNCTION("""COMPUTED_VALUE"""),4.44485)</f>
        <v>4.44485</v>
      </c>
      <c r="AE425" s="32">
        <f>IFERROR(__xludf.DUMMYFUNCTION("""COMPUTED_VALUE"""),19.216039)</f>
        <v>19.216039</v>
      </c>
      <c r="AF425" s="32">
        <f>IFERROR(__xludf.DUMMYFUNCTION("""COMPUTED_VALUE"""),0.493276)</f>
        <v>0.493276</v>
      </c>
      <c r="AG425" s="32">
        <f>IFERROR(__xludf.DUMMYFUNCTION("""COMPUTED_VALUE"""),0.0)</f>
        <v>0</v>
      </c>
      <c r="AH425" s="32">
        <f>IFERROR(__xludf.DUMMYFUNCTION("""COMPUTED_VALUE"""),4.890598)</f>
        <v>4.890598</v>
      </c>
      <c r="AI425" s="32">
        <f>IFERROR(__xludf.DUMMYFUNCTION("""COMPUTED_VALUE"""),1.0467164345468518)</f>
        <v>1.046716435</v>
      </c>
      <c r="AJ425" s="32">
        <f>IFERROR(__xludf.DUMMYFUNCTION("""COMPUTED_VALUE"""),7.361834837067696)</f>
        <v>7.361834837</v>
      </c>
      <c r="AK425" s="32">
        <f>IFERROR(__xludf.DUMMYFUNCTION("""COMPUTED_VALUE"""),41.7704)</f>
        <v>41.7704</v>
      </c>
      <c r="AL425" s="32">
        <f>IFERROR(__xludf.DUMMYFUNCTION("""COMPUTED_VALUE"""),7.0854)</f>
        <v>7.0854</v>
      </c>
      <c r="AM425" s="32">
        <f>IFERROR(__xludf.DUMMYFUNCTION("""COMPUTED_VALUE"""),56.982923)</f>
        <v>56.982923</v>
      </c>
      <c r="AN425" s="32">
        <f>IFERROR(__xludf.DUMMYFUNCTION("""COMPUTED_VALUE"""),33.653216)</f>
        <v>33.653216</v>
      </c>
      <c r="AO425" s="32">
        <f>IFERROR(__xludf.DUMMYFUNCTION("""COMPUTED_VALUE"""),0.0)</f>
        <v>0</v>
      </c>
      <c r="AP425" s="32">
        <f>IFERROR(__xludf.DUMMYFUNCTION("""COMPUTED_VALUE"""),0.49718642221818843)</f>
        <v>0.4971864222</v>
      </c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</row>
    <row r="426">
      <c r="A426" s="13" t="str">
        <f>IFERROR(__xludf.DUMMYFUNCTION("""COMPUTED_VALUE"""),"CreditAccess Grameen Ltd.")</f>
        <v>CreditAccess Grameen Ltd.</v>
      </c>
      <c r="B426" s="30">
        <f>IFERROR(__xludf.DUMMYFUNCTION("""COMPUTED_VALUE"""),541770.0)</f>
        <v>541770</v>
      </c>
      <c r="C426" s="13" t="str">
        <f>IFERROR(__xludf.DUMMYFUNCTION("""COMPUTED_VALUE"""),"CREDITACC")</f>
        <v>CREDITACC</v>
      </c>
      <c r="D426" s="13" t="str">
        <f>IFERROR(__xludf.DUMMYFUNCTION("""COMPUTED_VALUE"""),"INE741K01010")</f>
        <v>INE741K01010</v>
      </c>
      <c r="E426" s="13" t="str">
        <f>IFERROR(__xludf.DUMMYFUNCTION("""COMPUTED_VALUE"""),"Financial")</f>
        <v>Financial</v>
      </c>
      <c r="F426" s="13" t="str">
        <f>IFERROR(__xludf.DUMMYFUNCTION("""COMPUTED_VALUE"""),"Misc. Fin.services")</f>
        <v>Misc. Fin.services</v>
      </c>
      <c r="G426" s="31">
        <f>IFERROR(__xludf.DUMMYFUNCTION("""COMPUTED_VALUE"""),44809.0)</f>
        <v>44809</v>
      </c>
      <c r="H426" s="32">
        <f>IFERROR(__xludf.DUMMYFUNCTION("""COMPUTED_VALUE"""),1017.15)</f>
        <v>1017.15</v>
      </c>
      <c r="I426" s="32">
        <f>IFERROR(__xludf.DUMMYFUNCTION("""COMPUTED_VALUE"""),2.174787)</f>
        <v>2.174787</v>
      </c>
      <c r="J426" s="32">
        <f>IFERROR(__xludf.DUMMYFUNCTION("""COMPUTED_VALUE"""),494.7)</f>
        <v>494.7</v>
      </c>
      <c r="K426" s="32">
        <f>IFERROR(__xludf.DUMMYFUNCTION("""COMPUTED_VALUE"""),1154.35)</f>
        <v>1154.35</v>
      </c>
      <c r="L426" s="32">
        <f>IFERROR(__xludf.DUMMYFUNCTION("""COMPUTED_VALUE"""),305.2)</f>
        <v>305.2</v>
      </c>
      <c r="M426" s="32">
        <f>IFERROR(__xludf.DUMMYFUNCTION("""COMPUTED_VALUE"""),1154.35)</f>
        <v>1154.35</v>
      </c>
      <c r="N426" s="13"/>
      <c r="O426" s="13"/>
      <c r="P426" s="32">
        <f>IFERROR(__xludf.DUMMYFUNCTION("""COMPUTED_VALUE"""),242.05)</f>
        <v>242.05</v>
      </c>
      <c r="Q426" s="32">
        <f>IFERROR(__xludf.DUMMYFUNCTION("""COMPUTED_VALUE"""),1154.35)</f>
        <v>1154.35</v>
      </c>
      <c r="R426" s="32">
        <f>IFERROR(__xludf.DUMMYFUNCTION("""COMPUTED_VALUE"""),15754.928592)</f>
        <v>15754.92859</v>
      </c>
      <c r="S426" s="32">
        <f>IFERROR(__xludf.DUMMYFUNCTION("""COMPUTED_VALUE"""),26670.88514048)</f>
        <v>26670.88514</v>
      </c>
      <c r="T426" s="32">
        <f>IFERROR(__xludf.DUMMYFUNCTION("""COMPUTED_VALUE"""),1.588015)</f>
        <v>1.588015</v>
      </c>
      <c r="U426" s="32">
        <f>IFERROR(__xludf.DUMMYFUNCTION("""COMPUTED_VALUE"""),2.442341)</f>
        <v>2.442341</v>
      </c>
      <c r="V426" s="32">
        <f>IFERROR(__xludf.DUMMYFUNCTION("""COMPUTED_VALUE"""),-5.91092)</f>
        <v>-5.91092</v>
      </c>
      <c r="W426" s="32">
        <f>IFERROR(__xludf.DUMMYFUNCTION("""COMPUTED_VALUE"""),49.536901)</f>
        <v>49.536901</v>
      </c>
      <c r="X426" s="32">
        <f>IFERROR(__xludf.DUMMYFUNCTION("""COMPUTED_VALUE"""),21.442597)</f>
        <v>21.442597</v>
      </c>
      <c r="Y426" s="13"/>
      <c r="Z426" s="13"/>
      <c r="AA426" s="32">
        <f>IFERROR(__xludf.DUMMYFUNCTION("""COMPUTED_VALUE"""),32.9312)</f>
        <v>32.9312</v>
      </c>
      <c r="AB426" s="32">
        <f>IFERROR(__xludf.DUMMYFUNCTION("""COMPUTED_VALUE"""),41.814)</f>
        <v>41.814</v>
      </c>
      <c r="AC426" s="32">
        <f>IFERROR(__xludf.DUMMYFUNCTION("""COMPUTED_VALUE"""),3.8374)</f>
        <v>3.8374</v>
      </c>
      <c r="AD426" s="32">
        <f>IFERROR(__xludf.DUMMYFUNCTION("""COMPUTED_VALUE"""),3.07065)</f>
        <v>3.07065</v>
      </c>
      <c r="AE426" s="32">
        <f>IFERROR(__xludf.DUMMYFUNCTION("""COMPUTED_VALUE"""),6.355486)</f>
        <v>6.355486</v>
      </c>
      <c r="AF426" s="32">
        <f>IFERROR(__xludf.DUMMYFUNCTION("""COMPUTED_VALUE"""),5.581362)</f>
        <v>5.581362</v>
      </c>
      <c r="AG426" s="32">
        <f>IFERROR(__xludf.DUMMYFUNCTION("""COMPUTED_VALUE"""),0.0)</f>
        <v>0</v>
      </c>
      <c r="AH426" s="32">
        <f>IFERROR(__xludf.DUMMYFUNCTION("""COMPUTED_VALUE"""),15.656246)</f>
        <v>15.656246</v>
      </c>
      <c r="AI426" s="32">
        <f>IFERROR(__xludf.DUMMYFUNCTION("""COMPUTED_VALUE"""),5.613648332822621)</f>
        <v>5.613648333</v>
      </c>
      <c r="AJ426" s="32">
        <f>IFERROR(__xludf.DUMMYFUNCTION("""COMPUTED_VALUE"""),-5.804331289374213)</f>
        <v>-5.804331289</v>
      </c>
      <c r="AK426" s="32">
        <f>IFERROR(__xludf.DUMMYFUNCTION("""COMPUTED_VALUE"""),30.67)</f>
        <v>30.67</v>
      </c>
      <c r="AL426" s="32">
        <f>IFERROR(__xludf.DUMMYFUNCTION("""COMPUTED_VALUE"""),263.198)</f>
        <v>263.198</v>
      </c>
      <c r="AM426" s="32">
        <f>IFERROR(__xludf.DUMMYFUNCTION("""COMPUTED_VALUE"""),-174.141272)</f>
        <v>-174.141272</v>
      </c>
      <c r="AN426" s="32">
        <f>IFERROR(__xludf.DUMMYFUNCTION("""COMPUTED_VALUE"""),-208.761147)</f>
        <v>-208.761147</v>
      </c>
      <c r="AO426" s="32">
        <f>IFERROR(__xludf.DUMMYFUNCTION("""COMPUTED_VALUE"""),0.0)</f>
        <v>0</v>
      </c>
      <c r="AP426" s="32">
        <f>IFERROR(__xludf.DUMMYFUNCTION("""COMPUTED_VALUE"""),0.11885476675185164)</f>
        <v>0.1188547668</v>
      </c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</row>
    <row r="427">
      <c r="A427" s="13" t="str">
        <f>IFERROR(__xludf.DUMMYFUNCTION("""COMPUTED_VALUE"""),"CSB Bank Ltd.")</f>
        <v>CSB Bank Ltd.</v>
      </c>
      <c r="B427" s="30">
        <f>IFERROR(__xludf.DUMMYFUNCTION("""COMPUTED_VALUE"""),542867.0)</f>
        <v>542867</v>
      </c>
      <c r="C427" s="13" t="str">
        <f>IFERROR(__xludf.DUMMYFUNCTION("""COMPUTED_VALUE"""),"CSBBANK")</f>
        <v>CSBBANK</v>
      </c>
      <c r="D427" s="13" t="str">
        <f>IFERROR(__xludf.DUMMYFUNCTION("""COMPUTED_VALUE"""),"INE679A01013")</f>
        <v>INE679A01013</v>
      </c>
      <c r="E427" s="13" t="str">
        <f>IFERROR(__xludf.DUMMYFUNCTION("""COMPUTED_VALUE"""),"Financial")</f>
        <v>Financial</v>
      </c>
      <c r="F427" s="13" t="str">
        <f>IFERROR(__xludf.DUMMYFUNCTION("""COMPUTED_VALUE"""),"Banking")</f>
        <v>Banking</v>
      </c>
      <c r="G427" s="31">
        <f>IFERROR(__xludf.DUMMYFUNCTION("""COMPUTED_VALUE"""),44809.0)</f>
        <v>44809</v>
      </c>
      <c r="H427" s="32">
        <f>IFERROR(__xludf.DUMMYFUNCTION("""COMPUTED_VALUE"""),222.25)</f>
        <v>222.25</v>
      </c>
      <c r="I427" s="32">
        <f>IFERROR(__xludf.DUMMYFUNCTION("""COMPUTED_VALUE"""),2.941176)</f>
        <v>2.941176</v>
      </c>
      <c r="J427" s="32">
        <f>IFERROR(__xludf.DUMMYFUNCTION("""COMPUTED_VALUE"""),178.0)</f>
        <v>178</v>
      </c>
      <c r="K427" s="32">
        <f>IFERROR(__xludf.DUMMYFUNCTION("""COMPUTED_VALUE"""),355.0)</f>
        <v>355</v>
      </c>
      <c r="L427" s="13"/>
      <c r="M427" s="13"/>
      <c r="N427" s="13"/>
      <c r="O427" s="13"/>
      <c r="P427" s="32">
        <f>IFERROR(__xludf.DUMMYFUNCTION("""COMPUTED_VALUE"""),95.0)</f>
        <v>95</v>
      </c>
      <c r="Q427" s="32">
        <f>IFERROR(__xludf.DUMMYFUNCTION("""COMPUTED_VALUE"""),374.0)</f>
        <v>374</v>
      </c>
      <c r="R427" s="32">
        <f>IFERROR(__xludf.DUMMYFUNCTION("""COMPUTED_VALUE"""),3851.3853594)</f>
        <v>3851.385359</v>
      </c>
      <c r="S427" s="32">
        <f>IFERROR(__xludf.DUMMYFUNCTION("""COMPUTED_VALUE"""),3461.748350605)</f>
        <v>3461.748351</v>
      </c>
      <c r="T427" s="32">
        <f>IFERROR(__xludf.DUMMYFUNCTION("""COMPUTED_VALUE"""),9.455799)</f>
        <v>9.455799</v>
      </c>
      <c r="U427" s="32">
        <f>IFERROR(__xludf.DUMMYFUNCTION("""COMPUTED_VALUE"""),7.496977)</f>
        <v>7.496977</v>
      </c>
      <c r="V427" s="32">
        <f>IFERROR(__xludf.DUMMYFUNCTION("""COMPUTED_VALUE"""),19.940637)</f>
        <v>19.940637</v>
      </c>
      <c r="W427" s="32">
        <f>IFERROR(__xludf.DUMMYFUNCTION("""COMPUTED_VALUE"""),-26.382908)</f>
        <v>-26.382908</v>
      </c>
      <c r="X427" s="13"/>
      <c r="Y427" s="13"/>
      <c r="Z427" s="13"/>
      <c r="AA427" s="32">
        <f>IFERROR(__xludf.DUMMYFUNCTION("""COMPUTED_VALUE"""),7.5221)</f>
        <v>7.5221</v>
      </c>
      <c r="AB427" s="32">
        <f>IFERROR(__xludf.DUMMYFUNCTION("""COMPUTED_VALUE"""),10.3658)</f>
        <v>10.3658</v>
      </c>
      <c r="AC427" s="32">
        <f>IFERROR(__xludf.DUMMYFUNCTION("""COMPUTED_VALUE"""),1.4741)</f>
        <v>1.4741</v>
      </c>
      <c r="AD427" s="32">
        <f>IFERROR(__xludf.DUMMYFUNCTION("""COMPUTED_VALUE"""),1.6314)</f>
        <v>1.6314</v>
      </c>
      <c r="AE427" s="32">
        <f>IFERROR(__xludf.DUMMYFUNCTION("""COMPUTED_VALUE"""),31.240129)</f>
        <v>31.240129</v>
      </c>
      <c r="AF427" s="32">
        <f>IFERROR(__xludf.DUMMYFUNCTION("""COMPUTED_VALUE"""),0.44687)</f>
        <v>0.44687</v>
      </c>
      <c r="AG427" s="32">
        <f>IFERROR(__xludf.DUMMYFUNCTION("""COMPUTED_VALUE"""),0.0)</f>
        <v>0</v>
      </c>
      <c r="AH427" s="32">
        <f>IFERROR(__xludf.DUMMYFUNCTION("""COMPUTED_VALUE"""),5.830804)</f>
        <v>5.830804</v>
      </c>
      <c r="AI427" s="32">
        <f>IFERROR(__xludf.DUMMYFUNCTION("""COMPUTED_VALUE"""),1.8525271210539733)</f>
        <v>1.852527121</v>
      </c>
      <c r="AJ427" s="32">
        <f>IFERROR(__xludf.DUMMYFUNCTION("""COMPUTED_VALUE"""),2.8034615314176103)</f>
        <v>2.803461531</v>
      </c>
      <c r="AK427" s="32">
        <f>IFERROR(__xludf.DUMMYFUNCTION("""COMPUTED_VALUE"""),29.5131)</f>
        <v>29.5131</v>
      </c>
      <c r="AL427" s="32">
        <f>IFERROR(__xludf.DUMMYFUNCTION("""COMPUTED_VALUE"""),150.5971)</f>
        <v>150.5971</v>
      </c>
      <c r="AM427" s="32">
        <f>IFERROR(__xludf.DUMMYFUNCTION("""COMPUTED_VALUE"""),79.18783)</f>
        <v>79.18783</v>
      </c>
      <c r="AN427" s="32">
        <f>IFERROR(__xludf.DUMMYFUNCTION("""COMPUTED_VALUE"""),54.094917)</f>
        <v>54.094917</v>
      </c>
      <c r="AO427" s="32">
        <f>IFERROR(__xludf.DUMMYFUNCTION("""COMPUTED_VALUE"""),0.0)</f>
        <v>0</v>
      </c>
      <c r="AP427" s="32">
        <f>IFERROR(__xludf.DUMMYFUNCTION("""COMPUTED_VALUE"""),0.373943661971831)</f>
        <v>0.373943662</v>
      </c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</row>
    <row r="428">
      <c r="A428" s="13" t="str">
        <f>IFERROR(__xludf.DUMMYFUNCTION("""COMPUTED_VALUE"""),"Devyani International Ltd.")</f>
        <v>Devyani International Ltd.</v>
      </c>
      <c r="B428" s="30">
        <f>IFERROR(__xludf.DUMMYFUNCTION("""COMPUTED_VALUE"""),543330.0)</f>
        <v>543330</v>
      </c>
      <c r="C428" s="13" t="str">
        <f>IFERROR(__xludf.DUMMYFUNCTION("""COMPUTED_VALUE"""),"DEVYANI")</f>
        <v>DEVYANI</v>
      </c>
      <c r="D428" s="13" t="str">
        <f>IFERROR(__xludf.DUMMYFUNCTION("""COMPUTED_VALUE"""),"INE872J01023")</f>
        <v>INE872J01023</v>
      </c>
      <c r="E428" s="13" t="str">
        <f>IFERROR(__xludf.DUMMYFUNCTION("""COMPUTED_VALUE"""),"Services")</f>
        <v>Services</v>
      </c>
      <c r="F428" s="13" t="str">
        <f>IFERROR(__xludf.DUMMYFUNCTION("""COMPUTED_VALUE"""),"Restaurants")</f>
        <v>Restaurants</v>
      </c>
      <c r="G428" s="31">
        <f>IFERROR(__xludf.DUMMYFUNCTION("""COMPUTED_VALUE"""),44809.0)</f>
        <v>44809</v>
      </c>
      <c r="H428" s="32">
        <f>IFERROR(__xludf.DUMMYFUNCTION("""COMPUTED_VALUE"""),185.5)</f>
        <v>185.5</v>
      </c>
      <c r="I428" s="32">
        <f>IFERROR(__xludf.DUMMYFUNCTION("""COMPUTED_VALUE"""),1.923077)</f>
        <v>1.923077</v>
      </c>
      <c r="J428" s="32">
        <f>IFERROR(__xludf.DUMMYFUNCTION("""COMPUTED_VALUE"""),111.85)</f>
        <v>111.85</v>
      </c>
      <c r="K428" s="32">
        <f>IFERROR(__xludf.DUMMYFUNCTION("""COMPUTED_VALUE"""),215.0)</f>
        <v>215</v>
      </c>
      <c r="L428" s="13"/>
      <c r="M428" s="13"/>
      <c r="N428" s="13"/>
      <c r="O428" s="13"/>
      <c r="P428" s="32">
        <f>IFERROR(__xludf.DUMMYFUNCTION("""COMPUTED_VALUE"""),107.55)</f>
        <v>107.55</v>
      </c>
      <c r="Q428" s="32">
        <f>IFERROR(__xludf.DUMMYFUNCTION("""COMPUTED_VALUE"""),215.0)</f>
        <v>215</v>
      </c>
      <c r="R428" s="32">
        <f>IFERROR(__xludf.DUMMYFUNCTION("""COMPUTED_VALUE"""),22359.90717568)</f>
        <v>22359.90718</v>
      </c>
      <c r="S428" s="32">
        <f>IFERROR(__xludf.DUMMYFUNCTION("""COMPUTED_VALUE"""),21992.8000796)</f>
        <v>21992.80008</v>
      </c>
      <c r="T428" s="32">
        <f>IFERROR(__xludf.DUMMYFUNCTION("""COMPUTED_VALUE"""),0.134953)</f>
        <v>0.134953</v>
      </c>
      <c r="U428" s="32">
        <f>IFERROR(__xludf.DUMMYFUNCTION("""COMPUTED_VALUE"""),0.596529)</f>
        <v>0.596529</v>
      </c>
      <c r="V428" s="32">
        <f>IFERROR(__xludf.DUMMYFUNCTION("""COMPUTED_VALUE"""),13.873542)</f>
        <v>13.873542</v>
      </c>
      <c r="W428" s="32">
        <f>IFERROR(__xludf.DUMMYFUNCTION("""COMPUTED_VALUE"""),46.178093)</f>
        <v>46.178093</v>
      </c>
      <c r="X428" s="13"/>
      <c r="Y428" s="13"/>
      <c r="Z428" s="13"/>
      <c r="AA428" s="32">
        <f>IFERROR(__xludf.DUMMYFUNCTION("""COMPUTED_VALUE"""),86.3104)</f>
        <v>86.3104</v>
      </c>
      <c r="AB428" s="32">
        <f>IFERROR(__xludf.DUMMYFUNCTION("""COMPUTED_VALUE"""),118.9432)</f>
        <v>118.9432</v>
      </c>
      <c r="AC428" s="32">
        <f>IFERROR(__xludf.DUMMYFUNCTION("""COMPUTED_VALUE"""),29.5516)</f>
        <v>29.5516</v>
      </c>
      <c r="AD428" s="32">
        <f>IFERROR(__xludf.DUMMYFUNCTION("""COMPUTED_VALUE"""),30.9533)</f>
        <v>30.9533</v>
      </c>
      <c r="AE428" s="32">
        <f>IFERROR(__xludf.DUMMYFUNCTION("""COMPUTED_VALUE"""),1.713687)</f>
        <v>1.713687</v>
      </c>
      <c r="AF428" s="32">
        <f>IFERROR(__xludf.DUMMYFUNCTION("""COMPUTED_VALUE"""),0.001599)</f>
        <v>0.001599</v>
      </c>
      <c r="AG428" s="32">
        <f>IFERROR(__xludf.DUMMYFUNCTION("""COMPUTED_VALUE"""),0.0)</f>
        <v>0</v>
      </c>
      <c r="AH428" s="32">
        <f>IFERROR(__xludf.DUMMYFUNCTION("""COMPUTED_VALUE"""),36.609515)</f>
        <v>36.609515</v>
      </c>
      <c r="AI428" s="32">
        <f>IFERROR(__xludf.DUMMYFUNCTION("""COMPUTED_VALUE"""),9.179019193786484)</f>
        <v>9.179019194</v>
      </c>
      <c r="AJ428" s="32">
        <f>IFERROR(__xludf.DUMMYFUNCTION("""COMPUTED_VALUE"""),49.623730662932296)</f>
        <v>49.62373066</v>
      </c>
      <c r="AK428" s="32">
        <f>IFERROR(__xludf.DUMMYFUNCTION("""COMPUTED_VALUE"""),2.1504)</f>
        <v>2.1504</v>
      </c>
      <c r="AL428" s="32">
        <f>IFERROR(__xludf.DUMMYFUNCTION("""COMPUTED_VALUE"""),6.2805)</f>
        <v>6.2805</v>
      </c>
      <c r="AM428" s="32">
        <f>IFERROR(__xludf.DUMMYFUNCTION("""COMPUTED_VALUE"""),3.740135)</f>
        <v>3.740135</v>
      </c>
      <c r="AN428" s="32">
        <f>IFERROR(__xludf.DUMMYFUNCTION("""COMPUTED_VALUE"""),0.717026)</f>
        <v>0.717026</v>
      </c>
      <c r="AO428" s="32">
        <f>IFERROR(__xludf.DUMMYFUNCTION("""COMPUTED_VALUE"""),0.0)</f>
        <v>0</v>
      </c>
      <c r="AP428" s="32">
        <f>IFERROR(__xludf.DUMMYFUNCTION("""COMPUTED_VALUE"""),0.1372093023255814)</f>
        <v>0.1372093023</v>
      </c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</row>
    <row r="429">
      <c r="A429" s="13" t="str">
        <f>IFERROR(__xludf.DUMMYFUNCTION("""COMPUTED_VALUE"""),"EIH Ltd.")</f>
        <v>EIH Ltd.</v>
      </c>
      <c r="B429" s="30">
        <f>IFERROR(__xludf.DUMMYFUNCTION("""COMPUTED_VALUE"""),500840.0)</f>
        <v>500840</v>
      </c>
      <c r="C429" s="13" t="str">
        <f>IFERROR(__xludf.DUMMYFUNCTION("""COMPUTED_VALUE"""),"EIHOTEL")</f>
        <v>EIHOTEL</v>
      </c>
      <c r="D429" s="13" t="str">
        <f>IFERROR(__xludf.DUMMYFUNCTION("""COMPUTED_VALUE"""),"INE230A01023")</f>
        <v>INE230A01023</v>
      </c>
      <c r="E429" s="13" t="str">
        <f>IFERROR(__xludf.DUMMYFUNCTION("""COMPUTED_VALUE"""),"Services")</f>
        <v>Services</v>
      </c>
      <c r="F429" s="13" t="str">
        <f>IFERROR(__xludf.DUMMYFUNCTION("""COMPUTED_VALUE"""),"Hotels")</f>
        <v>Hotels</v>
      </c>
      <c r="G429" s="31">
        <f>IFERROR(__xludf.DUMMYFUNCTION("""COMPUTED_VALUE"""),44809.0)</f>
        <v>44809</v>
      </c>
      <c r="H429" s="32">
        <f>IFERROR(__xludf.DUMMYFUNCTION("""COMPUTED_VALUE"""),184.15)</f>
        <v>184.15</v>
      </c>
      <c r="I429" s="32">
        <f>IFERROR(__xludf.DUMMYFUNCTION("""COMPUTED_VALUE"""),-2.021814)</f>
        <v>-2.021814</v>
      </c>
      <c r="J429" s="32">
        <f>IFERROR(__xludf.DUMMYFUNCTION("""COMPUTED_VALUE"""),104.0)</f>
        <v>104</v>
      </c>
      <c r="K429" s="32">
        <f>IFERROR(__xludf.DUMMYFUNCTION("""COMPUTED_VALUE"""),192.0)</f>
        <v>192</v>
      </c>
      <c r="L429" s="32">
        <f>IFERROR(__xludf.DUMMYFUNCTION("""COMPUTED_VALUE"""),53.648739)</f>
        <v>53.648739</v>
      </c>
      <c r="M429" s="32">
        <f>IFERROR(__xludf.DUMMYFUNCTION("""COMPUTED_VALUE"""),192.0)</f>
        <v>192</v>
      </c>
      <c r="N429" s="32">
        <f>IFERROR(__xludf.DUMMYFUNCTION("""COMPUTED_VALUE"""),53.648739)</f>
        <v>53.648739</v>
      </c>
      <c r="O429" s="32">
        <f>IFERROR(__xludf.DUMMYFUNCTION("""COMPUTED_VALUE"""),227.158205)</f>
        <v>227.158205</v>
      </c>
      <c r="P429" s="32">
        <f>IFERROR(__xludf.DUMMYFUNCTION("""COMPUTED_VALUE"""),12.300504)</f>
        <v>12.300504</v>
      </c>
      <c r="Q429" s="32">
        <f>IFERROR(__xludf.DUMMYFUNCTION("""COMPUTED_VALUE"""),227.158205)</f>
        <v>227.158205</v>
      </c>
      <c r="R429" s="32">
        <f>IFERROR(__xludf.DUMMYFUNCTION("""COMPUTED_VALUE"""),11516.08141153)</f>
        <v>11516.08141</v>
      </c>
      <c r="S429" s="32">
        <f>IFERROR(__xludf.DUMMYFUNCTION("""COMPUTED_VALUE"""),11772.18180069)</f>
        <v>11772.1818</v>
      </c>
      <c r="T429" s="32">
        <f>IFERROR(__xludf.DUMMYFUNCTION("""COMPUTED_VALUE"""),14.378882)</f>
        <v>14.378882</v>
      </c>
      <c r="U429" s="32">
        <f>IFERROR(__xludf.DUMMYFUNCTION("""COMPUTED_VALUE"""),19.811321)</f>
        <v>19.811321</v>
      </c>
      <c r="V429" s="32">
        <f>IFERROR(__xludf.DUMMYFUNCTION("""COMPUTED_VALUE"""),30.741924)</f>
        <v>30.741924</v>
      </c>
      <c r="W429" s="32">
        <f>IFERROR(__xludf.DUMMYFUNCTION("""COMPUTED_VALUE"""),73.399247)</f>
        <v>73.399247</v>
      </c>
      <c r="X429" s="32">
        <f>IFERROR(__xludf.DUMMYFUNCTION("""COMPUTED_VALUE"""),6.00879)</f>
        <v>6.00879</v>
      </c>
      <c r="Y429" s="32">
        <f>IFERROR(__xludf.DUMMYFUNCTION("""COMPUTED_VALUE"""),6.65388)</f>
        <v>6.65388</v>
      </c>
      <c r="Z429" s="32">
        <f>IFERROR(__xludf.DUMMYFUNCTION("""COMPUTED_VALUE"""),9.209451)</f>
        <v>9.209451</v>
      </c>
      <c r="AA429" s="32">
        <f>IFERROR(__xludf.DUMMYFUNCTION("""COMPUTED_VALUE"""),146.3347)</f>
        <v>146.3347</v>
      </c>
      <c r="AB429" s="32">
        <f>IFERROR(__xludf.DUMMYFUNCTION("""COMPUTED_VALUE"""),75.98585)</f>
        <v>75.98585</v>
      </c>
      <c r="AC429" s="32">
        <f>IFERROR(__xludf.DUMMYFUNCTION("""COMPUTED_VALUE"""),3.7114)</f>
        <v>3.7114</v>
      </c>
      <c r="AD429" s="32">
        <f>IFERROR(__xludf.DUMMYFUNCTION("""COMPUTED_VALUE"""),2.9288)</f>
        <v>2.9288</v>
      </c>
      <c r="AE429" s="32">
        <f>IFERROR(__xludf.DUMMYFUNCTION("""COMPUTED_VALUE"""),1.720311)</f>
        <v>1.720311</v>
      </c>
      <c r="AF429" s="32">
        <f>IFERROR(__xludf.DUMMYFUNCTION("""COMPUTED_VALUE"""),-0.789459)</f>
        <v>-0.789459</v>
      </c>
      <c r="AG429" s="32">
        <f>IFERROR(__xludf.DUMMYFUNCTION("""COMPUTED_VALUE"""),0.0)</f>
        <v>0</v>
      </c>
      <c r="AH429" s="32">
        <f>IFERROR(__xludf.DUMMYFUNCTION("""COMPUTED_VALUE"""),45.343894)</f>
        <v>45.343894</v>
      </c>
      <c r="AI429" s="32">
        <f>IFERROR(__xludf.DUMMYFUNCTION("""COMPUTED_VALUE"""),8.922284178111273)</f>
        <v>8.922284178</v>
      </c>
      <c r="AJ429" s="32">
        <f>IFERROR(__xludf.DUMMYFUNCTION("""COMPUTED_VALUE"""),-616.0968013872244)</f>
        <v>-616.0968014</v>
      </c>
      <c r="AK429" s="32">
        <f>IFERROR(__xludf.DUMMYFUNCTION("""COMPUTED_VALUE"""),1.2567)</f>
        <v>1.2567</v>
      </c>
      <c r="AL429" s="32">
        <f>IFERROR(__xludf.DUMMYFUNCTION("""COMPUTED_VALUE"""),49.5503)</f>
        <v>49.5503</v>
      </c>
      <c r="AM429" s="32">
        <f>IFERROR(__xludf.DUMMYFUNCTION("""COMPUTED_VALUE"""),-0.298897)</f>
        <v>-0.298897</v>
      </c>
      <c r="AN429" s="32">
        <f>IFERROR(__xludf.DUMMYFUNCTION("""COMPUTED_VALUE"""),-0.688958)</f>
        <v>-0.688958</v>
      </c>
      <c r="AO429" s="32">
        <f>IFERROR(__xludf.DUMMYFUNCTION("""COMPUTED_VALUE"""),0.0)</f>
        <v>0</v>
      </c>
      <c r="AP429" s="32">
        <f>IFERROR(__xludf.DUMMYFUNCTION("""COMPUTED_VALUE"""),0.04088541666666664)</f>
        <v>0.04088541667</v>
      </c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</row>
    <row r="430">
      <c r="A430" s="13" t="str">
        <f>IFERROR(__xludf.DUMMYFUNCTION("""COMPUTED_VALUE"""),"Equitas Holdings Ltd.")</f>
        <v>Equitas Holdings Ltd.</v>
      </c>
      <c r="B430" s="30">
        <f>IFERROR(__xludf.DUMMYFUNCTION("""COMPUTED_VALUE"""),539844.0)</f>
        <v>539844</v>
      </c>
      <c r="C430" s="13" t="str">
        <f>IFERROR(__xludf.DUMMYFUNCTION("""COMPUTED_VALUE"""),"EQUITAS")</f>
        <v>EQUITAS</v>
      </c>
      <c r="D430" s="13" t="str">
        <f>IFERROR(__xludf.DUMMYFUNCTION("""COMPUTED_VALUE"""),"INE988K01017")</f>
        <v>INE988K01017</v>
      </c>
      <c r="E430" s="13" t="str">
        <f>IFERROR(__xludf.DUMMYFUNCTION("""COMPUTED_VALUE"""),"Financial")</f>
        <v>Financial</v>
      </c>
      <c r="F430" s="13" t="str">
        <f>IFERROR(__xludf.DUMMYFUNCTION("""COMPUTED_VALUE"""),"Misc. Fin.services")</f>
        <v>Misc. Fin.services</v>
      </c>
      <c r="G430" s="31">
        <f>IFERROR(__xludf.DUMMYFUNCTION("""COMPUTED_VALUE"""),44809.0)</f>
        <v>44809</v>
      </c>
      <c r="H430" s="32">
        <f>IFERROR(__xludf.DUMMYFUNCTION("""COMPUTED_VALUE"""),104.3)</f>
        <v>104.3</v>
      </c>
      <c r="I430" s="32">
        <f>IFERROR(__xludf.DUMMYFUNCTION("""COMPUTED_VALUE"""),2.104748)</f>
        <v>2.104748</v>
      </c>
      <c r="J430" s="32">
        <f>IFERROR(__xludf.DUMMYFUNCTION("""COMPUTED_VALUE"""),75.0)</f>
        <v>75</v>
      </c>
      <c r="K430" s="32">
        <f>IFERROR(__xludf.DUMMYFUNCTION("""COMPUTED_VALUE"""),145.0)</f>
        <v>145</v>
      </c>
      <c r="L430" s="32">
        <f>IFERROR(__xludf.DUMMYFUNCTION("""COMPUTED_VALUE"""),32.5)</f>
        <v>32.5</v>
      </c>
      <c r="M430" s="32">
        <f>IFERROR(__xludf.DUMMYFUNCTION("""COMPUTED_VALUE"""),145.0)</f>
        <v>145</v>
      </c>
      <c r="N430" s="32">
        <f>IFERROR(__xludf.DUMMYFUNCTION("""COMPUTED_VALUE"""),32.5)</f>
        <v>32.5</v>
      </c>
      <c r="O430" s="32">
        <f>IFERROR(__xludf.DUMMYFUNCTION("""COMPUTED_VALUE"""),183.6)</f>
        <v>183.6</v>
      </c>
      <c r="P430" s="32">
        <f>IFERROR(__xludf.DUMMYFUNCTION("""COMPUTED_VALUE"""),32.5)</f>
        <v>32.5</v>
      </c>
      <c r="Q430" s="32">
        <f>IFERROR(__xludf.DUMMYFUNCTION("""COMPUTED_VALUE"""),206.25)</f>
        <v>206.25</v>
      </c>
      <c r="R430" s="32">
        <f>IFERROR(__xludf.DUMMYFUNCTION("""COMPUTED_VALUE"""),3566.579850025)</f>
        <v>3566.57985</v>
      </c>
      <c r="S430" s="32">
        <f>IFERROR(__xludf.DUMMYFUNCTION("""COMPUTED_VALUE"""),19061.53287645)</f>
        <v>19061.53288</v>
      </c>
      <c r="T430" s="32">
        <f>IFERROR(__xludf.DUMMYFUNCTION("""COMPUTED_VALUE"""),2.809266)</f>
        <v>2.809266</v>
      </c>
      <c r="U430" s="32">
        <f>IFERROR(__xludf.DUMMYFUNCTION("""COMPUTED_VALUE"""),6.810036)</f>
        <v>6.810036</v>
      </c>
      <c r="V430" s="32">
        <f>IFERROR(__xludf.DUMMYFUNCTION("""COMPUTED_VALUE"""),14.552444)</f>
        <v>14.552444</v>
      </c>
      <c r="W430" s="32">
        <f>IFERROR(__xludf.DUMMYFUNCTION("""COMPUTED_VALUE"""),-15.546559)</f>
        <v>-15.546559</v>
      </c>
      <c r="X430" s="32">
        <f>IFERROR(__xludf.DUMMYFUNCTION("""COMPUTED_VALUE"""),-1.578723)</f>
        <v>-1.578723</v>
      </c>
      <c r="Y430" s="32">
        <f>IFERROR(__xludf.DUMMYFUNCTION("""COMPUTED_VALUE"""),-9.2817)</f>
        <v>-9.2817</v>
      </c>
      <c r="Z430" s="13"/>
      <c r="AA430" s="32">
        <f>IFERROR(__xludf.DUMMYFUNCTION("""COMPUTED_VALUE"""),16.2942)</f>
        <v>16.2942</v>
      </c>
      <c r="AB430" s="32">
        <f>IFERROR(__xludf.DUMMYFUNCTION("""COMPUTED_VALUE"""),22.25795)</f>
        <v>22.25795</v>
      </c>
      <c r="AC430" s="32">
        <f>IFERROR(__xludf.DUMMYFUNCTION("""COMPUTED_VALUE"""),1.0442)</f>
        <v>1.0442</v>
      </c>
      <c r="AD430" s="32">
        <f>IFERROR(__xludf.DUMMYFUNCTION("""COMPUTED_VALUE"""),1.4338)</f>
        <v>1.4338</v>
      </c>
      <c r="AE430" s="32">
        <f>IFERROR(__xludf.DUMMYFUNCTION("""COMPUTED_VALUE"""),10.730122)</f>
        <v>10.730122</v>
      </c>
      <c r="AF430" s="32">
        <f>IFERROR(__xludf.DUMMYFUNCTION("""COMPUTED_VALUE"""),0.786953)</f>
        <v>0.786953</v>
      </c>
      <c r="AG430" s="32">
        <f>IFERROR(__xludf.DUMMYFUNCTION("""COMPUTED_VALUE"""),0.0)</f>
        <v>0</v>
      </c>
      <c r="AH430" s="32">
        <f>IFERROR(__xludf.DUMMYFUNCTION("""COMPUTED_VALUE"""),9.185139)</f>
        <v>9.185139</v>
      </c>
      <c r="AI430" s="32">
        <f>IFERROR(__xludf.DUMMYFUNCTION("""COMPUTED_VALUE"""),0.8724939386758008)</f>
        <v>0.8724939387</v>
      </c>
      <c r="AJ430" s="32">
        <f>IFERROR(__xludf.DUMMYFUNCTION("""COMPUTED_VALUE"""),62.46199387084063)</f>
        <v>62.46199387</v>
      </c>
      <c r="AK430" s="32">
        <f>IFERROR(__xludf.DUMMYFUNCTION("""COMPUTED_VALUE"""),6.4041)</f>
        <v>6.4041</v>
      </c>
      <c r="AL430" s="32">
        <f>IFERROR(__xludf.DUMMYFUNCTION("""COMPUTED_VALUE"""),99.93)</f>
        <v>99.93</v>
      </c>
      <c r="AM430" s="32">
        <f>IFERROR(__xludf.DUMMYFUNCTION("""COMPUTED_VALUE"""),1.670616)</f>
        <v>1.670616</v>
      </c>
      <c r="AN430" s="32">
        <f>IFERROR(__xludf.DUMMYFUNCTION("""COMPUTED_VALUE"""),-23.944527)</f>
        <v>-23.944527</v>
      </c>
      <c r="AO430" s="32">
        <f>IFERROR(__xludf.DUMMYFUNCTION("""COMPUTED_VALUE"""),0.0)</f>
        <v>0</v>
      </c>
      <c r="AP430" s="32">
        <f>IFERROR(__xludf.DUMMYFUNCTION("""COMPUTED_VALUE"""),0.2806896551724138)</f>
        <v>0.2806896552</v>
      </c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>
      <c r="A431" s="13" t="str">
        <f>IFERROR(__xludf.DUMMYFUNCTION("""COMPUTED_VALUE"""),"Equitas Small Finance Bank Ltd.")</f>
        <v>Equitas Small Finance Bank Ltd.</v>
      </c>
      <c r="B431" s="30">
        <f>IFERROR(__xludf.DUMMYFUNCTION("""COMPUTED_VALUE"""),543243.0)</f>
        <v>543243</v>
      </c>
      <c r="C431" s="13" t="str">
        <f>IFERROR(__xludf.DUMMYFUNCTION("""COMPUTED_VALUE"""),"EQUITASBNK")</f>
        <v>EQUITASBNK</v>
      </c>
      <c r="D431" s="13" t="str">
        <f>IFERROR(__xludf.DUMMYFUNCTION("""COMPUTED_VALUE"""),"INE063P01018")</f>
        <v>INE063P01018</v>
      </c>
      <c r="E431" s="13" t="str">
        <f>IFERROR(__xludf.DUMMYFUNCTION("""COMPUTED_VALUE"""),"Financial")</f>
        <v>Financial</v>
      </c>
      <c r="F431" s="13" t="str">
        <f>IFERROR(__xludf.DUMMYFUNCTION("""COMPUTED_VALUE"""),"Banking")</f>
        <v>Banking</v>
      </c>
      <c r="G431" s="31">
        <f>IFERROR(__xludf.DUMMYFUNCTION("""COMPUTED_VALUE"""),44809.0)</f>
        <v>44809</v>
      </c>
      <c r="H431" s="32">
        <f>IFERROR(__xludf.DUMMYFUNCTION("""COMPUTED_VALUE"""),46.8)</f>
        <v>46.8</v>
      </c>
      <c r="I431" s="32">
        <f>IFERROR(__xludf.DUMMYFUNCTION("""COMPUTED_VALUE"""),2.407002)</f>
        <v>2.407002</v>
      </c>
      <c r="J431" s="32">
        <f>IFERROR(__xludf.DUMMYFUNCTION("""COMPUTED_VALUE"""),37.45)</f>
        <v>37.45</v>
      </c>
      <c r="K431" s="32">
        <f>IFERROR(__xludf.DUMMYFUNCTION("""COMPUTED_VALUE"""),71.25)</f>
        <v>71.25</v>
      </c>
      <c r="L431" s="13"/>
      <c r="M431" s="13"/>
      <c r="N431" s="13"/>
      <c r="O431" s="13"/>
      <c r="P431" s="32">
        <f>IFERROR(__xludf.DUMMYFUNCTION("""COMPUTED_VALUE"""),30.05)</f>
        <v>30.05</v>
      </c>
      <c r="Q431" s="32">
        <f>IFERROR(__xludf.DUMMYFUNCTION("""COMPUTED_VALUE"""),76.8)</f>
        <v>76.8</v>
      </c>
      <c r="R431" s="32">
        <f>IFERROR(__xludf.DUMMYFUNCTION("""COMPUTED_VALUE"""),5891.7475664)</f>
        <v>5891.747566</v>
      </c>
      <c r="S431" s="32">
        <f>IFERROR(__xludf.DUMMYFUNCTION("""COMPUTED_VALUE"""),6206.40191928)</f>
        <v>6206.401919</v>
      </c>
      <c r="T431" s="32">
        <f>IFERROR(__xludf.DUMMYFUNCTION("""COMPUTED_VALUE"""),-0.425532)</f>
        <v>-0.425532</v>
      </c>
      <c r="U431" s="32">
        <f>IFERROR(__xludf.DUMMYFUNCTION("""COMPUTED_VALUE"""),5.762712)</f>
        <v>5.762712</v>
      </c>
      <c r="V431" s="32">
        <f>IFERROR(__xludf.DUMMYFUNCTION("""COMPUTED_VALUE"""),17.440402)</f>
        <v>17.440402</v>
      </c>
      <c r="W431" s="32">
        <f>IFERROR(__xludf.DUMMYFUNCTION("""COMPUTED_VALUE"""),-22.064946)</f>
        <v>-22.064946</v>
      </c>
      <c r="X431" s="13"/>
      <c r="Y431" s="13"/>
      <c r="Z431" s="13"/>
      <c r="AA431" s="32">
        <f>IFERROR(__xludf.DUMMYFUNCTION("""COMPUTED_VALUE"""),16.106)</f>
        <v>16.106</v>
      </c>
      <c r="AB431" s="32">
        <f>IFERROR(__xludf.DUMMYFUNCTION("""COMPUTED_VALUE"""),23.1593)</f>
        <v>23.1593</v>
      </c>
      <c r="AC431" s="32">
        <f>IFERROR(__xludf.DUMMYFUNCTION("""COMPUTED_VALUE"""),1.3565)</f>
        <v>1.3565</v>
      </c>
      <c r="AD431" s="32">
        <f>IFERROR(__xludf.DUMMYFUNCTION("""COMPUTED_VALUE"""),1.6938)</f>
        <v>1.6938</v>
      </c>
      <c r="AE431" s="32">
        <f>IFERROR(__xludf.DUMMYFUNCTION("""COMPUTED_VALUE"""),31.155024)</f>
        <v>31.155024</v>
      </c>
      <c r="AF431" s="32">
        <f>IFERROR(__xludf.DUMMYFUNCTION("""COMPUTED_VALUE"""),0.986035)</f>
        <v>0.986035</v>
      </c>
      <c r="AG431" s="32">
        <f>IFERROR(__xludf.DUMMYFUNCTION("""COMPUTED_VALUE"""),0.0)</f>
        <v>0</v>
      </c>
      <c r="AH431" s="32">
        <f>IFERROR(__xludf.DUMMYFUNCTION("""COMPUTED_VALUE"""),6.388855)</f>
        <v>6.388855</v>
      </c>
      <c r="AI431" s="32">
        <f>IFERROR(__xludf.DUMMYFUNCTION("""COMPUTED_VALUE"""),1.6454196520453006)</f>
        <v>1.645419652</v>
      </c>
      <c r="AJ431" s="32">
        <f>IFERROR(__xludf.DUMMYFUNCTION("""COMPUTED_VALUE"""),36.94751977203432)</f>
        <v>36.94751977</v>
      </c>
      <c r="AK431" s="32">
        <f>IFERROR(__xludf.DUMMYFUNCTION("""COMPUTED_VALUE"""),2.9182)</f>
        <v>2.9182</v>
      </c>
      <c r="AL431" s="32">
        <f>IFERROR(__xludf.DUMMYFUNCTION("""COMPUTED_VALUE"""),34.6488)</f>
        <v>34.6488</v>
      </c>
      <c r="AM431" s="32">
        <f>IFERROR(__xludf.DUMMYFUNCTION("""COMPUTED_VALUE"""),1.273635)</f>
        <v>1.273635</v>
      </c>
      <c r="AN431" s="32">
        <f>IFERROR(__xludf.DUMMYFUNCTION("""COMPUTED_VALUE"""),-5.651246)</f>
        <v>-5.651246</v>
      </c>
      <c r="AO431" s="32">
        <f>IFERROR(__xludf.DUMMYFUNCTION("""COMPUTED_VALUE"""),0.0)</f>
        <v>0</v>
      </c>
      <c r="AP431" s="32">
        <f>IFERROR(__xludf.DUMMYFUNCTION("""COMPUTED_VALUE"""),0.34315789473684216)</f>
        <v>0.3431578947</v>
      </c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</row>
    <row r="432">
      <c r="A432" s="13" t="str">
        <f>IFERROR(__xludf.DUMMYFUNCTION("""COMPUTED_VALUE"""),"FDC Ltd.")</f>
        <v>FDC Ltd.</v>
      </c>
      <c r="B432" s="30">
        <f>IFERROR(__xludf.DUMMYFUNCTION("""COMPUTED_VALUE"""),531599.0)</f>
        <v>531599</v>
      </c>
      <c r="C432" s="13" t="str">
        <f>IFERROR(__xludf.DUMMYFUNCTION("""COMPUTED_VALUE"""),"FDC")</f>
        <v>FDC</v>
      </c>
      <c r="D432" s="13" t="str">
        <f>IFERROR(__xludf.DUMMYFUNCTION("""COMPUTED_VALUE"""),"INE258B01022")</f>
        <v>INE258B01022</v>
      </c>
      <c r="E432" s="13" t="str">
        <f>IFERROR(__xludf.DUMMYFUNCTION("""COMPUTED_VALUE"""),"Healthcare")</f>
        <v>Healthcare</v>
      </c>
      <c r="F432" s="13" t="str">
        <f>IFERROR(__xludf.DUMMYFUNCTION("""COMPUTED_VALUE"""),"Drugs &amp; Pharma")</f>
        <v>Drugs &amp; Pharma</v>
      </c>
      <c r="G432" s="31">
        <f>IFERROR(__xludf.DUMMYFUNCTION("""COMPUTED_VALUE"""),44809.0)</f>
        <v>44809</v>
      </c>
      <c r="H432" s="32">
        <f>IFERROR(__xludf.DUMMYFUNCTION("""COMPUTED_VALUE"""),280.25)</f>
        <v>280.25</v>
      </c>
      <c r="I432" s="32">
        <f>IFERROR(__xludf.DUMMYFUNCTION("""COMPUTED_VALUE"""),2.430556)</f>
        <v>2.430556</v>
      </c>
      <c r="J432" s="32">
        <f>IFERROR(__xludf.DUMMYFUNCTION("""COMPUTED_VALUE"""),225.0)</f>
        <v>225</v>
      </c>
      <c r="K432" s="32">
        <f>IFERROR(__xludf.DUMMYFUNCTION("""COMPUTED_VALUE"""),372.0)</f>
        <v>372</v>
      </c>
      <c r="L432" s="32">
        <f>IFERROR(__xludf.DUMMYFUNCTION("""COMPUTED_VALUE"""),152.5)</f>
        <v>152.5</v>
      </c>
      <c r="M432" s="32">
        <f>IFERROR(__xludf.DUMMYFUNCTION("""COMPUTED_VALUE"""),404.9)</f>
        <v>404.9</v>
      </c>
      <c r="N432" s="32">
        <f>IFERROR(__xludf.DUMMYFUNCTION("""COMPUTED_VALUE"""),148.2)</f>
        <v>148.2</v>
      </c>
      <c r="O432" s="32">
        <f>IFERROR(__xludf.DUMMYFUNCTION("""COMPUTED_VALUE"""),404.9)</f>
        <v>404.9</v>
      </c>
      <c r="P432" s="32">
        <f>IFERROR(__xludf.DUMMYFUNCTION("""COMPUTED_VALUE"""),7.85)</f>
        <v>7.85</v>
      </c>
      <c r="Q432" s="32">
        <f>IFERROR(__xludf.DUMMYFUNCTION("""COMPUTED_VALUE"""),404.9)</f>
        <v>404.9</v>
      </c>
      <c r="R432" s="32">
        <f>IFERROR(__xludf.DUMMYFUNCTION("""COMPUTED_VALUE"""),4635.52774696)</f>
        <v>4635.527747</v>
      </c>
      <c r="S432" s="32">
        <f>IFERROR(__xludf.DUMMYFUNCTION("""COMPUTED_VALUE"""),4001.6415453)</f>
        <v>4001.641545</v>
      </c>
      <c r="T432" s="32">
        <f>IFERROR(__xludf.DUMMYFUNCTION("""COMPUTED_VALUE"""),6.336559)</f>
        <v>6.336559</v>
      </c>
      <c r="U432" s="32">
        <f>IFERROR(__xludf.DUMMYFUNCTION("""COMPUTED_VALUE"""),8.792702)</f>
        <v>8.792702</v>
      </c>
      <c r="V432" s="32">
        <f>IFERROR(__xludf.DUMMYFUNCTION("""COMPUTED_VALUE"""),14.927209)</f>
        <v>14.927209</v>
      </c>
      <c r="W432" s="32">
        <f>IFERROR(__xludf.DUMMYFUNCTION("""COMPUTED_VALUE"""),-17.682479)</f>
        <v>-17.682479</v>
      </c>
      <c r="X432" s="32">
        <f>IFERROR(__xludf.DUMMYFUNCTION("""COMPUTED_VALUE"""),19.823365)</f>
        <v>19.823365</v>
      </c>
      <c r="Y432" s="32">
        <f>IFERROR(__xludf.DUMMYFUNCTION("""COMPUTED_VALUE"""),10.717156)</f>
        <v>10.717156</v>
      </c>
      <c r="Z432" s="32">
        <f>IFERROR(__xludf.DUMMYFUNCTION("""COMPUTED_VALUE"""),12.677765)</f>
        <v>12.677765</v>
      </c>
      <c r="AA432" s="32">
        <f>IFERROR(__xludf.DUMMYFUNCTION("""COMPUTED_VALUE"""),24.4914)</f>
        <v>24.4914</v>
      </c>
      <c r="AB432" s="32">
        <f>IFERROR(__xludf.DUMMYFUNCTION("""COMPUTED_VALUE"""),18.79145)</f>
        <v>18.79145</v>
      </c>
      <c r="AC432" s="32">
        <f>IFERROR(__xludf.DUMMYFUNCTION("""COMPUTED_VALUE"""),2.2867)</f>
        <v>2.2867</v>
      </c>
      <c r="AD432" s="32">
        <f>IFERROR(__xludf.DUMMYFUNCTION("""COMPUTED_VALUE"""),2.75485)</f>
        <v>2.75485</v>
      </c>
      <c r="AE432" s="32">
        <f>IFERROR(__xludf.DUMMYFUNCTION("""COMPUTED_VALUE"""),7.874671)</f>
        <v>7.874671</v>
      </c>
      <c r="AF432" s="32">
        <f>IFERROR(__xludf.DUMMYFUNCTION("""COMPUTED_VALUE"""),8.811222)</f>
        <v>8.811222</v>
      </c>
      <c r="AG432" s="32">
        <f>IFERROR(__xludf.DUMMYFUNCTION("""COMPUTED_VALUE"""),0.0)</f>
        <v>0</v>
      </c>
      <c r="AH432" s="32">
        <f>IFERROR(__xludf.DUMMYFUNCTION("""COMPUTED_VALUE"""),13.882971)</f>
        <v>13.882971</v>
      </c>
      <c r="AI432" s="32">
        <f>IFERROR(__xludf.DUMMYFUNCTION("""COMPUTED_VALUE"""),2.94298480993403)</f>
        <v>2.94298481</v>
      </c>
      <c r="AJ432" s="32">
        <f>IFERROR(__xludf.DUMMYFUNCTION("""COMPUTED_VALUE"""),28.675933559580383)</f>
        <v>28.67593356</v>
      </c>
      <c r="AK432" s="32">
        <f>IFERROR(__xludf.DUMMYFUNCTION("""COMPUTED_VALUE"""),11.4081)</f>
        <v>11.4081</v>
      </c>
      <c r="AL432" s="32">
        <f>IFERROR(__xludf.DUMMYFUNCTION("""COMPUTED_VALUE"""),122.1843)</f>
        <v>122.1843</v>
      </c>
      <c r="AM432" s="32">
        <f>IFERROR(__xludf.DUMMYFUNCTION("""COMPUTED_VALUE"""),9.575985)</f>
        <v>9.575985</v>
      </c>
      <c r="AN432" s="32">
        <f>IFERROR(__xludf.DUMMYFUNCTION("""COMPUTED_VALUE"""),5.876429)</f>
        <v>5.876429</v>
      </c>
      <c r="AO432" s="32">
        <f>IFERROR(__xludf.DUMMYFUNCTION("""COMPUTED_VALUE"""),0.0)</f>
        <v>0</v>
      </c>
      <c r="AP432" s="32">
        <f>IFERROR(__xludf.DUMMYFUNCTION("""COMPUTED_VALUE"""),0.24663978494623656)</f>
        <v>0.2466397849</v>
      </c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</row>
    <row r="433">
      <c r="A433" s="13" t="str">
        <f>IFERROR(__xludf.DUMMYFUNCTION("""COMPUTED_VALUE"""),"Fortis Healthcare Ltd.")</f>
        <v>Fortis Healthcare Ltd.</v>
      </c>
      <c r="B433" s="30">
        <f>IFERROR(__xludf.DUMMYFUNCTION("""COMPUTED_VALUE"""),532843.0)</f>
        <v>532843</v>
      </c>
      <c r="C433" s="13" t="str">
        <f>IFERROR(__xludf.DUMMYFUNCTION("""COMPUTED_VALUE"""),"FORTIS")</f>
        <v>FORTIS</v>
      </c>
      <c r="D433" s="13" t="str">
        <f>IFERROR(__xludf.DUMMYFUNCTION("""COMPUTED_VALUE"""),"INE061F01013")</f>
        <v>INE061F01013</v>
      </c>
      <c r="E433" s="13" t="str">
        <f>IFERROR(__xludf.DUMMYFUNCTION("""COMPUTED_VALUE"""),"Healthcare")</f>
        <v>Healthcare</v>
      </c>
      <c r="F433" s="13" t="str">
        <f>IFERROR(__xludf.DUMMYFUNCTION("""COMPUTED_VALUE"""),"Health Services")</f>
        <v>Health Services</v>
      </c>
      <c r="G433" s="31">
        <f>IFERROR(__xludf.DUMMYFUNCTION("""COMPUTED_VALUE"""),44809.0)</f>
        <v>44809</v>
      </c>
      <c r="H433" s="32">
        <f>IFERROR(__xludf.DUMMYFUNCTION("""COMPUTED_VALUE"""),287.0)</f>
        <v>287</v>
      </c>
      <c r="I433" s="32">
        <f>IFERROR(__xludf.DUMMYFUNCTION("""COMPUTED_VALUE"""),-1.594377)</f>
        <v>-1.594377</v>
      </c>
      <c r="J433" s="32">
        <f>IFERROR(__xludf.DUMMYFUNCTION("""COMPUTED_VALUE"""),219.75)</f>
        <v>219.75</v>
      </c>
      <c r="K433" s="32">
        <f>IFERROR(__xludf.DUMMYFUNCTION("""COMPUTED_VALUE"""),313.8)</f>
        <v>313.8</v>
      </c>
      <c r="L433" s="32">
        <f>IFERROR(__xludf.DUMMYFUNCTION("""COMPUTED_VALUE"""),113.1)</f>
        <v>113.1</v>
      </c>
      <c r="M433" s="32">
        <f>IFERROR(__xludf.DUMMYFUNCTION("""COMPUTED_VALUE"""),313.8)</f>
        <v>313.8</v>
      </c>
      <c r="N433" s="32">
        <f>IFERROR(__xludf.DUMMYFUNCTION("""COMPUTED_VALUE"""),106.65)</f>
        <v>106.65</v>
      </c>
      <c r="O433" s="32">
        <f>IFERROR(__xludf.DUMMYFUNCTION("""COMPUTED_VALUE"""),313.8)</f>
        <v>313.8</v>
      </c>
      <c r="P433" s="32">
        <f>IFERROR(__xludf.DUMMYFUNCTION("""COMPUTED_VALUE"""),46.015204)</f>
        <v>46.015204</v>
      </c>
      <c r="Q433" s="32">
        <f>IFERROR(__xludf.DUMMYFUNCTION("""COMPUTED_VALUE"""),313.8)</f>
        <v>313.8</v>
      </c>
      <c r="R433" s="32">
        <f>IFERROR(__xludf.DUMMYFUNCTION("""COMPUTED_VALUE"""),21678.62321982)</f>
        <v>21678.62322</v>
      </c>
      <c r="S433" s="32">
        <f>IFERROR(__xludf.DUMMYFUNCTION("""COMPUTED_VALUE"""),22563.77750494)</f>
        <v>22563.7775</v>
      </c>
      <c r="T433" s="32">
        <f>IFERROR(__xludf.DUMMYFUNCTION("""COMPUTED_VALUE"""),-1.442308)</f>
        <v>-1.442308</v>
      </c>
      <c r="U433" s="32">
        <f>IFERROR(__xludf.DUMMYFUNCTION("""COMPUTED_VALUE"""),7.129526)</f>
        <v>7.129526</v>
      </c>
      <c r="V433" s="32">
        <f>IFERROR(__xludf.DUMMYFUNCTION("""COMPUTED_VALUE"""),19.309915)</f>
        <v>19.309915</v>
      </c>
      <c r="W433" s="32">
        <f>IFERROR(__xludf.DUMMYFUNCTION("""COMPUTED_VALUE"""),-0.10442)</f>
        <v>-0.10442</v>
      </c>
      <c r="X433" s="32">
        <f>IFERROR(__xludf.DUMMYFUNCTION("""COMPUTED_VALUE"""),32.029754)</f>
        <v>32.029754</v>
      </c>
      <c r="Y433" s="32">
        <f>IFERROR(__xludf.DUMMYFUNCTION("""COMPUTED_VALUE"""),14.185804)</f>
        <v>14.185804</v>
      </c>
      <c r="Z433" s="32">
        <f>IFERROR(__xludf.DUMMYFUNCTION("""COMPUTED_VALUE"""),11.85634)</f>
        <v>11.85634</v>
      </c>
      <c r="AA433" s="32">
        <f>IFERROR(__xludf.DUMMYFUNCTION("""COMPUTED_VALUE"""),52.3866)</f>
        <v>52.3866</v>
      </c>
      <c r="AB433" s="32">
        <f>IFERROR(__xludf.DUMMYFUNCTION("""COMPUTED_VALUE"""),52.81145)</f>
        <v>52.81145</v>
      </c>
      <c r="AC433" s="32">
        <f>IFERROR(__xludf.DUMMYFUNCTION("""COMPUTED_VALUE"""),3.4406)</f>
        <v>3.4406</v>
      </c>
      <c r="AD433" s="32">
        <f>IFERROR(__xludf.DUMMYFUNCTION("""COMPUTED_VALUE"""),1.68915)</f>
        <v>1.68915</v>
      </c>
      <c r="AE433" s="32">
        <f>IFERROR(__xludf.DUMMYFUNCTION("""COMPUTED_VALUE"""),3.707291)</f>
        <v>3.707291</v>
      </c>
      <c r="AF433" s="32">
        <f>IFERROR(__xludf.DUMMYFUNCTION("""COMPUTED_VALUE"""),0.282633)</f>
        <v>0.282633</v>
      </c>
      <c r="AG433" s="32">
        <f>IFERROR(__xludf.DUMMYFUNCTION("""COMPUTED_VALUE"""),0.0)</f>
        <v>0</v>
      </c>
      <c r="AH433" s="32">
        <f>IFERROR(__xludf.DUMMYFUNCTION("""COMPUTED_VALUE"""),20.795917)</f>
        <v>20.795917</v>
      </c>
      <c r="AI433" s="32">
        <f>IFERROR(__xludf.DUMMYFUNCTION("""COMPUTED_VALUE"""),3.7408282146453753)</f>
        <v>3.740828215</v>
      </c>
      <c r="AJ433" s="32">
        <f>IFERROR(__xludf.DUMMYFUNCTION("""COMPUTED_VALUE"""),25.050642627715835)</f>
        <v>25.05064263</v>
      </c>
      <c r="AK433" s="32">
        <f>IFERROR(__xludf.DUMMYFUNCTION("""COMPUTED_VALUE"""),5.4814)</f>
        <v>5.4814</v>
      </c>
      <c r="AL433" s="32">
        <f>IFERROR(__xludf.DUMMYFUNCTION("""COMPUTED_VALUE"""),83.4587)</f>
        <v>83.4587</v>
      </c>
      <c r="AM433" s="32">
        <f>IFERROR(__xludf.DUMMYFUNCTION("""COMPUTED_VALUE"""),11.462781)</f>
        <v>11.462781</v>
      </c>
      <c r="AN433" s="32">
        <f>IFERROR(__xludf.DUMMYFUNCTION("""COMPUTED_VALUE"""),11.138682)</f>
        <v>11.138682</v>
      </c>
      <c r="AO433" s="32">
        <f>IFERROR(__xludf.DUMMYFUNCTION("""COMPUTED_VALUE"""),0.0)</f>
        <v>0</v>
      </c>
      <c r="AP433" s="32">
        <f>IFERROR(__xludf.DUMMYFUNCTION("""COMPUTED_VALUE"""),0.08540471637985982)</f>
        <v>0.08540471638</v>
      </c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</row>
    <row r="434">
      <c r="A434" s="13" t="str">
        <f>IFERROR(__xludf.DUMMYFUNCTION("""COMPUTED_VALUE"""),"FSN E-Commerce Ventures Ltd.")</f>
        <v>FSN E-Commerce Ventures Ltd.</v>
      </c>
      <c r="B434" s="30">
        <f>IFERROR(__xludf.DUMMYFUNCTION("""COMPUTED_VALUE"""),543384.0)</f>
        <v>543384</v>
      </c>
      <c r="C434" s="13" t="str">
        <f>IFERROR(__xludf.DUMMYFUNCTION("""COMPUTED_VALUE"""),"NYKAA")</f>
        <v>NYKAA</v>
      </c>
      <c r="D434" s="13" t="str">
        <f>IFERROR(__xludf.DUMMYFUNCTION("""COMPUTED_VALUE"""),"INE388Y01029")</f>
        <v>INE388Y01029</v>
      </c>
      <c r="E434" s="13" t="str">
        <f>IFERROR(__xludf.DUMMYFUNCTION("""COMPUTED_VALUE"""),"Services")</f>
        <v>Services</v>
      </c>
      <c r="F434" s="13" t="str">
        <f>IFERROR(__xludf.DUMMYFUNCTION("""COMPUTED_VALUE"""),"E-Commerce")</f>
        <v>E-Commerce</v>
      </c>
      <c r="G434" s="31">
        <f>IFERROR(__xludf.DUMMYFUNCTION("""COMPUTED_VALUE"""),44809.0)</f>
        <v>44809</v>
      </c>
      <c r="H434" s="32">
        <f>IFERROR(__xludf.DUMMYFUNCTION("""COMPUTED_VALUE"""),1365.85)</f>
        <v>1365.85</v>
      </c>
      <c r="I434" s="32">
        <f>IFERROR(__xludf.DUMMYFUNCTION("""COMPUTED_VALUE"""),0.153987)</f>
        <v>0.153987</v>
      </c>
      <c r="J434" s="32">
        <f>IFERROR(__xludf.DUMMYFUNCTION("""COMPUTED_VALUE"""),1207.5)</f>
        <v>1207.5</v>
      </c>
      <c r="K434" s="32">
        <f>IFERROR(__xludf.DUMMYFUNCTION("""COMPUTED_VALUE"""),2574.0)</f>
        <v>2574</v>
      </c>
      <c r="L434" s="13"/>
      <c r="M434" s="13"/>
      <c r="N434" s="13"/>
      <c r="O434" s="13"/>
      <c r="P434" s="32">
        <f>IFERROR(__xludf.DUMMYFUNCTION("""COMPUTED_VALUE"""),1207.5)</f>
        <v>1207.5</v>
      </c>
      <c r="Q434" s="32">
        <f>IFERROR(__xludf.DUMMYFUNCTION("""COMPUTED_VALUE"""),2574.0)</f>
        <v>2574</v>
      </c>
      <c r="R434" s="32">
        <f>IFERROR(__xludf.DUMMYFUNCTION("""COMPUTED_VALUE"""),64879.24394027999)</f>
        <v>64879.24394</v>
      </c>
      <c r="S434" s="32">
        <f>IFERROR(__xludf.DUMMYFUNCTION("""COMPUTED_VALUE"""),64734.15683271)</f>
        <v>64734.15683</v>
      </c>
      <c r="T434" s="32">
        <f>IFERROR(__xludf.DUMMYFUNCTION("""COMPUTED_VALUE"""),-0.029277)</f>
        <v>-0.029277</v>
      </c>
      <c r="U434" s="32">
        <f>IFERROR(__xludf.DUMMYFUNCTION("""COMPUTED_VALUE"""),-5.438244)</f>
        <v>-5.438244</v>
      </c>
      <c r="V434" s="32">
        <f>IFERROR(__xludf.DUMMYFUNCTION("""COMPUTED_VALUE"""),-6.458241)</f>
        <v>-6.458241</v>
      </c>
      <c r="W434" s="13"/>
      <c r="X434" s="13"/>
      <c r="Y434" s="13"/>
      <c r="Z434" s="13"/>
      <c r="AA434" s="13"/>
      <c r="AB434" s="32">
        <f>IFERROR(__xludf.DUMMYFUNCTION("""COMPUTED_VALUE"""),660.3907)</f>
        <v>660.3907</v>
      </c>
      <c r="AC434" s="32">
        <f>IFERROR(__xludf.DUMMYFUNCTION("""COMPUTED_VALUE"""),48.7832)</f>
        <v>48.7832</v>
      </c>
      <c r="AD434" s="32">
        <f>IFERROR(__xludf.DUMMYFUNCTION("""COMPUTED_VALUE"""),16.5206)</f>
        <v>16.5206</v>
      </c>
      <c r="AE434" s="32">
        <f>IFERROR(__xludf.DUMMYFUNCTION("""COMPUTED_VALUE"""),0.208899)</f>
        <v>0.208899</v>
      </c>
      <c r="AF434" s="13"/>
      <c r="AG434" s="32">
        <f>IFERROR(__xludf.DUMMYFUNCTION("""COMPUTED_VALUE"""),0.0)</f>
        <v>0</v>
      </c>
      <c r="AH434" s="32">
        <f>IFERROR(__xludf.DUMMYFUNCTION("""COMPUTED_VALUE"""),303.937633)</f>
        <v>303.937633</v>
      </c>
      <c r="AI434" s="32">
        <f>IFERROR(__xludf.DUMMYFUNCTION("""COMPUTED_VALUE"""),15.803526346690242)</f>
        <v>15.80352635</v>
      </c>
      <c r="AJ434" s="32">
        <f>IFERROR(__xludf.DUMMYFUNCTION("""COMPUTED_VALUE"""),-183.2969652818845)</f>
        <v>-183.2969653</v>
      </c>
      <c r="AK434" s="32">
        <f>IFERROR(__xludf.DUMMYFUNCTION("""COMPUTED_VALUE"""),0.8899)</f>
        <v>0.8899</v>
      </c>
      <c r="AL434" s="32">
        <f>IFERROR(__xludf.DUMMYFUNCTION("""COMPUTED_VALUE"""),28.0383)</f>
        <v>28.0383</v>
      </c>
      <c r="AM434" s="32">
        <f>IFERROR(__xludf.DUMMYFUNCTION("""COMPUTED_VALUE"""),-7.465715)</f>
        <v>-7.465715</v>
      </c>
      <c r="AN434" s="32">
        <f>IFERROR(__xludf.DUMMYFUNCTION("""COMPUTED_VALUE"""),-8.883972)</f>
        <v>-8.883972</v>
      </c>
      <c r="AO434" s="32">
        <f>IFERROR(__xludf.DUMMYFUNCTION("""COMPUTED_VALUE"""),0.0)</f>
        <v>0</v>
      </c>
      <c r="AP434" s="32">
        <f>IFERROR(__xludf.DUMMYFUNCTION("""COMPUTED_VALUE"""),0.4693667443667444)</f>
        <v>0.4693667444</v>
      </c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</row>
    <row r="435">
      <c r="A435" s="13" t="str">
        <f>IFERROR(__xludf.DUMMYFUNCTION("""COMPUTED_VALUE"""),"General Insurance Corporation of India Ltd.")</f>
        <v>General Insurance Corporation of India Ltd.</v>
      </c>
      <c r="B435" s="30">
        <f>IFERROR(__xludf.DUMMYFUNCTION("""COMPUTED_VALUE"""),540755.0)</f>
        <v>540755</v>
      </c>
      <c r="C435" s="13" t="str">
        <f>IFERROR(__xludf.DUMMYFUNCTION("""COMPUTED_VALUE"""),"GICRE")</f>
        <v>GICRE</v>
      </c>
      <c r="D435" s="13" t="str">
        <f>IFERROR(__xludf.DUMMYFUNCTION("""COMPUTED_VALUE"""),"INE481Y01014")</f>
        <v>INE481Y01014</v>
      </c>
      <c r="E435" s="13" t="str">
        <f>IFERROR(__xludf.DUMMYFUNCTION("""COMPUTED_VALUE"""),"Insurance")</f>
        <v>Insurance</v>
      </c>
      <c r="F435" s="13" t="str">
        <f>IFERROR(__xludf.DUMMYFUNCTION("""COMPUTED_VALUE"""),"Reinsurance")</f>
        <v>Reinsurance</v>
      </c>
      <c r="G435" s="31">
        <f>IFERROR(__xludf.DUMMYFUNCTION("""COMPUTED_VALUE"""),44809.0)</f>
        <v>44809</v>
      </c>
      <c r="H435" s="32">
        <f>IFERROR(__xludf.DUMMYFUNCTION("""COMPUTED_VALUE"""),128.55)</f>
        <v>128.55</v>
      </c>
      <c r="I435" s="32">
        <f>IFERROR(__xludf.DUMMYFUNCTION("""COMPUTED_VALUE"""),3.336013)</f>
        <v>3.336013</v>
      </c>
      <c r="J435" s="32">
        <f>IFERROR(__xludf.DUMMYFUNCTION("""COMPUTED_VALUE"""),105.0)</f>
        <v>105</v>
      </c>
      <c r="K435" s="32">
        <f>IFERROR(__xludf.DUMMYFUNCTION("""COMPUTED_VALUE"""),152.8)</f>
        <v>152.8</v>
      </c>
      <c r="L435" s="32">
        <f>IFERROR(__xludf.DUMMYFUNCTION("""COMPUTED_VALUE"""),81.5)</f>
        <v>81.5</v>
      </c>
      <c r="M435" s="32">
        <f>IFERROR(__xludf.DUMMYFUNCTION("""COMPUTED_VALUE"""),334.05)</f>
        <v>334.05</v>
      </c>
      <c r="N435" s="13"/>
      <c r="O435" s="13"/>
      <c r="P435" s="32">
        <f>IFERROR(__xludf.DUMMYFUNCTION("""COMPUTED_VALUE"""),81.5)</f>
        <v>81.5</v>
      </c>
      <c r="Q435" s="32">
        <f>IFERROR(__xludf.DUMMYFUNCTION("""COMPUTED_VALUE"""),449.5)</f>
        <v>449.5</v>
      </c>
      <c r="R435" s="32">
        <f>IFERROR(__xludf.DUMMYFUNCTION("""COMPUTED_VALUE"""),22710.708)</f>
        <v>22710.708</v>
      </c>
      <c r="S435" s="32">
        <f>IFERROR(__xludf.DUMMYFUNCTION("""COMPUTED_VALUE"""),3200.8427)</f>
        <v>3200.8427</v>
      </c>
      <c r="T435" s="32">
        <f>IFERROR(__xludf.DUMMYFUNCTION("""COMPUTED_VALUE"""),3.336013)</f>
        <v>3.336013</v>
      </c>
      <c r="U435" s="32">
        <f>IFERROR(__xludf.DUMMYFUNCTION("""COMPUTED_VALUE"""),6.59204)</f>
        <v>6.59204</v>
      </c>
      <c r="V435" s="32">
        <f>IFERROR(__xludf.DUMMYFUNCTION("""COMPUTED_VALUE"""),7.080383)</f>
        <v>7.080383</v>
      </c>
      <c r="W435" s="32">
        <f>IFERROR(__xludf.DUMMYFUNCTION("""COMPUTED_VALUE"""),-13.98461)</f>
        <v>-13.98461</v>
      </c>
      <c r="X435" s="32">
        <f>IFERROR(__xludf.DUMMYFUNCTION("""COMPUTED_VALUE"""),-9.055451)</f>
        <v>-9.055451</v>
      </c>
      <c r="Y435" s="13"/>
      <c r="Z435" s="13"/>
      <c r="AA435" s="32">
        <f>IFERROR(__xludf.DUMMYFUNCTION("""COMPUTED_VALUE"""),5.4655)</f>
        <v>5.4655</v>
      </c>
      <c r="AB435" s="32">
        <f>IFERROR(__xludf.DUMMYFUNCTION("""COMPUTED_VALUE"""),14.6406)</f>
        <v>14.6406</v>
      </c>
      <c r="AC435" s="32">
        <f>IFERROR(__xludf.DUMMYFUNCTION("""COMPUTED_VALUE"""),0.7825)</f>
        <v>0.7825</v>
      </c>
      <c r="AD435" s="32">
        <f>IFERROR(__xludf.DUMMYFUNCTION("""COMPUTED_VALUE"""),1.12545)</f>
        <v>1.12545</v>
      </c>
      <c r="AE435" s="32">
        <f>IFERROR(__xludf.DUMMYFUNCTION("""COMPUTED_VALUE"""),409.098449)</f>
        <v>409.098449</v>
      </c>
      <c r="AF435" s="32">
        <f>IFERROR(__xludf.DUMMYFUNCTION("""COMPUTED_VALUE"""),0.210107)</f>
        <v>0.210107</v>
      </c>
      <c r="AG435" s="32">
        <f>IFERROR(__xludf.DUMMYFUNCTION("""COMPUTED_VALUE"""),1.7489)</f>
        <v>1.7489</v>
      </c>
      <c r="AH435" s="32">
        <f>IFERROR(__xludf.DUMMYFUNCTION("""COMPUTED_VALUE"""),0.508774)</f>
        <v>0.508774</v>
      </c>
      <c r="AI435" s="32">
        <f>IFERROR(__xludf.DUMMYFUNCTION("""COMPUTED_VALUE"""),0.579692407593504)</f>
        <v>0.5796924076</v>
      </c>
      <c r="AJ435" s="32">
        <f>IFERROR(__xludf.DUMMYFUNCTION("""COMPUTED_VALUE"""),1.7096792290070357)</f>
        <v>1.709679229</v>
      </c>
      <c r="AK435" s="32">
        <f>IFERROR(__xludf.DUMMYFUNCTION("""COMPUTED_VALUE"""),23.6851)</f>
        <v>23.6851</v>
      </c>
      <c r="AL435" s="32">
        <f>IFERROR(__xludf.DUMMYFUNCTION("""COMPUTED_VALUE"""),165.4362)</f>
        <v>165.4362</v>
      </c>
      <c r="AM435" s="32">
        <f>IFERROR(__xludf.DUMMYFUNCTION("""COMPUTED_VALUE"""),75.715958)</f>
        <v>75.715958</v>
      </c>
      <c r="AN435" s="32">
        <f>IFERROR(__xludf.DUMMYFUNCTION("""COMPUTED_VALUE"""),71.846581)</f>
        <v>71.846581</v>
      </c>
      <c r="AO435" s="32">
        <f>IFERROR(__xludf.DUMMYFUNCTION("""COMPUTED_VALUE"""),0.0)</f>
        <v>0</v>
      </c>
      <c r="AP435" s="32">
        <f>IFERROR(__xludf.DUMMYFUNCTION("""COMPUTED_VALUE"""),0.1587041884816754)</f>
        <v>0.1587041885</v>
      </c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</row>
    <row r="436">
      <c r="A436" s="13" t="str">
        <f>IFERROR(__xludf.DUMMYFUNCTION("""COMPUTED_VALUE"""),"Gland Pharma Ltd.")</f>
        <v>Gland Pharma Ltd.</v>
      </c>
      <c r="B436" s="30">
        <f>IFERROR(__xludf.DUMMYFUNCTION("""COMPUTED_VALUE"""),543245.0)</f>
        <v>543245</v>
      </c>
      <c r="C436" s="13" t="str">
        <f>IFERROR(__xludf.DUMMYFUNCTION("""COMPUTED_VALUE"""),"GLAND")</f>
        <v>GLAND</v>
      </c>
      <c r="D436" s="13" t="str">
        <f>IFERROR(__xludf.DUMMYFUNCTION("""COMPUTED_VALUE"""),"INE068V01023")</f>
        <v>INE068V01023</v>
      </c>
      <c r="E436" s="13" t="str">
        <f>IFERROR(__xludf.DUMMYFUNCTION("""COMPUTED_VALUE"""),"Healthcare")</f>
        <v>Healthcare</v>
      </c>
      <c r="F436" s="13" t="str">
        <f>IFERROR(__xludf.DUMMYFUNCTION("""COMPUTED_VALUE"""),"Drugs &amp; Pharma")</f>
        <v>Drugs &amp; Pharma</v>
      </c>
      <c r="G436" s="31">
        <f>IFERROR(__xludf.DUMMYFUNCTION("""COMPUTED_VALUE"""),44809.0)</f>
        <v>44809</v>
      </c>
      <c r="H436" s="32">
        <f>IFERROR(__xludf.DUMMYFUNCTION("""COMPUTED_VALUE"""),2472.8)</f>
        <v>2472.8</v>
      </c>
      <c r="I436" s="32">
        <f>IFERROR(__xludf.DUMMYFUNCTION("""COMPUTED_VALUE"""),-3.635868)</f>
        <v>-3.635868</v>
      </c>
      <c r="J436" s="32">
        <f>IFERROR(__xludf.DUMMYFUNCTION("""COMPUTED_VALUE"""),2180.0)</f>
        <v>2180</v>
      </c>
      <c r="K436" s="32">
        <f>IFERROR(__xludf.DUMMYFUNCTION("""COMPUTED_VALUE"""),4179.65)</f>
        <v>4179.65</v>
      </c>
      <c r="L436" s="13"/>
      <c r="M436" s="13"/>
      <c r="N436" s="13"/>
      <c r="O436" s="13"/>
      <c r="P436" s="32">
        <f>IFERROR(__xludf.DUMMYFUNCTION("""COMPUTED_VALUE"""),1700.0)</f>
        <v>1700</v>
      </c>
      <c r="Q436" s="32">
        <f>IFERROR(__xludf.DUMMYFUNCTION("""COMPUTED_VALUE"""),4350.0)</f>
        <v>4350</v>
      </c>
      <c r="R436" s="32">
        <f>IFERROR(__xludf.DUMMYFUNCTION("""COMPUTED_VALUE"""),40700.474326755)</f>
        <v>40700.47433</v>
      </c>
      <c r="S436" s="32">
        <f>IFERROR(__xludf.DUMMYFUNCTION("""COMPUTED_VALUE"""),39010.444239875)</f>
        <v>39010.44424</v>
      </c>
      <c r="T436" s="32">
        <f>IFERROR(__xludf.DUMMYFUNCTION("""COMPUTED_VALUE"""),3.561931)</f>
        <v>3.561931</v>
      </c>
      <c r="U436" s="32">
        <f>IFERROR(__xludf.DUMMYFUNCTION("""COMPUTED_VALUE"""),6.740336)</f>
        <v>6.740336</v>
      </c>
      <c r="V436" s="32">
        <f>IFERROR(__xludf.DUMMYFUNCTION("""COMPUTED_VALUE"""),-12.928045)</f>
        <v>-12.928045</v>
      </c>
      <c r="W436" s="32">
        <f>IFERROR(__xludf.DUMMYFUNCTION("""COMPUTED_VALUE"""),-38.009526)</f>
        <v>-38.009526</v>
      </c>
      <c r="X436" s="13"/>
      <c r="Y436" s="13"/>
      <c r="Z436" s="13"/>
      <c r="AA436" s="32">
        <f>IFERROR(__xludf.DUMMYFUNCTION("""COMPUTED_VALUE"""),37.3337)</f>
        <v>37.3337</v>
      </c>
      <c r="AB436" s="32">
        <f>IFERROR(__xludf.DUMMYFUNCTION("""COMPUTED_VALUE"""),45.7793)</f>
        <v>45.7793</v>
      </c>
      <c r="AC436" s="32">
        <f>IFERROR(__xludf.DUMMYFUNCTION("""COMPUTED_VALUE"""),5.5198)</f>
        <v>5.5198</v>
      </c>
      <c r="AD436" s="32">
        <f>IFERROR(__xludf.DUMMYFUNCTION("""COMPUTED_VALUE"""),7.9741)</f>
        <v>7.9741</v>
      </c>
      <c r="AE436" s="32">
        <f>IFERROR(__xludf.DUMMYFUNCTION("""COMPUTED_VALUE"""),4.530227)</f>
        <v>4.530227</v>
      </c>
      <c r="AF436" s="32">
        <f>IFERROR(__xludf.DUMMYFUNCTION("""COMPUTED_VALUE"""),6.874418)</f>
        <v>6.874418</v>
      </c>
      <c r="AG436" s="32">
        <f>IFERROR(__xludf.DUMMYFUNCTION("""COMPUTED_VALUE"""),0.0)</f>
        <v>0</v>
      </c>
      <c r="AH436" s="32">
        <f>IFERROR(__xludf.DUMMYFUNCTION("""COMPUTED_VALUE"""),24.685702)</f>
        <v>24.685702</v>
      </c>
      <c r="AI436" s="32">
        <f>IFERROR(__xludf.DUMMYFUNCTION("""COMPUTED_VALUE"""),9.917980071368417)</f>
        <v>9.917980071</v>
      </c>
      <c r="AJ436" s="32">
        <f>IFERROR(__xludf.DUMMYFUNCTION("""COMPUTED_VALUE"""),51.46948644516287)</f>
        <v>51.46948645</v>
      </c>
      <c r="AK436" s="32">
        <f>IFERROR(__xludf.DUMMYFUNCTION("""COMPUTED_VALUE"""),66.2096)</f>
        <v>66.2096</v>
      </c>
      <c r="AL436" s="32">
        <f>IFERROR(__xludf.DUMMYFUNCTION("""COMPUTED_VALUE"""),447.8178)</f>
        <v>447.8178</v>
      </c>
      <c r="AM436" s="32">
        <f>IFERROR(__xludf.DUMMYFUNCTION("""COMPUTED_VALUE"""),48.12958)</f>
        <v>48.12958</v>
      </c>
      <c r="AN436" s="32">
        <f>IFERROR(__xludf.DUMMYFUNCTION("""COMPUTED_VALUE"""),24.757152)</f>
        <v>24.757152</v>
      </c>
      <c r="AO436" s="32">
        <f>IFERROR(__xludf.DUMMYFUNCTION("""COMPUTED_VALUE"""),0.0)</f>
        <v>0</v>
      </c>
      <c r="AP436" s="32">
        <f>IFERROR(__xludf.DUMMYFUNCTION("""COMPUTED_VALUE"""),0.40837151436125024)</f>
        <v>0.4083715144</v>
      </c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</row>
    <row r="437">
      <c r="A437" s="13" t="str">
        <f>IFERROR(__xludf.DUMMYFUNCTION("""COMPUTED_VALUE"""),"Godrej Consumer Products Ltd.")</f>
        <v>Godrej Consumer Products Ltd.</v>
      </c>
      <c r="B437" s="30">
        <f>IFERROR(__xludf.DUMMYFUNCTION("""COMPUTED_VALUE"""),532424.0)</f>
        <v>532424</v>
      </c>
      <c r="C437" s="13" t="str">
        <f>IFERROR(__xludf.DUMMYFUNCTION("""COMPUTED_VALUE"""),"GODREJCP")</f>
        <v>GODREJCP</v>
      </c>
      <c r="D437" s="13" t="str">
        <f>IFERROR(__xludf.DUMMYFUNCTION("""COMPUTED_VALUE"""),"INE102D01028")</f>
        <v>INE102D01028</v>
      </c>
      <c r="E437" s="13" t="str">
        <f>IFERROR(__xludf.DUMMYFUNCTION("""COMPUTED_VALUE"""),"Consumer Staples")</f>
        <v>Consumer Staples</v>
      </c>
      <c r="F437" s="13" t="str">
        <f>IFERROR(__xludf.DUMMYFUNCTION("""COMPUTED_VALUE"""),"Household &amp; Personal Products")</f>
        <v>Household &amp; Personal Products</v>
      </c>
      <c r="G437" s="31">
        <f>IFERROR(__xludf.DUMMYFUNCTION("""COMPUTED_VALUE"""),44809.0)</f>
        <v>44809</v>
      </c>
      <c r="H437" s="32">
        <f>IFERROR(__xludf.DUMMYFUNCTION("""COMPUTED_VALUE"""),893.5)</f>
        <v>893.5</v>
      </c>
      <c r="I437" s="32">
        <f>IFERROR(__xludf.DUMMYFUNCTION("""COMPUTED_VALUE"""),-2.419047)</f>
        <v>-2.419047</v>
      </c>
      <c r="J437" s="32">
        <f>IFERROR(__xludf.DUMMYFUNCTION("""COMPUTED_VALUE"""),660.05)</f>
        <v>660.05</v>
      </c>
      <c r="K437" s="32">
        <f>IFERROR(__xludf.DUMMYFUNCTION("""COMPUTED_VALUE"""),1138.0)</f>
        <v>1138</v>
      </c>
      <c r="L437" s="32">
        <f>IFERROR(__xludf.DUMMYFUNCTION("""COMPUTED_VALUE"""),425.1)</f>
        <v>425.1</v>
      </c>
      <c r="M437" s="32">
        <f>IFERROR(__xludf.DUMMYFUNCTION("""COMPUTED_VALUE"""),1138.5)</f>
        <v>1138.5</v>
      </c>
      <c r="N437" s="32">
        <f>IFERROR(__xludf.DUMMYFUNCTION("""COMPUTED_VALUE"""),425.1)</f>
        <v>425.1</v>
      </c>
      <c r="O437" s="32">
        <f>IFERROR(__xludf.DUMMYFUNCTION("""COMPUTED_VALUE"""),1138.5)</f>
        <v>1138.5</v>
      </c>
      <c r="P437" s="32">
        <f>IFERROR(__xludf.DUMMYFUNCTION("""COMPUTED_VALUE"""),3.292813)</f>
        <v>3.292813</v>
      </c>
      <c r="Q437" s="32">
        <f>IFERROR(__xludf.DUMMYFUNCTION("""COMPUTED_VALUE"""),1138.5)</f>
        <v>1138.5</v>
      </c>
      <c r="R437" s="32">
        <f>IFERROR(__xludf.DUMMYFUNCTION("""COMPUTED_VALUE"""),91396.6335425)</f>
        <v>91396.63354</v>
      </c>
      <c r="S437" s="32">
        <f>IFERROR(__xludf.DUMMYFUNCTION("""COMPUTED_VALUE"""),93153.69697667999)</f>
        <v>93153.69698</v>
      </c>
      <c r="T437" s="32">
        <f>IFERROR(__xludf.DUMMYFUNCTION("""COMPUTED_VALUE"""),-0.478949)</f>
        <v>-0.478949</v>
      </c>
      <c r="U437" s="32">
        <f>IFERROR(__xludf.DUMMYFUNCTION("""COMPUTED_VALUE"""),4.570191)</f>
        <v>4.570191</v>
      </c>
      <c r="V437" s="32">
        <f>IFERROR(__xludf.DUMMYFUNCTION("""COMPUTED_VALUE"""),17.049846)</f>
        <v>17.049846</v>
      </c>
      <c r="W437" s="32">
        <f>IFERROR(__xludf.DUMMYFUNCTION("""COMPUTED_VALUE"""),-20.176888)</f>
        <v>-20.176888</v>
      </c>
      <c r="X437" s="32">
        <f>IFERROR(__xludf.DUMMYFUNCTION("""COMPUTED_VALUE"""),15.301113)</f>
        <v>15.301113</v>
      </c>
      <c r="Y437" s="32">
        <f>IFERROR(__xludf.DUMMYFUNCTION("""COMPUTED_VALUE"""),7.77764)</f>
        <v>7.77764</v>
      </c>
      <c r="Z437" s="32">
        <f>IFERROR(__xludf.DUMMYFUNCTION("""COMPUTED_VALUE"""),14.712046)</f>
        <v>14.712046</v>
      </c>
      <c r="AA437" s="32">
        <f>IFERROR(__xludf.DUMMYFUNCTION("""COMPUTED_VALUE"""),53.2972)</f>
        <v>53.2972</v>
      </c>
      <c r="AB437" s="32">
        <f>IFERROR(__xludf.DUMMYFUNCTION("""COMPUTED_VALUE"""),46.2518)</f>
        <v>46.2518</v>
      </c>
      <c r="AC437" s="32">
        <f>IFERROR(__xludf.DUMMYFUNCTION("""COMPUTED_VALUE"""),7.6882)</f>
        <v>7.6882</v>
      </c>
      <c r="AD437" s="32">
        <f>IFERROR(__xludf.DUMMYFUNCTION("""COMPUTED_VALUE"""),9.15915)</f>
        <v>9.15915</v>
      </c>
      <c r="AE437" s="32">
        <f>IFERROR(__xludf.DUMMYFUNCTION("""COMPUTED_VALUE"""),2.517775)</f>
        <v>2.517775</v>
      </c>
      <c r="AF437" s="32">
        <f>IFERROR(__xludf.DUMMYFUNCTION("""COMPUTED_VALUE"""),8.999281)</f>
        <v>8.999281</v>
      </c>
      <c r="AG437" s="32">
        <f>IFERROR(__xludf.DUMMYFUNCTION("""COMPUTED_VALUE"""),0.0)</f>
        <v>0</v>
      </c>
      <c r="AH437" s="32">
        <f>IFERROR(__xludf.DUMMYFUNCTION("""COMPUTED_VALUE"""),38.616453)</f>
        <v>38.616453</v>
      </c>
      <c r="AI437" s="32">
        <f>IFERROR(__xludf.DUMMYFUNCTION("""COMPUTED_VALUE"""),7.367309667531861)</f>
        <v>7.367309668</v>
      </c>
      <c r="AJ437" s="32">
        <f>IFERROR(__xludf.DUMMYFUNCTION("""COMPUTED_VALUE"""),63.00739264047926)</f>
        <v>63.00739264</v>
      </c>
      <c r="AK437" s="32">
        <f>IFERROR(__xludf.DUMMYFUNCTION("""COMPUTED_VALUE"""),16.7692)</f>
        <v>16.7692</v>
      </c>
      <c r="AL437" s="32">
        <f>IFERROR(__xludf.DUMMYFUNCTION("""COMPUTED_VALUE"""),116.2493)</f>
        <v>116.2493</v>
      </c>
      <c r="AM437" s="32">
        <f>IFERROR(__xludf.DUMMYFUNCTION("""COMPUTED_VALUE"""),14.185116)</f>
        <v>14.185116</v>
      </c>
      <c r="AN437" s="32">
        <f>IFERROR(__xludf.DUMMYFUNCTION("""COMPUTED_VALUE"""),11.542636)</f>
        <v>11.542636</v>
      </c>
      <c r="AO437" s="32">
        <f>IFERROR(__xludf.DUMMYFUNCTION("""COMPUTED_VALUE"""),0.0)</f>
        <v>0</v>
      </c>
      <c r="AP437" s="32">
        <f>IFERROR(__xludf.DUMMYFUNCTION("""COMPUTED_VALUE"""),0.2148506151142355)</f>
        <v>0.2148506151</v>
      </c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</row>
    <row r="438">
      <c r="A438" s="13" t="str">
        <f>IFERROR(__xludf.DUMMYFUNCTION("""COMPUTED_VALUE"""),"Godrej Industries Ltd.")</f>
        <v>Godrej Industries Ltd.</v>
      </c>
      <c r="B438" s="30">
        <f>IFERROR(__xludf.DUMMYFUNCTION("""COMPUTED_VALUE"""),500164.0)</f>
        <v>500164</v>
      </c>
      <c r="C438" s="13" t="str">
        <f>IFERROR(__xludf.DUMMYFUNCTION("""COMPUTED_VALUE"""),"GODREJIND")</f>
        <v>GODREJIND</v>
      </c>
      <c r="D438" s="13" t="str">
        <f>IFERROR(__xludf.DUMMYFUNCTION("""COMPUTED_VALUE"""),"INE233A01035")</f>
        <v>INE233A01035</v>
      </c>
      <c r="E438" s="13" t="str">
        <f>IFERROR(__xludf.DUMMYFUNCTION("""COMPUTED_VALUE"""),"Diversified")</f>
        <v>Diversified</v>
      </c>
      <c r="F438" s="13" t="str">
        <f>IFERROR(__xludf.DUMMYFUNCTION("""COMPUTED_VALUE"""),"Diversified")</f>
        <v>Diversified</v>
      </c>
      <c r="G438" s="31">
        <f>IFERROR(__xludf.DUMMYFUNCTION("""COMPUTED_VALUE"""),44809.0)</f>
        <v>44809</v>
      </c>
      <c r="H438" s="32">
        <f>IFERROR(__xludf.DUMMYFUNCTION("""COMPUTED_VALUE"""),469.1)</f>
        <v>469.1</v>
      </c>
      <c r="I438" s="32">
        <f>IFERROR(__xludf.DUMMYFUNCTION("""COMPUTED_VALUE"""),-0.561738)</f>
        <v>-0.561738</v>
      </c>
      <c r="J438" s="32">
        <f>IFERROR(__xludf.DUMMYFUNCTION("""COMPUTED_VALUE"""),405.0)</f>
        <v>405</v>
      </c>
      <c r="K438" s="32">
        <f>IFERROR(__xludf.DUMMYFUNCTION("""COMPUTED_VALUE"""),662.0)</f>
        <v>662</v>
      </c>
      <c r="L438" s="32">
        <f>IFERROR(__xludf.DUMMYFUNCTION("""COMPUTED_VALUE"""),233.4)</f>
        <v>233.4</v>
      </c>
      <c r="M438" s="32">
        <f>IFERROR(__xludf.DUMMYFUNCTION("""COMPUTED_VALUE"""),674.35)</f>
        <v>674.35</v>
      </c>
      <c r="N438" s="32">
        <f>IFERROR(__xludf.DUMMYFUNCTION("""COMPUTED_VALUE"""),233.4)</f>
        <v>233.4</v>
      </c>
      <c r="O438" s="32">
        <f>IFERROR(__xludf.DUMMYFUNCTION("""COMPUTED_VALUE"""),674.35)</f>
        <v>674.35</v>
      </c>
      <c r="P438" s="32">
        <f>IFERROR(__xludf.DUMMYFUNCTION("""COMPUTED_VALUE"""),1.765254)</f>
        <v>1.765254</v>
      </c>
      <c r="Q438" s="32">
        <f>IFERROR(__xludf.DUMMYFUNCTION("""COMPUTED_VALUE"""),699.7)</f>
        <v>699.7</v>
      </c>
      <c r="R438" s="32">
        <f>IFERROR(__xludf.DUMMYFUNCTION("""COMPUTED_VALUE"""),15791.70063587)</f>
        <v>15791.70064</v>
      </c>
      <c r="S438" s="32">
        <f>IFERROR(__xludf.DUMMYFUNCTION("""COMPUTED_VALUE"""),24337.817008835)</f>
        <v>24337.81701</v>
      </c>
      <c r="T438" s="32">
        <f>IFERROR(__xludf.DUMMYFUNCTION("""COMPUTED_VALUE"""),-2.504417)</f>
        <v>-2.504417</v>
      </c>
      <c r="U438" s="32">
        <f>IFERROR(__xludf.DUMMYFUNCTION("""COMPUTED_VALUE"""),4.686454)</f>
        <v>4.686454</v>
      </c>
      <c r="V438" s="32">
        <f>IFERROR(__xludf.DUMMYFUNCTION("""COMPUTED_VALUE"""),-1.933731)</f>
        <v>-1.933731</v>
      </c>
      <c r="W438" s="32">
        <f>IFERROR(__xludf.DUMMYFUNCTION("""COMPUTED_VALUE"""),-17.889025)</f>
        <v>-17.889025</v>
      </c>
      <c r="X438" s="32">
        <f>IFERROR(__xludf.DUMMYFUNCTION("""COMPUTED_VALUE"""),5.455317)</f>
        <v>5.455317</v>
      </c>
      <c r="Y438" s="32">
        <f>IFERROR(__xludf.DUMMYFUNCTION("""COMPUTED_VALUE"""),-5.145255)</f>
        <v>-5.145255</v>
      </c>
      <c r="Z438" s="32">
        <f>IFERROR(__xludf.DUMMYFUNCTION("""COMPUTED_VALUE"""),6.697962)</f>
        <v>6.697962</v>
      </c>
      <c r="AA438" s="32">
        <f>IFERROR(__xludf.DUMMYFUNCTION("""COMPUTED_VALUE"""),21.9649)</f>
        <v>21.9649</v>
      </c>
      <c r="AB438" s="32">
        <f>IFERROR(__xludf.DUMMYFUNCTION("""COMPUTED_VALUE"""),36.7498)</f>
        <v>36.7498</v>
      </c>
      <c r="AC438" s="32">
        <f>IFERROR(__xludf.DUMMYFUNCTION("""COMPUTED_VALUE"""),2.1543)</f>
        <v>2.1543</v>
      </c>
      <c r="AD438" s="32">
        <f>IFERROR(__xludf.DUMMYFUNCTION("""COMPUTED_VALUE"""),2.70875)</f>
        <v>2.70875</v>
      </c>
      <c r="AE438" s="32">
        <f>IFERROR(__xludf.DUMMYFUNCTION("""COMPUTED_VALUE"""),11.628738)</f>
        <v>11.628738</v>
      </c>
      <c r="AF438" s="32">
        <f>IFERROR(__xludf.DUMMYFUNCTION("""COMPUTED_VALUE"""),0.622055)</f>
        <v>0.622055</v>
      </c>
      <c r="AG438" s="32">
        <f>IFERROR(__xludf.DUMMYFUNCTION("""COMPUTED_VALUE"""),0.0)</f>
        <v>0</v>
      </c>
      <c r="AH438" s="32">
        <f>IFERROR(__xludf.DUMMYFUNCTION("""COMPUTED_VALUE"""),11.266882)</f>
        <v>11.266882</v>
      </c>
      <c r="AI438" s="32">
        <f>IFERROR(__xludf.DUMMYFUNCTION("""COMPUTED_VALUE"""),1.0345573492417885)</f>
        <v>1.034557349</v>
      </c>
      <c r="AJ438" s="32">
        <f>IFERROR(__xludf.DUMMYFUNCTION("""COMPUTED_VALUE"""),-8.992022865333478)</f>
        <v>-8.992022865</v>
      </c>
      <c r="AK438" s="32">
        <f>IFERROR(__xludf.DUMMYFUNCTION("""COMPUTED_VALUE"""),21.3636)</f>
        <v>21.3636</v>
      </c>
      <c r="AL438" s="32">
        <f>IFERROR(__xludf.DUMMYFUNCTION("""COMPUTED_VALUE"""),217.8194)</f>
        <v>217.8194</v>
      </c>
      <c r="AM438" s="32">
        <f>IFERROR(__xludf.DUMMYFUNCTION("""COMPUTED_VALUE"""),-52.174391)</f>
        <v>-52.174391</v>
      </c>
      <c r="AN438" s="32">
        <f>IFERROR(__xludf.DUMMYFUNCTION("""COMPUTED_VALUE"""),-67.325015)</f>
        <v>-67.325015</v>
      </c>
      <c r="AO438" s="32">
        <f>IFERROR(__xludf.DUMMYFUNCTION("""COMPUTED_VALUE"""),0.0)</f>
        <v>0</v>
      </c>
      <c r="AP438" s="32">
        <f>IFERROR(__xludf.DUMMYFUNCTION("""COMPUTED_VALUE"""),0.2913897280966767)</f>
        <v>0.2913897281</v>
      </c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</row>
    <row r="439">
      <c r="A439" s="13" t="str">
        <f>IFERROR(__xludf.DUMMYFUNCTION("""COMPUTED_VALUE"""),"Godrej Properties Ltd.")</f>
        <v>Godrej Properties Ltd.</v>
      </c>
      <c r="B439" s="30">
        <f>IFERROR(__xludf.DUMMYFUNCTION("""COMPUTED_VALUE"""),533150.0)</f>
        <v>533150</v>
      </c>
      <c r="C439" s="13" t="str">
        <f>IFERROR(__xludf.DUMMYFUNCTION("""COMPUTED_VALUE"""),"GODREJPROP")</f>
        <v>GODREJPROP</v>
      </c>
      <c r="D439" s="13" t="str">
        <f>IFERROR(__xludf.DUMMYFUNCTION("""COMPUTED_VALUE"""),"INE484J01027")</f>
        <v>INE484J01027</v>
      </c>
      <c r="E439" s="13" t="str">
        <f>IFERROR(__xludf.DUMMYFUNCTION("""COMPUTED_VALUE"""),"Construction")</f>
        <v>Construction</v>
      </c>
      <c r="F439" s="13" t="str">
        <f>IFERROR(__xludf.DUMMYFUNCTION("""COMPUTED_VALUE"""),"Real Estate")</f>
        <v>Real Estate</v>
      </c>
      <c r="G439" s="31">
        <f>IFERROR(__xludf.DUMMYFUNCTION("""COMPUTED_VALUE"""),44809.0)</f>
        <v>44809</v>
      </c>
      <c r="H439" s="32">
        <f>IFERROR(__xludf.DUMMYFUNCTION("""COMPUTED_VALUE"""),1428.6)</f>
        <v>1428.6</v>
      </c>
      <c r="I439" s="32">
        <f>IFERROR(__xludf.DUMMYFUNCTION("""COMPUTED_VALUE"""),0.687176)</f>
        <v>0.687176</v>
      </c>
      <c r="J439" s="32">
        <f>IFERROR(__xludf.DUMMYFUNCTION("""COMPUTED_VALUE"""),1129.55)</f>
        <v>1129.55</v>
      </c>
      <c r="K439" s="32">
        <f>IFERROR(__xludf.DUMMYFUNCTION("""COMPUTED_VALUE"""),2598.0)</f>
        <v>2598</v>
      </c>
      <c r="L439" s="32">
        <f>IFERROR(__xludf.DUMMYFUNCTION("""COMPUTED_VALUE"""),505.0)</f>
        <v>505</v>
      </c>
      <c r="M439" s="32">
        <f>IFERROR(__xludf.DUMMYFUNCTION("""COMPUTED_VALUE"""),2598.0)</f>
        <v>2598</v>
      </c>
      <c r="N439" s="32">
        <f>IFERROR(__xludf.DUMMYFUNCTION("""COMPUTED_VALUE"""),460.4)</f>
        <v>460.4</v>
      </c>
      <c r="O439" s="32">
        <f>IFERROR(__xludf.DUMMYFUNCTION("""COMPUTED_VALUE"""),2598.0)</f>
        <v>2598</v>
      </c>
      <c r="P439" s="32">
        <f>IFERROR(__xludf.DUMMYFUNCTION("""COMPUTED_VALUE"""),153.9)</f>
        <v>153.9</v>
      </c>
      <c r="Q439" s="32">
        <f>IFERROR(__xludf.DUMMYFUNCTION("""COMPUTED_VALUE"""),2598.0)</f>
        <v>2598</v>
      </c>
      <c r="R439" s="32">
        <f>IFERROR(__xludf.DUMMYFUNCTION("""COMPUTED_VALUE"""),39672.03966134)</f>
        <v>39672.03966</v>
      </c>
      <c r="S439" s="32">
        <f>IFERROR(__xludf.DUMMYFUNCTION("""COMPUTED_VALUE"""),39899.52941774)</f>
        <v>39899.52942</v>
      </c>
      <c r="T439" s="32">
        <f>IFERROR(__xludf.DUMMYFUNCTION("""COMPUTED_VALUE"""),3.181539)</f>
        <v>3.181539</v>
      </c>
      <c r="U439" s="32">
        <f>IFERROR(__xludf.DUMMYFUNCTION("""COMPUTED_VALUE"""),2.673566)</f>
        <v>2.673566</v>
      </c>
      <c r="V439" s="32">
        <f>IFERROR(__xludf.DUMMYFUNCTION("""COMPUTED_VALUE"""),5.427844)</f>
        <v>5.427844</v>
      </c>
      <c r="W439" s="32">
        <f>IFERROR(__xludf.DUMMYFUNCTION("""COMPUTED_VALUE"""),-9.605163)</f>
        <v>-9.605163</v>
      </c>
      <c r="X439" s="32">
        <f>IFERROR(__xludf.DUMMYFUNCTION("""COMPUTED_VALUE"""),16.970536)</f>
        <v>16.970536</v>
      </c>
      <c r="Y439" s="32">
        <f>IFERROR(__xludf.DUMMYFUNCTION("""COMPUTED_VALUE"""),18.912885)</f>
        <v>18.912885</v>
      </c>
      <c r="Z439" s="32">
        <f>IFERROR(__xludf.DUMMYFUNCTION("""COMPUTED_VALUE"""),19.53071)</f>
        <v>19.53071</v>
      </c>
      <c r="AA439" s="32">
        <f>IFERROR(__xludf.DUMMYFUNCTION("""COMPUTED_VALUE"""),104.2109)</f>
        <v>104.2109</v>
      </c>
      <c r="AB439" s="32">
        <f>IFERROR(__xludf.DUMMYFUNCTION("""COMPUTED_VALUE"""),85.98305)</f>
        <v>85.98305</v>
      </c>
      <c r="AC439" s="32">
        <f>IFERROR(__xludf.DUMMYFUNCTION("""COMPUTED_VALUE"""),4.5258)</f>
        <v>4.5258</v>
      </c>
      <c r="AD439" s="32">
        <f>IFERROR(__xludf.DUMMYFUNCTION("""COMPUTED_VALUE"""),5.29375)</f>
        <v>5.29375</v>
      </c>
      <c r="AE439" s="32">
        <f>IFERROR(__xludf.DUMMYFUNCTION("""COMPUTED_VALUE"""),4.225307)</f>
        <v>4.225307</v>
      </c>
      <c r="AF439" s="32">
        <f>IFERROR(__xludf.DUMMYFUNCTION("""COMPUTED_VALUE"""),5.495903)</f>
        <v>5.495903</v>
      </c>
      <c r="AG439" s="32">
        <f>IFERROR(__xludf.DUMMYFUNCTION("""COMPUTED_VALUE"""),0.0)</f>
        <v>0</v>
      </c>
      <c r="AH439" s="32">
        <f>IFERROR(__xludf.DUMMYFUNCTION("""COMPUTED_VALUE"""),42.03446)</f>
        <v>42.03446</v>
      </c>
      <c r="AI439" s="32">
        <f>IFERROR(__xludf.DUMMYFUNCTION("""COMPUTED_VALUE"""),20.0021375832993)</f>
        <v>20.00213758</v>
      </c>
      <c r="AJ439" s="32">
        <f>IFERROR(__xludf.DUMMYFUNCTION("""COMPUTED_VALUE"""),-87.83218132602728)</f>
        <v>-87.83218133</v>
      </c>
      <c r="AK439" s="32">
        <f>IFERROR(__xludf.DUMMYFUNCTION("""COMPUTED_VALUE"""),13.6939)</f>
        <v>13.6939</v>
      </c>
      <c r="AL439" s="32">
        <f>IFERROR(__xludf.DUMMYFUNCTION("""COMPUTED_VALUE"""),315.3115)</f>
        <v>315.3115</v>
      </c>
      <c r="AM439" s="32">
        <f>IFERROR(__xludf.DUMMYFUNCTION("""COMPUTED_VALUE"""),-16.248651)</f>
        <v>-16.248651</v>
      </c>
      <c r="AN439" s="32">
        <f>IFERROR(__xludf.DUMMYFUNCTION("""COMPUTED_VALUE"""),-4.663645)</f>
        <v>-4.663645</v>
      </c>
      <c r="AO439" s="32">
        <f>IFERROR(__xludf.DUMMYFUNCTION("""COMPUTED_VALUE"""),0.0)</f>
        <v>0</v>
      </c>
      <c r="AP439" s="32">
        <f>IFERROR(__xludf.DUMMYFUNCTION("""COMPUTED_VALUE"""),0.4501154734411086)</f>
        <v>0.4501154734</v>
      </c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</row>
    <row r="440">
      <c r="A440" s="13" t="str">
        <f>IFERROR(__xludf.DUMMYFUNCTION("""COMPUTED_VALUE"""),"G R Infraprojects Ltd.")</f>
        <v>G R Infraprojects Ltd.</v>
      </c>
      <c r="B440" s="30">
        <f>IFERROR(__xludf.DUMMYFUNCTION("""COMPUTED_VALUE"""),543317.0)</f>
        <v>543317</v>
      </c>
      <c r="C440" s="13" t="str">
        <f>IFERROR(__xludf.DUMMYFUNCTION("""COMPUTED_VALUE"""),"GRINFRA")</f>
        <v>GRINFRA</v>
      </c>
      <c r="D440" s="13" t="str">
        <f>IFERROR(__xludf.DUMMYFUNCTION("""COMPUTED_VALUE"""),"INE201P01022")</f>
        <v>INE201P01022</v>
      </c>
      <c r="E440" s="13" t="str">
        <f>IFERROR(__xludf.DUMMYFUNCTION("""COMPUTED_VALUE"""),"Construction")</f>
        <v>Construction</v>
      </c>
      <c r="F440" s="13" t="str">
        <f>IFERROR(__xludf.DUMMYFUNCTION("""COMPUTED_VALUE"""),"Infrastructure")</f>
        <v>Infrastructure</v>
      </c>
      <c r="G440" s="31">
        <f>IFERROR(__xludf.DUMMYFUNCTION("""COMPUTED_VALUE"""),44809.0)</f>
        <v>44809</v>
      </c>
      <c r="H440" s="32">
        <f>IFERROR(__xludf.DUMMYFUNCTION("""COMPUTED_VALUE"""),1353.75)</f>
        <v>1353.75</v>
      </c>
      <c r="I440" s="32">
        <f>IFERROR(__xludf.DUMMYFUNCTION("""COMPUTED_VALUE"""),0.5459)</f>
        <v>0.5459</v>
      </c>
      <c r="J440" s="32">
        <f>IFERROR(__xludf.DUMMYFUNCTION("""COMPUTED_VALUE"""),1078.85)</f>
        <v>1078.85</v>
      </c>
      <c r="K440" s="32">
        <f>IFERROR(__xludf.DUMMYFUNCTION("""COMPUTED_VALUE"""),2277.0)</f>
        <v>2277</v>
      </c>
      <c r="L440" s="13"/>
      <c r="M440" s="13"/>
      <c r="N440" s="13"/>
      <c r="O440" s="13"/>
      <c r="P440" s="32">
        <f>IFERROR(__xludf.DUMMYFUNCTION("""COMPUTED_VALUE"""),1074.35)</f>
        <v>1074.35</v>
      </c>
      <c r="Q440" s="32">
        <f>IFERROR(__xludf.DUMMYFUNCTION("""COMPUTED_VALUE"""),2277.0)</f>
        <v>2277</v>
      </c>
      <c r="R440" s="32">
        <f>IFERROR(__xludf.DUMMYFUNCTION("""COMPUTED_VALUE"""),13024.49309205)</f>
        <v>13024.49309</v>
      </c>
      <c r="S440" s="32">
        <f>IFERROR(__xludf.DUMMYFUNCTION("""COMPUTED_VALUE"""),17180.1586371)</f>
        <v>17180.15864</v>
      </c>
      <c r="T440" s="32">
        <f>IFERROR(__xludf.DUMMYFUNCTION("""COMPUTED_VALUE"""),-2.904788)</f>
        <v>-2.904788</v>
      </c>
      <c r="U440" s="32">
        <f>IFERROR(__xludf.DUMMYFUNCTION("""COMPUTED_VALUE"""),2.568474)</f>
        <v>2.568474</v>
      </c>
      <c r="V440" s="32">
        <f>IFERROR(__xludf.DUMMYFUNCTION("""COMPUTED_VALUE"""),-4.470397)</f>
        <v>-4.470397</v>
      </c>
      <c r="W440" s="32">
        <f>IFERROR(__xludf.DUMMYFUNCTION("""COMPUTED_VALUE"""),-17.446718)</f>
        <v>-17.446718</v>
      </c>
      <c r="X440" s="13"/>
      <c r="Y440" s="13"/>
      <c r="Z440" s="13"/>
      <c r="AA440" s="32">
        <f>IFERROR(__xludf.DUMMYFUNCTION("""COMPUTED_VALUE"""),12.8257)</f>
        <v>12.8257</v>
      </c>
      <c r="AB440" s="32">
        <f>IFERROR(__xludf.DUMMYFUNCTION("""COMPUTED_VALUE"""),16.0367)</f>
        <v>16.0367</v>
      </c>
      <c r="AC440" s="32">
        <f>IFERROR(__xludf.DUMMYFUNCTION("""COMPUTED_VALUE"""),2.4972)</f>
        <v>2.4972</v>
      </c>
      <c r="AD440" s="32">
        <f>IFERROR(__xludf.DUMMYFUNCTION("""COMPUTED_VALUE"""),3.3274)</f>
        <v>3.3274</v>
      </c>
      <c r="AE440" s="32">
        <f>IFERROR(__xludf.DUMMYFUNCTION("""COMPUTED_VALUE"""),10.56176)</f>
        <v>10.56176</v>
      </c>
      <c r="AF440" s="32">
        <f>IFERROR(__xludf.DUMMYFUNCTION("""COMPUTED_VALUE"""),-2.495702)</f>
        <v>-2.495702</v>
      </c>
      <c r="AG440" s="32">
        <f>IFERROR(__xludf.DUMMYFUNCTION("""COMPUTED_VALUE"""),0.0)</f>
        <v>0</v>
      </c>
      <c r="AH440" s="32">
        <f>IFERROR(__xludf.DUMMYFUNCTION("""COMPUTED_VALUE"""),8.494537)</f>
        <v>8.494537</v>
      </c>
      <c r="AI440" s="32">
        <f>IFERROR(__xludf.DUMMYFUNCTION("""COMPUTED_VALUE"""),1.455195343646163)</f>
        <v>1.455195344</v>
      </c>
      <c r="AJ440" s="32">
        <f>IFERROR(__xludf.DUMMYFUNCTION("""COMPUTED_VALUE"""),87.99774265722313)</f>
        <v>87.99774266</v>
      </c>
      <c r="AK440" s="32">
        <f>IFERROR(__xludf.DUMMYFUNCTION("""COMPUTED_VALUE"""),105.0276)</f>
        <v>105.0276</v>
      </c>
      <c r="AL440" s="32">
        <f>IFERROR(__xludf.DUMMYFUNCTION("""COMPUTED_VALUE"""),539.4332)</f>
        <v>539.4332</v>
      </c>
      <c r="AM440" s="32">
        <f>IFERROR(__xludf.DUMMYFUNCTION("""COMPUTED_VALUE"""),15.307749)</f>
        <v>15.307749</v>
      </c>
      <c r="AN440" s="32">
        <f>IFERROR(__xludf.DUMMYFUNCTION("""COMPUTED_VALUE"""),-69.241425)</f>
        <v>-69.241425</v>
      </c>
      <c r="AO440" s="32">
        <f>IFERROR(__xludf.DUMMYFUNCTION("""COMPUTED_VALUE"""),0.0)</f>
        <v>0</v>
      </c>
      <c r="AP440" s="32">
        <f>IFERROR(__xludf.DUMMYFUNCTION("""COMPUTED_VALUE"""),0.405467720685112)</f>
        <v>0.4054677207</v>
      </c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</row>
    <row r="441">
      <c r="A441" s="13" t="str">
        <f>IFERROR(__xludf.DUMMYFUNCTION("""COMPUTED_VALUE"""),"Gujarat Fluorochemicals Ltd.")</f>
        <v>Gujarat Fluorochemicals Ltd.</v>
      </c>
      <c r="B441" s="30">
        <f>IFERROR(__xludf.DUMMYFUNCTION("""COMPUTED_VALUE"""),542812.0)</f>
        <v>542812</v>
      </c>
      <c r="C441" s="13" t="str">
        <f>IFERROR(__xludf.DUMMYFUNCTION("""COMPUTED_VALUE"""),"FLUOROCHEM")</f>
        <v>FLUOROCHEM</v>
      </c>
      <c r="D441" s="13" t="str">
        <f>IFERROR(__xludf.DUMMYFUNCTION("""COMPUTED_VALUE"""),"INE09N301011")</f>
        <v>INE09N301011</v>
      </c>
      <c r="E441" s="13" t="str">
        <f>IFERROR(__xludf.DUMMYFUNCTION("""COMPUTED_VALUE"""),"Chemicals")</f>
        <v>Chemicals</v>
      </c>
      <c r="F441" s="13" t="str">
        <f>IFERROR(__xludf.DUMMYFUNCTION("""COMPUTED_VALUE"""),"Misc.Chem.")</f>
        <v>Misc.Chem.</v>
      </c>
      <c r="G441" s="31">
        <f>IFERROR(__xludf.DUMMYFUNCTION("""COMPUTED_VALUE"""),44809.0)</f>
        <v>44809</v>
      </c>
      <c r="H441" s="32">
        <f>IFERROR(__xludf.DUMMYFUNCTION("""COMPUTED_VALUE"""),3457.25)</f>
        <v>3457.25</v>
      </c>
      <c r="I441" s="32">
        <f>IFERROR(__xludf.DUMMYFUNCTION("""COMPUTED_VALUE"""),3.090708)</f>
        <v>3.090708</v>
      </c>
      <c r="J441" s="32">
        <f>IFERROR(__xludf.DUMMYFUNCTION("""COMPUTED_VALUE"""),1630.9)</f>
        <v>1630.9</v>
      </c>
      <c r="K441" s="32">
        <f>IFERROR(__xludf.DUMMYFUNCTION("""COMPUTED_VALUE"""),3685.0)</f>
        <v>3685</v>
      </c>
      <c r="L441" s="13"/>
      <c r="M441" s="13"/>
      <c r="N441" s="13"/>
      <c r="O441" s="13"/>
      <c r="P441" s="32">
        <f>IFERROR(__xludf.DUMMYFUNCTION("""COMPUTED_VALUE"""),217.35)</f>
        <v>217.35</v>
      </c>
      <c r="Q441" s="32">
        <f>IFERROR(__xludf.DUMMYFUNCTION("""COMPUTED_VALUE"""),3685.0)</f>
        <v>3685</v>
      </c>
      <c r="R441" s="32">
        <f>IFERROR(__xludf.DUMMYFUNCTION("""COMPUTED_VALUE"""),37912.5305)</f>
        <v>37912.5305</v>
      </c>
      <c r="S441" s="32">
        <f>IFERROR(__xludf.DUMMYFUNCTION("""COMPUTED_VALUE"""),38356.1964)</f>
        <v>38356.1964</v>
      </c>
      <c r="T441" s="32">
        <f>IFERROR(__xludf.DUMMYFUNCTION("""COMPUTED_VALUE"""),4.53233)</f>
        <v>4.53233</v>
      </c>
      <c r="U441" s="32">
        <f>IFERROR(__xludf.DUMMYFUNCTION("""COMPUTED_VALUE"""),4.134036)</f>
        <v>4.134036</v>
      </c>
      <c r="V441" s="32">
        <f>IFERROR(__xludf.DUMMYFUNCTION("""COMPUTED_VALUE"""),21.404994)</f>
        <v>21.404994</v>
      </c>
      <c r="W441" s="32">
        <f>IFERROR(__xludf.DUMMYFUNCTION("""COMPUTED_VALUE"""),105.44628)</f>
        <v>105.44628</v>
      </c>
      <c r="X441" s="13"/>
      <c r="Y441" s="13"/>
      <c r="Z441" s="13"/>
      <c r="AA441" s="32">
        <f>IFERROR(__xludf.DUMMYFUNCTION("""COMPUTED_VALUE"""),40.3475)</f>
        <v>40.3475</v>
      </c>
      <c r="AB441" s="32">
        <f>IFERROR(__xludf.DUMMYFUNCTION("""COMPUTED_VALUE"""),41.46115)</f>
        <v>41.46115</v>
      </c>
      <c r="AC441" s="32">
        <f>IFERROR(__xludf.DUMMYFUNCTION("""COMPUTED_VALUE"""),8.3168)</f>
        <v>8.3168</v>
      </c>
      <c r="AD441" s="32">
        <f>IFERROR(__xludf.DUMMYFUNCTION("""COMPUTED_VALUE"""),7.1634)</f>
        <v>7.1634</v>
      </c>
      <c r="AE441" s="32">
        <f>IFERROR(__xludf.DUMMYFUNCTION("""COMPUTED_VALUE"""),3.761357)</f>
        <v>3.761357</v>
      </c>
      <c r="AF441" s="32">
        <f>IFERROR(__xludf.DUMMYFUNCTION("""COMPUTED_VALUE"""),0.053057)</f>
        <v>0.053057</v>
      </c>
      <c r="AG441" s="32">
        <f>IFERROR(__xludf.DUMMYFUNCTION("""COMPUTED_VALUE"""),0.0)</f>
        <v>0</v>
      </c>
      <c r="AH441" s="32">
        <f>IFERROR(__xludf.DUMMYFUNCTION("""COMPUTED_VALUE"""),25.026064)</f>
        <v>25.026064</v>
      </c>
      <c r="AI441" s="32">
        <f>IFERROR(__xludf.DUMMYFUNCTION("""COMPUTED_VALUE"""),8.657311297596621)</f>
        <v>8.657311298</v>
      </c>
      <c r="AJ441" s="32">
        <f>IFERROR(__xludf.DUMMYFUNCTION("""COMPUTED_VALUE"""),61.50633662794508)</f>
        <v>61.50633663</v>
      </c>
      <c r="AK441" s="32">
        <f>IFERROR(__xludf.DUMMYFUNCTION("""COMPUTED_VALUE"""),85.5394)</f>
        <v>85.5394</v>
      </c>
      <c r="AL441" s="32">
        <f>IFERROR(__xludf.DUMMYFUNCTION("""COMPUTED_VALUE"""),414.98)</f>
        <v>414.98</v>
      </c>
      <c r="AM441" s="32">
        <f>IFERROR(__xludf.DUMMYFUNCTION("""COMPUTED_VALUE"""),56.112918)</f>
        <v>56.112918</v>
      </c>
      <c r="AN441" s="32">
        <f>IFERROR(__xludf.DUMMYFUNCTION("""COMPUTED_VALUE"""),-41.62914)</f>
        <v>-41.62914</v>
      </c>
      <c r="AO441" s="32">
        <f>IFERROR(__xludf.DUMMYFUNCTION("""COMPUTED_VALUE"""),0.0)</f>
        <v>0</v>
      </c>
      <c r="AP441" s="32">
        <f>IFERROR(__xludf.DUMMYFUNCTION("""COMPUTED_VALUE"""),0.06180461329715061)</f>
        <v>0.0618046133</v>
      </c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</row>
    <row r="442">
      <c r="A442" s="13" t="str">
        <f>IFERROR(__xludf.DUMMYFUNCTION("""COMPUTED_VALUE"""),"Hathway Cable &amp; Datacom Ltd.")</f>
        <v>Hathway Cable &amp; Datacom Ltd.</v>
      </c>
      <c r="B442" s="30">
        <f>IFERROR(__xludf.DUMMYFUNCTION("""COMPUTED_VALUE"""),533162.0)</f>
        <v>533162</v>
      </c>
      <c r="C442" s="13" t="str">
        <f>IFERROR(__xludf.DUMMYFUNCTION("""COMPUTED_VALUE"""),"HATHWAY")</f>
        <v>HATHWAY</v>
      </c>
      <c r="D442" s="13" t="str">
        <f>IFERROR(__xludf.DUMMYFUNCTION("""COMPUTED_VALUE"""),"INE982F01036")</f>
        <v>INE982F01036</v>
      </c>
      <c r="E442" s="13" t="str">
        <f>IFERROR(__xludf.DUMMYFUNCTION("""COMPUTED_VALUE"""),"Communication")</f>
        <v>Communication</v>
      </c>
      <c r="F442" s="13" t="str">
        <f>IFERROR(__xludf.DUMMYFUNCTION("""COMPUTED_VALUE"""),"Telecom Services")</f>
        <v>Telecom Services</v>
      </c>
      <c r="G442" s="31">
        <f>IFERROR(__xludf.DUMMYFUNCTION("""COMPUTED_VALUE"""),44809.0)</f>
        <v>44809</v>
      </c>
      <c r="H442" s="32">
        <f>IFERROR(__xludf.DUMMYFUNCTION("""COMPUTED_VALUE"""),18.7)</f>
        <v>18.7</v>
      </c>
      <c r="I442" s="32">
        <f>IFERROR(__xludf.DUMMYFUNCTION("""COMPUTED_VALUE"""),3.314917)</f>
        <v>3.314917</v>
      </c>
      <c r="J442" s="32">
        <f>IFERROR(__xludf.DUMMYFUNCTION("""COMPUTED_VALUE"""),14.35)</f>
        <v>14.35</v>
      </c>
      <c r="K442" s="32">
        <f>IFERROR(__xludf.DUMMYFUNCTION("""COMPUTED_VALUE"""),27.6)</f>
        <v>27.6</v>
      </c>
      <c r="L442" s="32">
        <f>IFERROR(__xludf.DUMMYFUNCTION("""COMPUTED_VALUE"""),10.5)</f>
        <v>10.5</v>
      </c>
      <c r="M442" s="32">
        <f>IFERROR(__xludf.DUMMYFUNCTION("""COMPUTED_VALUE"""),57.45)</f>
        <v>57.45</v>
      </c>
      <c r="N442" s="32">
        <f>IFERROR(__xludf.DUMMYFUNCTION("""COMPUTED_VALUE"""),10.5)</f>
        <v>10.5</v>
      </c>
      <c r="O442" s="32">
        <f>IFERROR(__xludf.DUMMYFUNCTION("""COMPUTED_VALUE"""),57.45)</f>
        <v>57.45</v>
      </c>
      <c r="P442" s="32">
        <f>IFERROR(__xludf.DUMMYFUNCTION("""COMPUTED_VALUE"""),10.5)</f>
        <v>10.5</v>
      </c>
      <c r="Q442" s="32">
        <f>IFERROR(__xludf.DUMMYFUNCTION("""COMPUTED_VALUE"""),77.12)</f>
        <v>77.12</v>
      </c>
      <c r="R442" s="32">
        <f>IFERROR(__xludf.DUMMYFUNCTION("""COMPUTED_VALUE"""),3310.095415)</f>
        <v>3310.095415</v>
      </c>
      <c r="S442" s="32">
        <f>IFERROR(__xludf.DUMMYFUNCTION("""COMPUTED_VALUE"""),2289.5386225)</f>
        <v>2289.538623</v>
      </c>
      <c r="T442" s="32">
        <f>IFERROR(__xludf.DUMMYFUNCTION("""COMPUTED_VALUE"""),10.979228)</f>
        <v>10.979228</v>
      </c>
      <c r="U442" s="32">
        <f>IFERROR(__xludf.DUMMYFUNCTION("""COMPUTED_VALUE"""),9.356725)</f>
        <v>9.356725</v>
      </c>
      <c r="V442" s="32">
        <f>IFERROR(__xludf.DUMMYFUNCTION("""COMPUTED_VALUE"""),4.469274)</f>
        <v>4.469274</v>
      </c>
      <c r="W442" s="32">
        <f>IFERROR(__xludf.DUMMYFUNCTION("""COMPUTED_VALUE"""),-21.263158)</f>
        <v>-21.263158</v>
      </c>
      <c r="X442" s="32">
        <f>IFERROR(__xludf.DUMMYFUNCTION("""COMPUTED_VALUE"""),-16.132419)</f>
        <v>-16.132419</v>
      </c>
      <c r="Y442" s="32">
        <f>IFERROR(__xludf.DUMMYFUNCTION("""COMPUTED_VALUE"""),-10.187181)</f>
        <v>-10.187181</v>
      </c>
      <c r="Z442" s="32">
        <f>IFERROR(__xludf.DUMMYFUNCTION("""COMPUTED_VALUE"""),-6.901276)</f>
        <v>-6.901276</v>
      </c>
      <c r="AA442" s="32">
        <f>IFERROR(__xludf.DUMMYFUNCTION("""COMPUTED_VALUE"""),32.4011)</f>
        <v>32.4011</v>
      </c>
      <c r="AB442" s="32">
        <f>IFERROR(__xludf.DUMMYFUNCTION("""COMPUTED_VALUE"""),24.1706)</f>
        <v>24.1706</v>
      </c>
      <c r="AC442" s="32">
        <f>IFERROR(__xludf.DUMMYFUNCTION("""COMPUTED_VALUE"""),0.8014)</f>
        <v>0.8014</v>
      </c>
      <c r="AD442" s="32">
        <f>IFERROR(__xludf.DUMMYFUNCTION("""COMPUTED_VALUE"""),1.187)</f>
        <v>1.187</v>
      </c>
      <c r="AE442" s="32">
        <f>IFERROR(__xludf.DUMMYFUNCTION("""COMPUTED_VALUE"""),6.056736)</f>
        <v>6.056736</v>
      </c>
      <c r="AF442" s="32">
        <f>IFERROR(__xludf.DUMMYFUNCTION("""COMPUTED_VALUE"""),1.840841)</f>
        <v>1.840841</v>
      </c>
      <c r="AG442" s="32">
        <f>IFERROR(__xludf.DUMMYFUNCTION("""COMPUTED_VALUE"""),0.0)</f>
        <v>0</v>
      </c>
      <c r="AH442" s="32">
        <f>IFERROR(__xludf.DUMMYFUNCTION("""COMPUTED_VALUE"""),5.184409)</f>
        <v>5.184409</v>
      </c>
      <c r="AI442" s="32">
        <f>IFERROR(__xludf.DUMMYFUNCTION("""COMPUTED_VALUE"""),1.8400970692712646)</f>
        <v>1.840097069</v>
      </c>
      <c r="AJ442" s="32">
        <f>IFERROR(__xludf.DUMMYFUNCTION("""COMPUTED_VALUE"""),9.94709683865733)</f>
        <v>9.947096839</v>
      </c>
      <c r="AK442" s="32">
        <f>IFERROR(__xludf.DUMMYFUNCTION("""COMPUTED_VALUE"""),0.5771)</f>
        <v>0.5771</v>
      </c>
      <c r="AL442" s="32">
        <f>IFERROR(__xludf.DUMMYFUNCTION("""COMPUTED_VALUE"""),23.3342)</f>
        <v>23.3342</v>
      </c>
      <c r="AM442" s="32">
        <f>IFERROR(__xludf.DUMMYFUNCTION("""COMPUTED_VALUE"""),1.87995)</f>
        <v>1.87995</v>
      </c>
      <c r="AN442" s="32">
        <f>IFERROR(__xludf.DUMMYFUNCTION("""COMPUTED_VALUE"""),-0.219536)</f>
        <v>-0.219536</v>
      </c>
      <c r="AO442" s="32">
        <f>IFERROR(__xludf.DUMMYFUNCTION("""COMPUTED_VALUE"""),0.0)</f>
        <v>0</v>
      </c>
      <c r="AP442" s="32">
        <f>IFERROR(__xludf.DUMMYFUNCTION("""COMPUTED_VALUE"""),0.3224637681159421)</f>
        <v>0.3224637681</v>
      </c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</row>
    <row r="443">
      <c r="A443" s="13" t="str">
        <f>IFERROR(__xludf.DUMMYFUNCTION("""COMPUTED_VALUE"""),"IDBI Bank Ltd.")</f>
        <v>IDBI Bank Ltd.</v>
      </c>
      <c r="B443" s="30">
        <f>IFERROR(__xludf.DUMMYFUNCTION("""COMPUTED_VALUE"""),500116.0)</f>
        <v>500116</v>
      </c>
      <c r="C443" s="13" t="str">
        <f>IFERROR(__xludf.DUMMYFUNCTION("""COMPUTED_VALUE"""),"IDBI")</f>
        <v>IDBI</v>
      </c>
      <c r="D443" s="13" t="str">
        <f>IFERROR(__xludf.DUMMYFUNCTION("""COMPUTED_VALUE"""),"INE008A01015")</f>
        <v>INE008A01015</v>
      </c>
      <c r="E443" s="13" t="str">
        <f>IFERROR(__xludf.DUMMYFUNCTION("""COMPUTED_VALUE"""),"Financial")</f>
        <v>Financial</v>
      </c>
      <c r="F443" s="13" t="str">
        <f>IFERROR(__xludf.DUMMYFUNCTION("""COMPUTED_VALUE"""),"Banking")</f>
        <v>Banking</v>
      </c>
      <c r="G443" s="31">
        <f>IFERROR(__xludf.DUMMYFUNCTION("""COMPUTED_VALUE"""),44809.0)</f>
        <v>44809</v>
      </c>
      <c r="H443" s="32">
        <f>IFERROR(__xludf.DUMMYFUNCTION("""COMPUTED_VALUE"""),43.3)</f>
        <v>43.3</v>
      </c>
      <c r="I443" s="32">
        <f>IFERROR(__xludf.DUMMYFUNCTION("""COMPUTED_VALUE"""),0.231481)</f>
        <v>0.231481</v>
      </c>
      <c r="J443" s="32">
        <f>IFERROR(__xludf.DUMMYFUNCTION("""COMPUTED_VALUE"""),30.5)</f>
        <v>30.5</v>
      </c>
      <c r="K443" s="32">
        <f>IFERROR(__xludf.DUMMYFUNCTION("""COMPUTED_VALUE"""),65.25)</f>
        <v>65.25</v>
      </c>
      <c r="L443" s="32">
        <f>IFERROR(__xludf.DUMMYFUNCTION("""COMPUTED_VALUE"""),17.25)</f>
        <v>17.25</v>
      </c>
      <c r="M443" s="32">
        <f>IFERROR(__xludf.DUMMYFUNCTION("""COMPUTED_VALUE"""),65.25)</f>
        <v>65.25</v>
      </c>
      <c r="N443" s="32">
        <f>IFERROR(__xludf.DUMMYFUNCTION("""COMPUTED_VALUE"""),17.25)</f>
        <v>17.25</v>
      </c>
      <c r="O443" s="32">
        <f>IFERROR(__xludf.DUMMYFUNCTION("""COMPUTED_VALUE"""),91.5)</f>
        <v>91.5</v>
      </c>
      <c r="P443" s="32">
        <f>IFERROR(__xludf.DUMMYFUNCTION("""COMPUTED_VALUE"""),10.625)</f>
        <v>10.625</v>
      </c>
      <c r="Q443" s="32">
        <f>IFERROR(__xludf.DUMMYFUNCTION("""COMPUTED_VALUE"""),202.25)</f>
        <v>202.25</v>
      </c>
      <c r="R443" s="32">
        <f>IFERROR(__xludf.DUMMYFUNCTION("""COMPUTED_VALUE"""),46557.90141774999)</f>
        <v>46557.90142</v>
      </c>
      <c r="S443" s="32">
        <f>IFERROR(__xludf.DUMMYFUNCTION("""COMPUTED_VALUE"""),33994.88509600001)</f>
        <v>33994.8851</v>
      </c>
      <c r="T443" s="32">
        <f>IFERROR(__xludf.DUMMYFUNCTION("""COMPUTED_VALUE"""),-5.355191)</f>
        <v>-5.355191</v>
      </c>
      <c r="U443" s="32">
        <f>IFERROR(__xludf.DUMMYFUNCTION("""COMPUTED_VALUE"""),3.712575)</f>
        <v>3.712575</v>
      </c>
      <c r="V443" s="32">
        <f>IFERROR(__xludf.DUMMYFUNCTION("""COMPUTED_VALUE"""),18.792867)</f>
        <v>18.792867</v>
      </c>
      <c r="W443" s="32">
        <f>IFERROR(__xludf.DUMMYFUNCTION("""COMPUTED_VALUE"""),13.499345)</f>
        <v>13.499345</v>
      </c>
      <c r="X443" s="32">
        <f>IFERROR(__xludf.DUMMYFUNCTION("""COMPUTED_VALUE"""),16.978723)</f>
        <v>16.978723</v>
      </c>
      <c r="Y443" s="32">
        <f>IFERROR(__xludf.DUMMYFUNCTION("""COMPUTED_VALUE"""),-4.670999)</f>
        <v>-4.670999</v>
      </c>
      <c r="Z443" s="32">
        <f>IFERROR(__xludf.DUMMYFUNCTION("""COMPUTED_VALUE"""),-6.728962)</f>
        <v>-6.728962</v>
      </c>
      <c r="AA443" s="32">
        <f>IFERROR(__xludf.DUMMYFUNCTION("""COMPUTED_VALUE"""),17.2373)</f>
        <v>17.2373</v>
      </c>
      <c r="AB443" s="32">
        <f>IFERROR(__xludf.DUMMYFUNCTION("""COMPUTED_VALUE"""),22.4407)</f>
        <v>22.4407</v>
      </c>
      <c r="AC443" s="32">
        <f>IFERROR(__xludf.DUMMYFUNCTION("""COMPUTED_VALUE"""),1.3361)</f>
        <v>1.3361</v>
      </c>
      <c r="AD443" s="32">
        <f>IFERROR(__xludf.DUMMYFUNCTION("""COMPUTED_VALUE"""),1.14705)</f>
        <v>1.14705</v>
      </c>
      <c r="AE443" s="32">
        <f>IFERROR(__xludf.DUMMYFUNCTION("""COMPUTED_VALUE"""),38.383535)</f>
        <v>38.383535</v>
      </c>
      <c r="AF443" s="32">
        <f>IFERROR(__xludf.DUMMYFUNCTION("""COMPUTED_VALUE"""),1.776036)</f>
        <v>1.776036</v>
      </c>
      <c r="AG443" s="32">
        <f>IFERROR(__xludf.DUMMYFUNCTION("""COMPUTED_VALUE"""),0.0)</f>
        <v>0</v>
      </c>
      <c r="AH443" s="32">
        <f>IFERROR(__xludf.DUMMYFUNCTION("""COMPUTED_VALUE"""),5.100699)</f>
        <v>5.100699</v>
      </c>
      <c r="AI443" s="32">
        <f>IFERROR(__xludf.DUMMYFUNCTION("""COMPUTED_VALUE"""),2.5802142194029103)</f>
        <v>2.580214219</v>
      </c>
      <c r="AJ443" s="32">
        <f>IFERROR(__xludf.DUMMYFUNCTION("""COMPUTED_VALUE"""),-11.84012341386438)</f>
        <v>-11.84012341</v>
      </c>
      <c r="AK443" s="32">
        <f>IFERROR(__xludf.DUMMYFUNCTION("""COMPUTED_VALUE"""),2.5149)</f>
        <v>2.5149</v>
      </c>
      <c r="AL443" s="32">
        <f>IFERROR(__xludf.DUMMYFUNCTION("""COMPUTED_VALUE"""),32.4445)</f>
        <v>32.4445</v>
      </c>
      <c r="AM443" s="32">
        <f>IFERROR(__xludf.DUMMYFUNCTION("""COMPUTED_VALUE"""),-3.657056)</f>
        <v>-3.657056</v>
      </c>
      <c r="AN443" s="32">
        <f>IFERROR(__xludf.DUMMYFUNCTION("""COMPUTED_VALUE"""),-12.561088)</f>
        <v>-12.561088</v>
      </c>
      <c r="AO443" s="32">
        <f>IFERROR(__xludf.DUMMYFUNCTION("""COMPUTED_VALUE"""),0.0)</f>
        <v>0</v>
      </c>
      <c r="AP443" s="32">
        <f>IFERROR(__xludf.DUMMYFUNCTION("""COMPUTED_VALUE"""),0.3363984674329502)</f>
        <v>0.3363984674</v>
      </c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</row>
    <row r="444">
      <c r="A444" s="13" t="str">
        <f>IFERROR(__xludf.DUMMYFUNCTION("""COMPUTED_VALUE"""),"IDFC First Bank Ltd.")</f>
        <v>IDFC First Bank Ltd.</v>
      </c>
      <c r="B444" s="30">
        <f>IFERROR(__xludf.DUMMYFUNCTION("""COMPUTED_VALUE"""),539437.0)</f>
        <v>539437</v>
      </c>
      <c r="C444" s="13" t="str">
        <f>IFERROR(__xludf.DUMMYFUNCTION("""COMPUTED_VALUE"""),"IDFCFIRSTB")</f>
        <v>IDFCFIRSTB</v>
      </c>
      <c r="D444" s="13" t="str">
        <f>IFERROR(__xludf.DUMMYFUNCTION("""COMPUTED_VALUE"""),"INE092T01019")</f>
        <v>INE092T01019</v>
      </c>
      <c r="E444" s="13" t="str">
        <f>IFERROR(__xludf.DUMMYFUNCTION("""COMPUTED_VALUE"""),"Financial")</f>
        <v>Financial</v>
      </c>
      <c r="F444" s="13" t="str">
        <f>IFERROR(__xludf.DUMMYFUNCTION("""COMPUTED_VALUE"""),"Banking")</f>
        <v>Banking</v>
      </c>
      <c r="G444" s="31">
        <f>IFERROR(__xludf.DUMMYFUNCTION("""COMPUTED_VALUE"""),44809.0)</f>
        <v>44809</v>
      </c>
      <c r="H444" s="32">
        <f>IFERROR(__xludf.DUMMYFUNCTION("""COMPUTED_VALUE"""),50.8)</f>
        <v>50.8</v>
      </c>
      <c r="I444" s="32">
        <f>IFERROR(__xludf.DUMMYFUNCTION("""COMPUTED_VALUE"""),4.634398)</f>
        <v>4.634398</v>
      </c>
      <c r="J444" s="32">
        <f>IFERROR(__xludf.DUMMYFUNCTION("""COMPUTED_VALUE"""),28.95)</f>
        <v>28.95</v>
      </c>
      <c r="K444" s="32">
        <f>IFERROR(__xludf.DUMMYFUNCTION("""COMPUTED_VALUE"""),53.5)</f>
        <v>53.5</v>
      </c>
      <c r="L444" s="32">
        <f>IFERROR(__xludf.DUMMYFUNCTION("""COMPUTED_VALUE"""),17.65)</f>
        <v>17.65</v>
      </c>
      <c r="M444" s="32">
        <f>IFERROR(__xludf.DUMMYFUNCTION("""COMPUTED_VALUE"""),69.3)</f>
        <v>69.3</v>
      </c>
      <c r="N444" s="32">
        <f>IFERROR(__xludf.DUMMYFUNCTION("""COMPUTED_VALUE"""),17.65)</f>
        <v>17.65</v>
      </c>
      <c r="O444" s="32">
        <f>IFERROR(__xludf.DUMMYFUNCTION("""COMPUTED_VALUE"""),70.4)</f>
        <v>70.4</v>
      </c>
      <c r="P444" s="32">
        <f>IFERROR(__xludf.DUMMYFUNCTION("""COMPUTED_VALUE"""),17.65)</f>
        <v>17.65</v>
      </c>
      <c r="Q444" s="32">
        <f>IFERROR(__xludf.DUMMYFUNCTION("""COMPUTED_VALUE"""),83.45)</f>
        <v>83.45</v>
      </c>
      <c r="R444" s="32">
        <f>IFERROR(__xludf.DUMMYFUNCTION("""COMPUTED_VALUE"""),31567.9284704)</f>
        <v>31567.92847</v>
      </c>
      <c r="S444" s="32">
        <f>IFERROR(__xludf.DUMMYFUNCTION("""COMPUTED_VALUE"""),67490.79455392)</f>
        <v>67490.79455</v>
      </c>
      <c r="T444" s="32">
        <f>IFERROR(__xludf.DUMMYFUNCTION("""COMPUTED_VALUE"""),4.850361)</f>
        <v>4.850361</v>
      </c>
      <c r="U444" s="32">
        <f>IFERROR(__xludf.DUMMYFUNCTION("""COMPUTED_VALUE"""),18.002323)</f>
        <v>18.002323</v>
      </c>
      <c r="V444" s="32">
        <f>IFERROR(__xludf.DUMMYFUNCTION("""COMPUTED_VALUE"""),43.705799)</f>
        <v>43.705799</v>
      </c>
      <c r="W444" s="32">
        <f>IFERROR(__xludf.DUMMYFUNCTION("""COMPUTED_VALUE"""),11.28149)</f>
        <v>11.28149</v>
      </c>
      <c r="X444" s="32">
        <f>IFERROR(__xludf.DUMMYFUNCTION("""COMPUTED_VALUE"""),5.960812)</f>
        <v>5.960812</v>
      </c>
      <c r="Y444" s="32">
        <f>IFERROR(__xludf.DUMMYFUNCTION("""COMPUTED_VALUE"""),-2.328132)</f>
        <v>-2.328132</v>
      </c>
      <c r="Z444" s="13"/>
      <c r="AA444" s="32">
        <f>IFERROR(__xludf.DUMMYFUNCTION("""COMPUTED_VALUE"""),25.4892)</f>
        <v>25.4892</v>
      </c>
      <c r="AB444" s="32">
        <f>IFERROR(__xludf.DUMMYFUNCTION("""COMPUTED_VALUE"""),24.52345)</f>
        <v>24.52345</v>
      </c>
      <c r="AC444" s="32">
        <f>IFERROR(__xludf.DUMMYFUNCTION("""COMPUTED_VALUE"""),1.4646)</f>
        <v>1.4646</v>
      </c>
      <c r="AD444" s="32">
        <f>IFERROR(__xludf.DUMMYFUNCTION("""COMPUTED_VALUE"""),1.188)</f>
        <v>1.188</v>
      </c>
      <c r="AE444" s="32">
        <f>IFERROR(__xludf.DUMMYFUNCTION("""COMPUTED_VALUE"""),15.862096)</f>
        <v>15.862096</v>
      </c>
      <c r="AF444" s="32">
        <f>IFERROR(__xludf.DUMMYFUNCTION("""COMPUTED_VALUE"""),0.701969)</f>
        <v>0.701969</v>
      </c>
      <c r="AG444" s="32">
        <f>IFERROR(__xludf.DUMMYFUNCTION("""COMPUTED_VALUE"""),0.0)</f>
        <v>0</v>
      </c>
      <c r="AH444" s="32">
        <f>IFERROR(__xludf.DUMMYFUNCTION("""COMPUTED_VALUE"""),20.863758)</f>
        <v>20.863758</v>
      </c>
      <c r="AI444" s="32">
        <f>IFERROR(__xludf.DUMMYFUNCTION("""COMPUTED_VALUE"""),1.7532748997979575)</f>
        <v>1.7532749</v>
      </c>
      <c r="AJ444" s="32">
        <f>IFERROR(__xludf.DUMMYFUNCTION("""COMPUTED_VALUE"""),11.782896237232103)</f>
        <v>11.78289624</v>
      </c>
      <c r="AK444" s="32">
        <f>IFERROR(__xludf.DUMMYFUNCTION("""COMPUTED_VALUE"""),1.991)</f>
        <v>1.991</v>
      </c>
      <c r="AL444" s="32">
        <f>IFERROR(__xludf.DUMMYFUNCTION("""COMPUTED_VALUE"""),34.6505)</f>
        <v>34.6505</v>
      </c>
      <c r="AM444" s="32">
        <f>IFERROR(__xludf.DUMMYFUNCTION("""COMPUTED_VALUE"""),4.308873)</f>
        <v>4.308873</v>
      </c>
      <c r="AN444" s="32">
        <f>IFERROR(__xludf.DUMMYFUNCTION("""COMPUTED_VALUE"""),-2.095498)</f>
        <v>-2.095498</v>
      </c>
      <c r="AO444" s="32">
        <f>IFERROR(__xludf.DUMMYFUNCTION("""COMPUTED_VALUE"""),0.0)</f>
        <v>0</v>
      </c>
      <c r="AP444" s="32">
        <f>IFERROR(__xludf.DUMMYFUNCTION("""COMPUTED_VALUE"""),0.05046728971962622)</f>
        <v>0.05046728972</v>
      </c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</row>
    <row r="445">
      <c r="A445" s="13" t="str">
        <f>IFERROR(__xludf.DUMMYFUNCTION("""COMPUTED_VALUE"""),"IDFC Ltd.")</f>
        <v>IDFC Ltd.</v>
      </c>
      <c r="B445" s="30">
        <f>IFERROR(__xludf.DUMMYFUNCTION("""COMPUTED_VALUE"""),532659.0)</f>
        <v>532659</v>
      </c>
      <c r="C445" s="13" t="str">
        <f>IFERROR(__xludf.DUMMYFUNCTION("""COMPUTED_VALUE"""),"IDFC")</f>
        <v>IDFC</v>
      </c>
      <c r="D445" s="13" t="str">
        <f>IFERROR(__xludf.DUMMYFUNCTION("""COMPUTED_VALUE"""),"INE043D01016")</f>
        <v>INE043D01016</v>
      </c>
      <c r="E445" s="13" t="str">
        <f>IFERROR(__xludf.DUMMYFUNCTION("""COMPUTED_VALUE"""),"Financial")</f>
        <v>Financial</v>
      </c>
      <c r="F445" s="13" t="str">
        <f>IFERROR(__xludf.DUMMYFUNCTION("""COMPUTED_VALUE"""),"SIDCs/SFCs")</f>
        <v>SIDCs/SFCs</v>
      </c>
      <c r="G445" s="31">
        <f>IFERROR(__xludf.DUMMYFUNCTION("""COMPUTED_VALUE"""),44809.0)</f>
        <v>44809</v>
      </c>
      <c r="H445" s="32">
        <f>IFERROR(__xludf.DUMMYFUNCTION("""COMPUTED_VALUE"""),69.35)</f>
        <v>69.35</v>
      </c>
      <c r="I445" s="32">
        <f>IFERROR(__xludf.DUMMYFUNCTION("""COMPUTED_VALUE"""),1.985294)</f>
        <v>1.985294</v>
      </c>
      <c r="J445" s="32">
        <f>IFERROR(__xludf.DUMMYFUNCTION("""COMPUTED_VALUE"""),42.2)</f>
        <v>42.2</v>
      </c>
      <c r="K445" s="32">
        <f>IFERROR(__xludf.DUMMYFUNCTION("""COMPUTED_VALUE"""),70.4)</f>
        <v>70.4</v>
      </c>
      <c r="L445" s="32">
        <f>IFERROR(__xludf.DUMMYFUNCTION("""COMPUTED_VALUE"""),13.25)</f>
        <v>13.25</v>
      </c>
      <c r="M445" s="32">
        <f>IFERROR(__xludf.DUMMYFUNCTION("""COMPUTED_VALUE"""),70.4)</f>
        <v>70.4</v>
      </c>
      <c r="N445" s="32">
        <f>IFERROR(__xludf.DUMMYFUNCTION("""COMPUTED_VALUE"""),13.25)</f>
        <v>13.25</v>
      </c>
      <c r="O445" s="32">
        <f>IFERROR(__xludf.DUMMYFUNCTION("""COMPUTED_VALUE"""),70.4)</f>
        <v>70.4</v>
      </c>
      <c r="P445" s="32">
        <f>IFERROR(__xludf.DUMMYFUNCTION("""COMPUTED_VALUE"""),13.25)</f>
        <v>13.25</v>
      </c>
      <c r="Q445" s="32">
        <f>IFERROR(__xludf.DUMMYFUNCTION("""COMPUTED_VALUE"""),235.0)</f>
        <v>235</v>
      </c>
      <c r="R445" s="32">
        <f>IFERROR(__xludf.DUMMYFUNCTION("""COMPUTED_VALUE"""),11071.69935777)</f>
        <v>11071.69936</v>
      </c>
      <c r="S445" s="32">
        <f>IFERROR(__xludf.DUMMYFUNCTION("""COMPUTED_VALUE"""),10560.16992589)</f>
        <v>10560.16993</v>
      </c>
      <c r="T445" s="32">
        <f>IFERROR(__xludf.DUMMYFUNCTION("""COMPUTED_VALUE"""),4.207363)</f>
        <v>4.207363</v>
      </c>
      <c r="U445" s="32">
        <f>IFERROR(__xludf.DUMMYFUNCTION("""COMPUTED_VALUE"""),17.64207)</f>
        <v>17.64207</v>
      </c>
      <c r="V445" s="32">
        <f>IFERROR(__xludf.DUMMYFUNCTION("""COMPUTED_VALUE"""),39.396985)</f>
        <v>39.396985</v>
      </c>
      <c r="W445" s="32">
        <f>IFERROR(__xludf.DUMMYFUNCTION("""COMPUTED_VALUE"""),34.399225)</f>
        <v>34.399225</v>
      </c>
      <c r="X445" s="32">
        <f>IFERROR(__xludf.DUMMYFUNCTION("""COMPUTED_VALUE"""),25.78086)</f>
        <v>25.78086</v>
      </c>
      <c r="Y445" s="32">
        <f>IFERROR(__xludf.DUMMYFUNCTION("""COMPUTED_VALUE"""),3.496753)</f>
        <v>3.496753</v>
      </c>
      <c r="Z445" s="32">
        <f>IFERROR(__xludf.DUMMYFUNCTION("""COMPUTED_VALUE"""),-6.054135)</f>
        <v>-6.054135</v>
      </c>
      <c r="AA445" s="32">
        <f>IFERROR(__xludf.DUMMYFUNCTION("""COMPUTED_VALUE"""),15.2314)</f>
        <v>15.2314</v>
      </c>
      <c r="AB445" s="32">
        <f>IFERROR(__xludf.DUMMYFUNCTION("""COMPUTED_VALUE"""),50.0962)</f>
        <v>50.0962</v>
      </c>
      <c r="AC445" s="32">
        <f>IFERROR(__xludf.DUMMYFUNCTION("""COMPUTED_VALUE"""),1.2402)</f>
        <v>1.2402</v>
      </c>
      <c r="AD445" s="32">
        <f>IFERROR(__xludf.DUMMYFUNCTION("""COMPUTED_VALUE"""),0.718)</f>
        <v>0.718</v>
      </c>
      <c r="AE445" s="32">
        <f>IFERROR(__xludf.DUMMYFUNCTION("""COMPUTED_VALUE"""),1.990508)</f>
        <v>1.990508</v>
      </c>
      <c r="AF445" s="32">
        <f>IFERROR(__xludf.DUMMYFUNCTION("""COMPUTED_VALUE"""),-0.318295)</f>
        <v>-0.318295</v>
      </c>
      <c r="AG445" s="32">
        <f>IFERROR(__xludf.DUMMYFUNCTION("""COMPUTED_VALUE"""),0.0)</f>
        <v>0</v>
      </c>
      <c r="AH445" s="32">
        <f>IFERROR(__xludf.DUMMYFUNCTION("""COMPUTED_VALUE"""),51.193378)</f>
        <v>51.193378</v>
      </c>
      <c r="AI445" s="32">
        <f>IFERROR(__xludf.DUMMYFUNCTION("""COMPUTED_VALUE"""),34.393772662452236)</f>
        <v>34.39377266</v>
      </c>
      <c r="AJ445" s="32">
        <f>IFERROR(__xludf.DUMMYFUNCTION("""COMPUTED_VALUE"""),226.78614006083572)</f>
        <v>226.7861401</v>
      </c>
      <c r="AK445" s="32">
        <f>IFERROR(__xludf.DUMMYFUNCTION("""COMPUTED_VALUE"""),4.5531)</f>
        <v>4.5531</v>
      </c>
      <c r="AL445" s="32">
        <f>IFERROR(__xludf.DUMMYFUNCTION("""COMPUTED_VALUE"""),55.9607)</f>
        <v>55.9607</v>
      </c>
      <c r="AM445" s="32">
        <f>IFERROR(__xludf.DUMMYFUNCTION("""COMPUTED_VALUE"""),0.305805)</f>
        <v>0.305805</v>
      </c>
      <c r="AN445" s="32">
        <f>IFERROR(__xludf.DUMMYFUNCTION("""COMPUTED_VALUE"""),-0.498296)</f>
        <v>-0.498296</v>
      </c>
      <c r="AO445" s="32">
        <f>IFERROR(__xludf.DUMMYFUNCTION("""COMPUTED_VALUE"""),0.0)</f>
        <v>0</v>
      </c>
      <c r="AP445" s="32">
        <f>IFERROR(__xludf.DUMMYFUNCTION("""COMPUTED_VALUE"""),0.014914772727272887)</f>
        <v>0.01491477273</v>
      </c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</row>
    <row r="446">
      <c r="A446" s="13" t="str">
        <f>IFERROR(__xludf.DUMMYFUNCTION("""COMPUTED_VALUE"""),"IFB Industries Ltd.")</f>
        <v>IFB Industries Ltd.</v>
      </c>
      <c r="B446" s="30">
        <f>IFERROR(__xludf.DUMMYFUNCTION("""COMPUTED_VALUE"""),505726.0)</f>
        <v>505726</v>
      </c>
      <c r="C446" s="13" t="str">
        <f>IFERROR(__xludf.DUMMYFUNCTION("""COMPUTED_VALUE"""),"IFBIND")</f>
        <v>IFBIND</v>
      </c>
      <c r="D446" s="13" t="str">
        <f>IFERROR(__xludf.DUMMYFUNCTION("""COMPUTED_VALUE"""),"INE559A01017")</f>
        <v>INE559A01017</v>
      </c>
      <c r="E446" s="13" t="str">
        <f>IFERROR(__xludf.DUMMYFUNCTION("""COMPUTED_VALUE"""),"Consumer Discretionary")</f>
        <v>Consumer Discretionary</v>
      </c>
      <c r="F446" s="13" t="str">
        <f>IFERROR(__xludf.DUMMYFUNCTION("""COMPUTED_VALUE"""),"Kitchenware &amp; Appliances")</f>
        <v>Kitchenware &amp; Appliances</v>
      </c>
      <c r="G446" s="31">
        <f>IFERROR(__xludf.DUMMYFUNCTION("""COMPUTED_VALUE"""),44809.0)</f>
        <v>44809</v>
      </c>
      <c r="H446" s="32">
        <f>IFERROR(__xludf.DUMMYFUNCTION("""COMPUTED_VALUE"""),1018.35)</f>
        <v>1018.35</v>
      </c>
      <c r="I446" s="32">
        <f>IFERROR(__xludf.DUMMYFUNCTION("""COMPUTED_VALUE"""),1.222603)</f>
        <v>1.222603</v>
      </c>
      <c r="J446" s="32">
        <f>IFERROR(__xludf.DUMMYFUNCTION("""COMPUTED_VALUE"""),819.0)</f>
        <v>819</v>
      </c>
      <c r="K446" s="32">
        <f>IFERROR(__xludf.DUMMYFUNCTION("""COMPUTED_VALUE"""),1365.85)</f>
        <v>1365.85</v>
      </c>
      <c r="L446" s="32">
        <f>IFERROR(__xludf.DUMMYFUNCTION("""COMPUTED_VALUE"""),219.15)</f>
        <v>219.15</v>
      </c>
      <c r="M446" s="32">
        <f>IFERROR(__xludf.DUMMYFUNCTION("""COMPUTED_VALUE"""),1502.9)</f>
        <v>1502.9</v>
      </c>
      <c r="N446" s="32">
        <f>IFERROR(__xludf.DUMMYFUNCTION("""COMPUTED_VALUE"""),219.15)</f>
        <v>219.15</v>
      </c>
      <c r="O446" s="32">
        <f>IFERROR(__xludf.DUMMYFUNCTION("""COMPUTED_VALUE"""),1546.95)</f>
        <v>1546.95</v>
      </c>
      <c r="P446" s="32">
        <f>IFERROR(__xludf.DUMMYFUNCTION("""COMPUTED_VALUE"""),0.0)</f>
        <v>0</v>
      </c>
      <c r="Q446" s="32">
        <f>IFERROR(__xludf.DUMMYFUNCTION("""COMPUTED_VALUE"""),1546.95)</f>
        <v>1546.95</v>
      </c>
      <c r="R446" s="32">
        <f>IFERROR(__xludf.DUMMYFUNCTION("""COMPUTED_VALUE"""),4126.23159066)</f>
        <v>4126.231591</v>
      </c>
      <c r="S446" s="32">
        <f>IFERROR(__xludf.DUMMYFUNCTION("""COMPUTED_VALUE"""),3986.6071184)</f>
        <v>3986.607118</v>
      </c>
      <c r="T446" s="32">
        <f>IFERROR(__xludf.DUMMYFUNCTION("""COMPUTED_VALUE"""),-1.978054)</f>
        <v>-1.978054</v>
      </c>
      <c r="U446" s="32">
        <f>IFERROR(__xludf.DUMMYFUNCTION("""COMPUTED_VALUE"""),1.434334)</f>
        <v>1.434334</v>
      </c>
      <c r="V446" s="32">
        <f>IFERROR(__xludf.DUMMYFUNCTION("""COMPUTED_VALUE"""),15.932377)</f>
        <v>15.932377</v>
      </c>
      <c r="W446" s="32">
        <f>IFERROR(__xludf.DUMMYFUNCTION("""COMPUTED_VALUE"""),-4.065002)</f>
        <v>-4.065002</v>
      </c>
      <c r="X446" s="32">
        <f>IFERROR(__xludf.DUMMYFUNCTION("""COMPUTED_VALUE"""),13.097174)</f>
        <v>13.097174</v>
      </c>
      <c r="Y446" s="32">
        <f>IFERROR(__xludf.DUMMYFUNCTION("""COMPUTED_VALUE"""),7.905874)</f>
        <v>7.905874</v>
      </c>
      <c r="Z446" s="32">
        <f>IFERROR(__xludf.DUMMYFUNCTION("""COMPUTED_VALUE"""),28.097994)</f>
        <v>28.097994</v>
      </c>
      <c r="AA446" s="13"/>
      <c r="AB446" s="32">
        <f>IFERROR(__xludf.DUMMYFUNCTION("""COMPUTED_VALUE"""),53.2962)</f>
        <v>53.2962</v>
      </c>
      <c r="AC446" s="32">
        <f>IFERROR(__xludf.DUMMYFUNCTION("""COMPUTED_VALUE"""),6.3081)</f>
        <v>6.3081</v>
      </c>
      <c r="AD446" s="32">
        <f>IFERROR(__xludf.DUMMYFUNCTION("""COMPUTED_VALUE"""),5.8098)</f>
        <v>5.8098</v>
      </c>
      <c r="AE446" s="32">
        <f>IFERROR(__xludf.DUMMYFUNCTION("""COMPUTED_VALUE"""),1.023054)</f>
        <v>1.023054</v>
      </c>
      <c r="AF446" s="13"/>
      <c r="AG446" s="32">
        <f>IFERROR(__xludf.DUMMYFUNCTION("""COMPUTED_VALUE"""),0.0)</f>
        <v>0</v>
      </c>
      <c r="AH446" s="32">
        <f>IFERROR(__xludf.DUMMYFUNCTION("""COMPUTED_VALUE"""),28.390593)</f>
        <v>28.390593</v>
      </c>
      <c r="AI446" s="32">
        <f>IFERROR(__xludf.DUMMYFUNCTION("""COMPUTED_VALUE"""),1.0551025101796592)</f>
        <v>1.05510251</v>
      </c>
      <c r="AJ446" s="32">
        <f>IFERROR(__xludf.DUMMYFUNCTION("""COMPUTED_VALUE"""),81.61059316969937)</f>
        <v>81.61059317</v>
      </c>
      <c r="AK446" s="32">
        <f>IFERROR(__xludf.DUMMYFUNCTION("""COMPUTED_VALUE"""),-1.2365)</f>
        <v>-1.2365</v>
      </c>
      <c r="AL446" s="32">
        <f>IFERROR(__xludf.DUMMYFUNCTION("""COMPUTED_VALUE"""),160.271)</f>
        <v>160.271</v>
      </c>
      <c r="AM446" s="32">
        <f>IFERROR(__xludf.DUMMYFUNCTION("""COMPUTED_VALUE"""),12.477789)</f>
        <v>12.477789</v>
      </c>
      <c r="AN446" s="32">
        <f>IFERROR(__xludf.DUMMYFUNCTION("""COMPUTED_VALUE"""),-1.749753)</f>
        <v>-1.749753</v>
      </c>
      <c r="AO446" s="32">
        <f>IFERROR(__xludf.DUMMYFUNCTION("""COMPUTED_VALUE"""),0.0)</f>
        <v>0</v>
      </c>
      <c r="AP446" s="32">
        <f>IFERROR(__xludf.DUMMYFUNCTION("""COMPUTED_VALUE"""),0.25442032434015444)</f>
        <v>0.2544203243</v>
      </c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</row>
    <row r="447">
      <c r="A447" s="13" t="str">
        <f>IFERROR(__xludf.DUMMYFUNCTION("""COMPUTED_VALUE"""),"Indiabulls Real Estate Ltd.")</f>
        <v>Indiabulls Real Estate Ltd.</v>
      </c>
      <c r="B447" s="30">
        <f>IFERROR(__xludf.DUMMYFUNCTION("""COMPUTED_VALUE"""),532832.0)</f>
        <v>532832</v>
      </c>
      <c r="C447" s="13" t="str">
        <f>IFERROR(__xludf.DUMMYFUNCTION("""COMPUTED_VALUE"""),"IBREALEST")</f>
        <v>IBREALEST</v>
      </c>
      <c r="D447" s="13" t="str">
        <f>IFERROR(__xludf.DUMMYFUNCTION("""COMPUTED_VALUE"""),"INE069I01010")</f>
        <v>INE069I01010</v>
      </c>
      <c r="E447" s="13" t="str">
        <f>IFERROR(__xludf.DUMMYFUNCTION("""COMPUTED_VALUE"""),"Construction")</f>
        <v>Construction</v>
      </c>
      <c r="F447" s="13" t="str">
        <f>IFERROR(__xludf.DUMMYFUNCTION("""COMPUTED_VALUE"""),"Real Estate")</f>
        <v>Real Estate</v>
      </c>
      <c r="G447" s="31">
        <f>IFERROR(__xludf.DUMMYFUNCTION("""COMPUTED_VALUE"""),44809.0)</f>
        <v>44809</v>
      </c>
      <c r="H447" s="32">
        <f>IFERROR(__xludf.DUMMYFUNCTION("""COMPUTED_VALUE"""),90.35)</f>
        <v>90.35</v>
      </c>
      <c r="I447" s="32">
        <f>IFERROR(__xludf.DUMMYFUNCTION("""COMPUTED_VALUE"""),3.67183)</f>
        <v>3.67183</v>
      </c>
      <c r="J447" s="32">
        <f>IFERROR(__xludf.DUMMYFUNCTION("""COMPUTED_VALUE"""),58.0)</f>
        <v>58</v>
      </c>
      <c r="K447" s="32">
        <f>IFERROR(__xludf.DUMMYFUNCTION("""COMPUTED_VALUE"""),195.9)</f>
        <v>195.9</v>
      </c>
      <c r="L447" s="32">
        <f>IFERROR(__xludf.DUMMYFUNCTION("""COMPUTED_VALUE"""),36.8)</f>
        <v>36.8</v>
      </c>
      <c r="M447" s="32">
        <f>IFERROR(__xludf.DUMMYFUNCTION("""COMPUTED_VALUE"""),195.9)</f>
        <v>195.9</v>
      </c>
      <c r="N447" s="32">
        <f>IFERROR(__xludf.DUMMYFUNCTION("""COMPUTED_VALUE"""),36.8)</f>
        <v>36.8</v>
      </c>
      <c r="O447" s="32">
        <f>IFERROR(__xludf.DUMMYFUNCTION("""COMPUTED_VALUE"""),263.65)</f>
        <v>263.65</v>
      </c>
      <c r="P447" s="32">
        <f>IFERROR(__xludf.DUMMYFUNCTION("""COMPUTED_VALUE"""),36.8)</f>
        <v>36.8</v>
      </c>
      <c r="Q447" s="32">
        <f>IFERROR(__xludf.DUMMYFUNCTION("""COMPUTED_VALUE"""),850.0)</f>
        <v>850</v>
      </c>
      <c r="R447" s="32">
        <f>IFERROR(__xludf.DUMMYFUNCTION("""COMPUTED_VALUE"""),4888.619862275)</f>
        <v>4888.619862</v>
      </c>
      <c r="S447" s="32">
        <f>IFERROR(__xludf.DUMMYFUNCTION("""COMPUTED_VALUE"""),5747.70588632)</f>
        <v>5747.705886</v>
      </c>
      <c r="T447" s="32">
        <f>IFERROR(__xludf.DUMMYFUNCTION("""COMPUTED_VALUE"""),6.35668)</f>
        <v>6.35668</v>
      </c>
      <c r="U447" s="32">
        <f>IFERROR(__xludf.DUMMYFUNCTION("""COMPUTED_VALUE"""),26.718093)</f>
        <v>26.718093</v>
      </c>
      <c r="V447" s="32">
        <f>IFERROR(__xludf.DUMMYFUNCTION("""COMPUTED_VALUE"""),19.827586)</f>
        <v>19.827586</v>
      </c>
      <c r="W447" s="32">
        <f>IFERROR(__xludf.DUMMYFUNCTION("""COMPUTED_VALUE"""),-38.095238)</f>
        <v>-38.095238</v>
      </c>
      <c r="X447" s="32">
        <f>IFERROR(__xludf.DUMMYFUNCTION("""COMPUTED_VALUE"""),11.091521)</f>
        <v>11.091521</v>
      </c>
      <c r="Y447" s="32">
        <f>IFERROR(__xludf.DUMMYFUNCTION("""COMPUTED_VALUE"""),-17.61773)</f>
        <v>-17.61773</v>
      </c>
      <c r="Z447" s="32">
        <f>IFERROR(__xludf.DUMMYFUNCTION("""COMPUTED_VALUE"""),7.147735)</f>
        <v>7.147735</v>
      </c>
      <c r="AA447" s="13"/>
      <c r="AB447" s="32">
        <f>IFERROR(__xludf.DUMMYFUNCTION("""COMPUTED_VALUE"""),11.3308)</f>
        <v>11.3308</v>
      </c>
      <c r="AC447" s="32">
        <f>IFERROR(__xludf.DUMMYFUNCTION("""COMPUTED_VALUE"""),1.1531)</f>
        <v>1.1531</v>
      </c>
      <c r="AD447" s="32">
        <f>IFERROR(__xludf.DUMMYFUNCTION("""COMPUTED_VALUE"""),1.05655)</f>
        <v>1.05655</v>
      </c>
      <c r="AE447" s="32">
        <f>IFERROR(__xludf.DUMMYFUNCTION("""COMPUTED_VALUE"""),1.740089)</f>
        <v>1.740089</v>
      </c>
      <c r="AF447" s="13"/>
      <c r="AG447" s="32">
        <f>IFERROR(__xludf.DUMMYFUNCTION("""COMPUTED_VALUE"""),0.0)</f>
        <v>0</v>
      </c>
      <c r="AH447" s="32">
        <f>IFERROR(__xludf.DUMMYFUNCTION("""COMPUTED_VALUE"""),313.192343)</f>
        <v>313.192343</v>
      </c>
      <c r="AI447" s="32">
        <f>IFERROR(__xludf.DUMMYFUNCTION("""COMPUTED_VALUE"""),4.540782314627584)</f>
        <v>4.540782315</v>
      </c>
      <c r="AJ447" s="32">
        <f>IFERROR(__xludf.DUMMYFUNCTION("""COMPUTED_VALUE"""),5.728149479036494)</f>
        <v>5.728149479</v>
      </c>
      <c r="AK447" s="32">
        <f>IFERROR(__xludf.DUMMYFUNCTION("""COMPUTED_VALUE"""),-3.5714)</f>
        <v>-3.5714</v>
      </c>
      <c r="AL447" s="32">
        <f>IFERROR(__xludf.DUMMYFUNCTION("""COMPUTED_VALUE"""),78.2688)</f>
        <v>78.2688</v>
      </c>
      <c r="AM447" s="32">
        <f>IFERROR(__xludf.DUMMYFUNCTION("""COMPUTED_VALUE"""),18.900667)</f>
        <v>18.900667</v>
      </c>
      <c r="AN447" s="32">
        <f>IFERROR(__xludf.DUMMYFUNCTION("""COMPUTED_VALUE"""),12.262458)</f>
        <v>12.262458</v>
      </c>
      <c r="AO447" s="32">
        <f>IFERROR(__xludf.DUMMYFUNCTION("""COMPUTED_VALUE"""),0.0)</f>
        <v>0</v>
      </c>
      <c r="AP447" s="32">
        <f>IFERROR(__xludf.DUMMYFUNCTION("""COMPUTED_VALUE"""),0.5387953037263911)</f>
        <v>0.5387953037</v>
      </c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</row>
    <row r="448">
      <c r="A448" s="13" t="str">
        <f>IFERROR(__xludf.DUMMYFUNCTION("""COMPUTED_VALUE"""),"Indian Overseas Bank")</f>
        <v>Indian Overseas Bank</v>
      </c>
      <c r="B448" s="30">
        <f>IFERROR(__xludf.DUMMYFUNCTION("""COMPUTED_VALUE"""),532388.0)</f>
        <v>532388</v>
      </c>
      <c r="C448" s="13" t="str">
        <f>IFERROR(__xludf.DUMMYFUNCTION("""COMPUTED_VALUE"""),"IOB")</f>
        <v>IOB</v>
      </c>
      <c r="D448" s="13" t="str">
        <f>IFERROR(__xludf.DUMMYFUNCTION("""COMPUTED_VALUE"""),"INE565A01014")</f>
        <v>INE565A01014</v>
      </c>
      <c r="E448" s="13" t="str">
        <f>IFERROR(__xludf.DUMMYFUNCTION("""COMPUTED_VALUE"""),"Financial")</f>
        <v>Financial</v>
      </c>
      <c r="F448" s="13" t="str">
        <f>IFERROR(__xludf.DUMMYFUNCTION("""COMPUTED_VALUE"""),"Banking")</f>
        <v>Banking</v>
      </c>
      <c r="G448" s="31">
        <f>IFERROR(__xludf.DUMMYFUNCTION("""COMPUTED_VALUE"""),44809.0)</f>
        <v>44809</v>
      </c>
      <c r="H448" s="32">
        <f>IFERROR(__xludf.DUMMYFUNCTION("""COMPUTED_VALUE"""),17.8)</f>
        <v>17.8</v>
      </c>
      <c r="I448" s="32">
        <f>IFERROR(__xludf.DUMMYFUNCTION("""COMPUTED_VALUE"""),0.849858)</f>
        <v>0.849858</v>
      </c>
      <c r="J448" s="32">
        <f>IFERROR(__xludf.DUMMYFUNCTION("""COMPUTED_VALUE"""),15.25)</f>
        <v>15.25</v>
      </c>
      <c r="K448" s="32">
        <f>IFERROR(__xludf.DUMMYFUNCTION("""COMPUTED_VALUE"""),24.6)</f>
        <v>24.6</v>
      </c>
      <c r="L448" s="32">
        <f>IFERROR(__xludf.DUMMYFUNCTION("""COMPUTED_VALUE"""),6.05)</f>
        <v>6.05</v>
      </c>
      <c r="M448" s="32">
        <f>IFERROR(__xludf.DUMMYFUNCTION("""COMPUTED_VALUE"""),29.0)</f>
        <v>29</v>
      </c>
      <c r="N448" s="32">
        <f>IFERROR(__xludf.DUMMYFUNCTION("""COMPUTED_VALUE"""),6.05)</f>
        <v>6.05</v>
      </c>
      <c r="O448" s="32">
        <f>IFERROR(__xludf.DUMMYFUNCTION("""COMPUTED_VALUE"""),29.0)</f>
        <v>29</v>
      </c>
      <c r="P448" s="32">
        <f>IFERROR(__xludf.DUMMYFUNCTION("""COMPUTED_VALUE"""),4.25)</f>
        <v>4.25</v>
      </c>
      <c r="Q448" s="32">
        <f>IFERROR(__xludf.DUMMYFUNCTION("""COMPUTED_VALUE"""),228.9)</f>
        <v>228.9</v>
      </c>
      <c r="R448" s="32">
        <f>IFERROR(__xludf.DUMMYFUNCTION("""COMPUTED_VALUE"""),33646.29381568)</f>
        <v>33646.29382</v>
      </c>
      <c r="S448" s="32">
        <f>IFERROR(__xludf.DUMMYFUNCTION("""COMPUTED_VALUE"""),-517.86616816)</f>
        <v>-517.8661682</v>
      </c>
      <c r="T448" s="32">
        <f>IFERROR(__xludf.DUMMYFUNCTION("""COMPUTED_VALUE"""),-0.280112)</f>
        <v>-0.280112</v>
      </c>
      <c r="U448" s="32">
        <f>IFERROR(__xludf.DUMMYFUNCTION("""COMPUTED_VALUE"""),0.28169)</f>
        <v>0.28169</v>
      </c>
      <c r="V448" s="32">
        <f>IFERROR(__xludf.DUMMYFUNCTION("""COMPUTED_VALUE"""),1.424501)</f>
        <v>1.424501</v>
      </c>
      <c r="W448" s="32">
        <f>IFERROR(__xludf.DUMMYFUNCTION("""COMPUTED_VALUE"""),-9.873418)</f>
        <v>-9.873418</v>
      </c>
      <c r="X448" s="32">
        <f>IFERROR(__xludf.DUMMYFUNCTION("""COMPUTED_VALUE"""),21.191827)</f>
        <v>21.191827</v>
      </c>
      <c r="Y448" s="32">
        <f>IFERROR(__xludf.DUMMYFUNCTION("""COMPUTED_VALUE"""),-4.662818)</f>
        <v>-4.662818</v>
      </c>
      <c r="Z448" s="32">
        <f>IFERROR(__xludf.DUMMYFUNCTION("""COMPUTED_VALUE"""),-12.485611)</f>
        <v>-12.485611</v>
      </c>
      <c r="AA448" s="32">
        <f>IFERROR(__xludf.DUMMYFUNCTION("""COMPUTED_VALUE"""),18.9548)</f>
        <v>18.9548</v>
      </c>
      <c r="AB448" s="32">
        <f>IFERROR(__xludf.DUMMYFUNCTION("""COMPUTED_VALUE"""),31.7731)</f>
        <v>31.7731</v>
      </c>
      <c r="AC448" s="32">
        <f>IFERROR(__xludf.DUMMYFUNCTION("""COMPUTED_VALUE"""),1.6291)</f>
        <v>1.6291</v>
      </c>
      <c r="AD448" s="32">
        <f>IFERROR(__xludf.DUMMYFUNCTION("""COMPUTED_VALUE"""),0.96735)</f>
        <v>0.96735</v>
      </c>
      <c r="AE448" s="32">
        <f>IFERROR(__xludf.DUMMYFUNCTION("""COMPUTED_VALUE"""),-6374.65156)</f>
        <v>-6374.65156</v>
      </c>
      <c r="AF448" s="32">
        <f>IFERROR(__xludf.DUMMYFUNCTION("""COMPUTED_VALUE"""),3.30285)</f>
        <v>3.30285</v>
      </c>
      <c r="AG448" s="32">
        <f>IFERROR(__xludf.DUMMYFUNCTION("""COMPUTED_VALUE"""),0.0)</f>
        <v>0</v>
      </c>
      <c r="AH448" s="32">
        <f>IFERROR(__xludf.DUMMYFUNCTION("""COMPUTED_VALUE"""),-0.092684)</f>
        <v>-0.092684</v>
      </c>
      <c r="AI448" s="32">
        <f>IFERROR(__xludf.DUMMYFUNCTION("""COMPUTED_VALUE"""),1.9674526906010894)</f>
        <v>1.967452691</v>
      </c>
      <c r="AJ448" s="32">
        <f>IFERROR(__xludf.DUMMYFUNCTION("""COMPUTED_VALUE"""),6.0742668072633705)</f>
        <v>6.074266807</v>
      </c>
      <c r="AK448" s="32">
        <f>IFERROR(__xludf.DUMMYFUNCTION("""COMPUTED_VALUE"""),0.9391)</f>
        <v>0.9391</v>
      </c>
      <c r="AL448" s="32">
        <f>IFERROR(__xludf.DUMMYFUNCTION("""COMPUTED_VALUE"""),10.9263)</f>
        <v>10.9263</v>
      </c>
      <c r="AM448" s="32">
        <f>IFERROR(__xludf.DUMMYFUNCTION("""COMPUTED_VALUE"""),2.930395)</f>
        <v>2.930395</v>
      </c>
      <c r="AN448" s="32">
        <f>IFERROR(__xludf.DUMMYFUNCTION("""COMPUTED_VALUE"""),0.882895)</f>
        <v>0.882895</v>
      </c>
      <c r="AO448" s="32">
        <f>IFERROR(__xludf.DUMMYFUNCTION("""COMPUTED_VALUE"""),0.0)</f>
        <v>0</v>
      </c>
      <c r="AP448" s="32">
        <f>IFERROR(__xludf.DUMMYFUNCTION("""COMPUTED_VALUE"""),0.2764227642276423)</f>
        <v>0.2764227642</v>
      </c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</row>
    <row r="449">
      <c r="A449" s="13" t="str">
        <f>IFERROR(__xludf.DUMMYFUNCTION("""COMPUTED_VALUE"""),"Inox Leisure Ltd.")</f>
        <v>Inox Leisure Ltd.</v>
      </c>
      <c r="B449" s="30">
        <f>IFERROR(__xludf.DUMMYFUNCTION("""COMPUTED_VALUE"""),532706.0)</f>
        <v>532706</v>
      </c>
      <c r="C449" s="13" t="str">
        <f>IFERROR(__xludf.DUMMYFUNCTION("""COMPUTED_VALUE"""),"INOXLEISUR")</f>
        <v>INOXLEISUR</v>
      </c>
      <c r="D449" s="13" t="str">
        <f>IFERROR(__xludf.DUMMYFUNCTION("""COMPUTED_VALUE"""),"INE312H01016")</f>
        <v>INE312H01016</v>
      </c>
      <c r="E449" s="13" t="str">
        <f>IFERROR(__xludf.DUMMYFUNCTION("""COMPUTED_VALUE"""),"Services")</f>
        <v>Services</v>
      </c>
      <c r="F449" s="13" t="str">
        <f>IFERROR(__xludf.DUMMYFUNCTION("""COMPUTED_VALUE"""),"Leisure &amp; Recreation")</f>
        <v>Leisure &amp; Recreation</v>
      </c>
      <c r="G449" s="31">
        <f>IFERROR(__xludf.DUMMYFUNCTION("""COMPUTED_VALUE"""),44809.0)</f>
        <v>44809</v>
      </c>
      <c r="H449" s="32">
        <f>IFERROR(__xludf.DUMMYFUNCTION("""COMPUTED_VALUE"""),523.65)</f>
        <v>523.65</v>
      </c>
      <c r="I449" s="32">
        <f>IFERROR(__xludf.DUMMYFUNCTION("""COMPUTED_VALUE"""),3.631506)</f>
        <v>3.631506</v>
      </c>
      <c r="J449" s="32">
        <f>IFERROR(__xludf.DUMMYFUNCTION("""COMPUTED_VALUE"""),299.0)</f>
        <v>299</v>
      </c>
      <c r="K449" s="32">
        <f>IFERROR(__xludf.DUMMYFUNCTION("""COMPUTED_VALUE"""),622.3)</f>
        <v>622.3</v>
      </c>
      <c r="L449" s="32">
        <f>IFERROR(__xludf.DUMMYFUNCTION("""COMPUTED_VALUE"""),158.2)</f>
        <v>158.2</v>
      </c>
      <c r="M449" s="32">
        <f>IFERROR(__xludf.DUMMYFUNCTION("""COMPUTED_VALUE"""),622.3)</f>
        <v>622.3</v>
      </c>
      <c r="N449" s="32">
        <f>IFERROR(__xludf.DUMMYFUNCTION("""COMPUTED_VALUE"""),158.2)</f>
        <v>158.2</v>
      </c>
      <c r="O449" s="32">
        <f>IFERROR(__xludf.DUMMYFUNCTION("""COMPUTED_VALUE"""),622.3)</f>
        <v>622.3</v>
      </c>
      <c r="P449" s="32">
        <f>IFERROR(__xludf.DUMMYFUNCTION("""COMPUTED_VALUE"""),18.95)</f>
        <v>18.95</v>
      </c>
      <c r="Q449" s="32">
        <f>IFERROR(__xludf.DUMMYFUNCTION("""COMPUTED_VALUE"""),622.3)</f>
        <v>622.3</v>
      </c>
      <c r="R449" s="32">
        <f>IFERROR(__xludf.DUMMYFUNCTION("""COMPUTED_VALUE"""),6412.40361201)</f>
        <v>6412.403612</v>
      </c>
      <c r="S449" s="32">
        <f>IFERROR(__xludf.DUMMYFUNCTION("""COMPUTED_VALUE"""),6057.01056512)</f>
        <v>6057.010565</v>
      </c>
      <c r="T449" s="32">
        <f>IFERROR(__xludf.DUMMYFUNCTION("""COMPUTED_VALUE"""),2.545775)</f>
        <v>2.545775</v>
      </c>
      <c r="U449" s="32">
        <f>IFERROR(__xludf.DUMMYFUNCTION("""COMPUTED_VALUE"""),-10.746548)</f>
        <v>-10.746548</v>
      </c>
      <c r="V449" s="32">
        <f>IFERROR(__xludf.DUMMYFUNCTION("""COMPUTED_VALUE"""),4.813851)</f>
        <v>4.813851</v>
      </c>
      <c r="W449" s="32">
        <f>IFERROR(__xludf.DUMMYFUNCTION("""COMPUTED_VALUE"""),70.403514)</f>
        <v>70.403514</v>
      </c>
      <c r="X449" s="32">
        <f>IFERROR(__xludf.DUMMYFUNCTION("""COMPUTED_VALUE"""),25.141556)</f>
        <v>25.141556</v>
      </c>
      <c r="Y449" s="32">
        <f>IFERROR(__xludf.DUMMYFUNCTION("""COMPUTED_VALUE"""),16.339499)</f>
        <v>16.339499</v>
      </c>
      <c r="Z449" s="32">
        <f>IFERROR(__xludf.DUMMYFUNCTION("""COMPUTED_VALUE"""),24.720352)</f>
        <v>24.720352</v>
      </c>
      <c r="AA449" s="13"/>
      <c r="AB449" s="32">
        <f>IFERROR(__xludf.DUMMYFUNCTION("""COMPUTED_VALUE"""),23.7194)</f>
        <v>23.7194</v>
      </c>
      <c r="AC449" s="32">
        <f>IFERROR(__xludf.DUMMYFUNCTION("""COMPUTED_VALUE"""),8.5738)</f>
        <v>8.5738</v>
      </c>
      <c r="AD449" s="32">
        <f>IFERROR(__xludf.DUMMYFUNCTION("""COMPUTED_VALUE"""),4.2818)</f>
        <v>4.2818</v>
      </c>
      <c r="AE449" s="32">
        <f>IFERROR(__xludf.DUMMYFUNCTION("""COMPUTED_VALUE"""),3.359054)</f>
        <v>3.359054</v>
      </c>
      <c r="AF449" s="13"/>
      <c r="AG449" s="32">
        <f>IFERROR(__xludf.DUMMYFUNCTION("""COMPUTED_VALUE"""),0.0)</f>
        <v>0</v>
      </c>
      <c r="AH449" s="32">
        <f>IFERROR(__xludf.DUMMYFUNCTION("""COMPUTED_VALUE"""),12.567455)</f>
        <v>12.567455</v>
      </c>
      <c r="AI449" s="32">
        <f>IFERROR(__xludf.DUMMYFUNCTION("""COMPUTED_VALUE"""),5.1551211216506285)</f>
        <v>5.155121122</v>
      </c>
      <c r="AJ449" s="32">
        <f>IFERROR(__xludf.DUMMYFUNCTION("""COMPUTED_VALUE"""),83.43877826889747)</f>
        <v>83.43877827</v>
      </c>
      <c r="AK449" s="32">
        <f>IFERROR(__xludf.DUMMYFUNCTION("""COMPUTED_VALUE"""),-4.9093)</f>
        <v>-4.9093</v>
      </c>
      <c r="AL449" s="32">
        <f>IFERROR(__xludf.DUMMYFUNCTION("""COMPUTED_VALUE"""),61.1341)</f>
        <v>61.1341</v>
      </c>
      <c r="AM449" s="32">
        <f>IFERROR(__xludf.DUMMYFUNCTION("""COMPUTED_VALUE"""),6.289434)</f>
        <v>6.289434</v>
      </c>
      <c r="AN449" s="32">
        <f>IFERROR(__xludf.DUMMYFUNCTION("""COMPUTED_VALUE"""),0.292532)</f>
        <v>0.292532</v>
      </c>
      <c r="AO449" s="32">
        <f>IFERROR(__xludf.DUMMYFUNCTION("""COMPUTED_VALUE"""),0.0)</f>
        <v>0</v>
      </c>
      <c r="AP449" s="32">
        <f>IFERROR(__xludf.DUMMYFUNCTION("""COMPUTED_VALUE"""),0.15852482725373612)</f>
        <v>0.1585248273</v>
      </c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</row>
    <row r="450">
      <c r="A450" s="13" t="str">
        <f>IFERROR(__xludf.DUMMYFUNCTION("""COMPUTED_VALUE"""),"Interglobe Aviation Ltd.")</f>
        <v>Interglobe Aviation Ltd.</v>
      </c>
      <c r="B450" s="30">
        <f>IFERROR(__xludf.DUMMYFUNCTION("""COMPUTED_VALUE"""),539448.0)</f>
        <v>539448</v>
      </c>
      <c r="C450" s="13" t="str">
        <f>IFERROR(__xludf.DUMMYFUNCTION("""COMPUTED_VALUE"""),"INDIGO")</f>
        <v>INDIGO</v>
      </c>
      <c r="D450" s="13" t="str">
        <f>IFERROR(__xludf.DUMMYFUNCTION("""COMPUTED_VALUE"""),"INE646L01027")</f>
        <v>INE646L01027</v>
      </c>
      <c r="E450" s="13" t="str">
        <f>IFERROR(__xludf.DUMMYFUNCTION("""COMPUTED_VALUE"""),"Services")</f>
        <v>Services</v>
      </c>
      <c r="F450" s="13" t="str">
        <f>IFERROR(__xludf.DUMMYFUNCTION("""COMPUTED_VALUE"""),"Air Transport")</f>
        <v>Air Transport</v>
      </c>
      <c r="G450" s="31">
        <f>IFERROR(__xludf.DUMMYFUNCTION("""COMPUTED_VALUE"""),44809.0)</f>
        <v>44809</v>
      </c>
      <c r="H450" s="32">
        <f>IFERROR(__xludf.DUMMYFUNCTION("""COMPUTED_VALUE"""),2019.9)</f>
        <v>2019.9</v>
      </c>
      <c r="I450" s="32">
        <f>IFERROR(__xludf.DUMMYFUNCTION("""COMPUTED_VALUE"""),-0.468119)</f>
        <v>-0.468119</v>
      </c>
      <c r="J450" s="32">
        <f>IFERROR(__xludf.DUMMYFUNCTION("""COMPUTED_VALUE"""),1511.75)</f>
        <v>1511.75</v>
      </c>
      <c r="K450" s="32">
        <f>IFERROR(__xludf.DUMMYFUNCTION("""COMPUTED_VALUE"""),2380.0)</f>
        <v>2380</v>
      </c>
      <c r="L450" s="32">
        <f>IFERROR(__xludf.DUMMYFUNCTION("""COMPUTED_VALUE"""),765.05)</f>
        <v>765.05</v>
      </c>
      <c r="M450" s="32">
        <f>IFERROR(__xludf.DUMMYFUNCTION("""COMPUTED_VALUE"""),2380.0)</f>
        <v>2380</v>
      </c>
      <c r="N450" s="32">
        <f>IFERROR(__xludf.DUMMYFUNCTION("""COMPUTED_VALUE"""),691.0)</f>
        <v>691</v>
      </c>
      <c r="O450" s="32">
        <f>IFERROR(__xludf.DUMMYFUNCTION("""COMPUTED_VALUE"""),2380.0)</f>
        <v>2380</v>
      </c>
      <c r="P450" s="32">
        <f>IFERROR(__xludf.DUMMYFUNCTION("""COMPUTED_VALUE"""),691.0)</f>
        <v>691</v>
      </c>
      <c r="Q450" s="32">
        <f>IFERROR(__xludf.DUMMYFUNCTION("""COMPUTED_VALUE"""),2380.0)</f>
        <v>2380</v>
      </c>
      <c r="R450" s="32">
        <f>IFERROR(__xludf.DUMMYFUNCTION("""COMPUTED_VALUE"""),77834.66070072001)</f>
        <v>77834.6607</v>
      </c>
      <c r="S450" s="32">
        <f>IFERROR(__xludf.DUMMYFUNCTION("""COMPUTED_VALUE"""),63840.11179227999)</f>
        <v>63840.11179</v>
      </c>
      <c r="T450" s="32">
        <f>IFERROR(__xludf.DUMMYFUNCTION("""COMPUTED_VALUE"""),2.288955)</f>
        <v>2.288955</v>
      </c>
      <c r="U450" s="32">
        <f>IFERROR(__xludf.DUMMYFUNCTION("""COMPUTED_VALUE"""),1.701828)</f>
        <v>1.701828</v>
      </c>
      <c r="V450" s="32">
        <f>IFERROR(__xludf.DUMMYFUNCTION("""COMPUTED_VALUE"""),11.43661)</f>
        <v>11.43661</v>
      </c>
      <c r="W450" s="32">
        <f>IFERROR(__xludf.DUMMYFUNCTION("""COMPUTED_VALUE"""),2.759901)</f>
        <v>2.759901</v>
      </c>
      <c r="X450" s="32">
        <f>IFERROR(__xludf.DUMMYFUNCTION("""COMPUTED_VALUE"""),7.165778)</f>
        <v>7.165778</v>
      </c>
      <c r="Y450" s="32">
        <f>IFERROR(__xludf.DUMMYFUNCTION("""COMPUTED_VALUE"""),9.805436)</f>
        <v>9.805436</v>
      </c>
      <c r="Z450" s="13"/>
      <c r="AA450" s="13"/>
      <c r="AB450" s="32">
        <f>IFERROR(__xludf.DUMMYFUNCTION("""COMPUTED_VALUE"""),32.097)</f>
        <v>32.097</v>
      </c>
      <c r="AC450" s="32">
        <f>IFERROR(__xludf.DUMMYFUNCTION("""COMPUTED_VALUE"""),-10.9615)</f>
        <v>-10.9615</v>
      </c>
      <c r="AD450" s="32">
        <f>IFERROR(__xludf.DUMMYFUNCTION("""COMPUTED_VALUE"""),7.947)</f>
        <v>7.947</v>
      </c>
      <c r="AE450" s="32">
        <f>IFERROR(__xludf.DUMMYFUNCTION("""COMPUTED_VALUE"""),-1.291309)</f>
        <v>-1.291309</v>
      </c>
      <c r="AF450" s="13"/>
      <c r="AG450" s="32">
        <f>IFERROR(__xludf.DUMMYFUNCTION("""COMPUTED_VALUE"""),0.0)</f>
        <v>0</v>
      </c>
      <c r="AH450" s="32">
        <f>IFERROR(__xludf.DUMMYFUNCTION("""COMPUTED_VALUE"""),19.133753)</f>
        <v>19.133753</v>
      </c>
      <c r="AI450" s="32">
        <f>IFERROR(__xludf.DUMMYFUNCTION("""COMPUTED_VALUE"""),2.175409896153386)</f>
        <v>2.175409896</v>
      </c>
      <c r="AJ450" s="32">
        <f>IFERROR(__xludf.DUMMYFUNCTION("""COMPUTED_VALUE"""),37.23116798355288)</f>
        <v>37.23116798</v>
      </c>
      <c r="AK450" s="32">
        <f>IFERROR(__xludf.DUMMYFUNCTION("""COMPUTED_VALUE"""),-105.1263)</f>
        <v>-105.1263</v>
      </c>
      <c r="AL450" s="32">
        <f>IFERROR(__xludf.DUMMYFUNCTION("""COMPUTED_VALUE"""),-184.2258)</f>
        <v>-184.2258</v>
      </c>
      <c r="AM450" s="32">
        <f>IFERROR(__xludf.DUMMYFUNCTION("""COMPUTED_VALUE"""),54.264786)</f>
        <v>54.264786</v>
      </c>
      <c r="AN450" s="32">
        <f>IFERROR(__xludf.DUMMYFUNCTION("""COMPUTED_VALUE"""),-17.613607)</f>
        <v>-17.613607</v>
      </c>
      <c r="AO450" s="32">
        <f>IFERROR(__xludf.DUMMYFUNCTION("""COMPUTED_VALUE"""),0.0)</f>
        <v>0</v>
      </c>
      <c r="AP450" s="32">
        <f>IFERROR(__xludf.DUMMYFUNCTION("""COMPUTED_VALUE"""),0.15130252100840333)</f>
        <v>0.151302521</v>
      </c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</row>
    <row r="451">
      <c r="A451" s="13" t="str">
        <f>IFERROR(__xludf.DUMMYFUNCTION("""COMPUTED_VALUE"""),"IRB Infrastructure Developers Ltd.")</f>
        <v>IRB Infrastructure Developers Ltd.</v>
      </c>
      <c r="B451" s="30">
        <f>IFERROR(__xludf.DUMMYFUNCTION("""COMPUTED_VALUE"""),532947.0)</f>
        <v>532947</v>
      </c>
      <c r="C451" s="13" t="str">
        <f>IFERROR(__xludf.DUMMYFUNCTION("""COMPUTED_VALUE"""),"IRB")</f>
        <v>IRB</v>
      </c>
      <c r="D451" s="13" t="str">
        <f>IFERROR(__xludf.DUMMYFUNCTION("""COMPUTED_VALUE"""),"INE821I01014")</f>
        <v>INE821I01014</v>
      </c>
      <c r="E451" s="13" t="str">
        <f>IFERROR(__xludf.DUMMYFUNCTION("""COMPUTED_VALUE"""),"Construction")</f>
        <v>Construction</v>
      </c>
      <c r="F451" s="13" t="str">
        <f>IFERROR(__xludf.DUMMYFUNCTION("""COMPUTED_VALUE"""),"Construction")</f>
        <v>Construction</v>
      </c>
      <c r="G451" s="31">
        <f>IFERROR(__xludf.DUMMYFUNCTION("""COMPUTED_VALUE"""),44809.0)</f>
        <v>44809</v>
      </c>
      <c r="H451" s="32">
        <f>IFERROR(__xludf.DUMMYFUNCTION("""COMPUTED_VALUE"""),240.9)</f>
        <v>240.9</v>
      </c>
      <c r="I451" s="32">
        <f>IFERROR(__xludf.DUMMYFUNCTION("""COMPUTED_VALUE"""),2.926725)</f>
        <v>2.926725</v>
      </c>
      <c r="J451" s="32">
        <f>IFERROR(__xludf.DUMMYFUNCTION("""COMPUTED_VALUE"""),165.1)</f>
        <v>165.1</v>
      </c>
      <c r="K451" s="32">
        <f>IFERROR(__xludf.DUMMYFUNCTION("""COMPUTED_VALUE"""),346.95)</f>
        <v>346.95</v>
      </c>
      <c r="L451" s="32">
        <f>IFERROR(__xludf.DUMMYFUNCTION("""COMPUTED_VALUE"""),45.6)</f>
        <v>45.6</v>
      </c>
      <c r="M451" s="32">
        <f>IFERROR(__xludf.DUMMYFUNCTION("""COMPUTED_VALUE"""),346.95)</f>
        <v>346.95</v>
      </c>
      <c r="N451" s="32">
        <f>IFERROR(__xludf.DUMMYFUNCTION("""COMPUTED_VALUE"""),45.6)</f>
        <v>45.6</v>
      </c>
      <c r="O451" s="32">
        <f>IFERROR(__xludf.DUMMYFUNCTION("""COMPUTED_VALUE"""),346.95)</f>
        <v>346.95</v>
      </c>
      <c r="P451" s="32">
        <f>IFERROR(__xludf.DUMMYFUNCTION("""COMPUTED_VALUE"""),45.6)</f>
        <v>45.6</v>
      </c>
      <c r="Q451" s="32">
        <f>IFERROR(__xludf.DUMMYFUNCTION("""COMPUTED_VALUE"""),346.95)</f>
        <v>346.95</v>
      </c>
      <c r="R451" s="32">
        <f>IFERROR(__xludf.DUMMYFUNCTION("""COMPUTED_VALUE"""),14553.99)</f>
        <v>14553.99</v>
      </c>
      <c r="S451" s="32">
        <f>IFERROR(__xludf.DUMMYFUNCTION("""COMPUTED_VALUE"""),27853.752)</f>
        <v>27853.752</v>
      </c>
      <c r="T451" s="32">
        <f>IFERROR(__xludf.DUMMYFUNCTION("""COMPUTED_VALUE"""),-0.516209)</f>
        <v>-0.516209</v>
      </c>
      <c r="U451" s="32">
        <f>IFERROR(__xludf.DUMMYFUNCTION("""COMPUTED_VALUE"""),-1.290719)</f>
        <v>-1.290719</v>
      </c>
      <c r="V451" s="32">
        <f>IFERROR(__xludf.DUMMYFUNCTION("""COMPUTED_VALUE"""),5.727452)</f>
        <v>5.727452</v>
      </c>
      <c r="W451" s="32">
        <f>IFERROR(__xludf.DUMMYFUNCTION("""COMPUTED_VALUE"""),36.836126)</f>
        <v>36.836126</v>
      </c>
      <c r="X451" s="32">
        <f>IFERROR(__xludf.DUMMYFUNCTION("""COMPUTED_VALUE"""),52.331709)</f>
        <v>52.331709</v>
      </c>
      <c r="Y451" s="32">
        <f>IFERROR(__xludf.DUMMYFUNCTION("""COMPUTED_VALUE"""),2.49716)</f>
        <v>2.49716</v>
      </c>
      <c r="Z451" s="32">
        <f>IFERROR(__xludf.DUMMYFUNCTION("""COMPUTED_VALUE"""),6.619715)</f>
        <v>6.619715</v>
      </c>
      <c r="AA451" s="32">
        <f>IFERROR(__xludf.DUMMYFUNCTION("""COMPUTED_VALUE"""),22.2985)</f>
        <v>22.2985</v>
      </c>
      <c r="AB451" s="32">
        <f>IFERROR(__xludf.DUMMYFUNCTION("""COMPUTED_VALUE"""),8.3814)</f>
        <v>8.3814</v>
      </c>
      <c r="AC451" s="32">
        <f>IFERROR(__xludf.DUMMYFUNCTION("""COMPUTED_VALUE"""),1.1228)</f>
        <v>1.1228</v>
      </c>
      <c r="AD451" s="32">
        <f>IFERROR(__xludf.DUMMYFUNCTION("""COMPUTED_VALUE"""),0.8005)</f>
        <v>0.8005</v>
      </c>
      <c r="AE451" s="32">
        <f>IFERROR(__xludf.DUMMYFUNCTION("""COMPUTED_VALUE"""),12.605461)</f>
        <v>12.605461</v>
      </c>
      <c r="AF451" s="32">
        <f>IFERROR(__xludf.DUMMYFUNCTION("""COMPUTED_VALUE"""),8.481132)</f>
        <v>8.481132</v>
      </c>
      <c r="AG451" s="32">
        <f>IFERROR(__xludf.DUMMYFUNCTION("""COMPUTED_VALUE"""),0.0)</f>
        <v>0</v>
      </c>
      <c r="AH451" s="32">
        <f>IFERROR(__xludf.DUMMYFUNCTION("""COMPUTED_VALUE"""),7.455411)</f>
        <v>7.455411</v>
      </c>
      <c r="AI451" s="32">
        <f>IFERROR(__xludf.DUMMYFUNCTION("""COMPUTED_VALUE"""),2.3849030323389404)</f>
        <v>2.384903032</v>
      </c>
      <c r="AJ451" s="32">
        <f>IFERROR(__xludf.DUMMYFUNCTION("""COMPUTED_VALUE"""),39.971080406357366)</f>
        <v>39.97108041</v>
      </c>
      <c r="AK451" s="32">
        <f>IFERROR(__xludf.DUMMYFUNCTION("""COMPUTED_VALUE"""),10.8079)</f>
        <v>10.8079</v>
      </c>
      <c r="AL451" s="32">
        <f>IFERROR(__xludf.DUMMYFUNCTION("""COMPUTED_VALUE"""),214.6422)</f>
        <v>214.6422</v>
      </c>
      <c r="AM451" s="32">
        <f>IFERROR(__xludf.DUMMYFUNCTION("""COMPUTED_VALUE"""),6.029359)</f>
        <v>6.029359</v>
      </c>
      <c r="AN451" s="32">
        <f>IFERROR(__xludf.DUMMYFUNCTION("""COMPUTED_VALUE"""),-38.89326)</f>
        <v>-38.89326</v>
      </c>
      <c r="AO451" s="32">
        <f>IFERROR(__xludf.DUMMYFUNCTION("""COMPUTED_VALUE"""),0.0)</f>
        <v>0</v>
      </c>
      <c r="AP451" s="32">
        <f>IFERROR(__xludf.DUMMYFUNCTION("""COMPUTED_VALUE"""),0.30566364029399046)</f>
        <v>0.3056636403</v>
      </c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</row>
    <row r="452">
      <c r="A452" s="13" t="str">
        <f>IFERROR(__xludf.DUMMYFUNCTION("""COMPUTED_VALUE"""),"ITI Ltd.")</f>
        <v>ITI Ltd.</v>
      </c>
      <c r="B452" s="30">
        <f>IFERROR(__xludf.DUMMYFUNCTION("""COMPUTED_VALUE"""),523610.0)</f>
        <v>523610</v>
      </c>
      <c r="C452" s="13" t="str">
        <f>IFERROR(__xludf.DUMMYFUNCTION("""COMPUTED_VALUE"""),"ITI")</f>
        <v>ITI</v>
      </c>
      <c r="D452" s="13" t="str">
        <f>IFERROR(__xludf.DUMMYFUNCTION("""COMPUTED_VALUE"""),"INE248A01017")</f>
        <v>INE248A01017</v>
      </c>
      <c r="E452" s="13" t="str">
        <f>IFERROR(__xludf.DUMMYFUNCTION("""COMPUTED_VALUE"""),"Communication")</f>
        <v>Communication</v>
      </c>
      <c r="F452" s="13" t="str">
        <f>IFERROR(__xludf.DUMMYFUNCTION("""COMPUTED_VALUE"""),"Communication Equipment")</f>
        <v>Communication Equipment</v>
      </c>
      <c r="G452" s="31">
        <f>IFERROR(__xludf.DUMMYFUNCTION("""COMPUTED_VALUE"""),44809.0)</f>
        <v>44809</v>
      </c>
      <c r="H452" s="32">
        <f>IFERROR(__xludf.DUMMYFUNCTION("""COMPUTED_VALUE"""),115.3)</f>
        <v>115.3</v>
      </c>
      <c r="I452" s="32">
        <f>IFERROR(__xludf.DUMMYFUNCTION("""COMPUTED_VALUE"""),1.810155)</f>
        <v>1.810155</v>
      </c>
      <c r="J452" s="32">
        <f>IFERROR(__xludf.DUMMYFUNCTION("""COMPUTED_VALUE"""),81.0)</f>
        <v>81</v>
      </c>
      <c r="K452" s="32">
        <f>IFERROR(__xludf.DUMMYFUNCTION("""COMPUTED_VALUE"""),133.5)</f>
        <v>133.5</v>
      </c>
      <c r="L452" s="32">
        <f>IFERROR(__xludf.DUMMYFUNCTION("""COMPUTED_VALUE"""),44.8)</f>
        <v>44.8</v>
      </c>
      <c r="M452" s="32">
        <f>IFERROR(__xludf.DUMMYFUNCTION("""COMPUTED_VALUE"""),151.65)</f>
        <v>151.65</v>
      </c>
      <c r="N452" s="32">
        <f>IFERROR(__xludf.DUMMYFUNCTION("""COMPUTED_VALUE"""),44.8)</f>
        <v>44.8</v>
      </c>
      <c r="O452" s="32">
        <f>IFERROR(__xludf.DUMMYFUNCTION("""COMPUTED_VALUE"""),164.9)</f>
        <v>164.9</v>
      </c>
      <c r="P452" s="32">
        <f>IFERROR(__xludf.DUMMYFUNCTION("""COMPUTED_VALUE"""),6.7)</f>
        <v>6.7</v>
      </c>
      <c r="Q452" s="32">
        <f>IFERROR(__xludf.DUMMYFUNCTION("""COMPUTED_VALUE"""),164.9)</f>
        <v>164.9</v>
      </c>
      <c r="R452" s="32">
        <f>IFERROR(__xludf.DUMMYFUNCTION("""COMPUTED_VALUE"""),10859.46302644)</f>
        <v>10859.46303</v>
      </c>
      <c r="S452" s="32">
        <f>IFERROR(__xludf.DUMMYFUNCTION("""COMPUTED_VALUE"""),11578.30395536)</f>
        <v>11578.30396</v>
      </c>
      <c r="T452" s="32">
        <f>IFERROR(__xludf.DUMMYFUNCTION("""COMPUTED_VALUE"""),1.096011)</f>
        <v>1.096011</v>
      </c>
      <c r="U452" s="32">
        <f>IFERROR(__xludf.DUMMYFUNCTION("""COMPUTED_VALUE"""),-2.205259)</f>
        <v>-2.205259</v>
      </c>
      <c r="V452" s="32">
        <f>IFERROR(__xludf.DUMMYFUNCTION("""COMPUTED_VALUE"""),23.381487)</f>
        <v>23.381487</v>
      </c>
      <c r="W452" s="32">
        <f>IFERROR(__xludf.DUMMYFUNCTION("""COMPUTED_VALUE"""),-1.199657)</f>
        <v>-1.199657</v>
      </c>
      <c r="X452" s="32">
        <f>IFERROR(__xludf.DUMMYFUNCTION("""COMPUTED_VALUE"""),19.627374)</f>
        <v>19.627374</v>
      </c>
      <c r="Y452" s="32">
        <f>IFERROR(__xludf.DUMMYFUNCTION("""COMPUTED_VALUE"""),3.315379)</f>
        <v>3.315379</v>
      </c>
      <c r="Z452" s="32">
        <f>IFERROR(__xludf.DUMMYFUNCTION("""COMPUTED_VALUE"""),18.205352)</f>
        <v>18.205352</v>
      </c>
      <c r="AA452" s="32">
        <f>IFERROR(__xludf.DUMMYFUNCTION("""COMPUTED_VALUE"""),100.5099)</f>
        <v>100.5099</v>
      </c>
      <c r="AB452" s="32">
        <f>IFERROR(__xludf.DUMMYFUNCTION("""COMPUTED_VALUE"""),71.7614)</f>
        <v>71.7614</v>
      </c>
      <c r="AC452" s="32">
        <f>IFERROR(__xludf.DUMMYFUNCTION("""COMPUTED_VALUE"""),4.185)</f>
        <v>4.185</v>
      </c>
      <c r="AD452" s="32">
        <f>IFERROR(__xludf.DUMMYFUNCTION("""COMPUTED_VALUE"""),39.4995)</f>
        <v>39.4995</v>
      </c>
      <c r="AE452" s="32">
        <f>IFERROR(__xludf.DUMMYFUNCTION("""COMPUTED_VALUE"""),4.812802)</f>
        <v>4.812802</v>
      </c>
      <c r="AF452" s="32">
        <f>IFERROR(__xludf.DUMMYFUNCTION("""COMPUTED_VALUE"""),-2.170171)</f>
        <v>-2.170171</v>
      </c>
      <c r="AG452" s="32">
        <f>IFERROR(__xludf.DUMMYFUNCTION("""COMPUTED_VALUE"""),0.0)</f>
        <v>0</v>
      </c>
      <c r="AH452" s="32">
        <f>IFERROR(__xludf.DUMMYFUNCTION("""COMPUTED_VALUE"""),32.745924)</f>
        <v>32.745924</v>
      </c>
      <c r="AI452" s="32">
        <f>IFERROR(__xludf.DUMMYFUNCTION("""COMPUTED_VALUE"""),6.041123407695859)</f>
        <v>6.041123408</v>
      </c>
      <c r="AJ452" s="32">
        <f>IFERROR(__xludf.DUMMYFUNCTION("""COMPUTED_VALUE"""),114.21924264942845)</f>
        <v>114.2192426</v>
      </c>
      <c r="AK452" s="32">
        <f>IFERROR(__xludf.DUMMYFUNCTION("""COMPUTED_VALUE"""),1.1462)</f>
        <v>1.1462</v>
      </c>
      <c r="AL452" s="32">
        <f>IFERROR(__xludf.DUMMYFUNCTION("""COMPUTED_VALUE"""),27.5266)</f>
        <v>27.5266</v>
      </c>
      <c r="AM452" s="32">
        <f>IFERROR(__xludf.DUMMYFUNCTION("""COMPUTED_VALUE"""),1.01846)</f>
        <v>1.01846</v>
      </c>
      <c r="AN452" s="32">
        <f>IFERROR(__xludf.DUMMYFUNCTION("""COMPUTED_VALUE"""),-0.188354)</f>
        <v>-0.188354</v>
      </c>
      <c r="AO452" s="32">
        <f>IFERROR(__xludf.DUMMYFUNCTION("""COMPUTED_VALUE"""),0.0)</f>
        <v>0</v>
      </c>
      <c r="AP452" s="32">
        <f>IFERROR(__xludf.DUMMYFUNCTION("""COMPUTED_VALUE"""),0.1363295880149813)</f>
        <v>0.136329588</v>
      </c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</row>
    <row r="453">
      <c r="A453" s="13" t="str">
        <f>IFERROR(__xludf.DUMMYFUNCTION("""COMPUTED_VALUE"""),"Jindal Stainless (Hisar) Ltd.")</f>
        <v>Jindal Stainless (Hisar) Ltd.</v>
      </c>
      <c r="B453" s="30">
        <f>IFERROR(__xludf.DUMMYFUNCTION("""COMPUTED_VALUE"""),539597.0)</f>
        <v>539597</v>
      </c>
      <c r="C453" s="13" t="str">
        <f>IFERROR(__xludf.DUMMYFUNCTION("""COMPUTED_VALUE"""),"JSLHISAR")</f>
        <v>JSLHISAR</v>
      </c>
      <c r="D453" s="13" t="str">
        <f>IFERROR(__xludf.DUMMYFUNCTION("""COMPUTED_VALUE"""),"INE455T01018")</f>
        <v>INE455T01018</v>
      </c>
      <c r="E453" s="13" t="str">
        <f>IFERROR(__xludf.DUMMYFUNCTION("""COMPUTED_VALUE"""),"Metals &amp; Mining")</f>
        <v>Metals &amp; Mining</v>
      </c>
      <c r="F453" s="13" t="str">
        <f>IFERROR(__xludf.DUMMYFUNCTION("""COMPUTED_VALUE"""),"Stainless Steel")</f>
        <v>Stainless Steel</v>
      </c>
      <c r="G453" s="31">
        <f>IFERROR(__xludf.DUMMYFUNCTION("""COMPUTED_VALUE"""),44809.0)</f>
        <v>44809</v>
      </c>
      <c r="H453" s="32">
        <f>IFERROR(__xludf.DUMMYFUNCTION("""COMPUTED_VALUE"""),247.1)</f>
        <v>247.1</v>
      </c>
      <c r="I453" s="32">
        <f>IFERROR(__xludf.DUMMYFUNCTION("""COMPUTED_VALUE"""),0.590271)</f>
        <v>0.590271</v>
      </c>
      <c r="J453" s="32">
        <f>IFERROR(__xludf.DUMMYFUNCTION("""COMPUTED_VALUE"""),189.0)</f>
        <v>189</v>
      </c>
      <c r="K453" s="32">
        <f>IFERROR(__xludf.DUMMYFUNCTION("""COMPUTED_VALUE"""),433.5)</f>
        <v>433.5</v>
      </c>
      <c r="L453" s="32">
        <f>IFERROR(__xludf.DUMMYFUNCTION("""COMPUTED_VALUE"""),30.4)</f>
        <v>30.4</v>
      </c>
      <c r="M453" s="32">
        <f>IFERROR(__xludf.DUMMYFUNCTION("""COMPUTED_VALUE"""),433.5)</f>
        <v>433.5</v>
      </c>
      <c r="N453" s="32">
        <f>IFERROR(__xludf.DUMMYFUNCTION("""COMPUTED_VALUE"""),30.4)</f>
        <v>30.4</v>
      </c>
      <c r="O453" s="32">
        <f>IFERROR(__xludf.DUMMYFUNCTION("""COMPUTED_VALUE"""),433.5)</f>
        <v>433.5</v>
      </c>
      <c r="P453" s="32">
        <f>IFERROR(__xludf.DUMMYFUNCTION("""COMPUTED_VALUE"""),24.05)</f>
        <v>24.05</v>
      </c>
      <c r="Q453" s="32">
        <f>IFERROR(__xludf.DUMMYFUNCTION("""COMPUTED_VALUE"""),433.5)</f>
        <v>433.5</v>
      </c>
      <c r="R453" s="32">
        <f>IFERROR(__xludf.DUMMYFUNCTION("""COMPUTED_VALUE"""),5780.3997825)</f>
        <v>5780.399783</v>
      </c>
      <c r="S453" s="32">
        <f>IFERROR(__xludf.DUMMYFUNCTION("""COMPUTED_VALUE"""),7254.2658636)</f>
        <v>7254.265864</v>
      </c>
      <c r="T453" s="32">
        <f>IFERROR(__xludf.DUMMYFUNCTION("""COMPUTED_VALUE"""),-1.337592)</f>
        <v>-1.337592</v>
      </c>
      <c r="U453" s="32">
        <f>IFERROR(__xludf.DUMMYFUNCTION("""COMPUTED_VALUE"""),8.639261)</f>
        <v>8.639261</v>
      </c>
      <c r="V453" s="32">
        <f>IFERROR(__xludf.DUMMYFUNCTION("""COMPUTED_VALUE"""),8.282209)</f>
        <v>8.282209</v>
      </c>
      <c r="W453" s="32">
        <f>IFERROR(__xludf.DUMMYFUNCTION("""COMPUTED_VALUE"""),-12.344803)</f>
        <v>-12.344803</v>
      </c>
      <c r="X453" s="32">
        <f>IFERROR(__xludf.DUMMYFUNCTION("""COMPUTED_VALUE"""),60.290272)</f>
        <v>60.290272</v>
      </c>
      <c r="Y453" s="32">
        <f>IFERROR(__xludf.DUMMYFUNCTION("""COMPUTED_VALUE"""),6.642713)</f>
        <v>6.642713</v>
      </c>
      <c r="Z453" s="13"/>
      <c r="AA453" s="32">
        <f>IFERROR(__xludf.DUMMYFUNCTION("""COMPUTED_VALUE"""),3.0549)</f>
        <v>3.0549</v>
      </c>
      <c r="AB453" s="32">
        <f>IFERROR(__xludf.DUMMYFUNCTION("""COMPUTED_VALUE"""),6.03335)</f>
        <v>6.03335</v>
      </c>
      <c r="AC453" s="32">
        <f>IFERROR(__xludf.DUMMYFUNCTION("""COMPUTED_VALUE"""),1.1302)</f>
        <v>1.1302</v>
      </c>
      <c r="AD453" s="32">
        <f>IFERROR(__xludf.DUMMYFUNCTION("""COMPUTED_VALUE"""),1.41325)</f>
        <v>1.41325</v>
      </c>
      <c r="AE453" s="32">
        <f>IFERROR(__xludf.DUMMYFUNCTION("""COMPUTED_VALUE"""),28.660063)</f>
        <v>28.660063</v>
      </c>
      <c r="AF453" s="32">
        <f>IFERROR(__xludf.DUMMYFUNCTION("""COMPUTED_VALUE"""),0.043035)</f>
        <v>0.043035</v>
      </c>
      <c r="AG453" s="32">
        <f>IFERROR(__xludf.DUMMYFUNCTION("""COMPUTED_VALUE"""),0.0)</f>
        <v>0</v>
      </c>
      <c r="AH453" s="32">
        <f>IFERROR(__xludf.DUMMYFUNCTION("""COMPUTED_VALUE"""),3.301355)</f>
        <v>3.301355</v>
      </c>
      <c r="AI453" s="32">
        <f>IFERROR(__xludf.DUMMYFUNCTION("""COMPUTED_VALUE"""),0.3684402277351289)</f>
        <v>0.3684402277</v>
      </c>
      <c r="AJ453" s="32">
        <f>IFERROR(__xludf.DUMMYFUNCTION("""COMPUTED_VALUE"""),4.4283731699749485)</f>
        <v>4.42837317</v>
      </c>
      <c r="AK453" s="32">
        <f>IFERROR(__xludf.DUMMYFUNCTION("""COMPUTED_VALUE"""),80.1993)</f>
        <v>80.1993</v>
      </c>
      <c r="AL453" s="32">
        <f>IFERROR(__xludf.DUMMYFUNCTION("""COMPUTED_VALUE"""),216.7675)</f>
        <v>216.7675</v>
      </c>
      <c r="AM453" s="32">
        <f>IFERROR(__xludf.DUMMYFUNCTION("""COMPUTED_VALUE"""),55.321466)</f>
        <v>55.321466</v>
      </c>
      <c r="AN453" s="32">
        <f>IFERROR(__xludf.DUMMYFUNCTION("""COMPUTED_VALUE"""),35.957618)</f>
        <v>35.957618</v>
      </c>
      <c r="AO453" s="32">
        <f>IFERROR(__xludf.DUMMYFUNCTION("""COMPUTED_VALUE"""),0.0)</f>
        <v>0</v>
      </c>
      <c r="AP453" s="32">
        <f>IFERROR(__xludf.DUMMYFUNCTION("""COMPUTED_VALUE"""),0.42998846597462514)</f>
        <v>0.429988466</v>
      </c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</row>
    <row r="454">
      <c r="A454" s="13" t="str">
        <f>IFERROR(__xludf.DUMMYFUNCTION("""COMPUTED_VALUE"""),"Jindal Stainless Ltd.")</f>
        <v>Jindal Stainless Ltd.</v>
      </c>
      <c r="B454" s="30">
        <f>IFERROR(__xludf.DUMMYFUNCTION("""COMPUTED_VALUE"""),532508.0)</f>
        <v>532508</v>
      </c>
      <c r="C454" s="13" t="str">
        <f>IFERROR(__xludf.DUMMYFUNCTION("""COMPUTED_VALUE"""),"JSL")</f>
        <v>JSL</v>
      </c>
      <c r="D454" s="13" t="str">
        <f>IFERROR(__xludf.DUMMYFUNCTION("""COMPUTED_VALUE"""),"INE220G01021")</f>
        <v>INE220G01021</v>
      </c>
      <c r="E454" s="13" t="str">
        <f>IFERROR(__xludf.DUMMYFUNCTION("""COMPUTED_VALUE"""),"Metals &amp; Mining")</f>
        <v>Metals &amp; Mining</v>
      </c>
      <c r="F454" s="13" t="str">
        <f>IFERROR(__xludf.DUMMYFUNCTION("""COMPUTED_VALUE"""),"Stainless Steel")</f>
        <v>Stainless Steel</v>
      </c>
      <c r="G454" s="31">
        <f>IFERROR(__xludf.DUMMYFUNCTION("""COMPUTED_VALUE"""),44809.0)</f>
        <v>44809</v>
      </c>
      <c r="H454" s="32">
        <f>IFERROR(__xludf.DUMMYFUNCTION("""COMPUTED_VALUE"""),129.0)</f>
        <v>129</v>
      </c>
      <c r="I454" s="32">
        <f>IFERROR(__xludf.DUMMYFUNCTION("""COMPUTED_VALUE"""),0.0)</f>
        <v>0</v>
      </c>
      <c r="J454" s="32">
        <f>IFERROR(__xludf.DUMMYFUNCTION("""COMPUTED_VALUE"""),95.05)</f>
        <v>95.05</v>
      </c>
      <c r="K454" s="32">
        <f>IFERROR(__xludf.DUMMYFUNCTION("""COMPUTED_VALUE"""),224.6)</f>
        <v>224.6</v>
      </c>
      <c r="L454" s="32">
        <f>IFERROR(__xludf.DUMMYFUNCTION("""COMPUTED_VALUE"""),21.4)</f>
        <v>21.4</v>
      </c>
      <c r="M454" s="32">
        <f>IFERROR(__xludf.DUMMYFUNCTION("""COMPUTED_VALUE"""),224.6)</f>
        <v>224.6</v>
      </c>
      <c r="N454" s="32">
        <f>IFERROR(__xludf.DUMMYFUNCTION("""COMPUTED_VALUE"""),21.0)</f>
        <v>21</v>
      </c>
      <c r="O454" s="32">
        <f>IFERROR(__xludf.DUMMYFUNCTION("""COMPUTED_VALUE"""),224.6)</f>
        <v>224.6</v>
      </c>
      <c r="P454" s="32">
        <f>IFERROR(__xludf.DUMMYFUNCTION("""COMPUTED_VALUE"""),14.2)</f>
        <v>14.2</v>
      </c>
      <c r="Q454" s="32">
        <f>IFERROR(__xludf.DUMMYFUNCTION("""COMPUTED_VALUE"""),243.8)</f>
        <v>243.8</v>
      </c>
      <c r="R454" s="32">
        <f>IFERROR(__xludf.DUMMYFUNCTION("""COMPUTED_VALUE"""),6771.00910518)</f>
        <v>6771.009105</v>
      </c>
      <c r="S454" s="32">
        <f>IFERROR(__xludf.DUMMYFUNCTION("""COMPUTED_VALUE"""),9813.72405986)</f>
        <v>9813.72406</v>
      </c>
      <c r="T454" s="32">
        <f>IFERROR(__xludf.DUMMYFUNCTION("""COMPUTED_VALUE"""),0.038775)</f>
        <v>0.038775</v>
      </c>
      <c r="U454" s="32">
        <f>IFERROR(__xludf.DUMMYFUNCTION("""COMPUTED_VALUE"""),9.090909)</f>
        <v>9.090909</v>
      </c>
      <c r="V454" s="32">
        <f>IFERROR(__xludf.DUMMYFUNCTION("""COMPUTED_VALUE"""),11.111111)</f>
        <v>11.111111</v>
      </c>
      <c r="W454" s="32">
        <f>IFERROR(__xludf.DUMMYFUNCTION("""COMPUTED_VALUE"""),-14.879578)</f>
        <v>-14.879578</v>
      </c>
      <c r="X454" s="32">
        <f>IFERROR(__xludf.DUMMYFUNCTION("""COMPUTED_VALUE"""),62.433052)</f>
        <v>62.433052</v>
      </c>
      <c r="Y454" s="32">
        <f>IFERROR(__xludf.DUMMYFUNCTION("""COMPUTED_VALUE"""),5.025964)</f>
        <v>5.025964</v>
      </c>
      <c r="Z454" s="32">
        <f>IFERROR(__xludf.DUMMYFUNCTION("""COMPUTED_VALUE"""),6.18316)</f>
        <v>6.18316</v>
      </c>
      <c r="AA454" s="32">
        <f>IFERROR(__xludf.DUMMYFUNCTION("""COMPUTED_VALUE"""),3.564)</f>
        <v>3.564</v>
      </c>
      <c r="AB454" s="32">
        <f>IFERROR(__xludf.DUMMYFUNCTION("""COMPUTED_VALUE"""),9.5468)</f>
        <v>9.5468</v>
      </c>
      <c r="AC454" s="32">
        <f>IFERROR(__xludf.DUMMYFUNCTION("""COMPUTED_VALUE"""),1.2337)</f>
        <v>1.2337</v>
      </c>
      <c r="AD454" s="32">
        <f>IFERROR(__xludf.DUMMYFUNCTION("""COMPUTED_VALUE"""),1.1608)</f>
        <v>1.1608</v>
      </c>
      <c r="AE454" s="32">
        <f>IFERROR(__xludf.DUMMYFUNCTION("""COMPUTED_VALUE"""),27.443121)</f>
        <v>27.443121</v>
      </c>
      <c r="AF454" s="32">
        <f>IFERROR(__xludf.DUMMYFUNCTION("""COMPUTED_VALUE"""),0.159259)</f>
        <v>0.159259</v>
      </c>
      <c r="AG454" s="32">
        <f>IFERROR(__xludf.DUMMYFUNCTION("""COMPUTED_VALUE"""),0.0)</f>
        <v>0</v>
      </c>
      <c r="AH454" s="32">
        <f>IFERROR(__xludf.DUMMYFUNCTION("""COMPUTED_VALUE"""),3.273686)</f>
        <v>3.273686</v>
      </c>
      <c r="AI454" s="32">
        <f>IFERROR(__xludf.DUMMYFUNCTION("""COMPUTED_VALUE"""),0.2978313938402516)</f>
        <v>0.2978313938</v>
      </c>
      <c r="AJ454" s="32">
        <f>IFERROR(__xludf.DUMMYFUNCTION("""COMPUTED_VALUE"""),5.177522886424983)</f>
        <v>5.177522886</v>
      </c>
      <c r="AK454" s="32">
        <f>IFERROR(__xludf.DUMMYFUNCTION("""COMPUTED_VALUE"""),36.1527)</f>
        <v>36.1527</v>
      </c>
      <c r="AL454" s="32">
        <f>IFERROR(__xludf.DUMMYFUNCTION("""COMPUTED_VALUE"""),104.4405)</f>
        <v>104.4405</v>
      </c>
      <c r="AM454" s="32">
        <f>IFERROR(__xludf.DUMMYFUNCTION("""COMPUTED_VALUE"""),26.839815)</f>
        <v>26.839815</v>
      </c>
      <c r="AN454" s="32">
        <f>IFERROR(__xludf.DUMMYFUNCTION("""COMPUTED_VALUE"""),9.622986)</f>
        <v>9.622986</v>
      </c>
      <c r="AO454" s="32">
        <f>IFERROR(__xludf.DUMMYFUNCTION("""COMPUTED_VALUE"""),0.0)</f>
        <v>0</v>
      </c>
      <c r="AP454" s="32">
        <f>IFERROR(__xludf.DUMMYFUNCTION("""COMPUTED_VALUE"""),0.42564559216384684)</f>
        <v>0.4256455922</v>
      </c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</row>
    <row r="455">
      <c r="A455" s="13" t="str">
        <f>IFERROR(__xludf.DUMMYFUNCTION("""COMPUTED_VALUE"""),"Jindal Steel &amp; Power Ltd.")</f>
        <v>Jindal Steel &amp; Power Ltd.</v>
      </c>
      <c r="B455" s="30">
        <f>IFERROR(__xludf.DUMMYFUNCTION("""COMPUTED_VALUE"""),532286.0)</f>
        <v>532286</v>
      </c>
      <c r="C455" s="13" t="str">
        <f>IFERROR(__xludf.DUMMYFUNCTION("""COMPUTED_VALUE"""),"JINDALSTEL")</f>
        <v>JINDALSTEL</v>
      </c>
      <c r="D455" s="13" t="str">
        <f>IFERROR(__xludf.DUMMYFUNCTION("""COMPUTED_VALUE"""),"INE749A01030")</f>
        <v>INE749A01030</v>
      </c>
      <c r="E455" s="13" t="str">
        <f>IFERROR(__xludf.DUMMYFUNCTION("""COMPUTED_VALUE"""),"Metals &amp; Mining")</f>
        <v>Metals &amp; Mining</v>
      </c>
      <c r="F455" s="13" t="str">
        <f>IFERROR(__xludf.DUMMYFUNCTION("""COMPUTED_VALUE"""),"Sponge Iron")</f>
        <v>Sponge Iron</v>
      </c>
      <c r="G455" s="31">
        <f>IFERROR(__xludf.DUMMYFUNCTION("""COMPUTED_VALUE"""),44809.0)</f>
        <v>44809</v>
      </c>
      <c r="H455" s="32">
        <f>IFERROR(__xludf.DUMMYFUNCTION("""COMPUTED_VALUE"""),425.65)</f>
        <v>425.65</v>
      </c>
      <c r="I455" s="32">
        <f>IFERROR(__xludf.DUMMYFUNCTION("""COMPUTED_VALUE"""),1.781444)</f>
        <v>1.781444</v>
      </c>
      <c r="J455" s="32">
        <f>IFERROR(__xludf.DUMMYFUNCTION("""COMPUTED_VALUE"""),304.2)</f>
        <v>304.2</v>
      </c>
      <c r="K455" s="32">
        <f>IFERROR(__xludf.DUMMYFUNCTION("""COMPUTED_VALUE"""),577.8)</f>
        <v>577.8</v>
      </c>
      <c r="L455" s="32">
        <f>IFERROR(__xludf.DUMMYFUNCTION("""COMPUTED_VALUE"""),62.0)</f>
        <v>62</v>
      </c>
      <c r="M455" s="32">
        <f>IFERROR(__xludf.DUMMYFUNCTION("""COMPUTED_VALUE"""),577.8)</f>
        <v>577.8</v>
      </c>
      <c r="N455" s="32">
        <f>IFERROR(__xludf.DUMMYFUNCTION("""COMPUTED_VALUE"""),62.0)</f>
        <v>62</v>
      </c>
      <c r="O455" s="32">
        <f>IFERROR(__xludf.DUMMYFUNCTION("""COMPUTED_VALUE"""),577.8)</f>
        <v>577.8</v>
      </c>
      <c r="P455" s="32">
        <f>IFERROR(__xludf.DUMMYFUNCTION("""COMPUTED_VALUE"""),1.85)</f>
        <v>1.85</v>
      </c>
      <c r="Q455" s="32">
        <f>IFERROR(__xludf.DUMMYFUNCTION("""COMPUTED_VALUE"""),796.1)</f>
        <v>796.1</v>
      </c>
      <c r="R455" s="32">
        <f>IFERROR(__xludf.DUMMYFUNCTION("""COMPUTED_VALUE"""),43251.7353128)</f>
        <v>43251.73531</v>
      </c>
      <c r="S455" s="32">
        <f>IFERROR(__xludf.DUMMYFUNCTION("""COMPUTED_VALUE"""),64801.083776055)</f>
        <v>64801.08378</v>
      </c>
      <c r="T455" s="32">
        <f>IFERROR(__xludf.DUMMYFUNCTION("""COMPUTED_VALUE"""),1.429763)</f>
        <v>1.429763</v>
      </c>
      <c r="U455" s="32">
        <f>IFERROR(__xludf.DUMMYFUNCTION("""COMPUTED_VALUE"""),11.193835)</f>
        <v>11.193835</v>
      </c>
      <c r="V455" s="32">
        <f>IFERROR(__xludf.DUMMYFUNCTION("""COMPUTED_VALUE"""),17.097662)</f>
        <v>17.097662</v>
      </c>
      <c r="W455" s="32">
        <f>IFERROR(__xludf.DUMMYFUNCTION("""COMPUTED_VALUE"""),8.418237)</f>
        <v>8.418237</v>
      </c>
      <c r="X455" s="32">
        <f>IFERROR(__xludf.DUMMYFUNCTION("""COMPUTED_VALUE"""),64.540943)</f>
        <v>64.540943</v>
      </c>
      <c r="Y455" s="32">
        <f>IFERROR(__xludf.DUMMYFUNCTION("""COMPUTED_VALUE"""),24.951123)</f>
        <v>24.951123</v>
      </c>
      <c r="Z455" s="32">
        <f>IFERROR(__xludf.DUMMYFUNCTION("""COMPUTED_VALUE"""),1.890559)</f>
        <v>1.890559</v>
      </c>
      <c r="AA455" s="32">
        <f>IFERROR(__xludf.DUMMYFUNCTION("""COMPUTED_VALUE"""),5.6136)</f>
        <v>5.6136</v>
      </c>
      <c r="AB455" s="32">
        <f>IFERROR(__xludf.DUMMYFUNCTION("""COMPUTED_VALUE"""),14.7468)</f>
        <v>14.7468</v>
      </c>
      <c r="AC455" s="32">
        <f>IFERROR(__xludf.DUMMYFUNCTION("""COMPUTED_VALUE"""),1.1498)</f>
        <v>1.1498</v>
      </c>
      <c r="AD455" s="32">
        <f>IFERROR(__xludf.DUMMYFUNCTION("""COMPUTED_VALUE"""),0.6994)</f>
        <v>0.6994</v>
      </c>
      <c r="AE455" s="32">
        <f>IFERROR(__xludf.DUMMYFUNCTION("""COMPUTED_VALUE"""),18.966117)</f>
        <v>18.966117</v>
      </c>
      <c r="AF455" s="32">
        <f>IFERROR(__xludf.DUMMYFUNCTION("""COMPUTED_VALUE"""),0.112846)</f>
        <v>0.112846</v>
      </c>
      <c r="AG455" s="32">
        <f>IFERROR(__xludf.DUMMYFUNCTION("""COMPUTED_VALUE"""),0.0)</f>
        <v>0</v>
      </c>
      <c r="AH455" s="32">
        <f>IFERROR(__xludf.DUMMYFUNCTION("""COMPUTED_VALUE"""),4.483359)</f>
        <v>4.483359</v>
      </c>
      <c r="AI455" s="32">
        <f>IFERROR(__xludf.DUMMYFUNCTION("""COMPUTED_VALUE"""),0.8081193456158808)</f>
        <v>0.8081193456</v>
      </c>
      <c r="AJ455" s="32">
        <f>IFERROR(__xludf.DUMMYFUNCTION("""COMPUTED_VALUE"""),3.61608464498998)</f>
        <v>3.616084645</v>
      </c>
      <c r="AK455" s="32">
        <f>IFERROR(__xludf.DUMMYFUNCTION("""COMPUTED_VALUE"""),75.5305)</f>
        <v>75.5305</v>
      </c>
      <c r="AL455" s="32">
        <f>IFERROR(__xludf.DUMMYFUNCTION("""COMPUTED_VALUE"""),368.7489)</f>
        <v>368.7489</v>
      </c>
      <c r="AM455" s="32">
        <f>IFERROR(__xludf.DUMMYFUNCTION("""COMPUTED_VALUE"""),117.26402)</f>
        <v>117.26402</v>
      </c>
      <c r="AN455" s="32">
        <f>IFERROR(__xludf.DUMMYFUNCTION("""COMPUTED_VALUE"""),40.957843)</f>
        <v>40.957843</v>
      </c>
      <c r="AO455" s="32">
        <f>IFERROR(__xludf.DUMMYFUNCTION("""COMPUTED_VALUE"""),0.0)</f>
        <v>0</v>
      </c>
      <c r="AP455" s="32">
        <f>IFERROR(__xludf.DUMMYFUNCTION("""COMPUTED_VALUE"""),0.2633264105226722)</f>
        <v>0.2633264105</v>
      </c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</row>
    <row r="456">
      <c r="A456" s="13" t="str">
        <f>IFERROR(__xludf.DUMMYFUNCTION("""COMPUTED_VALUE"""),"Johnson Controls - Hitachi Air Conditioning India Ltd.")</f>
        <v>Johnson Controls - Hitachi Air Conditioning India Ltd.</v>
      </c>
      <c r="B456" s="30">
        <f>IFERROR(__xludf.DUMMYFUNCTION("""COMPUTED_VALUE"""),523398.0)</f>
        <v>523398</v>
      </c>
      <c r="C456" s="13" t="str">
        <f>IFERROR(__xludf.DUMMYFUNCTION("""COMPUTED_VALUE"""),"JCHAC")</f>
        <v>JCHAC</v>
      </c>
      <c r="D456" s="13" t="str">
        <f>IFERROR(__xludf.DUMMYFUNCTION("""COMPUTED_VALUE"""),"INE782A01015")</f>
        <v>INE782A01015</v>
      </c>
      <c r="E456" s="13" t="str">
        <f>IFERROR(__xludf.DUMMYFUNCTION("""COMPUTED_VALUE"""),"Consumer Discretionary")</f>
        <v>Consumer Discretionary</v>
      </c>
      <c r="F456" s="13" t="str">
        <f>IFERROR(__xludf.DUMMYFUNCTION("""COMPUTED_VALUE"""),"ACs &amp; Refrigerators")</f>
        <v>ACs &amp; Refrigerators</v>
      </c>
      <c r="G456" s="31">
        <f>IFERROR(__xludf.DUMMYFUNCTION("""COMPUTED_VALUE"""),44809.0)</f>
        <v>44809</v>
      </c>
      <c r="H456" s="32">
        <f>IFERROR(__xludf.DUMMYFUNCTION("""COMPUTED_VALUE"""),1583.3)</f>
        <v>1583.3</v>
      </c>
      <c r="I456" s="32">
        <f>IFERROR(__xludf.DUMMYFUNCTION("""COMPUTED_VALUE"""),0.412227)</f>
        <v>0.412227</v>
      </c>
      <c r="J456" s="32">
        <f>IFERROR(__xludf.DUMMYFUNCTION("""COMPUTED_VALUE"""),1445.0)</f>
        <v>1445</v>
      </c>
      <c r="K456" s="32">
        <f>IFERROR(__xludf.DUMMYFUNCTION("""COMPUTED_VALUE"""),2369.0)</f>
        <v>2369</v>
      </c>
      <c r="L456" s="32">
        <f>IFERROR(__xludf.DUMMYFUNCTION("""COMPUTED_VALUE"""),1442.6)</f>
        <v>1442.6</v>
      </c>
      <c r="M456" s="32">
        <f>IFERROR(__xludf.DUMMYFUNCTION("""COMPUTED_VALUE"""),3484.4)</f>
        <v>3484.4</v>
      </c>
      <c r="N456" s="32">
        <f>IFERROR(__xludf.DUMMYFUNCTION("""COMPUTED_VALUE"""),1442.6)</f>
        <v>1442.6</v>
      </c>
      <c r="O456" s="32">
        <f>IFERROR(__xludf.DUMMYFUNCTION("""COMPUTED_VALUE"""),3484.4)</f>
        <v>3484.4</v>
      </c>
      <c r="P456" s="32">
        <f>IFERROR(__xludf.DUMMYFUNCTION("""COMPUTED_VALUE"""),9.096486)</f>
        <v>9.096486</v>
      </c>
      <c r="Q456" s="32">
        <f>IFERROR(__xludf.DUMMYFUNCTION("""COMPUTED_VALUE"""),3484.4)</f>
        <v>3484.4</v>
      </c>
      <c r="R456" s="32">
        <f>IFERROR(__xludf.DUMMYFUNCTION("""COMPUTED_VALUE"""),4350.81334884)</f>
        <v>4350.813349</v>
      </c>
      <c r="S456" s="32">
        <f>IFERROR(__xludf.DUMMYFUNCTION("""COMPUTED_VALUE"""),4297.35140956)</f>
        <v>4297.35141</v>
      </c>
      <c r="T456" s="32">
        <f>IFERROR(__xludf.DUMMYFUNCTION("""COMPUTED_VALUE"""),6.885844)</f>
        <v>6.885844</v>
      </c>
      <c r="U456" s="32">
        <f>IFERROR(__xludf.DUMMYFUNCTION("""COMPUTED_VALUE"""),3.714136)</f>
        <v>3.714136</v>
      </c>
      <c r="V456" s="32">
        <f>IFERROR(__xludf.DUMMYFUNCTION("""COMPUTED_VALUE"""),-10.126582)</f>
        <v>-10.126582</v>
      </c>
      <c r="W456" s="32">
        <f>IFERROR(__xludf.DUMMYFUNCTION("""COMPUTED_VALUE"""),-28.102082)</f>
        <v>-28.102082</v>
      </c>
      <c r="X456" s="32">
        <f>IFERROR(__xludf.DUMMYFUNCTION("""COMPUTED_VALUE"""),-0.182494)</f>
        <v>-0.182494</v>
      </c>
      <c r="Y456" s="32">
        <f>IFERROR(__xludf.DUMMYFUNCTION("""COMPUTED_VALUE"""),-4.544218)</f>
        <v>-4.544218</v>
      </c>
      <c r="Z456" s="32">
        <f>IFERROR(__xludf.DUMMYFUNCTION("""COMPUTED_VALUE"""),29.846494)</f>
        <v>29.846494</v>
      </c>
      <c r="AA456" s="32">
        <f>IFERROR(__xludf.DUMMYFUNCTION("""COMPUTED_VALUE"""),173.6159)</f>
        <v>173.6159</v>
      </c>
      <c r="AB456" s="32">
        <f>IFERROR(__xludf.DUMMYFUNCTION("""COMPUTED_VALUE"""),67.84135)</f>
        <v>67.84135</v>
      </c>
      <c r="AC456" s="32">
        <f>IFERROR(__xludf.DUMMYFUNCTION("""COMPUTED_VALUE"""),5.8962)</f>
        <v>5.8962</v>
      </c>
      <c r="AD456" s="32">
        <f>IFERROR(__xludf.DUMMYFUNCTION("""COMPUTED_VALUE"""),8.4933)</f>
        <v>8.4933</v>
      </c>
      <c r="AE456" s="32">
        <f>IFERROR(__xludf.DUMMYFUNCTION("""COMPUTED_VALUE"""),1.221823)</f>
        <v>1.221823</v>
      </c>
      <c r="AF456" s="32">
        <f>IFERROR(__xludf.DUMMYFUNCTION("""COMPUTED_VALUE"""),-8.928821)</f>
        <v>-8.928821</v>
      </c>
      <c r="AG456" s="32">
        <f>IFERROR(__xludf.DUMMYFUNCTION("""COMPUTED_VALUE"""),0.0)</f>
        <v>0</v>
      </c>
      <c r="AH456" s="32">
        <f>IFERROR(__xludf.DUMMYFUNCTION("""COMPUTED_VALUE"""),37.164675)</f>
        <v>37.164675</v>
      </c>
      <c r="AI456" s="32">
        <f>IFERROR(__xludf.DUMMYFUNCTION("""COMPUTED_VALUE"""),1.6250203925614124)</f>
        <v>1.625020393</v>
      </c>
      <c r="AJ456" s="32">
        <f>IFERROR(__xludf.DUMMYFUNCTION("""COMPUTED_VALUE"""),-79.20650553140361)</f>
        <v>-79.20650553</v>
      </c>
      <c r="AK456" s="32">
        <f>IFERROR(__xludf.DUMMYFUNCTION("""COMPUTED_VALUE"""),9.2163)</f>
        <v>9.2163</v>
      </c>
      <c r="AL456" s="32">
        <f>IFERROR(__xludf.DUMMYFUNCTION("""COMPUTED_VALUE"""),271.378)</f>
        <v>271.378</v>
      </c>
      <c r="AM456" s="32">
        <f>IFERROR(__xludf.DUMMYFUNCTION("""COMPUTED_VALUE"""),-20.20228)</f>
        <v>-20.20228</v>
      </c>
      <c r="AN456" s="32">
        <f>IFERROR(__xludf.DUMMYFUNCTION("""COMPUTED_VALUE"""),-39.084222)</f>
        <v>-39.084222</v>
      </c>
      <c r="AO456" s="32">
        <f>IFERROR(__xludf.DUMMYFUNCTION("""COMPUTED_VALUE"""),0.0)</f>
        <v>0</v>
      </c>
      <c r="AP456" s="32">
        <f>IFERROR(__xludf.DUMMYFUNCTION("""COMPUTED_VALUE"""),0.3316589278176446)</f>
        <v>0.3316589278</v>
      </c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</row>
    <row r="457">
      <c r="A457" s="13" t="str">
        <f>IFERROR(__xludf.DUMMYFUNCTION("""COMPUTED_VALUE"""),"Just Dial Ltd.")</f>
        <v>Just Dial Ltd.</v>
      </c>
      <c r="B457" s="30">
        <f>IFERROR(__xludf.DUMMYFUNCTION("""COMPUTED_VALUE"""),535648.0)</f>
        <v>535648</v>
      </c>
      <c r="C457" s="13" t="str">
        <f>IFERROR(__xludf.DUMMYFUNCTION("""COMPUTED_VALUE"""),"JUSTDIAL")</f>
        <v>JUSTDIAL</v>
      </c>
      <c r="D457" s="13" t="str">
        <f>IFERROR(__xludf.DUMMYFUNCTION("""COMPUTED_VALUE"""),"INE599M01018")</f>
        <v>INE599M01018</v>
      </c>
      <c r="E457" s="13" t="str">
        <f>IFERROR(__xludf.DUMMYFUNCTION("""COMPUTED_VALUE"""),"Services")</f>
        <v>Services</v>
      </c>
      <c r="F457" s="13" t="str">
        <f>IFERROR(__xludf.DUMMYFUNCTION("""COMPUTED_VALUE"""),"E-Commerce")</f>
        <v>E-Commerce</v>
      </c>
      <c r="G457" s="31">
        <f>IFERROR(__xludf.DUMMYFUNCTION("""COMPUTED_VALUE"""),44809.0)</f>
        <v>44809</v>
      </c>
      <c r="H457" s="32">
        <f>IFERROR(__xludf.DUMMYFUNCTION("""COMPUTED_VALUE"""),621.05)</f>
        <v>621.05</v>
      </c>
      <c r="I457" s="32">
        <f>IFERROR(__xludf.DUMMYFUNCTION("""COMPUTED_VALUE"""),2.500413)</f>
        <v>2.500413</v>
      </c>
      <c r="J457" s="32">
        <f>IFERROR(__xludf.DUMMYFUNCTION("""COMPUTED_VALUE"""),520.0)</f>
        <v>520</v>
      </c>
      <c r="K457" s="32">
        <f>IFERROR(__xludf.DUMMYFUNCTION("""COMPUTED_VALUE"""),1051.0)</f>
        <v>1051</v>
      </c>
      <c r="L457" s="32">
        <f>IFERROR(__xludf.DUMMYFUNCTION("""COMPUTED_VALUE"""),250.0)</f>
        <v>250</v>
      </c>
      <c r="M457" s="32">
        <f>IFERROR(__xludf.DUMMYFUNCTION("""COMPUTED_VALUE"""),1138.0)</f>
        <v>1138</v>
      </c>
      <c r="N457" s="32">
        <f>IFERROR(__xludf.DUMMYFUNCTION("""COMPUTED_VALUE"""),250.0)</f>
        <v>250</v>
      </c>
      <c r="O457" s="32">
        <f>IFERROR(__xludf.DUMMYFUNCTION("""COMPUTED_VALUE"""),1138.0)</f>
        <v>1138</v>
      </c>
      <c r="P457" s="32">
        <f>IFERROR(__xludf.DUMMYFUNCTION("""COMPUTED_VALUE"""),250.0)</f>
        <v>250</v>
      </c>
      <c r="Q457" s="32">
        <f>IFERROR(__xludf.DUMMYFUNCTION("""COMPUTED_VALUE"""),1894.7)</f>
        <v>1894.7</v>
      </c>
      <c r="R457" s="32">
        <f>IFERROR(__xludf.DUMMYFUNCTION("""COMPUTED_VALUE"""),5215.89417204)</f>
        <v>5215.894172</v>
      </c>
      <c r="S457" s="32">
        <f>IFERROR(__xludf.DUMMYFUNCTION("""COMPUTED_VALUE"""),5044.76885244)</f>
        <v>5044.768852</v>
      </c>
      <c r="T457" s="32">
        <f>IFERROR(__xludf.DUMMYFUNCTION("""COMPUTED_VALUE"""),1.678127)</f>
        <v>1.678127</v>
      </c>
      <c r="U457" s="32">
        <f>IFERROR(__xludf.DUMMYFUNCTION("""COMPUTED_VALUE"""),4.194279)</f>
        <v>4.194279</v>
      </c>
      <c r="V457" s="32">
        <f>IFERROR(__xludf.DUMMYFUNCTION("""COMPUTED_VALUE"""),-4.585958)</f>
        <v>-4.585958</v>
      </c>
      <c r="W457" s="32">
        <f>IFERROR(__xludf.DUMMYFUNCTION("""COMPUTED_VALUE"""),-37.42254)</f>
        <v>-37.42254</v>
      </c>
      <c r="X457" s="32">
        <f>IFERROR(__xludf.DUMMYFUNCTION("""COMPUTED_VALUE"""),-4.584932)</f>
        <v>-4.584932</v>
      </c>
      <c r="Y457" s="32">
        <f>IFERROR(__xludf.DUMMYFUNCTION("""COMPUTED_VALUE"""),10.283042)</f>
        <v>10.283042</v>
      </c>
      <c r="Z457" s="13"/>
      <c r="AA457" s="32">
        <f>IFERROR(__xludf.DUMMYFUNCTION("""COMPUTED_VALUE"""),200.6885)</f>
        <v>200.6885</v>
      </c>
      <c r="AB457" s="32">
        <f>IFERROR(__xludf.DUMMYFUNCTION("""COMPUTED_VALUE"""),21.985)</f>
        <v>21.985</v>
      </c>
      <c r="AC457" s="32">
        <f>IFERROR(__xludf.DUMMYFUNCTION("""COMPUTED_VALUE"""),1.5169)</f>
        <v>1.5169</v>
      </c>
      <c r="AD457" s="32">
        <f>IFERROR(__xludf.DUMMYFUNCTION("""COMPUTED_VALUE"""),3.2353)</f>
        <v>3.2353</v>
      </c>
      <c r="AE457" s="32">
        <f>IFERROR(__xludf.DUMMYFUNCTION("""COMPUTED_VALUE"""),1.432378)</f>
        <v>1.432378</v>
      </c>
      <c r="AF457" s="32">
        <f>IFERROR(__xludf.DUMMYFUNCTION("""COMPUTED_VALUE"""),23.75663)</f>
        <v>23.75663</v>
      </c>
      <c r="AG457" s="32">
        <f>IFERROR(__xludf.DUMMYFUNCTION("""COMPUTED_VALUE"""),0.0)</f>
        <v>0</v>
      </c>
      <c r="AH457" s="32">
        <f>IFERROR(__xludf.DUMMYFUNCTION("""COMPUTED_VALUE"""),80.343508)</f>
        <v>80.343508</v>
      </c>
      <c r="AI457" s="32">
        <f>IFERROR(__xludf.DUMMYFUNCTION("""COMPUTED_VALUE"""),7.818290271966903)</f>
        <v>7.818290272</v>
      </c>
      <c r="AJ457" s="32">
        <f>IFERROR(__xludf.DUMMYFUNCTION("""COMPUTED_VALUE"""),37.48935651577661)</f>
        <v>37.48935652</v>
      </c>
      <c r="AK457" s="32">
        <f>IFERROR(__xludf.DUMMYFUNCTION("""COMPUTED_VALUE"""),3.0829)</f>
        <v>3.0829</v>
      </c>
      <c r="AL457" s="32">
        <f>IFERROR(__xludf.DUMMYFUNCTION("""COMPUTED_VALUE"""),407.8727)</f>
        <v>407.8727</v>
      </c>
      <c r="AM457" s="32">
        <f>IFERROR(__xludf.DUMMYFUNCTION("""COMPUTED_VALUE"""),22.48384)</f>
        <v>22.48384</v>
      </c>
      <c r="AN457" s="32">
        <f>IFERROR(__xludf.DUMMYFUNCTION("""COMPUTED_VALUE"""),40.43956)</f>
        <v>40.43956</v>
      </c>
      <c r="AO457" s="32">
        <f>IFERROR(__xludf.DUMMYFUNCTION("""COMPUTED_VALUE"""),0.0)</f>
        <v>0</v>
      </c>
      <c r="AP457" s="32">
        <f>IFERROR(__xludf.DUMMYFUNCTION("""COMPUTED_VALUE"""),0.4090865842055186)</f>
        <v>0.4090865842</v>
      </c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</row>
    <row r="458">
      <c r="A458" s="13" t="str">
        <f>IFERROR(__xludf.DUMMYFUNCTION("""COMPUTED_VALUE"""),"Kalyan Jewellers India Ltd.")</f>
        <v>Kalyan Jewellers India Ltd.</v>
      </c>
      <c r="B458" s="30">
        <f>IFERROR(__xludf.DUMMYFUNCTION("""COMPUTED_VALUE"""),543278.0)</f>
        <v>543278</v>
      </c>
      <c r="C458" s="13" t="str">
        <f>IFERROR(__xludf.DUMMYFUNCTION("""COMPUTED_VALUE"""),"KALYANKJIL")</f>
        <v>KALYANKJIL</v>
      </c>
      <c r="D458" s="13" t="str">
        <f>IFERROR(__xludf.DUMMYFUNCTION("""COMPUTED_VALUE"""),"INE303R01014")</f>
        <v>INE303R01014</v>
      </c>
      <c r="E458" s="13" t="str">
        <f>IFERROR(__xludf.DUMMYFUNCTION("""COMPUTED_VALUE"""),"Consumer Discretionary")</f>
        <v>Consumer Discretionary</v>
      </c>
      <c r="F458" s="13" t="str">
        <f>IFERROR(__xludf.DUMMYFUNCTION("""COMPUTED_VALUE"""),"Gems, Jewellery &amp; Accessories")</f>
        <v>Gems, Jewellery &amp; Accessories</v>
      </c>
      <c r="G458" s="31">
        <f>IFERROR(__xludf.DUMMYFUNCTION("""COMPUTED_VALUE"""),44809.0)</f>
        <v>44809</v>
      </c>
      <c r="H458" s="32">
        <f>IFERROR(__xludf.DUMMYFUNCTION("""COMPUTED_VALUE"""),82.6)</f>
        <v>82.6</v>
      </c>
      <c r="I458" s="32">
        <f>IFERROR(__xludf.DUMMYFUNCTION("""COMPUTED_VALUE"""),-2.59434)</f>
        <v>-2.59434</v>
      </c>
      <c r="J458" s="32">
        <f>IFERROR(__xludf.DUMMYFUNCTION("""COMPUTED_VALUE"""),55.05)</f>
        <v>55.05</v>
      </c>
      <c r="K458" s="32">
        <f>IFERROR(__xludf.DUMMYFUNCTION("""COMPUTED_VALUE"""),85.8)</f>
        <v>85.8</v>
      </c>
      <c r="L458" s="13"/>
      <c r="M458" s="13"/>
      <c r="N458" s="13"/>
      <c r="O458" s="13"/>
      <c r="P458" s="32">
        <f>IFERROR(__xludf.DUMMYFUNCTION("""COMPUTED_VALUE"""),55.05)</f>
        <v>55.05</v>
      </c>
      <c r="Q458" s="32">
        <f>IFERROR(__xludf.DUMMYFUNCTION("""COMPUTED_VALUE"""),89.75)</f>
        <v>89.75</v>
      </c>
      <c r="R458" s="32">
        <f>IFERROR(__xludf.DUMMYFUNCTION("""COMPUTED_VALUE"""),8503.087985535)</f>
        <v>8503.087986</v>
      </c>
      <c r="S458" s="32">
        <f>IFERROR(__xludf.DUMMYFUNCTION("""COMPUTED_VALUE"""),11320.83492336)</f>
        <v>11320.83492</v>
      </c>
      <c r="T458" s="32">
        <f>IFERROR(__xludf.DUMMYFUNCTION("""COMPUTED_VALUE"""),3.899371)</f>
        <v>3.899371</v>
      </c>
      <c r="U458" s="32">
        <f>IFERROR(__xludf.DUMMYFUNCTION("""COMPUTED_VALUE"""),17.496444)</f>
        <v>17.496444</v>
      </c>
      <c r="V458" s="32">
        <f>IFERROR(__xludf.DUMMYFUNCTION("""COMPUTED_VALUE"""),36.528926)</f>
        <v>36.528926</v>
      </c>
      <c r="W458" s="32">
        <f>IFERROR(__xludf.DUMMYFUNCTION("""COMPUTED_VALUE"""),24.773414)</f>
        <v>24.773414</v>
      </c>
      <c r="X458" s="13"/>
      <c r="Y458" s="13"/>
      <c r="Z458" s="13"/>
      <c r="AA458" s="32">
        <f>IFERROR(__xludf.DUMMYFUNCTION("""COMPUTED_VALUE"""),22.1731)</f>
        <v>22.1731</v>
      </c>
      <c r="AB458" s="32">
        <f>IFERROR(__xludf.DUMMYFUNCTION("""COMPUTED_VALUE"""),29.7932)</f>
        <v>29.7932</v>
      </c>
      <c r="AC458" s="32">
        <f>IFERROR(__xludf.DUMMYFUNCTION("""COMPUTED_VALUE"""),2.6205)</f>
        <v>2.6205</v>
      </c>
      <c r="AD458" s="32">
        <f>IFERROR(__xludf.DUMMYFUNCTION("""COMPUTED_VALUE"""),2.2364)</f>
        <v>2.2364</v>
      </c>
      <c r="AE458" s="32">
        <f>IFERROR(__xludf.DUMMYFUNCTION("""COMPUTED_VALUE"""),7.754354)</f>
        <v>7.754354</v>
      </c>
      <c r="AF458" s="32">
        <f>IFERROR(__xludf.DUMMYFUNCTION("""COMPUTED_VALUE"""),0.001119)</f>
        <v>0.001119</v>
      </c>
      <c r="AG458" s="32">
        <f>IFERROR(__xludf.DUMMYFUNCTION("""COMPUTED_VALUE"""),0.0)</f>
        <v>0</v>
      </c>
      <c r="AH458" s="32">
        <f>IFERROR(__xludf.DUMMYFUNCTION("""COMPUTED_VALUE"""),10.767125)</f>
        <v>10.767125</v>
      </c>
      <c r="AI458" s="32">
        <f>IFERROR(__xludf.DUMMYFUNCTION("""COMPUTED_VALUE"""),0.6794971457927031)</f>
        <v>0.6794971458</v>
      </c>
      <c r="AJ458" s="32">
        <f>IFERROR(__xludf.DUMMYFUNCTION("""COMPUTED_VALUE"""),34.706906556141504)</f>
        <v>34.70690656</v>
      </c>
      <c r="AK458" s="32">
        <f>IFERROR(__xludf.DUMMYFUNCTION("""COMPUTED_VALUE"""),3.723)</f>
        <v>3.723</v>
      </c>
      <c r="AL458" s="32">
        <f>IFERROR(__xludf.DUMMYFUNCTION("""COMPUTED_VALUE"""),31.5013)</f>
        <v>31.5013</v>
      </c>
      <c r="AM458" s="32">
        <f>IFERROR(__xludf.DUMMYFUNCTION("""COMPUTED_VALUE"""),2.378489)</f>
        <v>2.378489</v>
      </c>
      <c r="AN458" s="32">
        <f>IFERROR(__xludf.DUMMYFUNCTION("""COMPUTED_VALUE"""),-0.41527)</f>
        <v>-0.41527</v>
      </c>
      <c r="AO458" s="32">
        <f>IFERROR(__xludf.DUMMYFUNCTION("""COMPUTED_VALUE"""),0.0)</f>
        <v>0</v>
      </c>
      <c r="AP458" s="32">
        <f>IFERROR(__xludf.DUMMYFUNCTION("""COMPUTED_VALUE"""),0.03729603729603733)</f>
        <v>0.0372960373</v>
      </c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</row>
    <row r="459">
      <c r="A459" s="13" t="str">
        <f>IFERROR(__xludf.DUMMYFUNCTION("""COMPUTED_VALUE"""),"Krishna Institute Of Medical Sciences Ltd.")</f>
        <v>Krishna Institute Of Medical Sciences Ltd.</v>
      </c>
      <c r="B459" s="30">
        <f>IFERROR(__xludf.DUMMYFUNCTION("""COMPUTED_VALUE"""),543308.0)</f>
        <v>543308</v>
      </c>
      <c r="C459" s="13" t="str">
        <f>IFERROR(__xludf.DUMMYFUNCTION("""COMPUTED_VALUE"""),"KIMS")</f>
        <v>KIMS</v>
      </c>
      <c r="D459" s="13" t="str">
        <f>IFERROR(__xludf.DUMMYFUNCTION("""COMPUTED_VALUE"""),"INE967H01017")</f>
        <v>INE967H01017</v>
      </c>
      <c r="E459" s="13" t="str">
        <f>IFERROR(__xludf.DUMMYFUNCTION("""COMPUTED_VALUE"""),"Healthcare")</f>
        <v>Healthcare</v>
      </c>
      <c r="F459" s="13" t="str">
        <f>IFERROR(__xludf.DUMMYFUNCTION("""COMPUTED_VALUE"""),"Health Services")</f>
        <v>Health Services</v>
      </c>
      <c r="G459" s="31">
        <f>IFERROR(__xludf.DUMMYFUNCTION("""COMPUTED_VALUE"""),44809.0)</f>
        <v>44809</v>
      </c>
      <c r="H459" s="32">
        <f>IFERROR(__xludf.DUMMYFUNCTION("""COMPUTED_VALUE"""),1271.75)</f>
        <v>1271.75</v>
      </c>
      <c r="I459" s="32">
        <f>IFERROR(__xludf.DUMMYFUNCTION("""COMPUTED_VALUE"""),0.720706)</f>
        <v>0.720706</v>
      </c>
      <c r="J459" s="32">
        <f>IFERROR(__xludf.DUMMYFUNCTION("""COMPUTED_VALUE"""),1000.0)</f>
        <v>1000</v>
      </c>
      <c r="K459" s="32">
        <f>IFERROR(__xludf.DUMMYFUNCTION("""COMPUTED_VALUE"""),1565.0)</f>
        <v>1565</v>
      </c>
      <c r="L459" s="13"/>
      <c r="M459" s="13"/>
      <c r="N459" s="13"/>
      <c r="O459" s="13"/>
      <c r="P459" s="32">
        <f>IFERROR(__xludf.DUMMYFUNCTION("""COMPUTED_VALUE"""),937.55)</f>
        <v>937.55</v>
      </c>
      <c r="Q459" s="32">
        <f>IFERROR(__xludf.DUMMYFUNCTION("""COMPUTED_VALUE"""),1565.0)</f>
        <v>1565</v>
      </c>
      <c r="R459" s="32">
        <f>IFERROR(__xludf.DUMMYFUNCTION("""COMPUTED_VALUE"""),10158.327142845)</f>
        <v>10158.32714</v>
      </c>
      <c r="S459" s="32">
        <f>IFERROR(__xludf.DUMMYFUNCTION("""COMPUTED_VALUE"""),10059.666968155)</f>
        <v>10059.66697</v>
      </c>
      <c r="T459" s="32">
        <f>IFERROR(__xludf.DUMMYFUNCTION("""COMPUTED_VALUE"""),5.207644)</f>
        <v>5.207644</v>
      </c>
      <c r="U459" s="32">
        <f>IFERROR(__xludf.DUMMYFUNCTION("""COMPUTED_VALUE"""),5.277318)</f>
        <v>5.277318</v>
      </c>
      <c r="V459" s="32">
        <f>IFERROR(__xludf.DUMMYFUNCTION("""COMPUTED_VALUE"""),1.57342)</f>
        <v>1.57342</v>
      </c>
      <c r="W459" s="32">
        <f>IFERROR(__xludf.DUMMYFUNCTION("""COMPUTED_VALUE"""),2.639119)</f>
        <v>2.639119</v>
      </c>
      <c r="X459" s="13"/>
      <c r="Y459" s="13"/>
      <c r="Z459" s="13"/>
      <c r="AA459" s="32">
        <f>IFERROR(__xludf.DUMMYFUNCTION("""COMPUTED_VALUE"""),32.399)</f>
        <v>32.399</v>
      </c>
      <c r="AB459" s="32">
        <f>IFERROR(__xludf.DUMMYFUNCTION("""COMPUTED_VALUE"""),48.9289)</f>
        <v>48.9289</v>
      </c>
      <c r="AC459" s="32">
        <f>IFERROR(__xludf.DUMMYFUNCTION("""COMPUTED_VALUE"""),6.9267)</f>
        <v>6.9267</v>
      </c>
      <c r="AD459" s="32">
        <f>IFERROR(__xludf.DUMMYFUNCTION("""COMPUTED_VALUE"""),7.5444)</f>
        <v>7.5444</v>
      </c>
      <c r="AE459" s="32">
        <f>IFERROR(__xludf.DUMMYFUNCTION("""COMPUTED_VALUE"""),4.609661)</f>
        <v>4.609661</v>
      </c>
      <c r="AF459" s="32">
        <f>IFERROR(__xludf.DUMMYFUNCTION("""COMPUTED_VALUE"""),2.840609)</f>
        <v>2.840609</v>
      </c>
      <c r="AG459" s="32">
        <f>IFERROR(__xludf.DUMMYFUNCTION("""COMPUTED_VALUE"""),0.0)</f>
        <v>0</v>
      </c>
      <c r="AH459" s="32">
        <f>IFERROR(__xludf.DUMMYFUNCTION("""COMPUTED_VALUE"""),18.958826)</f>
        <v>18.958826</v>
      </c>
      <c r="AI459" s="32">
        <f>IFERROR(__xludf.DUMMYFUNCTION("""COMPUTED_VALUE"""),6.071342335966076)</f>
        <v>6.071342336</v>
      </c>
      <c r="AJ459" s="32">
        <f>IFERROR(__xludf.DUMMYFUNCTION("""COMPUTED_VALUE"""),31.350442536362934)</f>
        <v>31.35044254</v>
      </c>
      <c r="AK459" s="32">
        <f>IFERROR(__xludf.DUMMYFUNCTION("""COMPUTED_VALUE"""),39.1786)</f>
        <v>39.1786</v>
      </c>
      <c r="AL459" s="32">
        <f>IFERROR(__xludf.DUMMYFUNCTION("""COMPUTED_VALUE"""),183.2556)</f>
        <v>183.2556</v>
      </c>
      <c r="AM459" s="32">
        <f>IFERROR(__xludf.DUMMYFUNCTION("""COMPUTED_VALUE"""),40.488954)</f>
        <v>40.488954</v>
      </c>
      <c r="AN459" s="32">
        <f>IFERROR(__xludf.DUMMYFUNCTION("""COMPUTED_VALUE"""),20.263908)</f>
        <v>20.263908</v>
      </c>
      <c r="AO459" s="32">
        <f>IFERROR(__xludf.DUMMYFUNCTION("""COMPUTED_VALUE"""),0.0)</f>
        <v>0</v>
      </c>
      <c r="AP459" s="32">
        <f>IFERROR(__xludf.DUMMYFUNCTION("""COMPUTED_VALUE"""),0.18738019169329073)</f>
        <v>0.1873801917</v>
      </c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</row>
    <row r="460">
      <c r="A460" s="13" t="str">
        <f>IFERROR(__xludf.DUMMYFUNCTION("""COMPUTED_VALUE"""),"LatentView Analytics Ltd.")</f>
        <v>LatentView Analytics Ltd.</v>
      </c>
      <c r="B460" s="30">
        <f>IFERROR(__xludf.DUMMYFUNCTION("""COMPUTED_VALUE"""),543398.0)</f>
        <v>543398</v>
      </c>
      <c r="C460" s="13" t="str">
        <f>IFERROR(__xludf.DUMMYFUNCTION("""COMPUTED_VALUE"""),"LATENTVIEW")</f>
        <v>LATENTVIEW</v>
      </c>
      <c r="D460" s="13" t="str">
        <f>IFERROR(__xludf.DUMMYFUNCTION("""COMPUTED_VALUE"""),"INE0I7C01011")</f>
        <v>INE0I7C01011</v>
      </c>
      <c r="E460" s="13" t="str">
        <f>IFERROR(__xludf.DUMMYFUNCTION("""COMPUTED_VALUE"""),"Technology")</f>
        <v>Technology</v>
      </c>
      <c r="F460" s="13" t="str">
        <f>IFERROR(__xludf.DUMMYFUNCTION("""COMPUTED_VALUE"""),"Software")</f>
        <v>Software</v>
      </c>
      <c r="G460" s="31">
        <f>IFERROR(__xludf.DUMMYFUNCTION("""COMPUTED_VALUE"""),44809.0)</f>
        <v>44809</v>
      </c>
      <c r="H460" s="32">
        <f>IFERROR(__xludf.DUMMYFUNCTION("""COMPUTED_VALUE"""),382.15)</f>
        <v>382.15</v>
      </c>
      <c r="I460" s="32">
        <f>IFERROR(__xludf.DUMMYFUNCTION("""COMPUTED_VALUE"""),-1.64715)</f>
        <v>-1.64715</v>
      </c>
      <c r="J460" s="32">
        <f>IFERROR(__xludf.DUMMYFUNCTION("""COMPUTED_VALUE"""),305.25)</f>
        <v>305.25</v>
      </c>
      <c r="K460" s="32">
        <f>IFERROR(__xludf.DUMMYFUNCTION("""COMPUTED_VALUE"""),755.0)</f>
        <v>755</v>
      </c>
      <c r="L460" s="13"/>
      <c r="M460" s="13"/>
      <c r="N460" s="13"/>
      <c r="O460" s="13"/>
      <c r="P460" s="32">
        <f>IFERROR(__xludf.DUMMYFUNCTION("""COMPUTED_VALUE"""),305.25)</f>
        <v>305.25</v>
      </c>
      <c r="Q460" s="32">
        <f>IFERROR(__xludf.DUMMYFUNCTION("""COMPUTED_VALUE"""),755.0)</f>
        <v>755</v>
      </c>
      <c r="R460" s="32">
        <f>IFERROR(__xludf.DUMMYFUNCTION("""COMPUTED_VALUE"""),7650.10766366)</f>
        <v>7650.107664</v>
      </c>
      <c r="S460" s="32">
        <f>IFERROR(__xludf.DUMMYFUNCTION("""COMPUTED_VALUE"""),7019.72285237)</f>
        <v>7019.722852</v>
      </c>
      <c r="T460" s="32">
        <f>IFERROR(__xludf.DUMMYFUNCTION("""COMPUTED_VALUE"""),2.220142)</f>
        <v>2.220142</v>
      </c>
      <c r="U460" s="32">
        <f>IFERROR(__xludf.DUMMYFUNCTION("""COMPUTED_VALUE"""),3.521604)</f>
        <v>3.521604</v>
      </c>
      <c r="V460" s="32">
        <f>IFERROR(__xludf.DUMMYFUNCTION("""COMPUTED_VALUE"""),-2.037939)</f>
        <v>-2.037939</v>
      </c>
      <c r="W460" s="13"/>
      <c r="X460" s="13"/>
      <c r="Y460" s="13"/>
      <c r="Z460" s="13"/>
      <c r="AA460" s="32">
        <f>IFERROR(__xludf.DUMMYFUNCTION("""COMPUTED_VALUE"""),59.0687)</f>
        <v>59.0687</v>
      </c>
      <c r="AB460" s="32">
        <f>IFERROR(__xludf.DUMMYFUNCTION("""COMPUTED_VALUE"""),91.7493)</f>
        <v>91.7493</v>
      </c>
      <c r="AC460" s="32">
        <f>IFERROR(__xludf.DUMMYFUNCTION("""COMPUTED_VALUE"""),7.2525)</f>
        <v>7.2525</v>
      </c>
      <c r="AD460" s="32">
        <f>IFERROR(__xludf.DUMMYFUNCTION("""COMPUTED_VALUE"""),7.6653)</f>
        <v>7.6653</v>
      </c>
      <c r="AE460" s="32">
        <f>IFERROR(__xludf.DUMMYFUNCTION("""COMPUTED_VALUE"""),1.956345)</f>
        <v>1.956345</v>
      </c>
      <c r="AF460" s="13"/>
      <c r="AG460" s="32">
        <f>IFERROR(__xludf.DUMMYFUNCTION("""COMPUTED_VALUE"""),0.0)</f>
        <v>0</v>
      </c>
      <c r="AH460" s="32">
        <f>IFERROR(__xludf.DUMMYFUNCTION("""COMPUTED_VALUE"""),49.103393)</f>
        <v>49.103393</v>
      </c>
      <c r="AI460" s="32">
        <f>IFERROR(__xludf.DUMMYFUNCTION("""COMPUTED_VALUE"""),18.75867770019396)</f>
        <v>18.7586777</v>
      </c>
      <c r="AJ460" s="32">
        <f>IFERROR(__xludf.DUMMYFUNCTION("""COMPUTED_VALUE"""),87.50480598981984)</f>
        <v>87.50480599</v>
      </c>
      <c r="AK460" s="13"/>
      <c r="AL460" s="13"/>
      <c r="AM460" s="32">
        <f>IFERROR(__xludf.DUMMYFUNCTION("""COMPUTED_VALUE"""),4.36209)</f>
        <v>4.36209</v>
      </c>
      <c r="AN460" s="32">
        <f>IFERROR(__xludf.DUMMYFUNCTION("""COMPUTED_VALUE"""),5.918122)</f>
        <v>5.918122</v>
      </c>
      <c r="AO460" s="32">
        <f>IFERROR(__xludf.DUMMYFUNCTION("""COMPUTED_VALUE"""),0.0)</f>
        <v>0</v>
      </c>
      <c r="AP460" s="32">
        <f>IFERROR(__xludf.DUMMYFUNCTION("""COMPUTED_VALUE"""),0.493841059602649)</f>
        <v>0.4938410596</v>
      </c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</row>
    <row r="461">
      <c r="A461" s="13" t="str">
        <f>IFERROR(__xludf.DUMMYFUNCTION("""COMPUTED_VALUE"""),"Lemon Tree Hotels Ltd.")</f>
        <v>Lemon Tree Hotels Ltd.</v>
      </c>
      <c r="B461" s="30">
        <f>IFERROR(__xludf.DUMMYFUNCTION("""COMPUTED_VALUE"""),541233.0)</f>
        <v>541233</v>
      </c>
      <c r="C461" s="13" t="str">
        <f>IFERROR(__xludf.DUMMYFUNCTION("""COMPUTED_VALUE"""),"LEMONTREE")</f>
        <v>LEMONTREE</v>
      </c>
      <c r="D461" s="13" t="str">
        <f>IFERROR(__xludf.DUMMYFUNCTION("""COMPUTED_VALUE"""),"INE970X01018")</f>
        <v>INE970X01018</v>
      </c>
      <c r="E461" s="13" t="str">
        <f>IFERROR(__xludf.DUMMYFUNCTION("""COMPUTED_VALUE"""),"Services")</f>
        <v>Services</v>
      </c>
      <c r="F461" s="13" t="str">
        <f>IFERROR(__xludf.DUMMYFUNCTION("""COMPUTED_VALUE"""),"Hotels")</f>
        <v>Hotels</v>
      </c>
      <c r="G461" s="31">
        <f>IFERROR(__xludf.DUMMYFUNCTION("""COMPUTED_VALUE"""),44809.0)</f>
        <v>44809</v>
      </c>
      <c r="H461" s="32">
        <f>IFERROR(__xludf.DUMMYFUNCTION("""COMPUTED_VALUE"""),73.05)</f>
        <v>73.05</v>
      </c>
      <c r="I461" s="32">
        <f>IFERROR(__xludf.DUMMYFUNCTION("""COMPUTED_VALUE"""),1.458333)</f>
        <v>1.458333</v>
      </c>
      <c r="J461" s="32">
        <f>IFERROR(__xludf.DUMMYFUNCTION("""COMPUTED_VALUE"""),38.5)</f>
        <v>38.5</v>
      </c>
      <c r="K461" s="32">
        <f>IFERROR(__xludf.DUMMYFUNCTION("""COMPUTED_VALUE"""),79.1)</f>
        <v>79.1</v>
      </c>
      <c r="L461" s="32">
        <f>IFERROR(__xludf.DUMMYFUNCTION("""COMPUTED_VALUE"""),13.8)</f>
        <v>13.8</v>
      </c>
      <c r="M461" s="32">
        <f>IFERROR(__xludf.DUMMYFUNCTION("""COMPUTED_VALUE"""),79.1)</f>
        <v>79.1</v>
      </c>
      <c r="N461" s="13"/>
      <c r="O461" s="13"/>
      <c r="P461" s="32">
        <f>IFERROR(__xludf.DUMMYFUNCTION("""COMPUTED_VALUE"""),13.8)</f>
        <v>13.8</v>
      </c>
      <c r="Q461" s="32">
        <f>IFERROR(__xludf.DUMMYFUNCTION("""COMPUTED_VALUE"""),91.0)</f>
        <v>91</v>
      </c>
      <c r="R461" s="32">
        <f>IFERROR(__xludf.DUMMYFUNCTION("""COMPUTED_VALUE"""),5791.32165184)</f>
        <v>5791.321652</v>
      </c>
      <c r="S461" s="32">
        <f>IFERROR(__xludf.DUMMYFUNCTION("""COMPUTED_VALUE"""),7350.51310544)</f>
        <v>7350.513105</v>
      </c>
      <c r="T461" s="32">
        <f>IFERROR(__xludf.DUMMYFUNCTION("""COMPUTED_VALUE"""),5.639913)</f>
        <v>5.639913</v>
      </c>
      <c r="U461" s="32">
        <f>IFERROR(__xludf.DUMMYFUNCTION("""COMPUTED_VALUE"""),6.564551)</f>
        <v>6.564551</v>
      </c>
      <c r="V461" s="32">
        <f>IFERROR(__xludf.DUMMYFUNCTION("""COMPUTED_VALUE"""),6.564551)</f>
        <v>6.564551</v>
      </c>
      <c r="W461" s="32">
        <f>IFERROR(__xludf.DUMMYFUNCTION("""COMPUTED_VALUE"""),86.11465)</f>
        <v>86.11465</v>
      </c>
      <c r="X461" s="32">
        <f>IFERROR(__xludf.DUMMYFUNCTION("""COMPUTED_VALUE"""),12.394471)</f>
        <v>12.394471</v>
      </c>
      <c r="Y461" s="13"/>
      <c r="Z461" s="13"/>
      <c r="AA461" s="13"/>
      <c r="AB461" s="32">
        <f>IFERROR(__xludf.DUMMYFUNCTION("""COMPUTED_VALUE"""),112.2776)</f>
        <v>112.2776</v>
      </c>
      <c r="AC461" s="32">
        <f>IFERROR(__xludf.DUMMYFUNCTION("""COMPUTED_VALUE"""),6.8456)</f>
        <v>6.8456</v>
      </c>
      <c r="AD461" s="32">
        <f>IFERROR(__xludf.DUMMYFUNCTION("""COMPUTED_VALUE"""),4.74485)</f>
        <v>4.74485</v>
      </c>
      <c r="AE461" s="32">
        <f>IFERROR(__xludf.DUMMYFUNCTION("""COMPUTED_VALUE"""),1.887213)</f>
        <v>1.887213</v>
      </c>
      <c r="AF461" s="13"/>
      <c r="AG461" s="32">
        <f>IFERROR(__xludf.DUMMYFUNCTION("""COMPUTED_VALUE"""),0.0)</f>
        <v>0</v>
      </c>
      <c r="AH461" s="32">
        <f>IFERROR(__xludf.DUMMYFUNCTION("""COMPUTED_VALUE"""),32.724652)</f>
        <v>32.724652</v>
      </c>
      <c r="AI461" s="32">
        <f>IFERROR(__xludf.DUMMYFUNCTION("""COMPUTED_VALUE"""),10.48911147587421)</f>
        <v>10.48911148</v>
      </c>
      <c r="AJ461" s="32">
        <f>IFERROR(__xludf.DUMMYFUNCTION("""COMPUTED_VALUE"""),42.80393951638891)</f>
        <v>42.80393952</v>
      </c>
      <c r="AK461" s="32">
        <f>IFERROR(__xludf.DUMMYFUNCTION("""COMPUTED_VALUE"""),-0.4224)</f>
        <v>-0.4224</v>
      </c>
      <c r="AL461" s="32">
        <f>IFERROR(__xludf.DUMMYFUNCTION("""COMPUTED_VALUE"""),10.6783)</f>
        <v>10.6783</v>
      </c>
      <c r="AM461" s="32">
        <f>IFERROR(__xludf.DUMMYFUNCTION("""COMPUTED_VALUE"""),1.710882)</f>
        <v>1.710882</v>
      </c>
      <c r="AN461" s="32">
        <f>IFERROR(__xludf.DUMMYFUNCTION("""COMPUTED_VALUE"""),-1.250064)</f>
        <v>-1.250064</v>
      </c>
      <c r="AO461" s="32">
        <f>IFERROR(__xludf.DUMMYFUNCTION("""COMPUTED_VALUE"""),0.0)</f>
        <v>0</v>
      </c>
      <c r="AP461" s="32">
        <f>IFERROR(__xludf.DUMMYFUNCTION("""COMPUTED_VALUE"""),0.07648546144121363)</f>
        <v>0.07648546144</v>
      </c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</row>
    <row r="462">
      <c r="A462" s="13" t="str">
        <f>IFERROR(__xludf.DUMMYFUNCTION("""COMPUTED_VALUE"""),"Macrotech Developers Ltd.")</f>
        <v>Macrotech Developers Ltd.</v>
      </c>
      <c r="B462" s="30">
        <f>IFERROR(__xludf.DUMMYFUNCTION("""COMPUTED_VALUE"""),543287.0)</f>
        <v>543287</v>
      </c>
      <c r="C462" s="13" t="str">
        <f>IFERROR(__xludf.DUMMYFUNCTION("""COMPUTED_VALUE"""),"LODHA")</f>
        <v>LODHA</v>
      </c>
      <c r="D462" s="13" t="str">
        <f>IFERROR(__xludf.DUMMYFUNCTION("""COMPUTED_VALUE"""),"INE670K01029")</f>
        <v>INE670K01029</v>
      </c>
      <c r="E462" s="13" t="str">
        <f>IFERROR(__xludf.DUMMYFUNCTION("""COMPUTED_VALUE"""),"Construction")</f>
        <v>Construction</v>
      </c>
      <c r="F462" s="13" t="str">
        <f>IFERROR(__xludf.DUMMYFUNCTION("""COMPUTED_VALUE"""),"Real Estate")</f>
        <v>Real Estate</v>
      </c>
      <c r="G462" s="31">
        <f>IFERROR(__xludf.DUMMYFUNCTION("""COMPUTED_VALUE"""),44809.0)</f>
        <v>44809</v>
      </c>
      <c r="H462" s="32">
        <f>IFERROR(__xludf.DUMMYFUNCTION("""COMPUTED_VALUE"""),1103.7)</f>
        <v>1103.7</v>
      </c>
      <c r="I462" s="32">
        <f>IFERROR(__xludf.DUMMYFUNCTION("""COMPUTED_VALUE"""),1.37779)</f>
        <v>1.37779</v>
      </c>
      <c r="J462" s="32">
        <f>IFERROR(__xludf.DUMMYFUNCTION("""COMPUTED_VALUE"""),814.2)</f>
        <v>814.2</v>
      </c>
      <c r="K462" s="32">
        <f>IFERROR(__xludf.DUMMYFUNCTION("""COMPUTED_VALUE"""),1539.0)</f>
        <v>1539</v>
      </c>
      <c r="L462" s="13"/>
      <c r="M462" s="13"/>
      <c r="N462" s="13"/>
      <c r="O462" s="13"/>
      <c r="P462" s="32">
        <f>IFERROR(__xludf.DUMMYFUNCTION("""COMPUTED_VALUE"""),421.15)</f>
        <v>421.15</v>
      </c>
      <c r="Q462" s="32">
        <f>IFERROR(__xludf.DUMMYFUNCTION("""COMPUTED_VALUE"""),1539.0)</f>
        <v>1539</v>
      </c>
      <c r="R462" s="32">
        <f>IFERROR(__xludf.DUMMYFUNCTION("""COMPUTED_VALUE"""),52913.12219263)</f>
        <v>52913.12219</v>
      </c>
      <c r="S462" s="32">
        <f>IFERROR(__xludf.DUMMYFUNCTION("""COMPUTED_VALUE"""),62400.24945531)</f>
        <v>62400.24946</v>
      </c>
      <c r="T462" s="32">
        <f>IFERROR(__xludf.DUMMYFUNCTION("""COMPUTED_VALUE"""),4.373729)</f>
        <v>4.373729</v>
      </c>
      <c r="U462" s="32">
        <f>IFERROR(__xludf.DUMMYFUNCTION("""COMPUTED_VALUE"""),6.406363)</f>
        <v>6.406363</v>
      </c>
      <c r="V462" s="32">
        <f>IFERROR(__xludf.DUMMYFUNCTION("""COMPUTED_VALUE"""),1.150163)</f>
        <v>1.150163</v>
      </c>
      <c r="W462" s="32">
        <f>IFERROR(__xludf.DUMMYFUNCTION("""COMPUTED_VALUE"""),1.39176)</f>
        <v>1.39176</v>
      </c>
      <c r="X462" s="13"/>
      <c r="Y462" s="13"/>
      <c r="Z462" s="13"/>
      <c r="AA462" s="32">
        <f>IFERROR(__xludf.DUMMYFUNCTION("""COMPUTED_VALUE"""),40.3221)</f>
        <v>40.3221</v>
      </c>
      <c r="AB462" s="32">
        <f>IFERROR(__xludf.DUMMYFUNCTION("""COMPUTED_VALUE"""),43.6923)</f>
        <v>43.6923</v>
      </c>
      <c r="AC462" s="32">
        <f>IFERROR(__xludf.DUMMYFUNCTION("""COMPUTED_VALUE"""),4.4449)</f>
        <v>4.4449</v>
      </c>
      <c r="AD462" s="32">
        <f>IFERROR(__xludf.DUMMYFUNCTION("""COMPUTED_VALUE"""),4.9305)</f>
        <v>4.9305</v>
      </c>
      <c r="AE462" s="32">
        <f>IFERROR(__xludf.DUMMYFUNCTION("""COMPUTED_VALUE"""),4.167497)</f>
        <v>4.167497</v>
      </c>
      <c r="AF462" s="32">
        <f>IFERROR(__xludf.DUMMYFUNCTION("""COMPUTED_VALUE"""),0.149449)</f>
        <v>0.149449</v>
      </c>
      <c r="AG462" s="32">
        <f>IFERROR(__xludf.DUMMYFUNCTION("""COMPUTED_VALUE"""),0.0)</f>
        <v>0</v>
      </c>
      <c r="AH462" s="32">
        <f>IFERROR(__xludf.DUMMYFUNCTION("""COMPUTED_VALUE"""),25.42238)</f>
        <v>25.42238</v>
      </c>
      <c r="AI462" s="32">
        <f>IFERROR(__xludf.DUMMYFUNCTION("""COMPUTED_VALUE"""),5.1354113999823365)</f>
        <v>5.1354114</v>
      </c>
      <c r="AJ462" s="32">
        <f>IFERROR(__xludf.DUMMYFUNCTION("""COMPUTED_VALUE"""),26.478538283089964)</f>
        <v>26.47853828</v>
      </c>
      <c r="AK462" s="32">
        <f>IFERROR(__xludf.DUMMYFUNCTION("""COMPUTED_VALUE"""),27.2468)</f>
        <v>27.2468</v>
      </c>
      <c r="AL462" s="32">
        <f>IFERROR(__xludf.DUMMYFUNCTION("""COMPUTED_VALUE"""),247.1733)</f>
        <v>247.1733</v>
      </c>
      <c r="AM462" s="32">
        <f>IFERROR(__xludf.DUMMYFUNCTION("""COMPUTED_VALUE"""),41.501526)</f>
        <v>41.501526</v>
      </c>
      <c r="AN462" s="32">
        <f>IFERROR(__xludf.DUMMYFUNCTION("""COMPUTED_VALUE"""),-2.465369)</f>
        <v>-2.465369</v>
      </c>
      <c r="AO462" s="32">
        <f>IFERROR(__xludf.DUMMYFUNCTION("""COMPUTED_VALUE"""),0.0)</f>
        <v>0</v>
      </c>
      <c r="AP462" s="32">
        <f>IFERROR(__xludf.DUMMYFUNCTION("""COMPUTED_VALUE"""),0.28284600389863546)</f>
        <v>0.2828460039</v>
      </c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</row>
    <row r="463">
      <c r="A463" s="13" t="str">
        <f>IFERROR(__xludf.DUMMYFUNCTION("""COMPUTED_VALUE"""),"Mahindra Holidays &amp; Resorts India Ltd")</f>
        <v>Mahindra Holidays &amp; Resorts India Ltd</v>
      </c>
      <c r="B463" s="30">
        <f>IFERROR(__xludf.DUMMYFUNCTION("""COMPUTED_VALUE"""),533088.0)</f>
        <v>533088</v>
      </c>
      <c r="C463" s="13" t="str">
        <f>IFERROR(__xludf.DUMMYFUNCTION("""COMPUTED_VALUE"""),"MHRIL")</f>
        <v>MHRIL</v>
      </c>
      <c r="D463" s="13" t="str">
        <f>IFERROR(__xludf.DUMMYFUNCTION("""COMPUTED_VALUE"""),"INE998I01010")</f>
        <v>INE998I01010</v>
      </c>
      <c r="E463" s="13" t="str">
        <f>IFERROR(__xludf.DUMMYFUNCTION("""COMPUTED_VALUE"""),"Services")</f>
        <v>Services</v>
      </c>
      <c r="F463" s="13" t="str">
        <f>IFERROR(__xludf.DUMMYFUNCTION("""COMPUTED_VALUE"""),"Hotels")</f>
        <v>Hotels</v>
      </c>
      <c r="G463" s="31">
        <f>IFERROR(__xludf.DUMMYFUNCTION("""COMPUTED_VALUE"""),44809.0)</f>
        <v>44809</v>
      </c>
      <c r="H463" s="32">
        <f>IFERROR(__xludf.DUMMYFUNCTION("""COMPUTED_VALUE"""),289.2)</f>
        <v>289.2</v>
      </c>
      <c r="I463" s="32">
        <f>IFERROR(__xludf.DUMMYFUNCTION("""COMPUTED_VALUE"""),1.813061)</f>
        <v>1.813061</v>
      </c>
      <c r="J463" s="32">
        <f>IFERROR(__xludf.DUMMYFUNCTION("""COMPUTED_VALUE"""),185.6)</f>
        <v>185.6</v>
      </c>
      <c r="K463" s="32">
        <f>IFERROR(__xludf.DUMMYFUNCTION("""COMPUTED_VALUE"""),300.0)</f>
        <v>300</v>
      </c>
      <c r="L463" s="32">
        <f>IFERROR(__xludf.DUMMYFUNCTION("""COMPUTED_VALUE"""),81.2)</f>
        <v>81.2</v>
      </c>
      <c r="M463" s="32">
        <f>IFERROR(__xludf.DUMMYFUNCTION("""COMPUTED_VALUE"""),300.0)</f>
        <v>300</v>
      </c>
      <c r="N463" s="32">
        <f>IFERROR(__xludf.DUMMYFUNCTION("""COMPUTED_VALUE"""),81.2)</f>
        <v>81.2</v>
      </c>
      <c r="O463" s="32">
        <f>IFERROR(__xludf.DUMMYFUNCTION("""COMPUTED_VALUE"""),300.0)</f>
        <v>300</v>
      </c>
      <c r="P463" s="32">
        <f>IFERROR(__xludf.DUMMYFUNCTION("""COMPUTED_VALUE"""),81.2)</f>
        <v>81.2</v>
      </c>
      <c r="Q463" s="32">
        <f>IFERROR(__xludf.DUMMYFUNCTION("""COMPUTED_VALUE"""),326.666667)</f>
        <v>326.666667</v>
      </c>
      <c r="R463" s="32">
        <f>IFERROR(__xludf.DUMMYFUNCTION("""COMPUTED_VALUE"""),5806.00851226)</f>
        <v>5806.008512</v>
      </c>
      <c r="S463" s="32">
        <f>IFERROR(__xludf.DUMMYFUNCTION("""COMPUTED_VALUE"""),5926.95801702)</f>
        <v>5926.958017</v>
      </c>
      <c r="T463" s="32">
        <f>IFERROR(__xludf.DUMMYFUNCTION("""COMPUTED_VALUE"""),10.003804)</f>
        <v>10.003804</v>
      </c>
      <c r="U463" s="32">
        <f>IFERROR(__xludf.DUMMYFUNCTION("""COMPUTED_VALUE"""),25.303293)</f>
        <v>25.303293</v>
      </c>
      <c r="V463" s="32">
        <f>IFERROR(__xludf.DUMMYFUNCTION("""COMPUTED_VALUE"""),30.74141)</f>
        <v>30.74141</v>
      </c>
      <c r="W463" s="32">
        <f>IFERROR(__xludf.DUMMYFUNCTION("""COMPUTED_VALUE"""),28.953626)</f>
        <v>28.953626</v>
      </c>
      <c r="X463" s="32">
        <f>IFERROR(__xludf.DUMMYFUNCTION("""COMPUTED_VALUE"""),28.124406)</f>
        <v>28.124406</v>
      </c>
      <c r="Y463" s="32">
        <f>IFERROR(__xludf.DUMMYFUNCTION("""COMPUTED_VALUE"""),3.693658)</f>
        <v>3.693658</v>
      </c>
      <c r="Z463" s="32">
        <f>IFERROR(__xludf.DUMMYFUNCTION("""COMPUTED_VALUE"""),9.214978)</f>
        <v>9.214978</v>
      </c>
      <c r="AA463" s="32">
        <f>IFERROR(__xludf.DUMMYFUNCTION("""COMPUTED_VALUE"""),48.922)</f>
        <v>48.922</v>
      </c>
      <c r="AB463" s="32">
        <f>IFERROR(__xludf.DUMMYFUNCTION("""COMPUTED_VALUE"""),38.5021)</f>
        <v>38.5021</v>
      </c>
      <c r="AC463" s="32">
        <f>IFERROR(__xludf.DUMMYFUNCTION("""COMPUTED_VALUE"""),6.7641)</f>
        <v>6.7641</v>
      </c>
      <c r="AD463" s="32">
        <f>IFERROR(__xludf.DUMMYFUNCTION("""COMPUTED_VALUE"""),5.6357)</f>
        <v>5.6357</v>
      </c>
      <c r="AE463" s="32">
        <f>IFERROR(__xludf.DUMMYFUNCTION("""COMPUTED_VALUE"""),6.878988)</f>
        <v>6.878988</v>
      </c>
      <c r="AF463" s="32">
        <f>IFERROR(__xludf.DUMMYFUNCTION("""COMPUTED_VALUE"""),-3.443045)</f>
        <v>-3.443045</v>
      </c>
      <c r="AG463" s="32">
        <f>IFERROR(__xludf.DUMMYFUNCTION("""COMPUTED_VALUE"""),0.0)</f>
        <v>0</v>
      </c>
      <c r="AH463" s="32">
        <f>IFERROR(__xludf.DUMMYFUNCTION("""COMPUTED_VALUE"""),11.031434)</f>
        <v>11.031434</v>
      </c>
      <c r="AI463" s="32">
        <f>IFERROR(__xludf.DUMMYFUNCTION("""COMPUTED_VALUE"""),2.583578376406259)</f>
        <v>2.583578376</v>
      </c>
      <c r="AJ463" s="32">
        <f>IFERROR(__xludf.DUMMYFUNCTION("""COMPUTED_VALUE"""),11.655828954393776)</f>
        <v>11.65582895</v>
      </c>
      <c r="AK463" s="32">
        <f>IFERROR(__xludf.DUMMYFUNCTION("""COMPUTED_VALUE"""),5.9043)</f>
        <v>5.9043</v>
      </c>
      <c r="AL463" s="32">
        <f>IFERROR(__xludf.DUMMYFUNCTION("""COMPUTED_VALUE"""),42.7035)</f>
        <v>42.7035</v>
      </c>
      <c r="AM463" s="32">
        <f>IFERROR(__xludf.DUMMYFUNCTION("""COMPUTED_VALUE"""),24.924961)</f>
        <v>24.924961</v>
      </c>
      <c r="AN463" s="32">
        <f>IFERROR(__xludf.DUMMYFUNCTION("""COMPUTED_VALUE"""),14.028395)</f>
        <v>14.028395</v>
      </c>
      <c r="AO463" s="32">
        <f>IFERROR(__xludf.DUMMYFUNCTION("""COMPUTED_VALUE"""),0.0)</f>
        <v>0</v>
      </c>
      <c r="AP463" s="32">
        <f>IFERROR(__xludf.DUMMYFUNCTION("""COMPUTED_VALUE"""),0.03600000000000004)</f>
        <v>0.036</v>
      </c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</row>
    <row r="464">
      <c r="A464" s="13" t="str">
        <f>IFERROR(__xludf.DUMMYFUNCTION("""COMPUTED_VALUE"""),"Mangalore Refinery &amp; Petrochemicals Ltd.")</f>
        <v>Mangalore Refinery &amp; Petrochemicals Ltd.</v>
      </c>
      <c r="B464" s="30">
        <f>IFERROR(__xludf.DUMMYFUNCTION("""COMPUTED_VALUE"""),500109.0)</f>
        <v>500109</v>
      </c>
      <c r="C464" s="13" t="str">
        <f>IFERROR(__xludf.DUMMYFUNCTION("""COMPUTED_VALUE"""),"MRPL")</f>
        <v>MRPL</v>
      </c>
      <c r="D464" s="13" t="str">
        <f>IFERROR(__xludf.DUMMYFUNCTION("""COMPUTED_VALUE"""),"INE103A01014")</f>
        <v>INE103A01014</v>
      </c>
      <c r="E464" s="13" t="str">
        <f>IFERROR(__xludf.DUMMYFUNCTION("""COMPUTED_VALUE"""),"Energy")</f>
        <v>Energy</v>
      </c>
      <c r="F464" s="13" t="str">
        <f>IFERROR(__xludf.DUMMYFUNCTION("""COMPUTED_VALUE"""),"Oil Refineries &amp; Marketing")</f>
        <v>Oil Refineries &amp; Marketing</v>
      </c>
      <c r="G464" s="31">
        <f>IFERROR(__xludf.DUMMYFUNCTION("""COMPUTED_VALUE"""),44809.0)</f>
        <v>44809</v>
      </c>
      <c r="H464" s="32">
        <f>IFERROR(__xludf.DUMMYFUNCTION("""COMPUTED_VALUE"""),71.9)</f>
        <v>71.9</v>
      </c>
      <c r="I464" s="32">
        <f>IFERROR(__xludf.DUMMYFUNCTION("""COMPUTED_VALUE"""),-1.100413)</f>
        <v>-1.100413</v>
      </c>
      <c r="J464" s="32">
        <f>IFERROR(__xludf.DUMMYFUNCTION("""COMPUTED_VALUE"""),37.05)</f>
        <v>37.05</v>
      </c>
      <c r="K464" s="32">
        <f>IFERROR(__xludf.DUMMYFUNCTION("""COMPUTED_VALUE"""),127.65)</f>
        <v>127.65</v>
      </c>
      <c r="L464" s="32">
        <f>IFERROR(__xludf.DUMMYFUNCTION("""COMPUTED_VALUE"""),20.75)</f>
        <v>20.75</v>
      </c>
      <c r="M464" s="32">
        <f>IFERROR(__xludf.DUMMYFUNCTION("""COMPUTED_VALUE"""),127.65)</f>
        <v>127.65</v>
      </c>
      <c r="N464" s="32">
        <f>IFERROR(__xludf.DUMMYFUNCTION("""COMPUTED_VALUE"""),20.75)</f>
        <v>20.75</v>
      </c>
      <c r="O464" s="32">
        <f>IFERROR(__xludf.DUMMYFUNCTION("""COMPUTED_VALUE"""),146.7)</f>
        <v>146.7</v>
      </c>
      <c r="P464" s="32">
        <f>IFERROR(__xludf.DUMMYFUNCTION("""COMPUTED_VALUE"""),4.7)</f>
        <v>4.7</v>
      </c>
      <c r="Q464" s="32">
        <f>IFERROR(__xludf.DUMMYFUNCTION("""COMPUTED_VALUE"""),149.0)</f>
        <v>149</v>
      </c>
      <c r="R464" s="32">
        <f>IFERROR(__xludf.DUMMYFUNCTION("""COMPUTED_VALUE"""),12601.18520663)</f>
        <v>12601.18521</v>
      </c>
      <c r="S464" s="32">
        <f>IFERROR(__xludf.DUMMYFUNCTION("""COMPUTED_VALUE"""),33773.952114905)</f>
        <v>33773.95211</v>
      </c>
      <c r="T464" s="32">
        <f>IFERROR(__xludf.DUMMYFUNCTION("""COMPUTED_VALUE"""),-1.641587)</f>
        <v>-1.641587</v>
      </c>
      <c r="U464" s="32">
        <f>IFERROR(__xludf.DUMMYFUNCTION("""COMPUTED_VALUE"""),-0.759144)</f>
        <v>-0.759144</v>
      </c>
      <c r="V464" s="32">
        <f>IFERROR(__xludf.DUMMYFUNCTION("""COMPUTED_VALUE"""),-16.589327)</f>
        <v>-16.589327</v>
      </c>
      <c r="W464" s="32">
        <f>IFERROR(__xludf.DUMMYFUNCTION("""COMPUTED_VALUE"""),64.908257)</f>
        <v>64.908257</v>
      </c>
      <c r="X464" s="32">
        <f>IFERROR(__xludf.DUMMYFUNCTION("""COMPUTED_VALUE"""),16.605007)</f>
        <v>16.605007</v>
      </c>
      <c r="Y464" s="32">
        <f>IFERROR(__xludf.DUMMYFUNCTION("""COMPUTED_VALUE"""),-11.89064)</f>
        <v>-11.89064</v>
      </c>
      <c r="Z464" s="32">
        <f>IFERROR(__xludf.DUMMYFUNCTION("""COMPUTED_VALUE"""),1.591191)</f>
        <v>1.591191</v>
      </c>
      <c r="AA464" s="32">
        <f>IFERROR(__xludf.DUMMYFUNCTION("""COMPUTED_VALUE"""),2.1374)</f>
        <v>2.1374</v>
      </c>
      <c r="AB464" s="32">
        <f>IFERROR(__xludf.DUMMYFUNCTION("""COMPUTED_VALUE"""),7.2025)</f>
        <v>7.2025</v>
      </c>
      <c r="AC464" s="32">
        <f>IFERROR(__xludf.DUMMYFUNCTION("""COMPUTED_VALUE"""),1.2725)</f>
        <v>1.2725</v>
      </c>
      <c r="AD464" s="32">
        <f>IFERROR(__xludf.DUMMYFUNCTION("""COMPUTED_VALUE"""),1.2063)</f>
        <v>1.2063</v>
      </c>
      <c r="AE464" s="32">
        <f>IFERROR(__xludf.DUMMYFUNCTION("""COMPUTED_VALUE"""),25.287949)</f>
        <v>25.287949</v>
      </c>
      <c r="AF464" s="32">
        <f>IFERROR(__xludf.DUMMYFUNCTION("""COMPUTED_VALUE"""),-0.996842)</f>
        <v>-0.996842</v>
      </c>
      <c r="AG464" s="32">
        <f>IFERROR(__xludf.DUMMYFUNCTION("""COMPUTED_VALUE"""),0.0)</f>
        <v>0</v>
      </c>
      <c r="AH464" s="32">
        <f>IFERROR(__xludf.DUMMYFUNCTION("""COMPUTED_VALUE"""),3.56254)</f>
        <v>3.56254</v>
      </c>
      <c r="AI464" s="32">
        <f>IFERROR(__xludf.DUMMYFUNCTION("""COMPUTED_VALUE"""),0.11788602715735697)</f>
        <v>0.1178860272</v>
      </c>
      <c r="AJ464" s="32">
        <f>IFERROR(__xludf.DUMMYFUNCTION("""COMPUTED_VALUE"""),2.6851915824668366)</f>
        <v>2.685191582</v>
      </c>
      <c r="AK464" s="32">
        <f>IFERROR(__xludf.DUMMYFUNCTION("""COMPUTED_VALUE"""),33.685)</f>
        <v>33.685</v>
      </c>
      <c r="AL464" s="32">
        <f>IFERROR(__xludf.DUMMYFUNCTION("""COMPUTED_VALUE"""),56.5834)</f>
        <v>56.5834</v>
      </c>
      <c r="AM464" s="32">
        <f>IFERROR(__xludf.DUMMYFUNCTION("""COMPUTED_VALUE"""),26.776485)</f>
        <v>26.776485</v>
      </c>
      <c r="AN464" s="32">
        <f>IFERROR(__xludf.DUMMYFUNCTION("""COMPUTED_VALUE"""),18.456709)</f>
        <v>18.456709</v>
      </c>
      <c r="AO464" s="32">
        <f>IFERROR(__xludf.DUMMYFUNCTION("""COMPUTED_VALUE"""),0.0)</f>
        <v>0</v>
      </c>
      <c r="AP464" s="32">
        <f>IFERROR(__xludf.DUMMYFUNCTION("""COMPUTED_VALUE"""),0.43674108891500196)</f>
        <v>0.4367410889</v>
      </c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</row>
    <row r="465">
      <c r="A465" s="13" t="str">
        <f>IFERROR(__xludf.DUMMYFUNCTION("""COMPUTED_VALUE"""),"Max Financial Services Ltd.")</f>
        <v>Max Financial Services Ltd.</v>
      </c>
      <c r="B465" s="30">
        <f>IFERROR(__xludf.DUMMYFUNCTION("""COMPUTED_VALUE"""),500271.0)</f>
        <v>500271</v>
      </c>
      <c r="C465" s="13" t="str">
        <f>IFERROR(__xludf.DUMMYFUNCTION("""COMPUTED_VALUE"""),"MFSL")</f>
        <v>MFSL</v>
      </c>
      <c r="D465" s="13" t="str">
        <f>IFERROR(__xludf.DUMMYFUNCTION("""COMPUTED_VALUE"""),"INE180A01020")</f>
        <v>INE180A01020</v>
      </c>
      <c r="E465" s="13" t="str">
        <f>IFERROR(__xludf.DUMMYFUNCTION("""COMPUTED_VALUE"""),"Financial")</f>
        <v>Financial</v>
      </c>
      <c r="F465" s="13" t="str">
        <f>IFERROR(__xludf.DUMMYFUNCTION("""COMPUTED_VALUE"""),"Misc. Fin.services")</f>
        <v>Misc. Fin.services</v>
      </c>
      <c r="G465" s="31">
        <f>IFERROR(__xludf.DUMMYFUNCTION("""COMPUTED_VALUE"""),44809.0)</f>
        <v>44809</v>
      </c>
      <c r="H465" s="32">
        <f>IFERROR(__xludf.DUMMYFUNCTION("""COMPUTED_VALUE"""),804.1)</f>
        <v>804.1</v>
      </c>
      <c r="I465" s="32">
        <f>IFERROR(__xludf.DUMMYFUNCTION("""COMPUTED_VALUE"""),-1.361629)</f>
        <v>-1.361629</v>
      </c>
      <c r="J465" s="32">
        <f>IFERROR(__xludf.DUMMYFUNCTION("""COMPUTED_VALUE"""),696.5)</f>
        <v>696.5</v>
      </c>
      <c r="K465" s="32">
        <f>IFERROR(__xludf.DUMMYFUNCTION("""COMPUTED_VALUE"""),1137.0)</f>
        <v>1137</v>
      </c>
      <c r="L465" s="32">
        <f>IFERROR(__xludf.DUMMYFUNCTION("""COMPUTED_VALUE"""),276.35)</f>
        <v>276.35</v>
      </c>
      <c r="M465" s="32">
        <f>IFERROR(__xludf.DUMMYFUNCTION("""COMPUTED_VALUE"""),1148.05)</f>
        <v>1148.05</v>
      </c>
      <c r="N465" s="32">
        <f>IFERROR(__xludf.DUMMYFUNCTION("""COMPUTED_VALUE"""),276.35)</f>
        <v>276.35</v>
      </c>
      <c r="O465" s="32">
        <f>IFERROR(__xludf.DUMMYFUNCTION("""COMPUTED_VALUE"""),1148.05)</f>
        <v>1148.05</v>
      </c>
      <c r="P465" s="32">
        <f>IFERROR(__xludf.DUMMYFUNCTION("""COMPUTED_VALUE"""),8.84)</f>
        <v>8.84</v>
      </c>
      <c r="Q465" s="32">
        <f>IFERROR(__xludf.DUMMYFUNCTION("""COMPUTED_VALUE"""),1148.05)</f>
        <v>1148.05</v>
      </c>
      <c r="R465" s="32">
        <f>IFERROR(__xludf.DUMMYFUNCTION("""COMPUTED_VALUE"""),27750.67873611)</f>
        <v>27750.67874</v>
      </c>
      <c r="S465" s="32">
        <f>IFERROR(__xludf.DUMMYFUNCTION("""COMPUTED_VALUE"""),-81955.095132775)</f>
        <v>-81955.09513</v>
      </c>
      <c r="T465" s="32">
        <f>IFERROR(__xludf.DUMMYFUNCTION("""COMPUTED_VALUE"""),-0.043508)</f>
        <v>-0.043508</v>
      </c>
      <c r="U465" s="32">
        <f>IFERROR(__xludf.DUMMYFUNCTION("""COMPUTED_VALUE"""),-2.243025)</f>
        <v>-2.243025</v>
      </c>
      <c r="V465" s="32">
        <f>IFERROR(__xludf.DUMMYFUNCTION("""COMPUTED_VALUE"""),0.318134)</f>
        <v>0.318134</v>
      </c>
      <c r="W465" s="32">
        <f>IFERROR(__xludf.DUMMYFUNCTION("""COMPUTED_VALUE"""),-24.632112)</f>
        <v>-24.632112</v>
      </c>
      <c r="X465" s="32">
        <f>IFERROR(__xludf.DUMMYFUNCTION("""COMPUTED_VALUE"""),24.269728)</f>
        <v>24.269728</v>
      </c>
      <c r="Y465" s="32">
        <f>IFERROR(__xludf.DUMMYFUNCTION("""COMPUTED_VALUE"""),5.881158)</f>
        <v>5.881158</v>
      </c>
      <c r="Z465" s="32">
        <f>IFERROR(__xludf.DUMMYFUNCTION("""COMPUTED_VALUE"""),16.207344)</f>
        <v>16.207344</v>
      </c>
      <c r="AA465" s="32">
        <f>IFERROR(__xludf.DUMMYFUNCTION("""COMPUTED_VALUE"""),96.329)</f>
        <v>96.329</v>
      </c>
      <c r="AB465" s="32">
        <f>IFERROR(__xludf.DUMMYFUNCTION("""COMPUTED_VALUE"""),91.1989)</f>
        <v>91.1989</v>
      </c>
      <c r="AC465" s="32">
        <f>IFERROR(__xludf.DUMMYFUNCTION("""COMPUTED_VALUE"""),6.9431)</f>
        <v>6.9431</v>
      </c>
      <c r="AD465" s="32">
        <f>IFERROR(__xludf.DUMMYFUNCTION("""COMPUTED_VALUE"""),6.50895)</f>
        <v>6.50895</v>
      </c>
      <c r="AE465" s="32">
        <f>IFERROR(__xludf.DUMMYFUNCTION("""COMPUTED_VALUE"""),-0.526016)</f>
        <v>-0.526016</v>
      </c>
      <c r="AF465" s="32">
        <f>IFERROR(__xludf.DUMMYFUNCTION("""COMPUTED_VALUE"""),-8.23098)</f>
        <v>-8.23098</v>
      </c>
      <c r="AG465" s="32">
        <f>IFERROR(__xludf.DUMMYFUNCTION("""COMPUTED_VALUE"""),0.0)</f>
        <v>0</v>
      </c>
      <c r="AH465" s="32">
        <f>IFERROR(__xludf.DUMMYFUNCTION("""COMPUTED_VALUE"""),-193.527664)</f>
        <v>-193.527664</v>
      </c>
      <c r="AI465" s="32">
        <f>IFERROR(__xludf.DUMMYFUNCTION("""COMPUTED_VALUE"""),93.79348611251564)</f>
        <v>93.79348611</v>
      </c>
      <c r="AJ465" s="32">
        <f>IFERROR(__xludf.DUMMYFUNCTION("""COMPUTED_VALUE"""),3.2663776123963943)</f>
        <v>3.266377612</v>
      </c>
      <c r="AK465" s="32">
        <f>IFERROR(__xludf.DUMMYFUNCTION("""COMPUTED_VALUE"""),8.3604)</f>
        <v>8.3604</v>
      </c>
      <c r="AL465" s="32">
        <f>IFERROR(__xludf.DUMMYFUNCTION("""COMPUTED_VALUE"""),115.9931)</f>
        <v>115.9931</v>
      </c>
      <c r="AM465" s="32">
        <f>IFERROR(__xludf.DUMMYFUNCTION("""COMPUTED_VALUE"""),246.174681)</f>
        <v>246.174681</v>
      </c>
      <c r="AN465" s="32">
        <f>IFERROR(__xludf.DUMMYFUNCTION("""COMPUTED_VALUE"""),11.153868)</f>
        <v>11.153868</v>
      </c>
      <c r="AO465" s="32">
        <f>IFERROR(__xludf.DUMMYFUNCTION("""COMPUTED_VALUE"""),0.0)</f>
        <v>0</v>
      </c>
      <c r="AP465" s="32">
        <f>IFERROR(__xludf.DUMMYFUNCTION("""COMPUTED_VALUE"""),0.2927880386983289)</f>
        <v>0.2927880387</v>
      </c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</row>
    <row r="466">
      <c r="A466" s="13" t="str">
        <f>IFERROR(__xludf.DUMMYFUNCTION("""COMPUTED_VALUE"""),"Max Healthcare Institute Ltd.")</f>
        <v>Max Healthcare Institute Ltd.</v>
      </c>
      <c r="B466" s="30">
        <f>IFERROR(__xludf.DUMMYFUNCTION("""COMPUTED_VALUE"""),543220.0)</f>
        <v>543220</v>
      </c>
      <c r="C466" s="13" t="str">
        <f>IFERROR(__xludf.DUMMYFUNCTION("""COMPUTED_VALUE"""),"MAXHEALTH")</f>
        <v>MAXHEALTH</v>
      </c>
      <c r="D466" s="13" t="str">
        <f>IFERROR(__xludf.DUMMYFUNCTION("""COMPUTED_VALUE"""),"INE027H01010")</f>
        <v>INE027H01010</v>
      </c>
      <c r="E466" s="13" t="str">
        <f>IFERROR(__xludf.DUMMYFUNCTION("""COMPUTED_VALUE"""),"Healthcare")</f>
        <v>Healthcare</v>
      </c>
      <c r="F466" s="13" t="str">
        <f>IFERROR(__xludf.DUMMYFUNCTION("""COMPUTED_VALUE"""),"Health Services")</f>
        <v>Health Services</v>
      </c>
      <c r="G466" s="31">
        <f>IFERROR(__xludf.DUMMYFUNCTION("""COMPUTED_VALUE"""),44809.0)</f>
        <v>44809</v>
      </c>
      <c r="H466" s="32">
        <f>IFERROR(__xludf.DUMMYFUNCTION("""COMPUTED_VALUE"""),378.9)</f>
        <v>378.9</v>
      </c>
      <c r="I466" s="32">
        <f>IFERROR(__xludf.DUMMYFUNCTION("""COMPUTED_VALUE"""),-0.276352)</f>
        <v>-0.276352</v>
      </c>
      <c r="J466" s="32">
        <f>IFERROR(__xludf.DUMMYFUNCTION("""COMPUTED_VALUE"""),321.85)</f>
        <v>321.85</v>
      </c>
      <c r="K466" s="32">
        <f>IFERROR(__xludf.DUMMYFUNCTION("""COMPUTED_VALUE"""),472.6)</f>
        <v>472.6</v>
      </c>
      <c r="L466" s="13"/>
      <c r="M466" s="13"/>
      <c r="N466" s="13"/>
      <c r="O466" s="13"/>
      <c r="P466" s="32">
        <f>IFERROR(__xludf.DUMMYFUNCTION("""COMPUTED_VALUE"""),97.15)</f>
        <v>97.15</v>
      </c>
      <c r="Q466" s="32">
        <f>IFERROR(__xludf.DUMMYFUNCTION("""COMPUTED_VALUE"""),472.6)</f>
        <v>472.6</v>
      </c>
      <c r="R466" s="32">
        <f>IFERROR(__xludf.DUMMYFUNCTION("""COMPUTED_VALUE"""),36768.53614464)</f>
        <v>36768.53614</v>
      </c>
      <c r="S466" s="32">
        <f>IFERROR(__xludf.DUMMYFUNCTION("""COMPUTED_VALUE"""),37152.32227168)</f>
        <v>37152.32227</v>
      </c>
      <c r="T466" s="32">
        <f>IFERROR(__xludf.DUMMYFUNCTION("""COMPUTED_VALUE"""),0.052812)</f>
        <v>0.052812</v>
      </c>
      <c r="U466" s="32">
        <f>IFERROR(__xludf.DUMMYFUNCTION("""COMPUTED_VALUE"""),0.158604)</f>
        <v>0.158604</v>
      </c>
      <c r="V466" s="32">
        <f>IFERROR(__xludf.DUMMYFUNCTION("""COMPUTED_VALUE"""),1.663536)</f>
        <v>1.663536</v>
      </c>
      <c r="W466" s="32">
        <f>IFERROR(__xludf.DUMMYFUNCTION("""COMPUTED_VALUE"""),-0.341925)</f>
        <v>-0.341925</v>
      </c>
      <c r="X466" s="13"/>
      <c r="Y466" s="13"/>
      <c r="Z466" s="13"/>
      <c r="AA466" s="32">
        <f>IFERROR(__xludf.DUMMYFUNCTION("""COMPUTED_VALUE"""),58.274)</f>
        <v>58.274</v>
      </c>
      <c r="AB466" s="32">
        <f>IFERROR(__xludf.DUMMYFUNCTION("""COMPUTED_VALUE"""),65.8744)</f>
        <v>65.8744</v>
      </c>
      <c r="AC466" s="32">
        <f>IFERROR(__xludf.DUMMYFUNCTION("""COMPUTED_VALUE"""),5.6958)</f>
        <v>5.6958</v>
      </c>
      <c r="AD466" s="32">
        <f>IFERROR(__xludf.DUMMYFUNCTION("""COMPUTED_VALUE"""),5.8046)</f>
        <v>5.8046</v>
      </c>
      <c r="AE466" s="32">
        <f>IFERROR(__xludf.DUMMYFUNCTION("""COMPUTED_VALUE"""),2.719276)</f>
        <v>2.719276</v>
      </c>
      <c r="AF466" s="32">
        <f>IFERROR(__xludf.DUMMYFUNCTION("""COMPUTED_VALUE"""),0.613608)</f>
        <v>0.613608</v>
      </c>
      <c r="AG466" s="32">
        <f>IFERROR(__xludf.DUMMYFUNCTION("""COMPUTED_VALUE"""),0.0)</f>
        <v>0</v>
      </c>
      <c r="AH466" s="32">
        <f>IFERROR(__xludf.DUMMYFUNCTION("""COMPUTED_VALUE"""),33.909242)</f>
        <v>33.909242</v>
      </c>
      <c r="AI466" s="32">
        <f>IFERROR(__xludf.DUMMYFUNCTION("""COMPUTED_VALUE"""),9.197744660402845)</f>
        <v>9.19774466</v>
      </c>
      <c r="AJ466" s="32">
        <f>IFERROR(__xludf.DUMMYFUNCTION("""COMPUTED_VALUE"""),311.96789533887664)</f>
        <v>311.9678953</v>
      </c>
      <c r="AK466" s="32">
        <f>IFERROR(__xludf.DUMMYFUNCTION("""COMPUTED_VALUE"""),6.5072)</f>
        <v>6.5072</v>
      </c>
      <c r="AL466" s="32">
        <f>IFERROR(__xludf.DUMMYFUNCTION("""COMPUTED_VALUE"""),66.5748)</f>
        <v>66.5748</v>
      </c>
      <c r="AM466" s="32">
        <f>IFERROR(__xludf.DUMMYFUNCTION("""COMPUTED_VALUE"""),1.220146)</f>
        <v>1.220146</v>
      </c>
      <c r="AN466" s="32">
        <f>IFERROR(__xludf.DUMMYFUNCTION("""COMPUTED_VALUE"""),-4.504167)</f>
        <v>-4.504167</v>
      </c>
      <c r="AO466" s="32">
        <f>IFERROR(__xludf.DUMMYFUNCTION("""COMPUTED_VALUE"""),0.0)</f>
        <v>0</v>
      </c>
      <c r="AP466" s="32">
        <f>IFERROR(__xludf.DUMMYFUNCTION("""COMPUTED_VALUE"""),0.19826491747778258)</f>
        <v>0.1982649175</v>
      </c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</row>
    <row r="467">
      <c r="A467" s="13" t="str">
        <f>IFERROR(__xludf.DUMMYFUNCTION("""COMPUTED_VALUE"""),"Medplus Health Services Ltd.")</f>
        <v>Medplus Health Services Ltd.</v>
      </c>
      <c r="B467" s="30">
        <f>IFERROR(__xludf.DUMMYFUNCTION("""COMPUTED_VALUE"""),543427.0)</f>
        <v>543427</v>
      </c>
      <c r="C467" s="13" t="str">
        <f>IFERROR(__xludf.DUMMYFUNCTION("""COMPUTED_VALUE"""),"MEDPLUS")</f>
        <v>MEDPLUS</v>
      </c>
      <c r="D467" s="13" t="str">
        <f>IFERROR(__xludf.DUMMYFUNCTION("""COMPUTED_VALUE"""),"INE804L01022")</f>
        <v>INE804L01022</v>
      </c>
      <c r="E467" s="13" t="str">
        <f>IFERROR(__xludf.DUMMYFUNCTION("""COMPUTED_VALUE"""),"Healthcare")</f>
        <v>Healthcare</v>
      </c>
      <c r="F467" s="13" t="str">
        <f>IFERROR(__xludf.DUMMYFUNCTION("""COMPUTED_VALUE"""),"Health Services")</f>
        <v>Health Services</v>
      </c>
      <c r="G467" s="31">
        <f>IFERROR(__xludf.DUMMYFUNCTION("""COMPUTED_VALUE"""),44809.0)</f>
        <v>44809</v>
      </c>
      <c r="H467" s="32">
        <f>IFERROR(__xludf.DUMMYFUNCTION("""COMPUTED_VALUE"""),741.5)</f>
        <v>741.5</v>
      </c>
      <c r="I467" s="32">
        <f>IFERROR(__xludf.DUMMYFUNCTION("""COMPUTED_VALUE"""),0.521928)</f>
        <v>0.521928</v>
      </c>
      <c r="J467" s="32">
        <f>IFERROR(__xludf.DUMMYFUNCTION("""COMPUTED_VALUE"""),690.45)</f>
        <v>690.45</v>
      </c>
      <c r="K467" s="32">
        <f>IFERROR(__xludf.DUMMYFUNCTION("""COMPUTED_VALUE"""),1343.0)</f>
        <v>1343</v>
      </c>
      <c r="L467" s="13"/>
      <c r="M467" s="13"/>
      <c r="N467" s="13"/>
      <c r="O467" s="13"/>
      <c r="P467" s="32">
        <f>IFERROR(__xludf.DUMMYFUNCTION("""COMPUTED_VALUE"""),690.45)</f>
        <v>690.45</v>
      </c>
      <c r="Q467" s="32">
        <f>IFERROR(__xludf.DUMMYFUNCTION("""COMPUTED_VALUE"""),1343.0)</f>
        <v>1343</v>
      </c>
      <c r="R467" s="32">
        <f>IFERROR(__xludf.DUMMYFUNCTION("""COMPUTED_VALUE"""),8795.8109631)</f>
        <v>8795.810963</v>
      </c>
      <c r="S467" s="32">
        <f>IFERROR(__xludf.DUMMYFUNCTION("""COMPUTED_VALUE"""),8807.64573606)</f>
        <v>8807.645736</v>
      </c>
      <c r="T467" s="32">
        <f>IFERROR(__xludf.DUMMYFUNCTION("""COMPUTED_VALUE"""),-0.722988)</f>
        <v>-0.722988</v>
      </c>
      <c r="U467" s="32">
        <f>IFERROR(__xludf.DUMMYFUNCTION("""COMPUTED_VALUE"""),-0.322624)</f>
        <v>-0.322624</v>
      </c>
      <c r="V467" s="32">
        <f>IFERROR(__xludf.DUMMYFUNCTION("""COMPUTED_VALUE"""),-15.281348)</f>
        <v>-15.281348</v>
      </c>
      <c r="W467" s="13"/>
      <c r="X467" s="13"/>
      <c r="Y467" s="13"/>
      <c r="Z467" s="13"/>
      <c r="AA467" s="32">
        <f>IFERROR(__xludf.DUMMYFUNCTION("""COMPUTED_VALUE"""),91.8124)</f>
        <v>91.8124</v>
      </c>
      <c r="AB467" s="32">
        <f>IFERROR(__xludf.DUMMYFUNCTION("""COMPUTED_VALUE"""),180.3168)</f>
        <v>180.3168</v>
      </c>
      <c r="AC467" s="32">
        <f>IFERROR(__xludf.DUMMYFUNCTION("""COMPUTED_VALUE"""),6.1879)</f>
        <v>6.1879</v>
      </c>
      <c r="AD467" s="32">
        <f>IFERROR(__xludf.DUMMYFUNCTION("""COMPUTED_VALUE"""),6.4789)</f>
        <v>6.4789</v>
      </c>
      <c r="AE467" s="32">
        <f>IFERROR(__xludf.DUMMYFUNCTION("""COMPUTED_VALUE"""),1.701497)</f>
        <v>1.701497</v>
      </c>
      <c r="AF467" s="13"/>
      <c r="AG467" s="32">
        <f>IFERROR(__xludf.DUMMYFUNCTION("""COMPUTED_VALUE"""),0.0)</f>
        <v>0</v>
      </c>
      <c r="AH467" s="32">
        <f>IFERROR(__xludf.DUMMYFUNCTION("""COMPUTED_VALUE"""),36.973825)</f>
        <v>36.973825</v>
      </c>
      <c r="AI467" s="32">
        <f>IFERROR(__xludf.DUMMYFUNCTION("""COMPUTED_VALUE"""),2.3273780430341344)</f>
        <v>2.327378043</v>
      </c>
      <c r="AJ467" s="32">
        <f>IFERROR(__xludf.DUMMYFUNCTION("""COMPUTED_VALUE"""),3042.480443825666)</f>
        <v>3042.480444</v>
      </c>
      <c r="AK467" s="13"/>
      <c r="AL467" s="13"/>
      <c r="AM467" s="32">
        <f>IFERROR(__xludf.DUMMYFUNCTION("""COMPUTED_VALUE"""),64.53125)</f>
        <v>64.53125</v>
      </c>
      <c r="AN467" s="32">
        <f>IFERROR(__xludf.DUMMYFUNCTION("""COMPUTED_VALUE"""),-4789.933036)</f>
        <v>-4789.933036</v>
      </c>
      <c r="AO467" s="32">
        <f>IFERROR(__xludf.DUMMYFUNCTION("""COMPUTED_VALUE"""),0.0)</f>
        <v>0</v>
      </c>
      <c r="AP467" s="32">
        <f>IFERROR(__xludf.DUMMYFUNCTION("""COMPUTED_VALUE"""),0.4478778853313477)</f>
        <v>0.4478778853</v>
      </c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</row>
    <row r="468">
      <c r="A468" s="13" t="str">
        <f>IFERROR(__xludf.DUMMYFUNCTION("""COMPUTED_VALUE"""),"MMTC Ltd.")</f>
        <v>MMTC Ltd.</v>
      </c>
      <c r="B468" s="30">
        <f>IFERROR(__xludf.DUMMYFUNCTION("""COMPUTED_VALUE"""),513377.0)</f>
        <v>513377</v>
      </c>
      <c r="C468" s="13" t="str">
        <f>IFERROR(__xludf.DUMMYFUNCTION("""COMPUTED_VALUE"""),"MMTC")</f>
        <v>MMTC</v>
      </c>
      <c r="D468" s="13" t="str">
        <f>IFERROR(__xludf.DUMMYFUNCTION("""COMPUTED_VALUE"""),"INE123F01029")</f>
        <v>INE123F01029</v>
      </c>
      <c r="E468" s="13" t="str">
        <f>IFERROR(__xludf.DUMMYFUNCTION("""COMPUTED_VALUE"""),"Services")</f>
        <v>Services</v>
      </c>
      <c r="F468" s="13" t="str">
        <f>IFERROR(__xludf.DUMMYFUNCTION("""COMPUTED_VALUE"""),"Trading")</f>
        <v>Trading</v>
      </c>
      <c r="G468" s="31">
        <f>IFERROR(__xludf.DUMMYFUNCTION("""COMPUTED_VALUE"""),44809.0)</f>
        <v>44809</v>
      </c>
      <c r="H468" s="32">
        <f>IFERROR(__xludf.DUMMYFUNCTION("""COMPUTED_VALUE"""),41.65)</f>
        <v>41.65</v>
      </c>
      <c r="I468" s="32">
        <f>IFERROR(__xludf.DUMMYFUNCTION("""COMPUTED_VALUE"""),-0.239521)</f>
        <v>-0.239521</v>
      </c>
      <c r="J468" s="32">
        <f>IFERROR(__xludf.DUMMYFUNCTION("""COMPUTED_VALUE"""),31.0)</f>
        <v>31</v>
      </c>
      <c r="K468" s="32">
        <f>IFERROR(__xludf.DUMMYFUNCTION("""COMPUTED_VALUE"""),64.8)</f>
        <v>64.8</v>
      </c>
      <c r="L468" s="32">
        <f>IFERROR(__xludf.DUMMYFUNCTION("""COMPUTED_VALUE"""),9.9)</f>
        <v>9.9</v>
      </c>
      <c r="M468" s="32">
        <f>IFERROR(__xludf.DUMMYFUNCTION("""COMPUTED_VALUE"""),64.8)</f>
        <v>64.8</v>
      </c>
      <c r="N468" s="32">
        <f>IFERROR(__xludf.DUMMYFUNCTION("""COMPUTED_VALUE"""),9.9)</f>
        <v>9.9</v>
      </c>
      <c r="O468" s="32">
        <f>IFERROR(__xludf.DUMMYFUNCTION("""COMPUTED_VALUE"""),67.8)</f>
        <v>67.8</v>
      </c>
      <c r="P468" s="32">
        <f>IFERROR(__xludf.DUMMYFUNCTION("""COMPUTED_VALUE"""),0.4)</f>
        <v>0.4</v>
      </c>
      <c r="Q468" s="32">
        <f>IFERROR(__xludf.DUMMYFUNCTION("""COMPUTED_VALUE"""),1897.716665)</f>
        <v>1897.716665</v>
      </c>
      <c r="R468" s="32">
        <f>IFERROR(__xludf.DUMMYFUNCTION("""COMPUTED_VALUE"""),6247.5)</f>
        <v>6247.5</v>
      </c>
      <c r="S468" s="32">
        <f>IFERROR(__xludf.DUMMYFUNCTION("""COMPUTED_VALUE"""),8419.2)</f>
        <v>8419.2</v>
      </c>
      <c r="T468" s="32">
        <f>IFERROR(__xludf.DUMMYFUNCTION("""COMPUTED_VALUE"""),-1.303318)</f>
        <v>-1.303318</v>
      </c>
      <c r="U468" s="32">
        <f>IFERROR(__xludf.DUMMYFUNCTION("""COMPUTED_VALUE"""),5.844981)</f>
        <v>5.844981</v>
      </c>
      <c r="V468" s="32">
        <f>IFERROR(__xludf.DUMMYFUNCTION("""COMPUTED_VALUE"""),2.083333)</f>
        <v>2.083333</v>
      </c>
      <c r="W468" s="32">
        <f>IFERROR(__xludf.DUMMYFUNCTION("""COMPUTED_VALUE"""),-9.554832)</f>
        <v>-9.554832</v>
      </c>
      <c r="X468" s="32">
        <f>IFERROR(__xludf.DUMMYFUNCTION("""COMPUTED_VALUE"""),27.701207)</f>
        <v>27.701207</v>
      </c>
      <c r="Y468" s="32">
        <f>IFERROR(__xludf.DUMMYFUNCTION("""COMPUTED_VALUE"""),1.427718)</f>
        <v>1.427718</v>
      </c>
      <c r="Z468" s="32">
        <f>IFERROR(__xludf.DUMMYFUNCTION("""COMPUTED_VALUE"""),-21.950075)</f>
        <v>-21.950075</v>
      </c>
      <c r="AA468" s="13"/>
      <c r="AB468" s="32">
        <f>IFERROR(__xludf.DUMMYFUNCTION("""COMPUTED_VALUE"""),77.9057)</f>
        <v>77.9057</v>
      </c>
      <c r="AC468" s="32">
        <f>IFERROR(__xludf.DUMMYFUNCTION("""COMPUTED_VALUE"""),-20.4195)</f>
        <v>-20.4195</v>
      </c>
      <c r="AD468" s="32">
        <f>IFERROR(__xludf.DUMMYFUNCTION("""COMPUTED_VALUE"""),3.4226)</f>
        <v>3.4226</v>
      </c>
      <c r="AE468" s="32">
        <f>IFERROR(__xludf.DUMMYFUNCTION("""COMPUTED_VALUE"""),5.632631)</f>
        <v>5.632631</v>
      </c>
      <c r="AF468" s="13"/>
      <c r="AG468" s="32">
        <f>IFERROR(__xludf.DUMMYFUNCTION("""COMPUTED_VALUE"""),0.0)</f>
        <v>0</v>
      </c>
      <c r="AH468" s="32">
        <f>IFERROR(__xludf.DUMMYFUNCTION("""COMPUTED_VALUE"""),18.191482)</f>
        <v>18.191482</v>
      </c>
      <c r="AI468" s="32">
        <f>IFERROR(__xludf.DUMMYFUNCTION("""COMPUTED_VALUE"""),0.7434101553575508)</f>
        <v>0.7434101554</v>
      </c>
      <c r="AJ468" s="32">
        <f>IFERROR(__xludf.DUMMYFUNCTION("""COMPUTED_VALUE"""),3.6673632553388824)</f>
        <v>3.667363255</v>
      </c>
      <c r="AK468" s="32">
        <f>IFERROR(__xludf.DUMMYFUNCTION("""COMPUTED_VALUE"""),-1.9203)</f>
        <v>-1.9203</v>
      </c>
      <c r="AL468" s="32">
        <f>IFERROR(__xludf.DUMMYFUNCTION("""COMPUTED_VALUE"""),-2.0373)</f>
        <v>-2.0373</v>
      </c>
      <c r="AM468" s="32">
        <f>IFERROR(__xludf.DUMMYFUNCTION("""COMPUTED_VALUE"""),11.356933)</f>
        <v>11.356933</v>
      </c>
      <c r="AN468" s="32">
        <f>IFERROR(__xludf.DUMMYFUNCTION("""COMPUTED_VALUE"""),12.2222)</f>
        <v>12.2222</v>
      </c>
      <c r="AO468" s="32">
        <f>IFERROR(__xludf.DUMMYFUNCTION("""COMPUTED_VALUE"""),0.0)</f>
        <v>0</v>
      </c>
      <c r="AP468" s="32">
        <f>IFERROR(__xludf.DUMMYFUNCTION("""COMPUTED_VALUE"""),0.35725308641975306)</f>
        <v>0.3572530864</v>
      </c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</row>
    <row r="469">
      <c r="A469" s="13" t="str">
        <f>IFERROR(__xludf.DUMMYFUNCTION("""COMPUTED_VALUE"""),"Network 18 Media &amp; Investments Ltd.")</f>
        <v>Network 18 Media &amp; Investments Ltd.</v>
      </c>
      <c r="B469" s="30">
        <f>IFERROR(__xludf.DUMMYFUNCTION("""COMPUTED_VALUE"""),532798.0)</f>
        <v>532798</v>
      </c>
      <c r="C469" s="13" t="str">
        <f>IFERROR(__xludf.DUMMYFUNCTION("""COMPUTED_VALUE"""),"NETWORK18")</f>
        <v>NETWORK18</v>
      </c>
      <c r="D469" s="13" t="str">
        <f>IFERROR(__xludf.DUMMYFUNCTION("""COMPUTED_VALUE"""),"INE870H01013")</f>
        <v>INE870H01013</v>
      </c>
      <c r="E469" s="13" t="str">
        <f>IFERROR(__xludf.DUMMYFUNCTION("""COMPUTED_VALUE"""),"Services")</f>
        <v>Services</v>
      </c>
      <c r="F469" s="13" t="str">
        <f>IFERROR(__xludf.DUMMYFUNCTION("""COMPUTED_VALUE"""),"Media &amp; Entertainment")</f>
        <v>Media &amp; Entertainment</v>
      </c>
      <c r="G469" s="31">
        <f>IFERROR(__xludf.DUMMYFUNCTION("""COMPUTED_VALUE"""),44809.0)</f>
        <v>44809</v>
      </c>
      <c r="H469" s="32">
        <f>IFERROR(__xludf.DUMMYFUNCTION("""COMPUTED_VALUE"""),75.6)</f>
        <v>75.6</v>
      </c>
      <c r="I469" s="32">
        <f>IFERROR(__xludf.DUMMYFUNCTION("""COMPUTED_VALUE"""),5.439331)</f>
        <v>5.439331</v>
      </c>
      <c r="J469" s="32">
        <f>IFERROR(__xludf.DUMMYFUNCTION("""COMPUTED_VALUE"""),49.75)</f>
        <v>49.75</v>
      </c>
      <c r="K469" s="32">
        <f>IFERROR(__xludf.DUMMYFUNCTION("""COMPUTED_VALUE"""),117.5)</f>
        <v>117.5</v>
      </c>
      <c r="L469" s="32">
        <f>IFERROR(__xludf.DUMMYFUNCTION("""COMPUTED_VALUE"""),14.7)</f>
        <v>14.7</v>
      </c>
      <c r="M469" s="32">
        <f>IFERROR(__xludf.DUMMYFUNCTION("""COMPUTED_VALUE"""),117.5)</f>
        <v>117.5</v>
      </c>
      <c r="N469" s="32">
        <f>IFERROR(__xludf.DUMMYFUNCTION("""COMPUTED_VALUE"""),14.7)</f>
        <v>14.7</v>
      </c>
      <c r="O469" s="32">
        <f>IFERROR(__xludf.DUMMYFUNCTION("""COMPUTED_VALUE"""),117.5)</f>
        <v>117.5</v>
      </c>
      <c r="P469" s="32">
        <f>IFERROR(__xludf.DUMMYFUNCTION("""COMPUTED_VALUE"""),14.7)</f>
        <v>14.7</v>
      </c>
      <c r="Q469" s="32">
        <f>IFERROR(__xludf.DUMMYFUNCTION("""COMPUTED_VALUE"""),628.499519)</f>
        <v>628.499519</v>
      </c>
      <c r="R469" s="32">
        <f>IFERROR(__xludf.DUMMYFUNCTION("""COMPUTED_VALUE"""),7914.93080364)</f>
        <v>7914.930804</v>
      </c>
      <c r="S469" s="32">
        <f>IFERROR(__xludf.DUMMYFUNCTION("""COMPUTED_VALUE"""),9537.72088123)</f>
        <v>9537.720881</v>
      </c>
      <c r="T469" s="32">
        <f>IFERROR(__xludf.DUMMYFUNCTION("""COMPUTED_VALUE"""),2.162162)</f>
        <v>2.162162</v>
      </c>
      <c r="U469" s="32">
        <f>IFERROR(__xludf.DUMMYFUNCTION("""COMPUTED_VALUE"""),11.340206)</f>
        <v>11.340206</v>
      </c>
      <c r="V469" s="32">
        <f>IFERROR(__xludf.DUMMYFUNCTION("""COMPUTED_VALUE"""),-1.305483)</f>
        <v>-1.305483</v>
      </c>
      <c r="W469" s="32">
        <f>IFERROR(__xludf.DUMMYFUNCTION("""COMPUTED_VALUE"""),45.805207)</f>
        <v>45.805207</v>
      </c>
      <c r="X469" s="32">
        <f>IFERROR(__xludf.DUMMYFUNCTION("""COMPUTED_VALUE"""),49.777448)</f>
        <v>49.777448</v>
      </c>
      <c r="Y469" s="32">
        <f>IFERROR(__xludf.DUMMYFUNCTION("""COMPUTED_VALUE"""),8.106142)</f>
        <v>8.106142</v>
      </c>
      <c r="Z469" s="32">
        <f>IFERROR(__xludf.DUMMYFUNCTION("""COMPUTED_VALUE"""),10.064961)</f>
        <v>10.064961</v>
      </c>
      <c r="AA469" s="32">
        <f>IFERROR(__xludf.DUMMYFUNCTION("""COMPUTED_VALUE"""),40.6624)</f>
        <v>40.6624</v>
      </c>
      <c r="AB469" s="32">
        <f>IFERROR(__xludf.DUMMYFUNCTION("""COMPUTED_VALUE"""),51.03935)</f>
        <v>51.03935</v>
      </c>
      <c r="AC469" s="32">
        <f>IFERROR(__xludf.DUMMYFUNCTION("""COMPUTED_VALUE"""),10.2372)</f>
        <v>10.2372</v>
      </c>
      <c r="AD469" s="32">
        <f>IFERROR(__xludf.DUMMYFUNCTION("""COMPUTED_VALUE"""),5.0278)</f>
        <v>5.0278</v>
      </c>
      <c r="AE469" s="32">
        <f>IFERROR(__xludf.DUMMYFUNCTION("""COMPUTED_VALUE"""),9.379822)</f>
        <v>9.379822</v>
      </c>
      <c r="AF469" s="32">
        <f>IFERROR(__xludf.DUMMYFUNCTION("""COMPUTED_VALUE"""),1.108063)</f>
        <v>1.108063</v>
      </c>
      <c r="AG469" s="32">
        <f>IFERROR(__xludf.DUMMYFUNCTION("""COMPUTED_VALUE"""),0.0)</f>
        <v>0</v>
      </c>
      <c r="AH469" s="32">
        <f>IFERROR(__xludf.DUMMYFUNCTION("""COMPUTED_VALUE"""),9.600991)</f>
        <v>9.600991</v>
      </c>
      <c r="AI469" s="32">
        <f>IFERROR(__xludf.DUMMYFUNCTION("""COMPUTED_VALUE"""),1.3179140981642288)</f>
        <v>1.317914098</v>
      </c>
      <c r="AJ469" s="32">
        <f>IFERROR(__xludf.DUMMYFUNCTION("""COMPUTED_VALUE"""),5.882301515097915)</f>
        <v>5.882301515</v>
      </c>
      <c r="AK469" s="32">
        <f>IFERROR(__xludf.DUMMYFUNCTION("""COMPUTED_VALUE"""),1.8592)</f>
        <v>1.8592</v>
      </c>
      <c r="AL469" s="32">
        <f>IFERROR(__xludf.DUMMYFUNCTION("""COMPUTED_VALUE"""),7.3848)</f>
        <v>7.3848</v>
      </c>
      <c r="AM469" s="32">
        <f>IFERROR(__xludf.DUMMYFUNCTION("""COMPUTED_VALUE"""),12.995963)</f>
        <v>12.995963</v>
      </c>
      <c r="AN469" s="32">
        <f>IFERROR(__xludf.DUMMYFUNCTION("""COMPUTED_VALUE"""),9.699428)</f>
        <v>9.699428</v>
      </c>
      <c r="AO469" s="32">
        <f>IFERROR(__xludf.DUMMYFUNCTION("""COMPUTED_VALUE"""),0.0)</f>
        <v>0</v>
      </c>
      <c r="AP469" s="32">
        <f>IFERROR(__xludf.DUMMYFUNCTION("""COMPUTED_VALUE"""),0.3565957446808511)</f>
        <v>0.3565957447</v>
      </c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</row>
    <row r="470">
      <c r="A470" s="13" t="str">
        <f>IFERROR(__xludf.DUMMYFUNCTION("""COMPUTED_VALUE"""),"NUVOCO Vistas Corp Ltd.")</f>
        <v>NUVOCO Vistas Corp Ltd.</v>
      </c>
      <c r="B470" s="30">
        <f>IFERROR(__xludf.DUMMYFUNCTION("""COMPUTED_VALUE"""),543334.0)</f>
        <v>543334</v>
      </c>
      <c r="C470" s="13" t="str">
        <f>IFERROR(__xludf.DUMMYFUNCTION("""COMPUTED_VALUE"""),"NUVOCO")</f>
        <v>NUVOCO</v>
      </c>
      <c r="D470" s="13" t="str">
        <f>IFERROR(__xludf.DUMMYFUNCTION("""COMPUTED_VALUE"""),"INE118D01016")</f>
        <v>INE118D01016</v>
      </c>
      <c r="E470" s="13" t="str">
        <f>IFERROR(__xludf.DUMMYFUNCTION("""COMPUTED_VALUE"""),"Materials")</f>
        <v>Materials</v>
      </c>
      <c r="F470" s="13" t="str">
        <f>IFERROR(__xludf.DUMMYFUNCTION("""COMPUTED_VALUE"""),"Cement")</f>
        <v>Cement</v>
      </c>
      <c r="G470" s="31">
        <f>IFERROR(__xludf.DUMMYFUNCTION("""COMPUTED_VALUE"""),44809.0)</f>
        <v>44809</v>
      </c>
      <c r="H470" s="32">
        <f>IFERROR(__xludf.DUMMYFUNCTION("""COMPUTED_VALUE"""),349.3)</f>
        <v>349.3</v>
      </c>
      <c r="I470" s="32">
        <f>IFERROR(__xludf.DUMMYFUNCTION("""COMPUTED_VALUE"""),-1.439052)</f>
        <v>-1.439052</v>
      </c>
      <c r="J470" s="32">
        <f>IFERROR(__xludf.DUMMYFUNCTION("""COMPUTED_VALUE"""),260.25)</f>
        <v>260.25</v>
      </c>
      <c r="K470" s="32">
        <f>IFERROR(__xludf.DUMMYFUNCTION("""COMPUTED_VALUE"""),577.9)</f>
        <v>577.9</v>
      </c>
      <c r="L470" s="13"/>
      <c r="M470" s="13"/>
      <c r="N470" s="13"/>
      <c r="O470" s="13"/>
      <c r="P470" s="32">
        <f>IFERROR(__xludf.DUMMYFUNCTION("""COMPUTED_VALUE"""),260.0)</f>
        <v>260</v>
      </c>
      <c r="Q470" s="32">
        <f>IFERROR(__xludf.DUMMYFUNCTION("""COMPUTED_VALUE"""),577.9)</f>
        <v>577.9</v>
      </c>
      <c r="R470" s="32">
        <f>IFERROR(__xludf.DUMMYFUNCTION("""COMPUTED_VALUE"""),12464.7498095)</f>
        <v>12464.74981</v>
      </c>
      <c r="S470" s="32">
        <f>IFERROR(__xludf.DUMMYFUNCTION("""COMPUTED_VALUE"""),17750.4066256)</f>
        <v>17750.40663</v>
      </c>
      <c r="T470" s="32">
        <f>IFERROR(__xludf.DUMMYFUNCTION("""COMPUTED_VALUE"""),-0.6824)</f>
        <v>-0.6824</v>
      </c>
      <c r="U470" s="32">
        <f>IFERROR(__xludf.DUMMYFUNCTION("""COMPUTED_VALUE"""),2.962417)</f>
        <v>2.962417</v>
      </c>
      <c r="V470" s="32">
        <f>IFERROR(__xludf.DUMMYFUNCTION("""COMPUTED_VALUE"""),14.468294)</f>
        <v>14.468294</v>
      </c>
      <c r="W470" s="32">
        <f>IFERROR(__xludf.DUMMYFUNCTION("""COMPUTED_VALUE"""),-37.719533)</f>
        <v>-37.719533</v>
      </c>
      <c r="X470" s="13"/>
      <c r="Y470" s="13"/>
      <c r="Z470" s="13"/>
      <c r="AA470" s="13"/>
      <c r="AB470" s="32">
        <f>IFERROR(__xludf.DUMMYFUNCTION("""COMPUTED_VALUE"""),578.4581)</f>
        <v>578.4581</v>
      </c>
      <c r="AC470" s="32">
        <f>IFERROR(__xludf.DUMMYFUNCTION("""COMPUTED_VALUE"""),1.4098)</f>
        <v>1.4098</v>
      </c>
      <c r="AD470" s="32">
        <f>IFERROR(__xludf.DUMMYFUNCTION("""COMPUTED_VALUE"""),1.482)</f>
        <v>1.482</v>
      </c>
      <c r="AE470" s="32">
        <f>IFERROR(__xludf.DUMMYFUNCTION("""COMPUTED_VALUE"""),2.874841)</f>
        <v>2.874841</v>
      </c>
      <c r="AF470" s="13"/>
      <c r="AG470" s="32">
        <f>IFERROR(__xludf.DUMMYFUNCTION("""COMPUTED_VALUE"""),0.0)</f>
        <v>0</v>
      </c>
      <c r="AH470" s="32">
        <f>IFERROR(__xludf.DUMMYFUNCTION("""COMPUTED_VALUE"""),12.741203)</f>
        <v>12.741203</v>
      </c>
      <c r="AI470" s="32">
        <f>IFERROR(__xludf.DUMMYFUNCTION("""COMPUTED_VALUE"""),1.2761427475449243)</f>
        <v>1.276142748</v>
      </c>
      <c r="AJ470" s="32">
        <f>IFERROR(__xludf.DUMMYFUNCTION("""COMPUTED_VALUE"""),10.209894589425401)</f>
        <v>10.20989459</v>
      </c>
      <c r="AK470" s="32">
        <f>IFERROR(__xludf.DUMMYFUNCTION("""COMPUTED_VALUE"""),-1.7284)</f>
        <v>-1.7284</v>
      </c>
      <c r="AL470" s="32">
        <f>IFERROR(__xludf.DUMMYFUNCTION("""COMPUTED_VALUE"""),247.558)</f>
        <v>247.558</v>
      </c>
      <c r="AM470" s="32">
        <f>IFERROR(__xludf.DUMMYFUNCTION("""COMPUTED_VALUE"""),34.182159)</f>
        <v>34.182159</v>
      </c>
      <c r="AN470" s="32">
        <f>IFERROR(__xludf.DUMMYFUNCTION("""COMPUTED_VALUE"""),8.009576)</f>
        <v>8.009576</v>
      </c>
      <c r="AO470" s="32">
        <f>IFERROR(__xludf.DUMMYFUNCTION("""COMPUTED_VALUE"""),0.0)</f>
        <v>0</v>
      </c>
      <c r="AP470" s="32">
        <f>IFERROR(__xludf.DUMMYFUNCTION("""COMPUTED_VALUE"""),0.3955701678491088)</f>
        <v>0.3955701678</v>
      </c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</row>
    <row r="471">
      <c r="A471" s="13" t="str">
        <f>IFERROR(__xludf.DUMMYFUNCTION("""COMPUTED_VALUE"""),"One 97 Communications Ltd.")</f>
        <v>One 97 Communications Ltd.</v>
      </c>
      <c r="B471" s="30">
        <f>IFERROR(__xludf.DUMMYFUNCTION("""COMPUTED_VALUE"""),543396.0)</f>
        <v>543396</v>
      </c>
      <c r="C471" s="13" t="str">
        <f>IFERROR(__xludf.DUMMYFUNCTION("""COMPUTED_VALUE"""),"PAYTM")</f>
        <v>PAYTM</v>
      </c>
      <c r="D471" s="13" t="str">
        <f>IFERROR(__xludf.DUMMYFUNCTION("""COMPUTED_VALUE"""),"INE982J01020")</f>
        <v>INE982J01020</v>
      </c>
      <c r="E471" s="13" t="str">
        <f>IFERROR(__xludf.DUMMYFUNCTION("""COMPUTED_VALUE"""),"Services")</f>
        <v>Services</v>
      </c>
      <c r="F471" s="13" t="str">
        <f>IFERROR(__xludf.DUMMYFUNCTION("""COMPUTED_VALUE"""),"E-Commerce")</f>
        <v>E-Commerce</v>
      </c>
      <c r="G471" s="31">
        <f>IFERROR(__xludf.DUMMYFUNCTION("""COMPUTED_VALUE"""),44809.0)</f>
        <v>44809</v>
      </c>
      <c r="H471" s="32">
        <f>IFERROR(__xludf.DUMMYFUNCTION("""COMPUTED_VALUE"""),708.7)</f>
        <v>708.7</v>
      </c>
      <c r="I471" s="32">
        <f>IFERROR(__xludf.DUMMYFUNCTION("""COMPUTED_VALUE"""),-2.544004)</f>
        <v>-2.544004</v>
      </c>
      <c r="J471" s="32">
        <f>IFERROR(__xludf.DUMMYFUNCTION("""COMPUTED_VALUE"""),510.05)</f>
        <v>510.05</v>
      </c>
      <c r="K471" s="32">
        <f>IFERROR(__xludf.DUMMYFUNCTION("""COMPUTED_VALUE"""),1961.05)</f>
        <v>1961.05</v>
      </c>
      <c r="L471" s="13"/>
      <c r="M471" s="13"/>
      <c r="N471" s="13"/>
      <c r="O471" s="13"/>
      <c r="P471" s="32">
        <f>IFERROR(__xludf.DUMMYFUNCTION("""COMPUTED_VALUE"""),510.05)</f>
        <v>510.05</v>
      </c>
      <c r="Q471" s="32">
        <f>IFERROR(__xludf.DUMMYFUNCTION("""COMPUTED_VALUE"""),1961.05)</f>
        <v>1961.05</v>
      </c>
      <c r="R471" s="32">
        <f>IFERROR(__xludf.DUMMYFUNCTION("""COMPUTED_VALUE"""),45981.99473736)</f>
        <v>45981.99474</v>
      </c>
      <c r="S471" s="32">
        <f>IFERROR(__xludf.DUMMYFUNCTION("""COMPUTED_VALUE"""),42007.063849095)</f>
        <v>42007.06385</v>
      </c>
      <c r="T471" s="32">
        <f>IFERROR(__xludf.DUMMYFUNCTION("""COMPUTED_VALUE"""),-7.000853)</f>
        <v>-7.000853</v>
      </c>
      <c r="U471" s="32">
        <f>IFERROR(__xludf.DUMMYFUNCTION("""COMPUTED_VALUE"""),-12.403436)</f>
        <v>-12.403436</v>
      </c>
      <c r="V471" s="32">
        <f>IFERROR(__xludf.DUMMYFUNCTION("""COMPUTED_VALUE"""),13.673911)</f>
        <v>13.673911</v>
      </c>
      <c r="W471" s="13"/>
      <c r="X471" s="13"/>
      <c r="Y471" s="13"/>
      <c r="Z471" s="13"/>
      <c r="AA471" s="13"/>
      <c r="AB471" s="13"/>
      <c r="AC471" s="32">
        <f>IFERROR(__xludf.DUMMYFUNCTION("""COMPUTED_VALUE"""),3.6754)</f>
        <v>3.6754</v>
      </c>
      <c r="AD471" s="32">
        <f>IFERROR(__xludf.DUMMYFUNCTION("""COMPUTED_VALUE"""),2.8779)</f>
        <v>2.8779</v>
      </c>
      <c r="AE471" s="32">
        <f>IFERROR(__xludf.DUMMYFUNCTION("""COMPUTED_VALUE"""),-5.485519)</f>
        <v>-5.485519</v>
      </c>
      <c r="AF471" s="13"/>
      <c r="AG471" s="32">
        <f>IFERROR(__xludf.DUMMYFUNCTION("""COMPUTED_VALUE"""),0.0)</f>
        <v>0</v>
      </c>
      <c r="AH471" s="32">
        <f>IFERROR(__xludf.DUMMYFUNCTION("""COMPUTED_VALUE"""),-18.519183)</f>
        <v>-18.519183</v>
      </c>
      <c r="AI471" s="32">
        <f>IFERROR(__xludf.DUMMYFUNCTION("""COMPUTED_VALUE"""),7.978829557064029)</f>
        <v>7.978829557</v>
      </c>
      <c r="AJ471" s="32">
        <f>IFERROR(__xludf.DUMMYFUNCTION("""COMPUTED_VALUE"""),-37.19323363047804)</f>
        <v>-37.19323363</v>
      </c>
      <c r="AK471" s="32">
        <f>IFERROR(__xludf.DUMMYFUNCTION("""COMPUTED_VALUE"""),-40.9493)</f>
        <v>-40.9493</v>
      </c>
      <c r="AL471" s="32">
        <f>IFERROR(__xludf.DUMMYFUNCTION("""COMPUTED_VALUE"""),192.7948)</f>
        <v>192.7948</v>
      </c>
      <c r="AM471" s="32">
        <f>IFERROR(__xludf.DUMMYFUNCTION("""COMPUTED_VALUE"""),-19.049307)</f>
        <v>-19.049307</v>
      </c>
      <c r="AN471" s="32">
        <f>IFERROR(__xludf.DUMMYFUNCTION("""COMPUTED_VALUE"""),-34.856703)</f>
        <v>-34.856703</v>
      </c>
      <c r="AO471" s="32">
        <f>IFERROR(__xludf.DUMMYFUNCTION("""COMPUTED_VALUE"""),0.0)</f>
        <v>0</v>
      </c>
      <c r="AP471" s="32">
        <f>IFERROR(__xludf.DUMMYFUNCTION("""COMPUTED_VALUE"""),0.6386119680783253)</f>
        <v>0.6386119681</v>
      </c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</row>
    <row r="472">
      <c r="A472" s="13" t="str">
        <f>IFERROR(__xludf.DUMMYFUNCTION("""COMPUTED_VALUE"""),"PB Fintech Ltd.")</f>
        <v>PB Fintech Ltd.</v>
      </c>
      <c r="B472" s="30">
        <f>IFERROR(__xludf.DUMMYFUNCTION("""COMPUTED_VALUE"""),543390.0)</f>
        <v>543390</v>
      </c>
      <c r="C472" s="13" t="str">
        <f>IFERROR(__xludf.DUMMYFUNCTION("""COMPUTED_VALUE"""),"POLICYBZR")</f>
        <v>POLICYBZR</v>
      </c>
      <c r="D472" s="13" t="str">
        <f>IFERROR(__xludf.DUMMYFUNCTION("""COMPUTED_VALUE"""),"INE417T01026")</f>
        <v>INE417T01026</v>
      </c>
      <c r="E472" s="13" t="str">
        <f>IFERROR(__xludf.DUMMYFUNCTION("""COMPUTED_VALUE"""),"Services")</f>
        <v>Services</v>
      </c>
      <c r="F472" s="13" t="str">
        <f>IFERROR(__xludf.DUMMYFUNCTION("""COMPUTED_VALUE"""),"E-Commerce")</f>
        <v>E-Commerce</v>
      </c>
      <c r="G472" s="31">
        <f>IFERROR(__xludf.DUMMYFUNCTION("""COMPUTED_VALUE"""),44809.0)</f>
        <v>44809</v>
      </c>
      <c r="H472" s="32">
        <f>IFERROR(__xludf.DUMMYFUNCTION("""COMPUTED_VALUE"""),495.35)</f>
        <v>495.35</v>
      </c>
      <c r="I472" s="32">
        <f>IFERROR(__xludf.DUMMYFUNCTION("""COMPUTED_VALUE"""),2.493275)</f>
        <v>2.493275</v>
      </c>
      <c r="J472" s="32">
        <f>IFERROR(__xludf.DUMMYFUNCTION("""COMPUTED_VALUE"""),454.3)</f>
        <v>454.3</v>
      </c>
      <c r="K472" s="32">
        <f>IFERROR(__xludf.DUMMYFUNCTION("""COMPUTED_VALUE"""),1470.0)</f>
        <v>1470</v>
      </c>
      <c r="L472" s="13"/>
      <c r="M472" s="13"/>
      <c r="N472" s="13"/>
      <c r="O472" s="13"/>
      <c r="P472" s="32">
        <f>IFERROR(__xludf.DUMMYFUNCTION("""COMPUTED_VALUE"""),454.3)</f>
        <v>454.3</v>
      </c>
      <c r="Q472" s="32">
        <f>IFERROR(__xludf.DUMMYFUNCTION("""COMPUTED_VALUE"""),1470.0)</f>
        <v>1470</v>
      </c>
      <c r="R472" s="32">
        <f>IFERROR(__xludf.DUMMYFUNCTION("""COMPUTED_VALUE"""),22207.53791543)</f>
        <v>22207.53792</v>
      </c>
      <c r="S472" s="32">
        <f>IFERROR(__xludf.DUMMYFUNCTION("""COMPUTED_VALUE"""),19765.19612883)</f>
        <v>19765.19613</v>
      </c>
      <c r="T472" s="32">
        <f>IFERROR(__xludf.DUMMYFUNCTION("""COMPUTED_VALUE"""),-3.280289)</f>
        <v>-3.280289</v>
      </c>
      <c r="U472" s="32">
        <f>IFERROR(__xludf.DUMMYFUNCTION("""COMPUTED_VALUE"""),-9.911794)</f>
        <v>-9.911794</v>
      </c>
      <c r="V472" s="32">
        <f>IFERROR(__xludf.DUMMYFUNCTION("""COMPUTED_VALUE"""),-24.867283)</f>
        <v>-24.867283</v>
      </c>
      <c r="W472" s="13"/>
      <c r="X472" s="13"/>
      <c r="Y472" s="13"/>
      <c r="Z472" s="13"/>
      <c r="AA472" s="13"/>
      <c r="AB472" s="13"/>
      <c r="AC472" s="32">
        <f>IFERROR(__xludf.DUMMYFUNCTION("""COMPUTED_VALUE"""),4.2645)</f>
        <v>4.2645</v>
      </c>
      <c r="AD472" s="32">
        <f>IFERROR(__xludf.DUMMYFUNCTION("""COMPUTED_VALUE"""),4.7564)</f>
        <v>4.7564</v>
      </c>
      <c r="AE472" s="32">
        <f>IFERROR(__xludf.DUMMYFUNCTION("""COMPUTED_VALUE"""),-0.642918)</f>
        <v>-0.642918</v>
      </c>
      <c r="AF472" s="13"/>
      <c r="AG472" s="32">
        <f>IFERROR(__xludf.DUMMYFUNCTION("""COMPUTED_VALUE"""),0.0)</f>
        <v>0</v>
      </c>
      <c r="AH472" s="32">
        <f>IFERROR(__xludf.DUMMYFUNCTION("""COMPUTED_VALUE"""),-222.393205)</f>
        <v>-222.393205</v>
      </c>
      <c r="AI472" s="32">
        <f>IFERROR(__xludf.DUMMYFUNCTION("""COMPUTED_VALUE"""),15.58544022024858)</f>
        <v>15.58544022</v>
      </c>
      <c r="AJ472" s="32">
        <f>IFERROR(__xludf.DUMMYFUNCTION("""COMPUTED_VALUE"""),773.62007647983)</f>
        <v>773.6200765</v>
      </c>
      <c r="AK472" s="13"/>
      <c r="AL472" s="13"/>
      <c r="AM472" s="32">
        <f>IFERROR(__xludf.DUMMYFUNCTION("""COMPUTED_VALUE"""),1248.086957)</f>
        <v>1248.086957</v>
      </c>
      <c r="AN472" s="32">
        <f>IFERROR(__xludf.DUMMYFUNCTION("""COMPUTED_VALUE"""),-3273.0)</f>
        <v>-3273</v>
      </c>
      <c r="AO472" s="32">
        <f>IFERROR(__xludf.DUMMYFUNCTION("""COMPUTED_VALUE"""),0.0)</f>
        <v>0</v>
      </c>
      <c r="AP472" s="32">
        <f>IFERROR(__xludf.DUMMYFUNCTION("""COMPUTED_VALUE"""),0.6630272108843537)</f>
        <v>0.6630272109</v>
      </c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</row>
    <row r="473">
      <c r="A473" s="13" t="str">
        <f>IFERROR(__xludf.DUMMYFUNCTION("""COMPUTED_VALUE"""),"PNB Housing Finance Ltd.")</f>
        <v>PNB Housing Finance Ltd.</v>
      </c>
      <c r="B473" s="30">
        <f>IFERROR(__xludf.DUMMYFUNCTION("""COMPUTED_VALUE"""),540173.0)</f>
        <v>540173</v>
      </c>
      <c r="C473" s="13" t="str">
        <f>IFERROR(__xludf.DUMMYFUNCTION("""COMPUTED_VALUE"""),"PNBHOUSING")</f>
        <v>PNBHOUSING</v>
      </c>
      <c r="D473" s="13" t="str">
        <f>IFERROR(__xludf.DUMMYFUNCTION("""COMPUTED_VALUE"""),"INE572E01012")</f>
        <v>INE572E01012</v>
      </c>
      <c r="E473" s="13" t="str">
        <f>IFERROR(__xludf.DUMMYFUNCTION("""COMPUTED_VALUE"""),"Financial")</f>
        <v>Financial</v>
      </c>
      <c r="F473" s="13" t="str">
        <f>IFERROR(__xludf.DUMMYFUNCTION("""COMPUTED_VALUE"""),"Housing Finance")</f>
        <v>Housing Finance</v>
      </c>
      <c r="G473" s="31">
        <f>IFERROR(__xludf.DUMMYFUNCTION("""COMPUTED_VALUE"""),44809.0)</f>
        <v>44809</v>
      </c>
      <c r="H473" s="32">
        <f>IFERROR(__xludf.DUMMYFUNCTION("""COMPUTED_VALUE"""),375.7)</f>
        <v>375.7</v>
      </c>
      <c r="I473" s="32">
        <f>IFERROR(__xludf.DUMMYFUNCTION("""COMPUTED_VALUE"""),-1.092537)</f>
        <v>-1.092537</v>
      </c>
      <c r="J473" s="32">
        <f>IFERROR(__xludf.DUMMYFUNCTION("""COMPUTED_VALUE"""),311.45)</f>
        <v>311.45</v>
      </c>
      <c r="K473" s="32">
        <f>IFERROR(__xludf.DUMMYFUNCTION("""COMPUTED_VALUE"""),675.95)</f>
        <v>675.95</v>
      </c>
      <c r="L473" s="32">
        <f>IFERROR(__xludf.DUMMYFUNCTION("""COMPUTED_VALUE"""),145.65)</f>
        <v>145.65</v>
      </c>
      <c r="M473" s="32">
        <f>IFERROR(__xludf.DUMMYFUNCTION("""COMPUTED_VALUE"""),925.0)</f>
        <v>925</v>
      </c>
      <c r="N473" s="32">
        <f>IFERROR(__xludf.DUMMYFUNCTION("""COMPUTED_VALUE"""),145.65)</f>
        <v>145.65</v>
      </c>
      <c r="O473" s="32">
        <f>IFERROR(__xludf.DUMMYFUNCTION("""COMPUTED_VALUE"""),1675.0)</f>
        <v>1675</v>
      </c>
      <c r="P473" s="32">
        <f>IFERROR(__xludf.DUMMYFUNCTION("""COMPUTED_VALUE"""),145.65)</f>
        <v>145.65</v>
      </c>
      <c r="Q473" s="32">
        <f>IFERROR(__xludf.DUMMYFUNCTION("""COMPUTED_VALUE"""),1717.65)</f>
        <v>1717.65</v>
      </c>
      <c r="R473" s="32">
        <f>IFERROR(__xludf.DUMMYFUNCTION("""COMPUTED_VALUE"""),6358.60966092)</f>
        <v>6358.609661</v>
      </c>
      <c r="S473" s="32">
        <f>IFERROR(__xludf.DUMMYFUNCTION("""COMPUTED_VALUE"""),52998.90197455)</f>
        <v>52998.90197</v>
      </c>
      <c r="T473" s="32">
        <f>IFERROR(__xludf.DUMMYFUNCTION("""COMPUTED_VALUE"""),5.801183)</f>
        <v>5.801183</v>
      </c>
      <c r="U473" s="32">
        <f>IFERROR(__xludf.DUMMYFUNCTION("""COMPUTED_VALUE"""),8.536762)</f>
        <v>8.536762</v>
      </c>
      <c r="V473" s="32">
        <f>IFERROR(__xludf.DUMMYFUNCTION("""COMPUTED_VALUE"""),14.055859)</f>
        <v>14.055859</v>
      </c>
      <c r="W473" s="32">
        <f>IFERROR(__xludf.DUMMYFUNCTION("""COMPUTED_VALUE"""),-41.806072)</f>
        <v>-41.806072</v>
      </c>
      <c r="X473" s="32">
        <f>IFERROR(__xludf.DUMMYFUNCTION("""COMPUTED_VALUE"""),-16.310235)</f>
        <v>-16.310235</v>
      </c>
      <c r="Y473" s="32">
        <f>IFERROR(__xludf.DUMMYFUNCTION("""COMPUTED_VALUE"""),-25.065706)</f>
        <v>-25.065706</v>
      </c>
      <c r="Z473" s="13"/>
      <c r="AA473" s="32">
        <f>IFERROR(__xludf.DUMMYFUNCTION("""COMPUTED_VALUE"""),7.678)</f>
        <v>7.678</v>
      </c>
      <c r="AB473" s="32">
        <f>IFERROR(__xludf.DUMMYFUNCTION("""COMPUTED_VALUE"""),10.8353)</f>
        <v>10.8353</v>
      </c>
      <c r="AC473" s="32">
        <f>IFERROR(__xludf.DUMMYFUNCTION("""COMPUTED_VALUE"""),0.6326)</f>
        <v>0.6326</v>
      </c>
      <c r="AD473" s="32">
        <f>IFERROR(__xludf.DUMMYFUNCTION("""COMPUTED_VALUE"""),1.04995)</f>
        <v>1.04995</v>
      </c>
      <c r="AE473" s="32">
        <f>IFERROR(__xludf.DUMMYFUNCTION("""COMPUTED_VALUE"""),9.509193)</f>
        <v>9.509193</v>
      </c>
      <c r="AF473" s="32">
        <f>IFERROR(__xludf.DUMMYFUNCTION("""COMPUTED_VALUE"""),0.814036)</f>
        <v>0.814036</v>
      </c>
      <c r="AG473" s="32">
        <f>IFERROR(__xludf.DUMMYFUNCTION("""COMPUTED_VALUE"""),0.0)</f>
        <v>0</v>
      </c>
      <c r="AH473" s="32">
        <f>IFERROR(__xludf.DUMMYFUNCTION("""COMPUTED_VALUE"""),10.54652)</f>
        <v>10.54652</v>
      </c>
      <c r="AI473" s="32">
        <f>IFERROR(__xludf.DUMMYFUNCTION("""COMPUTED_VALUE"""),1.0750301211059676)</f>
        <v>1.075030121</v>
      </c>
      <c r="AJ473" s="32">
        <f>IFERROR(__xludf.DUMMYFUNCTION("""COMPUTED_VALUE"""),1.0163888027199142)</f>
        <v>1.016388803</v>
      </c>
      <c r="AK473" s="32">
        <f>IFERROR(__xludf.DUMMYFUNCTION("""COMPUTED_VALUE"""),48.919)</f>
        <v>48.919</v>
      </c>
      <c r="AL473" s="32">
        <f>IFERROR(__xludf.DUMMYFUNCTION("""COMPUTED_VALUE"""),593.7515)</f>
        <v>593.7515</v>
      </c>
      <c r="AM473" s="32">
        <f>IFERROR(__xludf.DUMMYFUNCTION("""COMPUTED_VALUE"""),371.060498)</f>
        <v>371.060498</v>
      </c>
      <c r="AN473" s="32">
        <f>IFERROR(__xludf.DUMMYFUNCTION("""COMPUTED_VALUE"""),329.690985)</f>
        <v>329.690985</v>
      </c>
      <c r="AO473" s="32">
        <f>IFERROR(__xludf.DUMMYFUNCTION("""COMPUTED_VALUE"""),0.0)</f>
        <v>0</v>
      </c>
      <c r="AP473" s="32">
        <f>IFERROR(__xludf.DUMMYFUNCTION("""COMPUTED_VALUE"""),0.4441896589984467)</f>
        <v>0.444189659</v>
      </c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</row>
    <row r="474">
      <c r="A474" s="13" t="str">
        <f>IFERROR(__xludf.DUMMYFUNCTION("""COMPUTED_VALUE"""),"Prism Johnson Ltd.")</f>
        <v>Prism Johnson Ltd.</v>
      </c>
      <c r="B474" s="30">
        <f>IFERROR(__xludf.DUMMYFUNCTION("""COMPUTED_VALUE"""),500338.0)</f>
        <v>500338</v>
      </c>
      <c r="C474" s="13" t="str">
        <f>IFERROR(__xludf.DUMMYFUNCTION("""COMPUTED_VALUE"""),"PRSMJOHNSN")</f>
        <v>PRSMJOHNSN</v>
      </c>
      <c r="D474" s="13" t="str">
        <f>IFERROR(__xludf.DUMMYFUNCTION("""COMPUTED_VALUE"""),"INE010A01011")</f>
        <v>INE010A01011</v>
      </c>
      <c r="E474" s="13" t="str">
        <f>IFERROR(__xludf.DUMMYFUNCTION("""COMPUTED_VALUE"""),"Materials")</f>
        <v>Materials</v>
      </c>
      <c r="F474" s="13" t="str">
        <f>IFERROR(__xludf.DUMMYFUNCTION("""COMPUTED_VALUE"""),"Cement")</f>
        <v>Cement</v>
      </c>
      <c r="G474" s="31">
        <f>IFERROR(__xludf.DUMMYFUNCTION("""COMPUTED_VALUE"""),44809.0)</f>
        <v>44809</v>
      </c>
      <c r="H474" s="32">
        <f>IFERROR(__xludf.DUMMYFUNCTION("""COMPUTED_VALUE"""),126.25)</f>
        <v>126.25</v>
      </c>
      <c r="I474" s="32">
        <f>IFERROR(__xludf.DUMMYFUNCTION("""COMPUTED_VALUE"""),0.277998)</f>
        <v>0.277998</v>
      </c>
      <c r="J474" s="32">
        <f>IFERROR(__xludf.DUMMYFUNCTION("""COMPUTED_VALUE"""),96.65)</f>
        <v>96.65</v>
      </c>
      <c r="K474" s="32">
        <f>IFERROR(__xludf.DUMMYFUNCTION("""COMPUTED_VALUE"""),160.0)</f>
        <v>160</v>
      </c>
      <c r="L474" s="32">
        <f>IFERROR(__xludf.DUMMYFUNCTION("""COMPUTED_VALUE"""),25.7)</f>
        <v>25.7</v>
      </c>
      <c r="M474" s="32">
        <f>IFERROR(__xludf.DUMMYFUNCTION("""COMPUTED_VALUE"""),160.0)</f>
        <v>160</v>
      </c>
      <c r="N474" s="32">
        <f>IFERROR(__xludf.DUMMYFUNCTION("""COMPUTED_VALUE"""),25.7)</f>
        <v>25.7</v>
      </c>
      <c r="O474" s="32">
        <f>IFERROR(__xludf.DUMMYFUNCTION("""COMPUTED_VALUE"""),160.0)</f>
        <v>160</v>
      </c>
      <c r="P474" s="32">
        <f>IFERROR(__xludf.DUMMYFUNCTION("""COMPUTED_VALUE"""),3.1)</f>
        <v>3.1</v>
      </c>
      <c r="Q474" s="32">
        <f>IFERROR(__xludf.DUMMYFUNCTION("""COMPUTED_VALUE"""),160.0)</f>
        <v>160</v>
      </c>
      <c r="R474" s="32">
        <f>IFERROR(__xludf.DUMMYFUNCTION("""COMPUTED_VALUE"""),6354.8768225)</f>
        <v>6354.876823</v>
      </c>
      <c r="S474" s="32">
        <f>IFERROR(__xludf.DUMMYFUNCTION("""COMPUTED_VALUE"""),7498.4732567)</f>
        <v>7498.473257</v>
      </c>
      <c r="T474" s="32">
        <f>IFERROR(__xludf.DUMMYFUNCTION("""COMPUTED_VALUE"""),-0.980392)</f>
        <v>-0.980392</v>
      </c>
      <c r="U474" s="32">
        <f>IFERROR(__xludf.DUMMYFUNCTION("""COMPUTED_VALUE"""),5.82565)</f>
        <v>5.82565</v>
      </c>
      <c r="V474" s="32">
        <f>IFERROR(__xludf.DUMMYFUNCTION("""COMPUTED_VALUE"""),16.198803)</f>
        <v>16.198803</v>
      </c>
      <c r="W474" s="32">
        <f>IFERROR(__xludf.DUMMYFUNCTION("""COMPUTED_VALUE"""),-1.405701)</f>
        <v>-1.405701</v>
      </c>
      <c r="X474" s="32">
        <f>IFERROR(__xludf.DUMMYFUNCTION("""COMPUTED_VALUE"""),13.586147)</f>
        <v>13.586147</v>
      </c>
      <c r="Y474" s="32">
        <f>IFERROR(__xludf.DUMMYFUNCTION("""COMPUTED_VALUE"""),3.171923)</f>
        <v>3.171923</v>
      </c>
      <c r="Z474" s="32">
        <f>IFERROR(__xludf.DUMMYFUNCTION("""COMPUTED_VALUE"""),9.893192)</f>
        <v>9.893192</v>
      </c>
      <c r="AA474" s="32">
        <f>IFERROR(__xludf.DUMMYFUNCTION("""COMPUTED_VALUE"""),73.2922)</f>
        <v>73.2922</v>
      </c>
      <c r="AB474" s="32">
        <f>IFERROR(__xludf.DUMMYFUNCTION("""COMPUTED_VALUE"""),36.8018)</f>
        <v>36.8018</v>
      </c>
      <c r="AC474" s="32">
        <f>IFERROR(__xludf.DUMMYFUNCTION("""COMPUTED_VALUE"""),4.861)</f>
        <v>4.861</v>
      </c>
      <c r="AD474" s="32">
        <f>IFERROR(__xludf.DUMMYFUNCTION("""COMPUTED_VALUE"""),4.3778)</f>
        <v>4.3778</v>
      </c>
      <c r="AE474" s="32">
        <f>IFERROR(__xludf.DUMMYFUNCTION("""COMPUTED_VALUE"""),3.609112)</f>
        <v>3.609112</v>
      </c>
      <c r="AF474" s="32">
        <f>IFERROR(__xludf.DUMMYFUNCTION("""COMPUTED_VALUE"""),3.081823)</f>
        <v>3.081823</v>
      </c>
      <c r="AG474" s="32">
        <f>IFERROR(__xludf.DUMMYFUNCTION("""COMPUTED_VALUE"""),0.0)</f>
        <v>0</v>
      </c>
      <c r="AH474" s="32">
        <f>IFERROR(__xludf.DUMMYFUNCTION("""COMPUTED_VALUE"""),13.293751)</f>
        <v>13.293751</v>
      </c>
      <c r="AI474" s="32">
        <f>IFERROR(__xludf.DUMMYFUNCTION("""COMPUTED_VALUE"""),0.9564490178711185)</f>
        <v>0.9564490179</v>
      </c>
      <c r="AJ474" s="32">
        <f>IFERROR(__xludf.DUMMYFUNCTION("""COMPUTED_VALUE"""),11.238419733491316)</f>
        <v>11.23841973</v>
      </c>
      <c r="AK474" s="32">
        <f>IFERROR(__xludf.DUMMYFUNCTION("""COMPUTED_VALUE"""),1.7185)</f>
        <v>1.7185</v>
      </c>
      <c r="AL474" s="32">
        <f>IFERROR(__xludf.DUMMYFUNCTION("""COMPUTED_VALUE"""),25.9102)</f>
        <v>25.9102</v>
      </c>
      <c r="AM474" s="32">
        <f>IFERROR(__xludf.DUMMYFUNCTION("""COMPUTED_VALUE"""),11.233709)</f>
        <v>11.233709</v>
      </c>
      <c r="AN474" s="32">
        <f>IFERROR(__xludf.DUMMYFUNCTION("""COMPUTED_VALUE"""),0.559639)</f>
        <v>0.559639</v>
      </c>
      <c r="AO474" s="32">
        <f>IFERROR(__xludf.DUMMYFUNCTION("""COMPUTED_VALUE"""),0.0)</f>
        <v>0</v>
      </c>
      <c r="AP474" s="32">
        <f>IFERROR(__xludf.DUMMYFUNCTION("""COMPUTED_VALUE"""),0.2109375)</f>
        <v>0.2109375</v>
      </c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</row>
    <row r="475">
      <c r="A475" s="13" t="str">
        <f>IFERROR(__xludf.DUMMYFUNCTION("""COMPUTED_VALUE"""),"PVR Ltd.")</f>
        <v>PVR Ltd.</v>
      </c>
      <c r="B475" s="30">
        <f>IFERROR(__xludf.DUMMYFUNCTION("""COMPUTED_VALUE"""),532689.0)</f>
        <v>532689</v>
      </c>
      <c r="C475" s="13" t="str">
        <f>IFERROR(__xludf.DUMMYFUNCTION("""COMPUTED_VALUE"""),"PVR")</f>
        <v>PVR</v>
      </c>
      <c r="D475" s="13" t="str">
        <f>IFERROR(__xludf.DUMMYFUNCTION("""COMPUTED_VALUE"""),"INE191H01014")</f>
        <v>INE191H01014</v>
      </c>
      <c r="E475" s="13" t="str">
        <f>IFERROR(__xludf.DUMMYFUNCTION("""COMPUTED_VALUE"""),"Services")</f>
        <v>Services</v>
      </c>
      <c r="F475" s="13" t="str">
        <f>IFERROR(__xludf.DUMMYFUNCTION("""COMPUTED_VALUE"""),"Leisure &amp; Recreation")</f>
        <v>Leisure &amp; Recreation</v>
      </c>
      <c r="G475" s="31">
        <f>IFERROR(__xludf.DUMMYFUNCTION("""COMPUTED_VALUE"""),44809.0)</f>
        <v>44809</v>
      </c>
      <c r="H475" s="32">
        <f>IFERROR(__xludf.DUMMYFUNCTION("""COMPUTED_VALUE"""),1937.65)</f>
        <v>1937.65</v>
      </c>
      <c r="I475" s="32">
        <f>IFERROR(__xludf.DUMMYFUNCTION("""COMPUTED_VALUE"""),4.205545)</f>
        <v>4.205545</v>
      </c>
      <c r="J475" s="32">
        <f>IFERROR(__xludf.DUMMYFUNCTION("""COMPUTED_VALUE"""),1224.05)</f>
        <v>1224.05</v>
      </c>
      <c r="K475" s="32">
        <f>IFERROR(__xludf.DUMMYFUNCTION("""COMPUTED_VALUE"""),2214.85)</f>
        <v>2214.85</v>
      </c>
      <c r="L475" s="32">
        <f>IFERROR(__xludf.DUMMYFUNCTION("""COMPUTED_VALUE"""),705.325436)</f>
        <v>705.325436</v>
      </c>
      <c r="M475" s="32">
        <f>IFERROR(__xludf.DUMMYFUNCTION("""COMPUTED_VALUE"""),2214.85)</f>
        <v>2214.85</v>
      </c>
      <c r="N475" s="32">
        <f>IFERROR(__xludf.DUMMYFUNCTION("""COMPUTED_VALUE"""),705.325436)</f>
        <v>705.325436</v>
      </c>
      <c r="O475" s="32">
        <f>IFERROR(__xludf.DUMMYFUNCTION("""COMPUTED_VALUE"""),2214.85)</f>
        <v>2214.85</v>
      </c>
      <c r="P475" s="32">
        <f>IFERROR(__xludf.DUMMYFUNCTION("""COMPUTED_VALUE"""),56.462914)</f>
        <v>56.462914</v>
      </c>
      <c r="Q475" s="32">
        <f>IFERROR(__xludf.DUMMYFUNCTION("""COMPUTED_VALUE"""),2214.85)</f>
        <v>2214.85</v>
      </c>
      <c r="R475" s="32">
        <f>IFERROR(__xludf.DUMMYFUNCTION("""COMPUTED_VALUE"""),11879.3082575)</f>
        <v>11879.30826</v>
      </c>
      <c r="S475" s="32">
        <f>IFERROR(__xludf.DUMMYFUNCTION("""COMPUTED_VALUE"""),12272.69359895)</f>
        <v>12272.6936</v>
      </c>
      <c r="T475" s="32">
        <f>IFERROR(__xludf.DUMMYFUNCTION("""COMPUTED_VALUE"""),5.703453)</f>
        <v>5.703453</v>
      </c>
      <c r="U475" s="32">
        <f>IFERROR(__xludf.DUMMYFUNCTION("""COMPUTED_VALUE"""),-9.943763)</f>
        <v>-9.943763</v>
      </c>
      <c r="V475" s="32">
        <f>IFERROR(__xludf.DUMMYFUNCTION("""COMPUTED_VALUE"""),6.637132)</f>
        <v>6.637132</v>
      </c>
      <c r="W475" s="32">
        <f>IFERROR(__xludf.DUMMYFUNCTION("""COMPUTED_VALUE"""),44.714142)</f>
        <v>44.714142</v>
      </c>
      <c r="X475" s="32">
        <f>IFERROR(__xludf.DUMMYFUNCTION("""COMPUTED_VALUE"""),9.884362)</f>
        <v>9.884362</v>
      </c>
      <c r="Y475" s="32">
        <f>IFERROR(__xludf.DUMMYFUNCTION("""COMPUTED_VALUE"""),8.534422)</f>
        <v>8.534422</v>
      </c>
      <c r="Z475" s="32">
        <f>IFERROR(__xludf.DUMMYFUNCTION("""COMPUTED_VALUE"""),26.925194)</f>
        <v>26.925194</v>
      </c>
      <c r="AA475" s="13"/>
      <c r="AB475" s="32">
        <f>IFERROR(__xludf.DUMMYFUNCTION("""COMPUTED_VALUE"""),51.39465)</f>
        <v>51.39465</v>
      </c>
      <c r="AC475" s="32">
        <f>IFERROR(__xludf.DUMMYFUNCTION("""COMPUTED_VALUE"""),8.4139)</f>
        <v>8.4139</v>
      </c>
      <c r="AD475" s="32">
        <f>IFERROR(__xludf.DUMMYFUNCTION("""COMPUTED_VALUE"""),5.9763)</f>
        <v>5.9763</v>
      </c>
      <c r="AE475" s="32">
        <f>IFERROR(__xludf.DUMMYFUNCTION("""COMPUTED_VALUE"""),4.257026)</f>
        <v>4.257026</v>
      </c>
      <c r="AF475" s="13"/>
      <c r="AG475" s="32">
        <f>IFERROR(__xludf.DUMMYFUNCTION("""COMPUTED_VALUE"""),0.0)</f>
        <v>0</v>
      </c>
      <c r="AH475" s="32">
        <f>IFERROR(__xludf.DUMMYFUNCTION("""COMPUTED_VALUE"""),14.403556)</f>
        <v>14.403556</v>
      </c>
      <c r="AI475" s="32">
        <f>IFERROR(__xludf.DUMMYFUNCTION("""COMPUTED_VALUE"""),5.272638939685132)</f>
        <v>5.27263894</v>
      </c>
      <c r="AJ475" s="32">
        <f>IFERROR(__xludf.DUMMYFUNCTION("""COMPUTED_VALUE"""),71.22314441813059)</f>
        <v>71.22314442</v>
      </c>
      <c r="AK475" s="32">
        <f>IFERROR(__xludf.DUMMYFUNCTION("""COMPUTED_VALUE"""),-35.2707)</f>
        <v>-35.2707</v>
      </c>
      <c r="AL475" s="32">
        <f>IFERROR(__xludf.DUMMYFUNCTION("""COMPUTED_VALUE"""),231.1649)</f>
        <v>231.1649</v>
      </c>
      <c r="AM475" s="32">
        <f>IFERROR(__xludf.DUMMYFUNCTION("""COMPUTED_VALUE"""),27.342623)</f>
        <v>27.342623</v>
      </c>
      <c r="AN475" s="32">
        <f>IFERROR(__xludf.DUMMYFUNCTION("""COMPUTED_VALUE"""),7.27377)</f>
        <v>7.27377</v>
      </c>
      <c r="AO475" s="32">
        <f>IFERROR(__xludf.DUMMYFUNCTION("""COMPUTED_VALUE"""),0.0)</f>
        <v>0</v>
      </c>
      <c r="AP475" s="32">
        <f>IFERROR(__xludf.DUMMYFUNCTION("""COMPUTED_VALUE"""),0.12515520238390854)</f>
        <v>0.1251552024</v>
      </c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</row>
    <row r="476">
      <c r="A476" s="13" t="str">
        <f>IFERROR(__xludf.DUMMYFUNCTION("""COMPUTED_VALUE"""),"RBL Bank Ltd.")</f>
        <v>RBL Bank Ltd.</v>
      </c>
      <c r="B476" s="30">
        <f>IFERROR(__xludf.DUMMYFUNCTION("""COMPUTED_VALUE"""),540065.0)</f>
        <v>540065</v>
      </c>
      <c r="C476" s="13" t="str">
        <f>IFERROR(__xludf.DUMMYFUNCTION("""COMPUTED_VALUE"""),"RBLBANK")</f>
        <v>RBLBANK</v>
      </c>
      <c r="D476" s="13" t="str">
        <f>IFERROR(__xludf.DUMMYFUNCTION("""COMPUTED_VALUE"""),"INE976G01028")</f>
        <v>INE976G01028</v>
      </c>
      <c r="E476" s="13" t="str">
        <f>IFERROR(__xludf.DUMMYFUNCTION("""COMPUTED_VALUE"""),"Financial")</f>
        <v>Financial</v>
      </c>
      <c r="F476" s="13" t="str">
        <f>IFERROR(__xludf.DUMMYFUNCTION("""COMPUTED_VALUE"""),"Banking")</f>
        <v>Banking</v>
      </c>
      <c r="G476" s="31">
        <f>IFERROR(__xludf.DUMMYFUNCTION("""COMPUTED_VALUE"""),44809.0)</f>
        <v>44809</v>
      </c>
      <c r="H476" s="32">
        <f>IFERROR(__xludf.DUMMYFUNCTION("""COMPUTED_VALUE"""),124.05)</f>
        <v>124.05</v>
      </c>
      <c r="I476" s="32">
        <f>IFERROR(__xludf.DUMMYFUNCTION("""COMPUTED_VALUE"""),1.763741)</f>
        <v>1.763741</v>
      </c>
      <c r="J476" s="32">
        <f>IFERROR(__xludf.DUMMYFUNCTION("""COMPUTED_VALUE"""),74.15)</f>
        <v>74.15</v>
      </c>
      <c r="K476" s="32">
        <f>IFERROR(__xludf.DUMMYFUNCTION("""COMPUTED_VALUE"""),221.3)</f>
        <v>221.3</v>
      </c>
      <c r="L476" s="32">
        <f>IFERROR(__xludf.DUMMYFUNCTION("""COMPUTED_VALUE"""),74.15)</f>
        <v>74.15</v>
      </c>
      <c r="M476" s="32">
        <f>IFERROR(__xludf.DUMMYFUNCTION("""COMPUTED_VALUE"""),415.0)</f>
        <v>415</v>
      </c>
      <c r="N476" s="32">
        <f>IFERROR(__xludf.DUMMYFUNCTION("""COMPUTED_VALUE"""),74.15)</f>
        <v>74.15</v>
      </c>
      <c r="O476" s="32">
        <f>IFERROR(__xludf.DUMMYFUNCTION("""COMPUTED_VALUE"""),716.55)</f>
        <v>716.55</v>
      </c>
      <c r="P476" s="32">
        <f>IFERROR(__xludf.DUMMYFUNCTION("""COMPUTED_VALUE"""),74.15)</f>
        <v>74.15</v>
      </c>
      <c r="Q476" s="32">
        <f>IFERROR(__xludf.DUMMYFUNCTION("""COMPUTED_VALUE"""),716.55)</f>
        <v>716.55</v>
      </c>
      <c r="R476" s="32">
        <f>IFERROR(__xludf.DUMMYFUNCTION("""COMPUTED_VALUE"""),7433.9855412)</f>
        <v>7433.985541</v>
      </c>
      <c r="S476" s="32">
        <f>IFERROR(__xludf.DUMMYFUNCTION("""COMPUTED_VALUE"""),854.5748486)</f>
        <v>854.5748486</v>
      </c>
      <c r="T476" s="32">
        <f>IFERROR(__xludf.DUMMYFUNCTION("""COMPUTED_VALUE"""),-0.321414)</f>
        <v>-0.321414</v>
      </c>
      <c r="U476" s="32">
        <f>IFERROR(__xludf.DUMMYFUNCTION("""COMPUTED_VALUE"""),28.950104)</f>
        <v>28.950104</v>
      </c>
      <c r="V476" s="32">
        <f>IFERROR(__xludf.DUMMYFUNCTION("""COMPUTED_VALUE"""),17.028302)</f>
        <v>17.028302</v>
      </c>
      <c r="W476" s="32">
        <f>IFERROR(__xludf.DUMMYFUNCTION("""COMPUTED_VALUE"""),-27.961672)</f>
        <v>-27.961672</v>
      </c>
      <c r="X476" s="32">
        <f>IFERROR(__xludf.DUMMYFUNCTION("""COMPUTED_VALUE"""),-27.45363)</f>
        <v>-27.45363</v>
      </c>
      <c r="Y476" s="32">
        <f>IFERROR(__xludf.DUMMYFUNCTION("""COMPUTED_VALUE"""),-25.32023)</f>
        <v>-25.32023</v>
      </c>
      <c r="Z476" s="13"/>
      <c r="AA476" s="32">
        <f>IFERROR(__xludf.DUMMYFUNCTION("""COMPUTED_VALUE"""),14.7278)</f>
        <v>14.7278</v>
      </c>
      <c r="AB476" s="32">
        <f>IFERROR(__xludf.DUMMYFUNCTION("""COMPUTED_VALUE"""),26.3473)</f>
        <v>26.3473</v>
      </c>
      <c r="AC476" s="32">
        <f>IFERROR(__xludf.DUMMYFUNCTION("""COMPUTED_VALUE"""),0.5841)</f>
        <v>0.5841</v>
      </c>
      <c r="AD476" s="32">
        <f>IFERROR(__xludf.DUMMYFUNCTION("""COMPUTED_VALUE"""),1.1697)</f>
        <v>1.1697</v>
      </c>
      <c r="AE476" s="32">
        <f>IFERROR(__xludf.DUMMYFUNCTION("""COMPUTED_VALUE"""),666.689351)</f>
        <v>666.689351</v>
      </c>
      <c r="AF476" s="32">
        <f>IFERROR(__xludf.DUMMYFUNCTION("""COMPUTED_VALUE"""),0.514865)</f>
        <v>0.514865</v>
      </c>
      <c r="AG476" s="32">
        <f>IFERROR(__xludf.DUMMYFUNCTION("""COMPUTED_VALUE"""),0.0)</f>
        <v>0</v>
      </c>
      <c r="AH476" s="32">
        <f>IFERROR(__xludf.DUMMYFUNCTION("""COMPUTED_VALUE"""),0.352088)</f>
        <v>0.352088</v>
      </c>
      <c r="AI476" s="32">
        <f>IFERROR(__xludf.DUMMYFUNCTION("""COMPUTED_VALUE"""),0.8700856324635972)</f>
        <v>0.8700856325</v>
      </c>
      <c r="AJ476" s="32">
        <f>IFERROR(__xludf.DUMMYFUNCTION("""COMPUTED_VALUE"""),1.1527507752938575)</f>
        <v>1.152750775</v>
      </c>
      <c r="AK476" s="32">
        <f>IFERROR(__xludf.DUMMYFUNCTION("""COMPUTED_VALUE"""),8.4195)</f>
        <v>8.4195</v>
      </c>
      <c r="AL476" s="32">
        <f>IFERROR(__xludf.DUMMYFUNCTION("""COMPUTED_VALUE"""),212.3064)</f>
        <v>212.3064</v>
      </c>
      <c r="AM476" s="32">
        <f>IFERROR(__xludf.DUMMYFUNCTION("""COMPUTED_VALUE"""),107.568993)</f>
        <v>107.568993</v>
      </c>
      <c r="AN476" s="32">
        <f>IFERROR(__xludf.DUMMYFUNCTION("""COMPUTED_VALUE"""),52.755965)</f>
        <v>52.755965</v>
      </c>
      <c r="AO476" s="32">
        <f>IFERROR(__xludf.DUMMYFUNCTION("""COMPUTED_VALUE"""),0.0)</f>
        <v>0</v>
      </c>
      <c r="AP476" s="32">
        <f>IFERROR(__xludf.DUMMYFUNCTION("""COMPUTED_VALUE"""),0.4394487121554451)</f>
        <v>0.4394487122</v>
      </c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</row>
    <row r="477">
      <c r="A477" s="13" t="str">
        <f>IFERROR(__xludf.DUMMYFUNCTION("""COMPUTED_VALUE"""),"Restaurant Brands Asia Ltd.")</f>
        <v>Restaurant Brands Asia Ltd.</v>
      </c>
      <c r="B477" s="30">
        <f>IFERROR(__xludf.DUMMYFUNCTION("""COMPUTED_VALUE"""),543248.0)</f>
        <v>543248</v>
      </c>
      <c r="C477" s="13" t="str">
        <f>IFERROR(__xludf.DUMMYFUNCTION("""COMPUTED_VALUE"""),"RBA")</f>
        <v>RBA</v>
      </c>
      <c r="D477" s="13" t="str">
        <f>IFERROR(__xludf.DUMMYFUNCTION("""COMPUTED_VALUE"""),"INE07T201019")</f>
        <v>INE07T201019</v>
      </c>
      <c r="E477" s="13" t="str">
        <f>IFERROR(__xludf.DUMMYFUNCTION("""COMPUTED_VALUE"""),"Services")</f>
        <v>Services</v>
      </c>
      <c r="F477" s="13" t="str">
        <f>IFERROR(__xludf.DUMMYFUNCTION("""COMPUTED_VALUE"""),"Restaurants")</f>
        <v>Restaurants</v>
      </c>
      <c r="G477" s="31">
        <f>IFERROR(__xludf.DUMMYFUNCTION("""COMPUTED_VALUE"""),44809.0)</f>
        <v>44809</v>
      </c>
      <c r="H477" s="32">
        <f>IFERROR(__xludf.DUMMYFUNCTION("""COMPUTED_VALUE"""),133.15)</f>
        <v>133.15</v>
      </c>
      <c r="I477" s="32">
        <f>IFERROR(__xludf.DUMMYFUNCTION("""COMPUTED_VALUE"""),2.030651)</f>
        <v>2.030651</v>
      </c>
      <c r="J477" s="32">
        <f>IFERROR(__xludf.DUMMYFUNCTION("""COMPUTED_VALUE"""),86.5)</f>
        <v>86.5</v>
      </c>
      <c r="K477" s="32">
        <f>IFERROR(__xludf.DUMMYFUNCTION("""COMPUTED_VALUE"""),171.9)</f>
        <v>171.9</v>
      </c>
      <c r="L477" s="13"/>
      <c r="M477" s="13"/>
      <c r="N477" s="13"/>
      <c r="O477" s="13"/>
      <c r="P477" s="32">
        <f>IFERROR(__xludf.DUMMYFUNCTION("""COMPUTED_VALUE"""),86.5)</f>
        <v>86.5</v>
      </c>
      <c r="Q477" s="32">
        <f>IFERROR(__xludf.DUMMYFUNCTION("""COMPUTED_VALUE"""),219.15)</f>
        <v>219.15</v>
      </c>
      <c r="R477" s="32">
        <f>IFERROR(__xludf.DUMMYFUNCTION("""COMPUTED_VALUE"""),6568.25490763)</f>
        <v>6568.254908</v>
      </c>
      <c r="S477" s="32">
        <f>IFERROR(__xludf.DUMMYFUNCTION("""COMPUTED_VALUE"""),5907.37955713)</f>
        <v>5907.379557</v>
      </c>
      <c r="T477" s="32">
        <f>IFERROR(__xludf.DUMMYFUNCTION("""COMPUTED_VALUE"""),2.226488)</f>
        <v>2.226488</v>
      </c>
      <c r="U477" s="32">
        <f>IFERROR(__xludf.DUMMYFUNCTION("""COMPUTED_VALUE"""),10.360547)</f>
        <v>10.360547</v>
      </c>
      <c r="V477" s="32">
        <f>IFERROR(__xludf.DUMMYFUNCTION("""COMPUTED_VALUE"""),26.328273)</f>
        <v>26.328273</v>
      </c>
      <c r="W477" s="32">
        <f>IFERROR(__xludf.DUMMYFUNCTION("""COMPUTED_VALUE"""),-15.218083)</f>
        <v>-15.218083</v>
      </c>
      <c r="X477" s="13"/>
      <c r="Y477" s="13"/>
      <c r="Z477" s="13"/>
      <c r="AA477" s="13"/>
      <c r="AB477" s="13"/>
      <c r="AC477" s="32">
        <f>IFERROR(__xludf.DUMMYFUNCTION("""COMPUTED_VALUE"""),3.4289)</f>
        <v>3.4289</v>
      </c>
      <c r="AD477" s="32">
        <f>IFERROR(__xludf.DUMMYFUNCTION("""COMPUTED_VALUE"""),3.2783)</f>
        <v>3.2783</v>
      </c>
      <c r="AE477" s="32">
        <f>IFERROR(__xludf.DUMMYFUNCTION("""COMPUTED_VALUE"""),0.431774)</f>
        <v>0.431774</v>
      </c>
      <c r="AF477" s="13"/>
      <c r="AG477" s="32">
        <f>IFERROR(__xludf.DUMMYFUNCTION("""COMPUTED_VALUE"""),0.0)</f>
        <v>0</v>
      </c>
      <c r="AH477" s="32">
        <f>IFERROR(__xludf.DUMMYFUNCTION("""COMPUTED_VALUE"""),39.803117)</f>
        <v>39.803117</v>
      </c>
      <c r="AI477" s="32">
        <f>IFERROR(__xludf.DUMMYFUNCTION("""COMPUTED_VALUE"""),5.807850469243373)</f>
        <v>5.807850469</v>
      </c>
      <c r="AJ477" s="32">
        <f>IFERROR(__xludf.DUMMYFUNCTION("""COMPUTED_VALUE"""),94.96500986958722)</f>
        <v>94.96500987</v>
      </c>
      <c r="AK477" s="32">
        <f>IFERROR(__xludf.DUMMYFUNCTION("""COMPUTED_VALUE"""),-1.446)</f>
        <v>-1.446</v>
      </c>
      <c r="AL477" s="32">
        <f>IFERROR(__xludf.DUMMYFUNCTION("""COMPUTED_VALUE"""),38.8313)</f>
        <v>38.8313</v>
      </c>
      <c r="AM477" s="32">
        <f>IFERROR(__xludf.DUMMYFUNCTION("""COMPUTED_VALUE"""),1.403656)</f>
        <v>1.403656</v>
      </c>
      <c r="AN477" s="32">
        <f>IFERROR(__xludf.DUMMYFUNCTION("""COMPUTED_VALUE"""),-3.159154)</f>
        <v>-3.159154</v>
      </c>
      <c r="AO477" s="32">
        <f>IFERROR(__xludf.DUMMYFUNCTION("""COMPUTED_VALUE"""),0.0)</f>
        <v>0</v>
      </c>
      <c r="AP477" s="32">
        <f>IFERROR(__xludf.DUMMYFUNCTION("""COMPUTED_VALUE"""),0.22542175683536939)</f>
        <v>0.2254217568</v>
      </c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</row>
    <row r="478">
      <c r="A478" s="13" t="str">
        <f>IFERROR(__xludf.DUMMYFUNCTION("""COMPUTED_VALUE"""),"Ruchi Soya Industries Ltd.")</f>
        <v>Ruchi Soya Industries Ltd.</v>
      </c>
      <c r="B478" s="30">
        <f>IFERROR(__xludf.DUMMYFUNCTION("""COMPUTED_VALUE"""),500368.0)</f>
        <v>500368</v>
      </c>
      <c r="C478" s="13" t="str">
        <f>IFERROR(__xludf.DUMMYFUNCTION("""COMPUTED_VALUE"""),"PATANJALI")</f>
        <v>PATANJALI</v>
      </c>
      <c r="D478" s="13" t="str">
        <f>IFERROR(__xludf.DUMMYFUNCTION("""COMPUTED_VALUE"""),"INE619A01035")</f>
        <v>INE619A01035</v>
      </c>
      <c r="E478" s="13" t="str">
        <f>IFERROR(__xludf.DUMMYFUNCTION("""COMPUTED_VALUE"""),"Consumer Staples")</f>
        <v>Consumer Staples</v>
      </c>
      <c r="F478" s="13" t="str">
        <f>IFERROR(__xludf.DUMMYFUNCTION("""COMPUTED_VALUE"""),"Soyabean Prod.")</f>
        <v>Soyabean Prod.</v>
      </c>
      <c r="G478" s="31">
        <f>IFERROR(__xludf.DUMMYFUNCTION("""COMPUTED_VALUE"""),44809.0)</f>
        <v>44809</v>
      </c>
      <c r="H478" s="32">
        <f>IFERROR(__xludf.DUMMYFUNCTION("""COMPUTED_VALUE"""),1317.8)</f>
        <v>1317.8</v>
      </c>
      <c r="I478" s="32">
        <f>IFERROR(__xludf.DUMMYFUNCTION("""COMPUTED_VALUE"""),4.907853)</f>
        <v>4.907853</v>
      </c>
      <c r="J478" s="32">
        <f>IFERROR(__xludf.DUMMYFUNCTION("""COMPUTED_VALUE"""),700.05)</f>
        <v>700.05</v>
      </c>
      <c r="K478" s="32">
        <f>IFERROR(__xludf.DUMMYFUNCTION("""COMPUTED_VALUE"""),1324.35)</f>
        <v>1324.35</v>
      </c>
      <c r="L478" s="32">
        <f>IFERROR(__xludf.DUMMYFUNCTION("""COMPUTED_VALUE"""),3.32)</f>
        <v>3.32</v>
      </c>
      <c r="M478" s="32">
        <f>IFERROR(__xludf.DUMMYFUNCTION("""COMPUTED_VALUE"""),1535.0)</f>
        <v>1535</v>
      </c>
      <c r="N478" s="32">
        <f>IFERROR(__xludf.DUMMYFUNCTION("""COMPUTED_VALUE"""),3.28)</f>
        <v>3.28</v>
      </c>
      <c r="O478" s="32">
        <f>IFERROR(__xludf.DUMMYFUNCTION("""COMPUTED_VALUE"""),1535.0)</f>
        <v>1535</v>
      </c>
      <c r="P478" s="32">
        <f>IFERROR(__xludf.DUMMYFUNCTION("""COMPUTED_VALUE"""),3.28)</f>
        <v>3.28</v>
      </c>
      <c r="Q478" s="32">
        <f>IFERROR(__xludf.DUMMYFUNCTION("""COMPUTED_VALUE"""),1535.0)</f>
        <v>1535</v>
      </c>
      <c r="R478" s="32">
        <f>IFERROR(__xludf.DUMMYFUNCTION("""COMPUTED_VALUE"""),47882.869180575)</f>
        <v>47882.86918</v>
      </c>
      <c r="S478" s="32">
        <f>IFERROR(__xludf.DUMMYFUNCTION("""COMPUTED_VALUE"""),48915.90600889)</f>
        <v>48915.90601</v>
      </c>
      <c r="T478" s="32">
        <f>IFERROR(__xludf.DUMMYFUNCTION("""COMPUTED_VALUE"""),16.264502)</f>
        <v>16.264502</v>
      </c>
      <c r="U478" s="32">
        <f>IFERROR(__xludf.DUMMYFUNCTION("""COMPUTED_VALUE"""),17.498105)</f>
        <v>17.498105</v>
      </c>
      <c r="V478" s="32">
        <f>IFERROR(__xludf.DUMMYFUNCTION("""COMPUTED_VALUE"""),21.249482)</f>
        <v>21.249482</v>
      </c>
      <c r="W478" s="32">
        <f>IFERROR(__xludf.DUMMYFUNCTION("""COMPUTED_VALUE"""),24.874443)</f>
        <v>24.874443</v>
      </c>
      <c r="X478" s="32">
        <f>IFERROR(__xludf.DUMMYFUNCTION("""COMPUTED_VALUE"""),564.067659)</f>
        <v>564.067659</v>
      </c>
      <c r="Y478" s="32">
        <f>IFERROR(__xludf.DUMMYFUNCTION("""COMPUTED_VALUE"""),133.096711)</f>
        <v>133.096711</v>
      </c>
      <c r="Z478" s="32">
        <f>IFERROR(__xludf.DUMMYFUNCTION("""COMPUTED_VALUE"""),31.762038)</f>
        <v>31.762038</v>
      </c>
      <c r="AA478" s="32">
        <f>IFERROR(__xludf.DUMMYFUNCTION("""COMPUTED_VALUE"""),54.7836)</f>
        <v>54.7836</v>
      </c>
      <c r="AB478" s="32">
        <f>IFERROR(__xludf.DUMMYFUNCTION("""COMPUTED_VALUE"""),27.2136)</f>
        <v>27.2136</v>
      </c>
      <c r="AC478" s="32">
        <f>IFERROR(__xludf.DUMMYFUNCTION("""COMPUTED_VALUE"""),4.47)</f>
        <v>4.47</v>
      </c>
      <c r="AD478" s="32">
        <f>IFERROR(__xludf.DUMMYFUNCTION("""COMPUTED_VALUE"""),5.5698)</f>
        <v>5.5698</v>
      </c>
      <c r="AE478" s="32">
        <f>IFERROR(__xludf.DUMMYFUNCTION("""COMPUTED_VALUE"""),3.573342)</f>
        <v>3.573342</v>
      </c>
      <c r="AF478" s="32">
        <f>IFERROR(__xludf.DUMMYFUNCTION("""COMPUTED_VALUE"""),2.641544)</f>
        <v>2.641544</v>
      </c>
      <c r="AG478" s="32">
        <f>IFERROR(__xludf.DUMMYFUNCTION("""COMPUTED_VALUE"""),0.378)</f>
        <v>0.378</v>
      </c>
      <c r="AH478" s="32">
        <f>IFERROR(__xludf.DUMMYFUNCTION("""COMPUTED_VALUE"""),27.857739)</f>
        <v>27.857739</v>
      </c>
      <c r="AI478" s="32">
        <f>IFERROR(__xludf.DUMMYFUNCTION("""COMPUTED_VALUE"""),1.8310718394345264)</f>
        <v>1.831071839</v>
      </c>
      <c r="AJ478" s="32">
        <f>IFERROR(__xludf.DUMMYFUNCTION("""COMPUTED_VALUE"""),193.64969454106802)</f>
        <v>193.6496945</v>
      </c>
      <c r="AK478" s="32">
        <f>IFERROR(__xludf.DUMMYFUNCTION("""COMPUTED_VALUE"""),24.145)</f>
        <v>24.145</v>
      </c>
      <c r="AL478" s="32">
        <f>IFERROR(__xludf.DUMMYFUNCTION("""COMPUTED_VALUE"""),295.919)</f>
        <v>295.919</v>
      </c>
      <c r="AM478" s="32">
        <f>IFERROR(__xludf.DUMMYFUNCTION("""COMPUTED_VALUE"""),8.360212)</f>
        <v>8.360212</v>
      </c>
      <c r="AN478" s="32">
        <f>IFERROR(__xludf.DUMMYFUNCTION("""COMPUTED_VALUE"""),2.068196)</f>
        <v>2.068196</v>
      </c>
      <c r="AO478" s="32">
        <f>IFERROR(__xludf.DUMMYFUNCTION("""COMPUTED_VALUE"""),0.0)</f>
        <v>0</v>
      </c>
      <c r="AP478" s="32">
        <f>IFERROR(__xludf.DUMMYFUNCTION("""COMPUTED_VALUE"""),0.004945822478951905)</f>
        <v>0.004945822479</v>
      </c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</row>
    <row r="479">
      <c r="A479" s="13" t="str">
        <f>IFERROR(__xludf.DUMMYFUNCTION("""COMPUTED_VALUE"""),"Sapphire Foods India Ltd.")</f>
        <v>Sapphire Foods India Ltd.</v>
      </c>
      <c r="B479" s="30">
        <f>IFERROR(__xludf.DUMMYFUNCTION("""COMPUTED_VALUE"""),543397.0)</f>
        <v>543397</v>
      </c>
      <c r="C479" s="13" t="str">
        <f>IFERROR(__xludf.DUMMYFUNCTION("""COMPUTED_VALUE"""),"SAPPHIRE")</f>
        <v>SAPPHIRE</v>
      </c>
      <c r="D479" s="13" t="str">
        <f>IFERROR(__xludf.DUMMYFUNCTION("""COMPUTED_VALUE"""),"INE806T01012")</f>
        <v>INE806T01012</v>
      </c>
      <c r="E479" s="13" t="str">
        <f>IFERROR(__xludf.DUMMYFUNCTION("""COMPUTED_VALUE"""),"Services")</f>
        <v>Services</v>
      </c>
      <c r="F479" s="13" t="str">
        <f>IFERROR(__xludf.DUMMYFUNCTION("""COMPUTED_VALUE"""),"Restaurants")</f>
        <v>Restaurants</v>
      </c>
      <c r="G479" s="31">
        <f>IFERROR(__xludf.DUMMYFUNCTION("""COMPUTED_VALUE"""),44809.0)</f>
        <v>44809</v>
      </c>
      <c r="H479" s="32">
        <f>IFERROR(__xludf.DUMMYFUNCTION("""COMPUTED_VALUE"""),1362.15)</f>
        <v>1362.15</v>
      </c>
      <c r="I479" s="32">
        <f>IFERROR(__xludf.DUMMYFUNCTION("""COMPUTED_VALUE"""),0.691159)</f>
        <v>0.691159</v>
      </c>
      <c r="J479" s="32">
        <f>IFERROR(__xludf.DUMMYFUNCTION("""COMPUTED_VALUE"""),909.0)</f>
        <v>909</v>
      </c>
      <c r="K479" s="32">
        <f>IFERROR(__xludf.DUMMYFUNCTION("""COMPUTED_VALUE"""),1540.0)</f>
        <v>1540</v>
      </c>
      <c r="L479" s="13"/>
      <c r="M479" s="13"/>
      <c r="N479" s="13"/>
      <c r="O479" s="13"/>
      <c r="P479" s="32">
        <f>IFERROR(__xludf.DUMMYFUNCTION("""COMPUTED_VALUE"""),909.0)</f>
        <v>909</v>
      </c>
      <c r="Q479" s="32">
        <f>IFERROR(__xludf.DUMMYFUNCTION("""COMPUTED_VALUE"""),1540.0)</f>
        <v>1540</v>
      </c>
      <c r="R479" s="32">
        <f>IFERROR(__xludf.DUMMYFUNCTION("""COMPUTED_VALUE"""),8633.52504567)</f>
        <v>8633.525046</v>
      </c>
      <c r="S479" s="32">
        <f>IFERROR(__xludf.DUMMYFUNCTION("""COMPUTED_VALUE"""),8259.967040335)</f>
        <v>8259.96704</v>
      </c>
      <c r="T479" s="32">
        <f>IFERROR(__xludf.DUMMYFUNCTION("""COMPUTED_VALUE"""),8.201605)</f>
        <v>8.201605</v>
      </c>
      <c r="U479" s="32">
        <f>IFERROR(__xludf.DUMMYFUNCTION("""COMPUTED_VALUE"""),12.037342)</f>
        <v>12.037342</v>
      </c>
      <c r="V479" s="32">
        <f>IFERROR(__xludf.DUMMYFUNCTION("""COMPUTED_VALUE"""),36.487976)</f>
        <v>36.487976</v>
      </c>
      <c r="W479" s="13"/>
      <c r="X479" s="13"/>
      <c r="Y479" s="13"/>
      <c r="Z479" s="13"/>
      <c r="AA479" s="32">
        <f>IFERROR(__xludf.DUMMYFUNCTION("""COMPUTED_VALUE"""),77.9079)</f>
        <v>77.9079</v>
      </c>
      <c r="AB479" s="32">
        <f>IFERROR(__xludf.DUMMYFUNCTION("""COMPUTED_VALUE"""),142.0612)</f>
        <v>142.0612</v>
      </c>
      <c r="AC479" s="32">
        <f>IFERROR(__xludf.DUMMYFUNCTION("""COMPUTED_VALUE"""),8.304)</f>
        <v>8.304</v>
      </c>
      <c r="AD479" s="32">
        <f>IFERROR(__xludf.DUMMYFUNCTION("""COMPUTED_VALUE"""),3.4306)</f>
        <v>3.4306</v>
      </c>
      <c r="AE479" s="32">
        <f>IFERROR(__xludf.DUMMYFUNCTION("""COMPUTED_VALUE"""),2.729666)</f>
        <v>2.729666</v>
      </c>
      <c r="AF479" s="13"/>
      <c r="AG479" s="32">
        <f>IFERROR(__xludf.DUMMYFUNCTION("""COMPUTED_VALUE"""),0.0)</f>
        <v>0</v>
      </c>
      <c r="AH479" s="32">
        <f>IFERROR(__xludf.DUMMYFUNCTION("""COMPUTED_VALUE"""),19.935672)</f>
        <v>19.935672</v>
      </c>
      <c r="AI479" s="32">
        <f>IFERROR(__xludf.DUMMYFUNCTION("""COMPUTED_VALUE"""),4.394123259886939)</f>
        <v>4.39412326</v>
      </c>
      <c r="AJ479" s="32">
        <f>IFERROR(__xludf.DUMMYFUNCTION("""COMPUTED_VALUE"""),21.86311389417306)</f>
        <v>21.86311389</v>
      </c>
      <c r="AK479" s="32">
        <f>IFERROR(__xludf.DUMMYFUNCTION("""COMPUTED_VALUE"""),17.4398)</f>
        <v>17.4398</v>
      </c>
      <c r="AL479" s="32">
        <f>IFERROR(__xludf.DUMMYFUNCTION("""COMPUTED_VALUE"""),163.6196)</f>
        <v>163.6196</v>
      </c>
      <c r="AM479" s="32">
        <f>IFERROR(__xludf.DUMMYFUNCTION("""COMPUTED_VALUE"""),62.145319)</f>
        <v>62.145319</v>
      </c>
      <c r="AN479" s="32">
        <f>IFERROR(__xludf.DUMMYFUNCTION("""COMPUTED_VALUE"""),5.254237)</f>
        <v>5.254237</v>
      </c>
      <c r="AO479" s="32">
        <f>IFERROR(__xludf.DUMMYFUNCTION("""COMPUTED_VALUE"""),0.0)</f>
        <v>0</v>
      </c>
      <c r="AP479" s="32">
        <f>IFERROR(__xludf.DUMMYFUNCTION("""COMPUTED_VALUE"""),0.11548701298701293)</f>
        <v>0.115487013</v>
      </c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</row>
    <row r="480">
      <c r="A480" s="13" t="str">
        <f>IFERROR(__xludf.DUMMYFUNCTION("""COMPUTED_VALUE"""),"Sheela Foam Ltd.")</f>
        <v>Sheela Foam Ltd.</v>
      </c>
      <c r="B480" s="30">
        <f>IFERROR(__xludf.DUMMYFUNCTION("""COMPUTED_VALUE"""),540203.0)</f>
        <v>540203</v>
      </c>
      <c r="C480" s="13" t="str">
        <f>IFERROR(__xludf.DUMMYFUNCTION("""COMPUTED_VALUE"""),"SFL")</f>
        <v>SFL</v>
      </c>
      <c r="D480" s="13" t="str">
        <f>IFERROR(__xludf.DUMMYFUNCTION("""COMPUTED_VALUE"""),"INE916U01025")</f>
        <v>INE916U01025</v>
      </c>
      <c r="E480" s="13" t="str">
        <f>IFERROR(__xludf.DUMMYFUNCTION("""COMPUTED_VALUE"""),"Consumer Discretionary")</f>
        <v>Consumer Discretionary</v>
      </c>
      <c r="F480" s="13" t="str">
        <f>IFERROR(__xludf.DUMMYFUNCTION("""COMPUTED_VALUE"""),"Home Furnishings")</f>
        <v>Home Furnishings</v>
      </c>
      <c r="G480" s="31">
        <f>IFERROR(__xludf.DUMMYFUNCTION("""COMPUTED_VALUE"""),44809.0)</f>
        <v>44809</v>
      </c>
      <c r="H480" s="32">
        <f>IFERROR(__xludf.DUMMYFUNCTION("""COMPUTED_VALUE"""),3260.95)</f>
        <v>3260.95</v>
      </c>
      <c r="I480" s="32">
        <f>IFERROR(__xludf.DUMMYFUNCTION("""COMPUTED_VALUE"""),0.556601)</f>
        <v>0.556601</v>
      </c>
      <c r="J480" s="32">
        <f>IFERROR(__xludf.DUMMYFUNCTION("""COMPUTED_VALUE"""),2226.05)</f>
        <v>2226.05</v>
      </c>
      <c r="K480" s="32">
        <f>IFERROR(__xludf.DUMMYFUNCTION("""COMPUTED_VALUE"""),4055.0)</f>
        <v>4055</v>
      </c>
      <c r="L480" s="32">
        <f>IFERROR(__xludf.DUMMYFUNCTION("""COMPUTED_VALUE"""),1101.0)</f>
        <v>1101</v>
      </c>
      <c r="M480" s="32">
        <f>IFERROR(__xludf.DUMMYFUNCTION("""COMPUTED_VALUE"""),4055.0)</f>
        <v>4055</v>
      </c>
      <c r="N480" s="32">
        <f>IFERROR(__xludf.DUMMYFUNCTION("""COMPUTED_VALUE"""),1073.2)</f>
        <v>1073.2</v>
      </c>
      <c r="O480" s="32">
        <f>IFERROR(__xludf.DUMMYFUNCTION("""COMPUTED_VALUE"""),4055.0)</f>
        <v>4055</v>
      </c>
      <c r="P480" s="32">
        <f>IFERROR(__xludf.DUMMYFUNCTION("""COMPUTED_VALUE"""),850.1)</f>
        <v>850.1</v>
      </c>
      <c r="Q480" s="32">
        <f>IFERROR(__xludf.DUMMYFUNCTION("""COMPUTED_VALUE"""),4055.0)</f>
        <v>4055</v>
      </c>
      <c r="R480" s="32">
        <f>IFERROR(__xludf.DUMMYFUNCTION("""COMPUTED_VALUE"""),15796.11714444)</f>
        <v>15796.11714</v>
      </c>
      <c r="S480" s="32">
        <f>IFERROR(__xludf.DUMMYFUNCTION("""COMPUTED_VALUE"""),16036.77926792)</f>
        <v>16036.77927</v>
      </c>
      <c r="T480" s="32">
        <f>IFERROR(__xludf.DUMMYFUNCTION("""COMPUTED_VALUE"""),10.790426)</f>
        <v>10.790426</v>
      </c>
      <c r="U480" s="32">
        <f>IFERROR(__xludf.DUMMYFUNCTION("""COMPUTED_VALUE"""),14.158936)</f>
        <v>14.158936</v>
      </c>
      <c r="V480" s="32">
        <f>IFERROR(__xludf.DUMMYFUNCTION("""COMPUTED_VALUE"""),13.78053)</f>
        <v>13.78053</v>
      </c>
      <c r="W480" s="32">
        <f>IFERROR(__xludf.DUMMYFUNCTION("""COMPUTED_VALUE"""),41.362493)</f>
        <v>41.362493</v>
      </c>
      <c r="X480" s="32">
        <f>IFERROR(__xludf.DUMMYFUNCTION("""COMPUTED_VALUE"""),39.248021)</f>
        <v>39.248021</v>
      </c>
      <c r="Y480" s="32">
        <f>IFERROR(__xludf.DUMMYFUNCTION("""COMPUTED_VALUE"""),19.557225)</f>
        <v>19.557225</v>
      </c>
      <c r="Z480" s="13"/>
      <c r="AA480" s="32">
        <f>IFERROR(__xludf.DUMMYFUNCTION("""COMPUTED_VALUE"""),67.335)</f>
        <v>67.335</v>
      </c>
      <c r="AB480" s="32">
        <f>IFERROR(__xludf.DUMMYFUNCTION("""COMPUTED_VALUE"""),48.62325)</f>
        <v>48.62325</v>
      </c>
      <c r="AC480" s="32">
        <f>IFERROR(__xludf.DUMMYFUNCTION("""COMPUTED_VALUE"""),11.0071)</f>
        <v>11.0071</v>
      </c>
      <c r="AD480" s="32">
        <f>IFERROR(__xludf.DUMMYFUNCTION("""COMPUTED_VALUE"""),9.4636)</f>
        <v>9.4636</v>
      </c>
      <c r="AE480" s="32">
        <f>IFERROR(__xludf.DUMMYFUNCTION("""COMPUTED_VALUE"""),2.6187)</f>
        <v>2.6187</v>
      </c>
      <c r="AF480" s="32">
        <f>IFERROR(__xludf.DUMMYFUNCTION("""COMPUTED_VALUE"""),4.489094)</f>
        <v>4.489094</v>
      </c>
      <c r="AG480" s="32">
        <f>IFERROR(__xludf.DUMMYFUNCTION("""COMPUTED_VALUE"""),0.0)</f>
        <v>0</v>
      </c>
      <c r="AH480" s="32">
        <f>IFERROR(__xludf.DUMMYFUNCTION("""COMPUTED_VALUE"""),37.979347)</f>
        <v>37.979347</v>
      </c>
      <c r="AI480" s="32">
        <f>IFERROR(__xludf.DUMMYFUNCTION("""COMPUTED_VALUE"""),4.999277504190298)</f>
        <v>4.999277504</v>
      </c>
      <c r="AJ480" s="32">
        <f>IFERROR(__xludf.DUMMYFUNCTION("""COMPUTED_VALUE"""),80.12297915904973)</f>
        <v>80.12297916</v>
      </c>
      <c r="AK480" s="32">
        <f>IFERROR(__xludf.DUMMYFUNCTION("""COMPUTED_VALUE"""),48.0887)</f>
        <v>48.0887</v>
      </c>
      <c r="AL480" s="32">
        <f>IFERROR(__xludf.DUMMYFUNCTION("""COMPUTED_VALUE"""),294.1787)</f>
        <v>294.1787</v>
      </c>
      <c r="AM480" s="32">
        <f>IFERROR(__xludf.DUMMYFUNCTION("""COMPUTED_VALUE"""),40.413506)</f>
        <v>40.413506</v>
      </c>
      <c r="AN480" s="32">
        <f>IFERROR(__xludf.DUMMYFUNCTION("""COMPUTED_VALUE"""),15.820699)</f>
        <v>15.820699</v>
      </c>
      <c r="AO480" s="32">
        <f>IFERROR(__xludf.DUMMYFUNCTION("""COMPUTED_VALUE"""),0.0)</f>
        <v>0</v>
      </c>
      <c r="AP480" s="32">
        <f>IFERROR(__xludf.DUMMYFUNCTION("""COMPUTED_VALUE"""),0.1958199753390876)</f>
        <v>0.1958199753</v>
      </c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</row>
    <row r="481">
      <c r="A481" s="13" t="str">
        <f>IFERROR(__xludf.DUMMYFUNCTION("""COMPUTED_VALUE"""),"Shree Renuka Sugars Ltd.")</f>
        <v>Shree Renuka Sugars Ltd.</v>
      </c>
      <c r="B481" s="30">
        <f>IFERROR(__xludf.DUMMYFUNCTION("""COMPUTED_VALUE"""),532670.0)</f>
        <v>532670</v>
      </c>
      <c r="C481" s="13" t="str">
        <f>IFERROR(__xludf.DUMMYFUNCTION("""COMPUTED_VALUE"""),"RENUKA")</f>
        <v>RENUKA</v>
      </c>
      <c r="D481" s="13" t="str">
        <f>IFERROR(__xludf.DUMMYFUNCTION("""COMPUTED_VALUE"""),"INE087H01022")</f>
        <v>INE087H01022</v>
      </c>
      <c r="E481" s="13" t="str">
        <f>IFERROR(__xludf.DUMMYFUNCTION("""COMPUTED_VALUE"""),"Consumer Staples")</f>
        <v>Consumer Staples</v>
      </c>
      <c r="F481" s="13" t="str">
        <f>IFERROR(__xludf.DUMMYFUNCTION("""COMPUTED_VALUE"""),"Sugar")</f>
        <v>Sugar</v>
      </c>
      <c r="G481" s="31">
        <f>IFERROR(__xludf.DUMMYFUNCTION("""COMPUTED_VALUE"""),44809.0)</f>
        <v>44809</v>
      </c>
      <c r="H481" s="32">
        <f>IFERROR(__xludf.DUMMYFUNCTION("""COMPUTED_VALUE"""),47.95)</f>
        <v>47.95</v>
      </c>
      <c r="I481" s="32">
        <f>IFERROR(__xludf.DUMMYFUNCTION("""COMPUTED_VALUE"""),0.524109)</f>
        <v>0.524109</v>
      </c>
      <c r="J481" s="32">
        <f>IFERROR(__xludf.DUMMYFUNCTION("""COMPUTED_VALUE"""),24.4)</f>
        <v>24.4</v>
      </c>
      <c r="K481" s="32">
        <f>IFERROR(__xludf.DUMMYFUNCTION("""COMPUTED_VALUE"""),63.25)</f>
        <v>63.25</v>
      </c>
      <c r="L481" s="32">
        <f>IFERROR(__xludf.DUMMYFUNCTION("""COMPUTED_VALUE"""),3.2)</f>
        <v>3.2</v>
      </c>
      <c r="M481" s="32">
        <f>IFERROR(__xludf.DUMMYFUNCTION("""COMPUTED_VALUE"""),63.25)</f>
        <v>63.25</v>
      </c>
      <c r="N481" s="32">
        <f>IFERROR(__xludf.DUMMYFUNCTION("""COMPUTED_VALUE"""),3.2)</f>
        <v>3.2</v>
      </c>
      <c r="O481" s="32">
        <f>IFERROR(__xludf.DUMMYFUNCTION("""COMPUTED_VALUE"""),63.25)</f>
        <v>63.25</v>
      </c>
      <c r="P481" s="32">
        <f>IFERROR(__xludf.DUMMYFUNCTION("""COMPUTED_VALUE"""),3.2)</f>
        <v>3.2</v>
      </c>
      <c r="Q481" s="32">
        <f>IFERROR(__xludf.DUMMYFUNCTION("""COMPUTED_VALUE"""),123.6)</f>
        <v>123.6</v>
      </c>
      <c r="R481" s="32">
        <f>IFERROR(__xludf.DUMMYFUNCTION("""COMPUTED_VALUE"""),10206.108461535)</f>
        <v>10206.10846</v>
      </c>
      <c r="S481" s="32">
        <f>IFERROR(__xludf.DUMMYFUNCTION("""COMPUTED_VALUE"""),15302.225666075)</f>
        <v>15302.22567</v>
      </c>
      <c r="T481" s="32">
        <f>IFERROR(__xludf.DUMMYFUNCTION("""COMPUTED_VALUE"""),2.457265)</f>
        <v>2.457265</v>
      </c>
      <c r="U481" s="32">
        <f>IFERROR(__xludf.DUMMYFUNCTION("""COMPUTED_VALUE"""),0.84122)</f>
        <v>0.84122</v>
      </c>
      <c r="V481" s="32">
        <f>IFERROR(__xludf.DUMMYFUNCTION("""COMPUTED_VALUE"""),-5.424063)</f>
        <v>-5.424063</v>
      </c>
      <c r="W481" s="32">
        <f>IFERROR(__xludf.DUMMYFUNCTION("""COMPUTED_VALUE"""),88.779528)</f>
        <v>88.779528</v>
      </c>
      <c r="X481" s="32">
        <f>IFERROR(__xludf.DUMMYFUNCTION("""COMPUTED_VALUE"""),86.85315)</f>
        <v>86.85315</v>
      </c>
      <c r="Y481" s="32">
        <f>IFERROR(__xludf.DUMMYFUNCTION("""COMPUTED_VALUE"""),23.264421)</f>
        <v>23.264421</v>
      </c>
      <c r="Z481" s="32">
        <f>IFERROR(__xludf.DUMMYFUNCTION("""COMPUTED_VALUE"""),4.110866)</f>
        <v>4.110866</v>
      </c>
      <c r="AA481" s="13"/>
      <c r="AB481" s="32">
        <f>IFERROR(__xludf.DUMMYFUNCTION("""COMPUTED_VALUE"""),0.9307)</f>
        <v>0.9307</v>
      </c>
      <c r="AC481" s="32">
        <f>IFERROR(__xludf.DUMMYFUNCTION("""COMPUTED_VALUE"""),-5.4021)</f>
        <v>-5.4021</v>
      </c>
      <c r="AD481" s="32">
        <f>IFERROR(__xludf.DUMMYFUNCTION("""COMPUTED_VALUE"""),2.70065)</f>
        <v>2.70065</v>
      </c>
      <c r="AE481" s="32">
        <f>IFERROR(__xludf.DUMMYFUNCTION("""COMPUTED_VALUE"""),3.223894)</f>
        <v>3.223894</v>
      </c>
      <c r="AF481" s="13"/>
      <c r="AG481" s="32">
        <f>IFERROR(__xludf.DUMMYFUNCTION("""COMPUTED_VALUE"""),0.0)</f>
        <v>0</v>
      </c>
      <c r="AH481" s="32">
        <f>IFERROR(__xludf.DUMMYFUNCTION("""COMPUTED_VALUE"""),24.946569)</f>
        <v>24.946569</v>
      </c>
      <c r="AI481" s="32">
        <f>IFERROR(__xludf.DUMMYFUNCTION("""COMPUTED_VALUE"""),1.351050867270525)</f>
        <v>1.351050867</v>
      </c>
      <c r="AJ481" s="32">
        <f>IFERROR(__xludf.DUMMYFUNCTION("""COMPUTED_VALUE"""),-75.65964981307684)</f>
        <v>-75.65964981</v>
      </c>
      <c r="AK481" s="32">
        <f>IFERROR(__xludf.DUMMYFUNCTION("""COMPUTED_VALUE"""),-0.0536)</f>
        <v>-0.0536</v>
      </c>
      <c r="AL481" s="32">
        <f>IFERROR(__xludf.DUMMYFUNCTION("""COMPUTED_VALUE"""),-8.8761)</f>
        <v>-8.8761</v>
      </c>
      <c r="AM481" s="32">
        <f>IFERROR(__xludf.DUMMYFUNCTION("""COMPUTED_VALUE"""),-0.633759)</f>
        <v>-0.633759</v>
      </c>
      <c r="AN481" s="32">
        <f>IFERROR(__xludf.DUMMYFUNCTION("""COMPUTED_VALUE"""),-3.946375)</f>
        <v>-3.946375</v>
      </c>
      <c r="AO481" s="32">
        <f>IFERROR(__xludf.DUMMYFUNCTION("""COMPUTED_VALUE"""),0.0)</f>
        <v>0</v>
      </c>
      <c r="AP481" s="32">
        <f>IFERROR(__xludf.DUMMYFUNCTION("""COMPUTED_VALUE"""),0.241897233201581)</f>
        <v>0.2418972332</v>
      </c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</row>
    <row r="482">
      <c r="A482" s="13" t="str">
        <f>IFERROR(__xludf.DUMMYFUNCTION("""COMPUTED_VALUE"""),"SIS Ltd.")</f>
        <v>SIS Ltd.</v>
      </c>
      <c r="B482" s="30">
        <f>IFERROR(__xludf.DUMMYFUNCTION("""COMPUTED_VALUE"""),540673.0)</f>
        <v>540673</v>
      </c>
      <c r="C482" s="13" t="str">
        <f>IFERROR(__xludf.DUMMYFUNCTION("""COMPUTED_VALUE"""),"SIS")</f>
        <v>SIS</v>
      </c>
      <c r="D482" s="13" t="str">
        <f>IFERROR(__xludf.DUMMYFUNCTION("""COMPUTED_VALUE"""),"INE285J01028")</f>
        <v>INE285J01028</v>
      </c>
      <c r="E482" s="13" t="str">
        <f>IFERROR(__xludf.DUMMYFUNCTION("""COMPUTED_VALUE"""),"Services")</f>
        <v>Services</v>
      </c>
      <c r="F482" s="13" t="str">
        <f>IFERROR(__xludf.DUMMYFUNCTION("""COMPUTED_VALUE"""),"Misc.Other Services")</f>
        <v>Misc.Other Services</v>
      </c>
      <c r="G482" s="31">
        <f>IFERROR(__xludf.DUMMYFUNCTION("""COMPUTED_VALUE"""),44809.0)</f>
        <v>44809</v>
      </c>
      <c r="H482" s="32">
        <f>IFERROR(__xludf.DUMMYFUNCTION("""COMPUTED_VALUE"""),454.45)</f>
        <v>454.45</v>
      </c>
      <c r="I482" s="32">
        <f>IFERROR(__xludf.DUMMYFUNCTION("""COMPUTED_VALUE"""),0.553159)</f>
        <v>0.553159</v>
      </c>
      <c r="J482" s="32">
        <f>IFERROR(__xludf.DUMMYFUNCTION("""COMPUTED_VALUE"""),422.05)</f>
        <v>422.05</v>
      </c>
      <c r="K482" s="32">
        <f>IFERROR(__xludf.DUMMYFUNCTION("""COMPUTED_VALUE"""),560.0)</f>
        <v>560</v>
      </c>
      <c r="L482" s="32">
        <f>IFERROR(__xludf.DUMMYFUNCTION("""COMPUTED_VALUE"""),313.65)</f>
        <v>313.65</v>
      </c>
      <c r="M482" s="32">
        <f>IFERROR(__xludf.DUMMYFUNCTION("""COMPUTED_VALUE"""),624.1)</f>
        <v>624.1</v>
      </c>
      <c r="N482" s="32">
        <f>IFERROR(__xludf.DUMMYFUNCTION("""COMPUTED_VALUE"""),313.65)</f>
        <v>313.65</v>
      </c>
      <c r="O482" s="32">
        <f>IFERROR(__xludf.DUMMYFUNCTION("""COMPUTED_VALUE"""),702.4)</f>
        <v>702.4</v>
      </c>
      <c r="P482" s="32">
        <f>IFERROR(__xludf.DUMMYFUNCTION("""COMPUTED_VALUE"""),313.65)</f>
        <v>313.65</v>
      </c>
      <c r="Q482" s="32">
        <f>IFERROR(__xludf.DUMMYFUNCTION("""COMPUTED_VALUE"""),702.4)</f>
        <v>702.4</v>
      </c>
      <c r="R482" s="32">
        <f>IFERROR(__xludf.DUMMYFUNCTION("""COMPUTED_VALUE"""),6654.47828795)</f>
        <v>6654.478288</v>
      </c>
      <c r="S482" s="32">
        <f>IFERROR(__xludf.DUMMYFUNCTION("""COMPUTED_VALUE"""),7244.8391586)</f>
        <v>7244.839159</v>
      </c>
      <c r="T482" s="32">
        <f>IFERROR(__xludf.DUMMYFUNCTION("""COMPUTED_VALUE"""),-0.96971)</f>
        <v>-0.96971</v>
      </c>
      <c r="U482" s="32">
        <f>IFERROR(__xludf.DUMMYFUNCTION("""COMPUTED_VALUE"""),1.951767)</f>
        <v>1.951767</v>
      </c>
      <c r="V482" s="32">
        <f>IFERROR(__xludf.DUMMYFUNCTION("""COMPUTED_VALUE"""),-2.635244)</f>
        <v>-2.635244</v>
      </c>
      <c r="W482" s="32">
        <f>IFERROR(__xludf.DUMMYFUNCTION("""COMPUTED_VALUE"""),-5.332778)</f>
        <v>-5.332778</v>
      </c>
      <c r="X482" s="32">
        <f>IFERROR(__xludf.DUMMYFUNCTION("""COMPUTED_VALUE"""),6.098803)</f>
        <v>6.098803</v>
      </c>
      <c r="Y482" s="32">
        <f>IFERROR(__xludf.DUMMYFUNCTION("""COMPUTED_VALUE"""),3.092872)</f>
        <v>3.092872</v>
      </c>
      <c r="Z482" s="13"/>
      <c r="AA482" s="32">
        <f>IFERROR(__xludf.DUMMYFUNCTION("""COMPUTED_VALUE"""),19.0688)</f>
        <v>19.0688</v>
      </c>
      <c r="AB482" s="32">
        <f>IFERROR(__xludf.DUMMYFUNCTION("""COMPUTED_VALUE"""),24.8858)</f>
        <v>24.8858</v>
      </c>
      <c r="AC482" s="32">
        <f>IFERROR(__xludf.DUMMYFUNCTION("""COMPUTED_VALUE"""),3.1228)</f>
        <v>3.1228</v>
      </c>
      <c r="AD482" s="32">
        <f>IFERROR(__xludf.DUMMYFUNCTION("""COMPUTED_VALUE"""),4.2424)</f>
        <v>4.2424</v>
      </c>
      <c r="AE482" s="32">
        <f>IFERROR(__xludf.DUMMYFUNCTION("""COMPUTED_VALUE"""),6.632567)</f>
        <v>6.632567</v>
      </c>
      <c r="AF482" s="32">
        <f>IFERROR(__xludf.DUMMYFUNCTION("""COMPUTED_VALUE"""),0.821106)</f>
        <v>0.821106</v>
      </c>
      <c r="AG482" s="32">
        <f>IFERROR(__xludf.DUMMYFUNCTION("""COMPUTED_VALUE"""),0.0)</f>
        <v>0</v>
      </c>
      <c r="AH482" s="32">
        <f>IFERROR(__xludf.DUMMYFUNCTION("""COMPUTED_VALUE"""),13.274869)</f>
        <v>13.274869</v>
      </c>
      <c r="AI482" s="32">
        <f>IFERROR(__xludf.DUMMYFUNCTION("""COMPUTED_VALUE"""),0.6424503546739152)</f>
        <v>0.6424503547</v>
      </c>
      <c r="AJ482" s="32">
        <f>IFERROR(__xludf.DUMMYFUNCTION("""COMPUTED_VALUE"""),28.499446617486456)</f>
        <v>28.49944662</v>
      </c>
      <c r="AK482" s="32">
        <f>IFERROR(__xludf.DUMMYFUNCTION("""COMPUTED_VALUE"""),23.7115)</f>
        <v>23.7115</v>
      </c>
      <c r="AL482" s="32">
        <f>IFERROR(__xludf.DUMMYFUNCTION("""COMPUTED_VALUE"""),144.7904)</f>
        <v>144.7904</v>
      </c>
      <c r="AM482" s="32">
        <f>IFERROR(__xludf.DUMMYFUNCTION("""COMPUTED_VALUE"""),15.880557)</f>
        <v>15.880557</v>
      </c>
      <c r="AN482" s="32">
        <f>IFERROR(__xludf.DUMMYFUNCTION("""COMPUTED_VALUE"""),16.094864)</f>
        <v>16.094864</v>
      </c>
      <c r="AO482" s="32">
        <f>IFERROR(__xludf.DUMMYFUNCTION("""COMPUTED_VALUE"""),0.0)</f>
        <v>0</v>
      </c>
      <c r="AP482" s="32">
        <f>IFERROR(__xludf.DUMMYFUNCTION("""COMPUTED_VALUE"""),0.18848214285714288)</f>
        <v>0.1884821429</v>
      </c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</row>
    <row r="483">
      <c r="A483" s="13" t="str">
        <f>IFERROR(__xludf.DUMMYFUNCTION("""COMPUTED_VALUE"""),"SpiceJet Ltd.")</f>
        <v>SpiceJet Ltd.</v>
      </c>
      <c r="B483" s="30">
        <f>IFERROR(__xludf.DUMMYFUNCTION("""COMPUTED_VALUE"""),500285.0)</f>
        <v>500285</v>
      </c>
      <c r="C483" s="13" t="str">
        <f>IFERROR(__xludf.DUMMYFUNCTION("""COMPUTED_VALUE"""),"SPICEJET")</f>
        <v>SPICEJET</v>
      </c>
      <c r="D483" s="13" t="str">
        <f>IFERROR(__xludf.DUMMYFUNCTION("""COMPUTED_VALUE"""),"INE285B01017")</f>
        <v>INE285B01017</v>
      </c>
      <c r="E483" s="13" t="str">
        <f>IFERROR(__xludf.DUMMYFUNCTION("""COMPUTED_VALUE"""),"Services")</f>
        <v>Services</v>
      </c>
      <c r="F483" s="13" t="str">
        <f>IFERROR(__xludf.DUMMYFUNCTION("""COMPUTED_VALUE"""),"Air Transport")</f>
        <v>Air Transport</v>
      </c>
      <c r="G483" s="31">
        <f>IFERROR(__xludf.DUMMYFUNCTION("""COMPUTED_VALUE"""),44809.0)</f>
        <v>44809</v>
      </c>
      <c r="H483" s="32">
        <f>IFERROR(__xludf.DUMMYFUNCTION("""COMPUTED_VALUE"""),45.2)</f>
        <v>45.2</v>
      </c>
      <c r="I483" s="32">
        <f>IFERROR(__xludf.DUMMYFUNCTION("""COMPUTED_VALUE"""),0.110742)</f>
        <v>0.110742</v>
      </c>
      <c r="J483" s="32">
        <f>IFERROR(__xludf.DUMMYFUNCTION("""COMPUTED_VALUE"""),34.75)</f>
        <v>34.75</v>
      </c>
      <c r="K483" s="32">
        <f>IFERROR(__xludf.DUMMYFUNCTION("""COMPUTED_VALUE"""),87.3)</f>
        <v>87.3</v>
      </c>
      <c r="L483" s="32">
        <f>IFERROR(__xludf.DUMMYFUNCTION("""COMPUTED_VALUE"""),30.65)</f>
        <v>30.65</v>
      </c>
      <c r="M483" s="32">
        <f>IFERROR(__xludf.DUMMYFUNCTION("""COMPUTED_VALUE"""),135.85)</f>
        <v>135.85</v>
      </c>
      <c r="N483" s="32">
        <f>IFERROR(__xludf.DUMMYFUNCTION("""COMPUTED_VALUE"""),30.8)</f>
        <v>30.8</v>
      </c>
      <c r="O483" s="32">
        <f>IFERROR(__xludf.DUMMYFUNCTION("""COMPUTED_VALUE"""),156.9)</f>
        <v>156.9</v>
      </c>
      <c r="P483" s="32">
        <f>IFERROR(__xludf.DUMMYFUNCTION("""COMPUTED_VALUE"""),1.0)</f>
        <v>1</v>
      </c>
      <c r="Q483" s="32">
        <f>IFERROR(__xludf.DUMMYFUNCTION("""COMPUTED_VALUE"""),156.9)</f>
        <v>156.9</v>
      </c>
      <c r="R483" s="32">
        <f>IFERROR(__xludf.DUMMYFUNCTION("""COMPUTED_VALUE"""),2720.3424058)</f>
        <v>2720.342406</v>
      </c>
      <c r="S483" s="32">
        <f>IFERROR(__xludf.DUMMYFUNCTION("""COMPUTED_VALUE"""),3746.29594915)</f>
        <v>3746.295949</v>
      </c>
      <c r="T483" s="32">
        <f>IFERROR(__xludf.DUMMYFUNCTION("""COMPUTED_VALUE"""),-3.211991)</f>
        <v>-3.211991</v>
      </c>
      <c r="U483" s="32">
        <f>IFERROR(__xludf.DUMMYFUNCTION("""COMPUTED_VALUE"""),-3.931987)</f>
        <v>-3.931987</v>
      </c>
      <c r="V483" s="32">
        <f>IFERROR(__xludf.DUMMYFUNCTION("""COMPUTED_VALUE"""),-4.338624)</f>
        <v>-4.338624</v>
      </c>
      <c r="W483" s="32">
        <f>IFERROR(__xludf.DUMMYFUNCTION("""COMPUTED_VALUE"""),-36.827393)</f>
        <v>-36.827393</v>
      </c>
      <c r="X483" s="32">
        <f>IFERROR(__xludf.DUMMYFUNCTION("""COMPUTED_VALUE"""),-29.763189)</f>
        <v>-29.763189</v>
      </c>
      <c r="Y483" s="13"/>
      <c r="Z483" s="13"/>
      <c r="AA483" s="13"/>
      <c r="AB483" s="32">
        <f>IFERROR(__xludf.DUMMYFUNCTION("""COMPUTED_VALUE"""),13.5969)</f>
        <v>13.5969</v>
      </c>
      <c r="AC483" s="32">
        <f>IFERROR(__xludf.DUMMYFUNCTION("""COMPUTED_VALUE"""),-0.5293)</f>
        <v>-0.5293</v>
      </c>
      <c r="AD483" s="13"/>
      <c r="AE483" s="32">
        <f>IFERROR(__xludf.DUMMYFUNCTION("""COMPUTED_VALUE"""),-9.578515)</f>
        <v>-9.578515</v>
      </c>
      <c r="AF483" s="13"/>
      <c r="AG483" s="32">
        <f>IFERROR(__xludf.DUMMYFUNCTION("""COMPUTED_VALUE"""),0.0)</f>
        <v>0</v>
      </c>
      <c r="AH483" s="32">
        <f>IFERROR(__xludf.DUMMYFUNCTION("""COMPUTED_VALUE"""),-201.760876)</f>
        <v>-201.760876</v>
      </c>
      <c r="AI483" s="32">
        <f>IFERROR(__xludf.DUMMYFUNCTION("""COMPUTED_VALUE"""),0.35337754661885584)</f>
        <v>0.3533775466</v>
      </c>
      <c r="AJ483" s="32">
        <f>IFERROR(__xludf.DUMMYFUNCTION("""COMPUTED_VALUE"""),11.915125950681091)</f>
        <v>11.91512595</v>
      </c>
      <c r="AK483" s="32">
        <f>IFERROR(__xludf.DUMMYFUNCTION("""COMPUTED_VALUE"""),-29.8529)</f>
        <v>-29.8529</v>
      </c>
      <c r="AL483" s="32">
        <f>IFERROR(__xludf.DUMMYFUNCTION("""COMPUTED_VALUE"""),-85.3882)</f>
        <v>-85.3882</v>
      </c>
      <c r="AM483" s="32">
        <f>IFERROR(__xludf.DUMMYFUNCTION("""COMPUTED_VALUE"""),3.799234)</f>
        <v>3.799234</v>
      </c>
      <c r="AN483" s="32">
        <f>IFERROR(__xludf.DUMMYFUNCTION("""COMPUTED_VALUE"""),1.245488)</f>
        <v>1.245488</v>
      </c>
      <c r="AO483" s="32">
        <f>IFERROR(__xludf.DUMMYFUNCTION("""COMPUTED_VALUE"""),0.0)</f>
        <v>0</v>
      </c>
      <c r="AP483" s="32">
        <f>IFERROR(__xludf.DUMMYFUNCTION("""COMPUTED_VALUE"""),0.48224513172966776)</f>
        <v>0.4822451317</v>
      </c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</row>
    <row r="484">
      <c r="A484" s="13" t="str">
        <f>IFERROR(__xludf.DUMMYFUNCTION("""COMPUTED_VALUE"""),"Star Cement Ltd")</f>
        <v>Star Cement Ltd</v>
      </c>
      <c r="B484" s="30">
        <f>IFERROR(__xludf.DUMMYFUNCTION("""COMPUTED_VALUE"""),540575.0)</f>
        <v>540575</v>
      </c>
      <c r="C484" s="13" t="str">
        <f>IFERROR(__xludf.DUMMYFUNCTION("""COMPUTED_VALUE"""),"STARCEMENT")</f>
        <v>STARCEMENT</v>
      </c>
      <c r="D484" s="13" t="str">
        <f>IFERROR(__xludf.DUMMYFUNCTION("""COMPUTED_VALUE"""),"INE460H01021")</f>
        <v>INE460H01021</v>
      </c>
      <c r="E484" s="13" t="str">
        <f>IFERROR(__xludf.DUMMYFUNCTION("""COMPUTED_VALUE"""),"Materials")</f>
        <v>Materials</v>
      </c>
      <c r="F484" s="13" t="str">
        <f>IFERROR(__xludf.DUMMYFUNCTION("""COMPUTED_VALUE"""),"Cement")</f>
        <v>Cement</v>
      </c>
      <c r="G484" s="31">
        <f>IFERROR(__xludf.DUMMYFUNCTION("""COMPUTED_VALUE"""),44809.0)</f>
        <v>44809</v>
      </c>
      <c r="H484" s="32">
        <f>IFERROR(__xludf.DUMMYFUNCTION("""COMPUTED_VALUE"""),94.5)</f>
        <v>94.5</v>
      </c>
      <c r="I484" s="32">
        <f>IFERROR(__xludf.DUMMYFUNCTION("""COMPUTED_VALUE"""),1.069519)</f>
        <v>1.069519</v>
      </c>
      <c r="J484" s="32">
        <f>IFERROR(__xludf.DUMMYFUNCTION("""COMPUTED_VALUE"""),81.0)</f>
        <v>81</v>
      </c>
      <c r="K484" s="32">
        <f>IFERROR(__xludf.DUMMYFUNCTION("""COMPUTED_VALUE"""),111.75)</f>
        <v>111.75</v>
      </c>
      <c r="L484" s="32">
        <f>IFERROR(__xludf.DUMMYFUNCTION("""COMPUTED_VALUE"""),56.0)</f>
        <v>56</v>
      </c>
      <c r="M484" s="32">
        <f>IFERROR(__xludf.DUMMYFUNCTION("""COMPUTED_VALUE"""),120.0)</f>
        <v>120</v>
      </c>
      <c r="N484" s="32">
        <f>IFERROR(__xludf.DUMMYFUNCTION("""COMPUTED_VALUE"""),56.0)</f>
        <v>56</v>
      </c>
      <c r="O484" s="32">
        <f>IFERROR(__xludf.DUMMYFUNCTION("""COMPUTED_VALUE"""),151.9)</f>
        <v>151.9</v>
      </c>
      <c r="P484" s="32">
        <f>IFERROR(__xludf.DUMMYFUNCTION("""COMPUTED_VALUE"""),56.0)</f>
        <v>56</v>
      </c>
      <c r="Q484" s="32">
        <f>IFERROR(__xludf.DUMMYFUNCTION("""COMPUTED_VALUE"""),151.9)</f>
        <v>151.9</v>
      </c>
      <c r="R484" s="32">
        <f>IFERROR(__xludf.DUMMYFUNCTION("""COMPUTED_VALUE"""),3805.358626055)</f>
        <v>3805.358626</v>
      </c>
      <c r="S484" s="32">
        <f>IFERROR(__xludf.DUMMYFUNCTION("""COMPUTED_VALUE"""),3320.21221563)</f>
        <v>3320.212216</v>
      </c>
      <c r="T484" s="32">
        <f>IFERROR(__xludf.DUMMYFUNCTION("""COMPUTED_VALUE"""),0.692595)</f>
        <v>0.692595</v>
      </c>
      <c r="U484" s="32">
        <f>IFERROR(__xludf.DUMMYFUNCTION("""COMPUTED_VALUE"""),-3.027193)</f>
        <v>-3.027193</v>
      </c>
      <c r="V484" s="32">
        <f>IFERROR(__xludf.DUMMYFUNCTION("""COMPUTED_VALUE"""),5.645612)</f>
        <v>5.645612</v>
      </c>
      <c r="W484" s="32">
        <f>IFERROR(__xludf.DUMMYFUNCTION("""COMPUTED_VALUE"""),-11.847015)</f>
        <v>-11.847015</v>
      </c>
      <c r="X484" s="32">
        <f>IFERROR(__xludf.DUMMYFUNCTION("""COMPUTED_VALUE"""),0.498761)</f>
        <v>0.498761</v>
      </c>
      <c r="Y484" s="32">
        <f>IFERROR(__xludf.DUMMYFUNCTION("""COMPUTED_VALUE"""),-2.734148)</f>
        <v>-2.734148</v>
      </c>
      <c r="Z484" s="13"/>
      <c r="AA484" s="32">
        <f>IFERROR(__xludf.DUMMYFUNCTION("""COMPUTED_VALUE"""),15.4478)</f>
        <v>15.4478</v>
      </c>
      <c r="AB484" s="32">
        <f>IFERROR(__xludf.DUMMYFUNCTION("""COMPUTED_VALUE"""),14.96235)</f>
        <v>14.96235</v>
      </c>
      <c r="AC484" s="32">
        <f>IFERROR(__xludf.DUMMYFUNCTION("""COMPUTED_VALUE"""),1.7019)</f>
        <v>1.7019</v>
      </c>
      <c r="AD484" s="32">
        <f>IFERROR(__xludf.DUMMYFUNCTION("""COMPUTED_VALUE"""),2.1322)</f>
        <v>2.1322</v>
      </c>
      <c r="AE484" s="32">
        <f>IFERROR(__xludf.DUMMYFUNCTION("""COMPUTED_VALUE"""),9.851465)</f>
        <v>9.851465</v>
      </c>
      <c r="AF484" s="32">
        <f>IFERROR(__xludf.DUMMYFUNCTION("""COMPUTED_VALUE"""),-7.367216)</f>
        <v>-7.367216</v>
      </c>
      <c r="AG484" s="32">
        <f>IFERROR(__xludf.DUMMYFUNCTION("""COMPUTED_VALUE"""),0.0)</f>
        <v>0</v>
      </c>
      <c r="AH484" s="32">
        <f>IFERROR(__xludf.DUMMYFUNCTION("""COMPUTED_VALUE"""),7.987654)</f>
        <v>7.987654</v>
      </c>
      <c r="AI484" s="32">
        <f>IFERROR(__xludf.DUMMYFUNCTION("""COMPUTED_VALUE"""),1.6010731548077104)</f>
        <v>1.601073155</v>
      </c>
      <c r="AJ484" s="32">
        <f>IFERROR(__xludf.DUMMYFUNCTION("""COMPUTED_VALUE"""),10.800481891824848)</f>
        <v>10.80048189</v>
      </c>
      <c r="AK484" s="32">
        <f>IFERROR(__xludf.DUMMYFUNCTION("""COMPUTED_VALUE"""),6.0947)</f>
        <v>6.0947</v>
      </c>
      <c r="AL484" s="32">
        <f>IFERROR(__xludf.DUMMYFUNCTION("""COMPUTED_VALUE"""),55.3215)</f>
        <v>55.3215</v>
      </c>
      <c r="AM484" s="32">
        <f>IFERROR(__xludf.DUMMYFUNCTION("""COMPUTED_VALUE"""),8.542859)</f>
        <v>8.542859</v>
      </c>
      <c r="AN484" s="32">
        <f>IFERROR(__xludf.DUMMYFUNCTION("""COMPUTED_VALUE"""),6.77562)</f>
        <v>6.77562</v>
      </c>
      <c r="AO484" s="32">
        <f>IFERROR(__xludf.DUMMYFUNCTION("""COMPUTED_VALUE"""),0.0)</f>
        <v>0</v>
      </c>
      <c r="AP484" s="32">
        <f>IFERROR(__xludf.DUMMYFUNCTION("""COMPUTED_VALUE"""),0.15436241610738255)</f>
        <v>0.1543624161</v>
      </c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</row>
    <row r="485">
      <c r="A485" s="13" t="str">
        <f>IFERROR(__xludf.DUMMYFUNCTION("""COMPUTED_VALUE"""),"Star Health &amp; Allied Insurance Co. Ltd.")</f>
        <v>Star Health &amp; Allied Insurance Co. Ltd.</v>
      </c>
      <c r="B485" s="30">
        <f>IFERROR(__xludf.DUMMYFUNCTION("""COMPUTED_VALUE"""),543412.0)</f>
        <v>543412</v>
      </c>
      <c r="C485" s="13" t="str">
        <f>IFERROR(__xludf.DUMMYFUNCTION("""COMPUTED_VALUE"""),"STARHEALTH")</f>
        <v>STARHEALTH</v>
      </c>
      <c r="D485" s="13" t="str">
        <f>IFERROR(__xludf.DUMMYFUNCTION("""COMPUTED_VALUE"""),"INE575P01011")</f>
        <v>INE575P01011</v>
      </c>
      <c r="E485" s="13" t="str">
        <f>IFERROR(__xludf.DUMMYFUNCTION("""COMPUTED_VALUE"""),"Insurance")</f>
        <v>Insurance</v>
      </c>
      <c r="F485" s="13" t="str">
        <f>IFERROR(__xludf.DUMMYFUNCTION("""COMPUTED_VALUE"""),"General Insurance")</f>
        <v>General Insurance</v>
      </c>
      <c r="G485" s="31">
        <f>IFERROR(__xludf.DUMMYFUNCTION("""COMPUTED_VALUE"""),44809.0)</f>
        <v>44809</v>
      </c>
      <c r="H485" s="32">
        <f>IFERROR(__xludf.DUMMYFUNCTION("""COMPUTED_VALUE"""),758.1)</f>
        <v>758.1</v>
      </c>
      <c r="I485" s="32">
        <f>IFERROR(__xludf.DUMMYFUNCTION("""COMPUTED_VALUE"""),2.2456)</f>
        <v>2.2456</v>
      </c>
      <c r="J485" s="32">
        <f>IFERROR(__xludf.DUMMYFUNCTION("""COMPUTED_VALUE"""),469.05)</f>
        <v>469.05</v>
      </c>
      <c r="K485" s="32">
        <f>IFERROR(__xludf.DUMMYFUNCTION("""COMPUTED_VALUE"""),940.0)</f>
        <v>940</v>
      </c>
      <c r="L485" s="13"/>
      <c r="M485" s="13"/>
      <c r="N485" s="13"/>
      <c r="O485" s="13"/>
      <c r="P485" s="32">
        <f>IFERROR(__xludf.DUMMYFUNCTION("""COMPUTED_VALUE"""),469.05)</f>
        <v>469.05</v>
      </c>
      <c r="Q485" s="32">
        <f>IFERROR(__xludf.DUMMYFUNCTION("""COMPUTED_VALUE"""),940.0)</f>
        <v>940</v>
      </c>
      <c r="R485" s="32">
        <f>IFERROR(__xludf.DUMMYFUNCTION("""COMPUTED_VALUE"""),43587.73173825)</f>
        <v>43587.73174</v>
      </c>
      <c r="S485" s="32">
        <f>IFERROR(__xludf.DUMMYFUNCTION("""COMPUTED_VALUE"""),42136.93898725)</f>
        <v>42136.93899</v>
      </c>
      <c r="T485" s="32">
        <f>IFERROR(__xludf.DUMMYFUNCTION("""COMPUTED_VALUE"""),2.425184)</f>
        <v>2.425184</v>
      </c>
      <c r="U485" s="32">
        <f>IFERROR(__xludf.DUMMYFUNCTION("""COMPUTED_VALUE"""),8.253606)</f>
        <v>8.253606</v>
      </c>
      <c r="V485" s="32">
        <f>IFERROR(__xludf.DUMMYFUNCTION("""COMPUTED_VALUE"""),6.955418)</f>
        <v>6.955418</v>
      </c>
      <c r="W485" s="13"/>
      <c r="X485" s="13"/>
      <c r="Y485" s="13"/>
      <c r="Z485" s="13"/>
      <c r="AA485" s="13"/>
      <c r="AB485" s="13"/>
      <c r="AC485" s="32">
        <f>IFERROR(__xludf.DUMMYFUNCTION("""COMPUTED_VALUE"""),9.1914)</f>
        <v>9.1914</v>
      </c>
      <c r="AD485" s="32">
        <f>IFERROR(__xludf.DUMMYFUNCTION("""COMPUTED_VALUE"""),4.72895)</f>
        <v>4.72895</v>
      </c>
      <c r="AE485" s="32">
        <f>IFERROR(__xludf.DUMMYFUNCTION("""COMPUTED_VALUE"""),0.0)</f>
        <v>0</v>
      </c>
      <c r="AF485" s="13"/>
      <c r="AG485" s="32">
        <f>IFERROR(__xludf.DUMMYFUNCTION("""COMPUTED_VALUE"""),0.0)</f>
        <v>0</v>
      </c>
      <c r="AH485" s="13"/>
      <c r="AI485" s="32">
        <f>IFERROR(__xludf.DUMMYFUNCTION("""COMPUTED_VALUE"""),4.443574346656594)</f>
        <v>4.443574347</v>
      </c>
      <c r="AJ485" s="32">
        <f>IFERROR(__xludf.DUMMYFUNCTION("""COMPUTED_VALUE"""),784.5164099757019)</f>
        <v>784.51641</v>
      </c>
      <c r="AK485" s="13"/>
      <c r="AL485" s="13"/>
      <c r="AM485" s="32">
        <f>IFERROR(__xludf.DUMMYFUNCTION("""COMPUTED_VALUE"""),0.965388)</f>
        <v>0.965388</v>
      </c>
      <c r="AN485" s="32">
        <f>IFERROR(__xludf.DUMMYFUNCTION("""COMPUTED_VALUE"""),-19.636503)</f>
        <v>-19.636503</v>
      </c>
      <c r="AO485" s="32">
        <f>IFERROR(__xludf.DUMMYFUNCTION("""COMPUTED_VALUE"""),0.0)</f>
        <v>0</v>
      </c>
      <c r="AP485" s="32">
        <f>IFERROR(__xludf.DUMMYFUNCTION("""COMPUTED_VALUE"""),0.19351063829787232)</f>
        <v>0.1935106383</v>
      </c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</row>
    <row r="486">
      <c r="A486" s="13" t="str">
        <f>IFERROR(__xludf.DUMMYFUNCTION("""COMPUTED_VALUE"""),"Sterling and Wilson Renewable Energy Ltd.")</f>
        <v>Sterling and Wilson Renewable Energy Ltd.</v>
      </c>
      <c r="B486" s="30">
        <f>IFERROR(__xludf.DUMMYFUNCTION("""COMPUTED_VALUE"""),542760.0)</f>
        <v>542760</v>
      </c>
      <c r="C486" s="13" t="str">
        <f>IFERROR(__xludf.DUMMYFUNCTION("""COMPUTED_VALUE"""),"SWSOLAR")</f>
        <v>SWSOLAR</v>
      </c>
      <c r="D486" s="13" t="str">
        <f>IFERROR(__xludf.DUMMYFUNCTION("""COMPUTED_VALUE"""),"INE00M201021")</f>
        <v>INE00M201021</v>
      </c>
      <c r="E486" s="13" t="str">
        <f>IFERROR(__xludf.DUMMYFUNCTION("""COMPUTED_VALUE"""),"Capital Goods")</f>
        <v>Capital Goods</v>
      </c>
      <c r="F486" s="13" t="str">
        <f>IFERROR(__xludf.DUMMYFUNCTION("""COMPUTED_VALUE"""),"Power Projects")</f>
        <v>Power Projects</v>
      </c>
      <c r="G486" s="31">
        <f>IFERROR(__xludf.DUMMYFUNCTION("""COMPUTED_VALUE"""),44809.0)</f>
        <v>44809</v>
      </c>
      <c r="H486" s="32">
        <f>IFERROR(__xludf.DUMMYFUNCTION("""COMPUTED_VALUE"""),300.65)</f>
        <v>300.65</v>
      </c>
      <c r="I486" s="32">
        <f>IFERROR(__xludf.DUMMYFUNCTION("""COMPUTED_VALUE"""),-0.726432)</f>
        <v>-0.726432</v>
      </c>
      <c r="J486" s="32">
        <f>IFERROR(__xludf.DUMMYFUNCTION("""COMPUTED_VALUE"""),273.15)</f>
        <v>273.15</v>
      </c>
      <c r="K486" s="32">
        <f>IFERROR(__xludf.DUMMYFUNCTION("""COMPUTED_VALUE"""),509.1)</f>
        <v>509.1</v>
      </c>
      <c r="L486" s="32">
        <f>IFERROR(__xludf.DUMMYFUNCTION("""COMPUTED_VALUE"""),69.7)</f>
        <v>69.7</v>
      </c>
      <c r="M486" s="32">
        <f>IFERROR(__xludf.DUMMYFUNCTION("""COMPUTED_VALUE"""),665.0)</f>
        <v>665</v>
      </c>
      <c r="N486" s="13"/>
      <c r="O486" s="13"/>
      <c r="P486" s="32">
        <f>IFERROR(__xludf.DUMMYFUNCTION("""COMPUTED_VALUE"""),69.7)</f>
        <v>69.7</v>
      </c>
      <c r="Q486" s="32">
        <f>IFERROR(__xludf.DUMMYFUNCTION("""COMPUTED_VALUE"""),755.5)</f>
        <v>755.5</v>
      </c>
      <c r="R486" s="32">
        <f>IFERROR(__xludf.DUMMYFUNCTION("""COMPUTED_VALUE"""),5707.87238997)</f>
        <v>5707.87239</v>
      </c>
      <c r="S486" s="32">
        <f>IFERROR(__xludf.DUMMYFUNCTION("""COMPUTED_VALUE"""),5920.365656575)</f>
        <v>5920.365657</v>
      </c>
      <c r="T486" s="32">
        <f>IFERROR(__xludf.DUMMYFUNCTION("""COMPUTED_VALUE"""),2.874251)</f>
        <v>2.874251</v>
      </c>
      <c r="U486" s="32">
        <f>IFERROR(__xludf.DUMMYFUNCTION("""COMPUTED_VALUE"""),2.175021)</f>
        <v>2.175021</v>
      </c>
      <c r="V486" s="32">
        <f>IFERROR(__xludf.DUMMYFUNCTION("""COMPUTED_VALUE"""),-8.212487)</f>
        <v>-8.212487</v>
      </c>
      <c r="W486" s="32">
        <f>IFERROR(__xludf.DUMMYFUNCTION("""COMPUTED_VALUE"""),-7.534984)</f>
        <v>-7.534984</v>
      </c>
      <c r="X486" s="32">
        <f>IFERROR(__xludf.DUMMYFUNCTION("""COMPUTED_VALUE"""),-19.134331)</f>
        <v>-19.134331</v>
      </c>
      <c r="Y486" s="13"/>
      <c r="Z486" s="13"/>
      <c r="AA486" s="13"/>
      <c r="AB486" s="32">
        <f>IFERROR(__xludf.DUMMYFUNCTION("""COMPUTED_VALUE"""),13.104)</f>
        <v>13.104</v>
      </c>
      <c r="AC486" s="32">
        <f>IFERROR(__xludf.DUMMYFUNCTION("""COMPUTED_VALUE"""),10.1786)</f>
        <v>10.1786</v>
      </c>
      <c r="AD486" s="32">
        <f>IFERROR(__xludf.DUMMYFUNCTION("""COMPUTED_VALUE"""),4.5058)</f>
        <v>4.5058</v>
      </c>
      <c r="AE486" s="32">
        <f>IFERROR(__xludf.DUMMYFUNCTION("""COMPUTED_VALUE"""),-17.606152)</f>
        <v>-17.606152</v>
      </c>
      <c r="AF486" s="13"/>
      <c r="AG486" s="32">
        <f>IFERROR(__xludf.DUMMYFUNCTION("""COMPUTED_VALUE"""),0.0)</f>
        <v>0</v>
      </c>
      <c r="AH486" s="32">
        <f>IFERROR(__xludf.DUMMYFUNCTION("""COMPUTED_VALUE"""),-5.444615)</f>
        <v>-5.444615</v>
      </c>
      <c r="AI486" s="32">
        <f>IFERROR(__xludf.DUMMYFUNCTION("""COMPUTED_VALUE"""),1.0953002337198057)</f>
        <v>1.095300234</v>
      </c>
      <c r="AJ486" s="32">
        <f>IFERROR(__xludf.DUMMYFUNCTION("""COMPUTED_VALUE"""),28.40020096512091)</f>
        <v>28.40020097</v>
      </c>
      <c r="AK486" s="32">
        <f>IFERROR(__xludf.DUMMYFUNCTION("""COMPUTED_VALUE"""),-62.5879)</f>
        <v>-62.5879</v>
      </c>
      <c r="AL486" s="32">
        <f>IFERROR(__xludf.DUMMYFUNCTION("""COMPUTED_VALUE"""),29.5619)</f>
        <v>29.5619</v>
      </c>
      <c r="AM486" s="32">
        <f>IFERROR(__xludf.DUMMYFUNCTION("""COMPUTED_VALUE"""),12.529925)</f>
        <v>12.529925</v>
      </c>
      <c r="AN486" s="32">
        <f>IFERROR(__xludf.DUMMYFUNCTION("""COMPUTED_VALUE"""),12.075436)</f>
        <v>12.075436</v>
      </c>
      <c r="AO486" s="32">
        <f>IFERROR(__xludf.DUMMYFUNCTION("""COMPUTED_VALUE"""),0.0)</f>
        <v>0</v>
      </c>
      <c r="AP486" s="32">
        <f>IFERROR(__xludf.DUMMYFUNCTION("""COMPUTED_VALUE"""),0.40944804557061487)</f>
        <v>0.4094480456</v>
      </c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</row>
    <row r="487">
      <c r="A487" s="13" t="str">
        <f>IFERROR(__xludf.DUMMYFUNCTION("""COMPUTED_VALUE"""),"Strides Pharma Science Ltd.")</f>
        <v>Strides Pharma Science Ltd.</v>
      </c>
      <c r="B487" s="30">
        <f>IFERROR(__xludf.DUMMYFUNCTION("""COMPUTED_VALUE"""),532531.0)</f>
        <v>532531</v>
      </c>
      <c r="C487" s="13" t="str">
        <f>IFERROR(__xludf.DUMMYFUNCTION("""COMPUTED_VALUE"""),"STAR")</f>
        <v>STAR</v>
      </c>
      <c r="D487" s="13" t="str">
        <f>IFERROR(__xludf.DUMMYFUNCTION("""COMPUTED_VALUE"""),"INE939A01011")</f>
        <v>INE939A01011</v>
      </c>
      <c r="E487" s="13" t="str">
        <f>IFERROR(__xludf.DUMMYFUNCTION("""COMPUTED_VALUE"""),"Healthcare")</f>
        <v>Healthcare</v>
      </c>
      <c r="F487" s="13" t="str">
        <f>IFERROR(__xludf.DUMMYFUNCTION("""COMPUTED_VALUE"""),"Drugs &amp; Pharma")</f>
        <v>Drugs &amp; Pharma</v>
      </c>
      <c r="G487" s="31">
        <f>IFERROR(__xludf.DUMMYFUNCTION("""COMPUTED_VALUE"""),44809.0)</f>
        <v>44809</v>
      </c>
      <c r="H487" s="32">
        <f>IFERROR(__xludf.DUMMYFUNCTION("""COMPUTED_VALUE"""),331.0)</f>
        <v>331</v>
      </c>
      <c r="I487" s="32">
        <f>IFERROR(__xludf.DUMMYFUNCTION("""COMPUTED_VALUE"""),0.991609)</f>
        <v>0.991609</v>
      </c>
      <c r="J487" s="32">
        <f>IFERROR(__xludf.DUMMYFUNCTION("""COMPUTED_VALUE"""),263.35)</f>
        <v>263.35</v>
      </c>
      <c r="K487" s="32">
        <f>IFERROR(__xludf.DUMMYFUNCTION("""COMPUTED_VALUE"""),642.4)</f>
        <v>642.4</v>
      </c>
      <c r="L487" s="32">
        <f>IFERROR(__xludf.DUMMYFUNCTION("""COMPUTED_VALUE"""),263.35)</f>
        <v>263.35</v>
      </c>
      <c r="M487" s="32">
        <f>IFERROR(__xludf.DUMMYFUNCTION("""COMPUTED_VALUE"""),1000.0)</f>
        <v>1000</v>
      </c>
      <c r="N487" s="32">
        <f>IFERROR(__xludf.DUMMYFUNCTION("""COMPUTED_VALUE"""),263.35)</f>
        <v>263.35</v>
      </c>
      <c r="O487" s="32">
        <f>IFERROR(__xludf.DUMMYFUNCTION("""COMPUTED_VALUE"""),1041.1)</f>
        <v>1041.1</v>
      </c>
      <c r="P487" s="32">
        <f>IFERROR(__xludf.DUMMYFUNCTION("""COMPUTED_VALUE"""),47.1)</f>
        <v>47.1</v>
      </c>
      <c r="Q487" s="32">
        <f>IFERROR(__xludf.DUMMYFUNCTION("""COMPUTED_VALUE"""),1414.0)</f>
        <v>1414</v>
      </c>
      <c r="R487" s="32">
        <f>IFERROR(__xludf.DUMMYFUNCTION("""COMPUTED_VALUE"""),2980.42057728)</f>
        <v>2980.420577</v>
      </c>
      <c r="S487" s="32">
        <f>IFERROR(__xludf.DUMMYFUNCTION("""COMPUTED_VALUE"""),5573.33006656)</f>
        <v>5573.330067</v>
      </c>
      <c r="T487" s="32">
        <f>IFERROR(__xludf.DUMMYFUNCTION("""COMPUTED_VALUE"""),-0.82397)</f>
        <v>-0.82397</v>
      </c>
      <c r="U487" s="32">
        <f>IFERROR(__xludf.DUMMYFUNCTION("""COMPUTED_VALUE"""),-5.738288)</f>
        <v>-5.738288</v>
      </c>
      <c r="V487" s="32">
        <f>IFERROR(__xludf.DUMMYFUNCTION("""COMPUTED_VALUE"""),1.940253)</f>
        <v>1.940253</v>
      </c>
      <c r="W487" s="32">
        <f>IFERROR(__xludf.DUMMYFUNCTION("""COMPUTED_VALUE"""),-46.029676)</f>
        <v>-46.029676</v>
      </c>
      <c r="X487" s="32">
        <f>IFERROR(__xludf.DUMMYFUNCTION("""COMPUTED_VALUE"""),-4.476534)</f>
        <v>-4.476534</v>
      </c>
      <c r="Y487" s="32">
        <f>IFERROR(__xludf.DUMMYFUNCTION("""COMPUTED_VALUE"""),-18.425706)</f>
        <v>-18.425706</v>
      </c>
      <c r="Z487" s="32">
        <f>IFERROR(__xludf.DUMMYFUNCTION("""COMPUTED_VALUE"""),-8.650786)</f>
        <v>-8.650786</v>
      </c>
      <c r="AA487" s="13"/>
      <c r="AB487" s="32">
        <f>IFERROR(__xludf.DUMMYFUNCTION("""COMPUTED_VALUE"""),23.34805)</f>
        <v>23.34805</v>
      </c>
      <c r="AC487" s="32">
        <f>IFERROR(__xludf.DUMMYFUNCTION("""COMPUTED_VALUE"""),1.3083)</f>
        <v>1.3083</v>
      </c>
      <c r="AD487" s="32">
        <f>IFERROR(__xludf.DUMMYFUNCTION("""COMPUTED_VALUE"""),1.66375)</f>
        <v>1.66375</v>
      </c>
      <c r="AE487" s="32">
        <f>IFERROR(__xludf.DUMMYFUNCTION("""COMPUTED_VALUE"""),2.233131)</f>
        <v>2.233131</v>
      </c>
      <c r="AF487" s="13"/>
      <c r="AG487" s="32">
        <f>IFERROR(__xludf.DUMMYFUNCTION("""COMPUTED_VALUE"""),0.0)</f>
        <v>0</v>
      </c>
      <c r="AH487" s="32">
        <f>IFERROR(__xludf.DUMMYFUNCTION("""COMPUTED_VALUE"""),25.072902)</f>
        <v>25.072902</v>
      </c>
      <c r="AI487" s="32">
        <f>IFERROR(__xludf.DUMMYFUNCTION("""COMPUTED_VALUE"""),0.8971879166684227)</f>
        <v>0.8971879167</v>
      </c>
      <c r="AJ487" s="32">
        <f>IFERROR(__xludf.DUMMYFUNCTION("""COMPUTED_VALUE"""),-11.560307108895914)</f>
        <v>-11.56030711</v>
      </c>
      <c r="AK487" s="32">
        <f>IFERROR(__xludf.DUMMYFUNCTION("""COMPUTED_VALUE"""),-43.4392)</f>
        <v>-43.4392</v>
      </c>
      <c r="AL487" s="32">
        <f>IFERROR(__xludf.DUMMYFUNCTION("""COMPUTED_VALUE"""),253.1473)</f>
        <v>253.1473</v>
      </c>
      <c r="AM487" s="32">
        <f>IFERROR(__xludf.DUMMYFUNCTION("""COMPUTED_VALUE"""),-28.713108)</f>
        <v>-28.713108</v>
      </c>
      <c r="AN487" s="32">
        <f>IFERROR(__xludf.DUMMYFUNCTION("""COMPUTED_VALUE"""),-51.643947)</f>
        <v>-51.643947</v>
      </c>
      <c r="AO487" s="32">
        <f>IFERROR(__xludf.DUMMYFUNCTION("""COMPUTED_VALUE"""),0.0)</f>
        <v>0</v>
      </c>
      <c r="AP487" s="32">
        <f>IFERROR(__xludf.DUMMYFUNCTION("""COMPUTED_VALUE"""),0.48474470734744707)</f>
        <v>0.4847447073</v>
      </c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</row>
    <row r="488">
      <c r="A488" s="13" t="str">
        <f>IFERROR(__xludf.DUMMYFUNCTION("""COMPUTED_VALUE"""),"Sun Pharma Advanced Research Company Ltd.")</f>
        <v>Sun Pharma Advanced Research Company Ltd.</v>
      </c>
      <c r="B488" s="30">
        <f>IFERROR(__xludf.DUMMYFUNCTION("""COMPUTED_VALUE"""),532872.0)</f>
        <v>532872</v>
      </c>
      <c r="C488" s="13" t="str">
        <f>IFERROR(__xludf.DUMMYFUNCTION("""COMPUTED_VALUE"""),"SPARC")</f>
        <v>SPARC</v>
      </c>
      <c r="D488" s="13" t="str">
        <f>IFERROR(__xludf.DUMMYFUNCTION("""COMPUTED_VALUE"""),"INE232I01014")</f>
        <v>INE232I01014</v>
      </c>
      <c r="E488" s="13" t="str">
        <f>IFERROR(__xludf.DUMMYFUNCTION("""COMPUTED_VALUE"""),"Healthcare")</f>
        <v>Healthcare</v>
      </c>
      <c r="F488" s="13" t="str">
        <f>IFERROR(__xludf.DUMMYFUNCTION("""COMPUTED_VALUE"""),"Drugs &amp; Pharma")</f>
        <v>Drugs &amp; Pharma</v>
      </c>
      <c r="G488" s="31">
        <f>IFERROR(__xludf.DUMMYFUNCTION("""COMPUTED_VALUE"""),44809.0)</f>
        <v>44809</v>
      </c>
      <c r="H488" s="32">
        <f>IFERROR(__xludf.DUMMYFUNCTION("""COMPUTED_VALUE"""),227.85)</f>
        <v>227.85</v>
      </c>
      <c r="I488" s="32">
        <f>IFERROR(__xludf.DUMMYFUNCTION("""COMPUTED_VALUE"""),0.662691)</f>
        <v>0.662691</v>
      </c>
      <c r="J488" s="32">
        <f>IFERROR(__xludf.DUMMYFUNCTION("""COMPUTED_VALUE"""),170.45)</f>
        <v>170.45</v>
      </c>
      <c r="K488" s="32">
        <f>IFERROR(__xludf.DUMMYFUNCTION("""COMPUTED_VALUE"""),349.0)</f>
        <v>349</v>
      </c>
      <c r="L488" s="32">
        <f>IFERROR(__xludf.DUMMYFUNCTION("""COMPUTED_VALUE"""),81.0)</f>
        <v>81</v>
      </c>
      <c r="M488" s="32">
        <f>IFERROR(__xludf.DUMMYFUNCTION("""COMPUTED_VALUE"""),349.0)</f>
        <v>349</v>
      </c>
      <c r="N488" s="32">
        <f>IFERROR(__xludf.DUMMYFUNCTION("""COMPUTED_VALUE"""),81.0)</f>
        <v>81</v>
      </c>
      <c r="O488" s="32">
        <f>IFERROR(__xludf.DUMMYFUNCTION("""COMPUTED_VALUE"""),532.4)</f>
        <v>532.4</v>
      </c>
      <c r="P488" s="32">
        <f>IFERROR(__xludf.DUMMYFUNCTION("""COMPUTED_VALUE"""),35.173732)</f>
        <v>35.173732</v>
      </c>
      <c r="Q488" s="32">
        <f>IFERROR(__xludf.DUMMYFUNCTION("""COMPUTED_VALUE"""),593.958878)</f>
        <v>593.958878</v>
      </c>
      <c r="R488" s="32">
        <f>IFERROR(__xludf.DUMMYFUNCTION("""COMPUTED_VALUE"""),6194.76224031)</f>
        <v>6194.76224</v>
      </c>
      <c r="S488" s="32">
        <f>IFERROR(__xludf.DUMMYFUNCTION("""COMPUTED_VALUE"""),6226.96435405)</f>
        <v>6226.964354</v>
      </c>
      <c r="T488" s="32">
        <f>IFERROR(__xludf.DUMMYFUNCTION("""COMPUTED_VALUE"""),-1.936733)</f>
        <v>-1.936733</v>
      </c>
      <c r="U488" s="32">
        <f>IFERROR(__xludf.DUMMYFUNCTION("""COMPUTED_VALUE"""),1.71875)</f>
        <v>1.71875</v>
      </c>
      <c r="V488" s="32">
        <f>IFERROR(__xludf.DUMMYFUNCTION("""COMPUTED_VALUE"""),4.041096)</f>
        <v>4.041096</v>
      </c>
      <c r="W488" s="32">
        <f>IFERROR(__xludf.DUMMYFUNCTION("""COMPUTED_VALUE"""),-23.999333)</f>
        <v>-23.999333</v>
      </c>
      <c r="X488" s="32">
        <f>IFERROR(__xludf.DUMMYFUNCTION("""COMPUTED_VALUE"""),15.119246)</f>
        <v>15.119246</v>
      </c>
      <c r="Y488" s="32">
        <f>IFERROR(__xludf.DUMMYFUNCTION("""COMPUTED_VALUE"""),-9.832725)</f>
        <v>-9.832725</v>
      </c>
      <c r="Z488" s="32">
        <f>IFERROR(__xludf.DUMMYFUNCTION("""COMPUTED_VALUE"""),12.247221)</f>
        <v>12.247221</v>
      </c>
      <c r="AA488" s="13"/>
      <c r="AB488" s="13"/>
      <c r="AC488" s="32">
        <f>IFERROR(__xludf.DUMMYFUNCTION("""COMPUTED_VALUE"""),-21.7066)</f>
        <v>-21.7066</v>
      </c>
      <c r="AD488" s="32">
        <f>IFERROR(__xludf.DUMMYFUNCTION("""COMPUTED_VALUE"""),42.8174)</f>
        <v>42.8174</v>
      </c>
      <c r="AE488" s="32">
        <f>IFERROR(__xludf.DUMMYFUNCTION("""COMPUTED_VALUE"""),-3.325464)</f>
        <v>-3.325464</v>
      </c>
      <c r="AF488" s="13"/>
      <c r="AG488" s="32">
        <f>IFERROR(__xludf.DUMMYFUNCTION("""COMPUTED_VALUE"""),0.0)</f>
        <v>0</v>
      </c>
      <c r="AH488" s="32">
        <f>IFERROR(__xludf.DUMMYFUNCTION("""COMPUTED_VALUE"""),-30.455661)</f>
        <v>-30.455661</v>
      </c>
      <c r="AI488" s="32">
        <f>IFERROR(__xludf.DUMMYFUNCTION("""COMPUTED_VALUE"""),43.102993600821044)</f>
        <v>43.1029936</v>
      </c>
      <c r="AJ488" s="32">
        <f>IFERROR(__xludf.DUMMYFUNCTION("""COMPUTED_VALUE"""),-29.749257394066728)</f>
        <v>-29.74925739</v>
      </c>
      <c r="AK488" s="32">
        <f>IFERROR(__xludf.DUMMYFUNCTION("""COMPUTED_VALUE"""),-8.2529)</f>
        <v>-8.2529</v>
      </c>
      <c r="AL488" s="32">
        <f>IFERROR(__xludf.DUMMYFUNCTION("""COMPUTED_VALUE"""),-1.8803)</f>
        <v>-1.8803</v>
      </c>
      <c r="AM488" s="32">
        <f>IFERROR(__xludf.DUMMYFUNCTION("""COMPUTED_VALUE"""),-7.658788)</f>
        <v>-7.658788</v>
      </c>
      <c r="AN488" s="32">
        <f>IFERROR(__xludf.DUMMYFUNCTION("""COMPUTED_VALUE"""),-9.267236)</f>
        <v>-9.267236</v>
      </c>
      <c r="AO488" s="32">
        <f>IFERROR(__xludf.DUMMYFUNCTION("""COMPUTED_VALUE"""),0.0)</f>
        <v>0</v>
      </c>
      <c r="AP488" s="32">
        <f>IFERROR(__xludf.DUMMYFUNCTION("""COMPUTED_VALUE"""),0.34713467048710606)</f>
        <v>0.3471346705</v>
      </c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</row>
    <row r="489">
      <c r="A489" s="13" t="str">
        <f>IFERROR(__xludf.DUMMYFUNCTION("""COMPUTED_VALUE"""),"Suzlon Energy Ltd.")</f>
        <v>Suzlon Energy Ltd.</v>
      </c>
      <c r="B489" s="30">
        <f>IFERROR(__xludf.DUMMYFUNCTION("""COMPUTED_VALUE"""),532667.0)</f>
        <v>532667</v>
      </c>
      <c r="C489" s="13" t="str">
        <f>IFERROR(__xludf.DUMMYFUNCTION("""COMPUTED_VALUE"""),"SUZLON")</f>
        <v>SUZLON</v>
      </c>
      <c r="D489" s="13" t="str">
        <f>IFERROR(__xludf.DUMMYFUNCTION("""COMPUTED_VALUE"""),"INE040H01021")</f>
        <v>INE040H01021</v>
      </c>
      <c r="E489" s="13" t="str">
        <f>IFERROR(__xludf.DUMMYFUNCTION("""COMPUTED_VALUE"""),"Capital Goods")</f>
        <v>Capital Goods</v>
      </c>
      <c r="F489" s="13" t="str">
        <f>IFERROR(__xludf.DUMMYFUNCTION("""COMPUTED_VALUE"""),"Electrical Machinery")</f>
        <v>Electrical Machinery</v>
      </c>
      <c r="G489" s="31">
        <f>IFERROR(__xludf.DUMMYFUNCTION("""COMPUTED_VALUE"""),44809.0)</f>
        <v>44809</v>
      </c>
      <c r="H489" s="32">
        <f>IFERROR(__xludf.DUMMYFUNCTION("""COMPUTED_VALUE"""),10.55)</f>
        <v>10.55</v>
      </c>
      <c r="I489" s="32">
        <f>IFERROR(__xludf.DUMMYFUNCTION("""COMPUTED_VALUE"""),19.886364)</f>
        <v>19.886364</v>
      </c>
      <c r="J489" s="32">
        <f>IFERROR(__xludf.DUMMYFUNCTION("""COMPUTED_VALUE"""),5.9)</f>
        <v>5.9</v>
      </c>
      <c r="K489" s="32">
        <f>IFERROR(__xludf.DUMMYFUNCTION("""COMPUTED_VALUE"""),13.1)</f>
        <v>13.1</v>
      </c>
      <c r="L489" s="32">
        <f>IFERROR(__xludf.DUMMYFUNCTION("""COMPUTED_VALUE"""),1.65)</f>
        <v>1.65</v>
      </c>
      <c r="M489" s="32">
        <f>IFERROR(__xludf.DUMMYFUNCTION("""COMPUTED_VALUE"""),13.1)</f>
        <v>13.1</v>
      </c>
      <c r="N489" s="32">
        <f>IFERROR(__xludf.DUMMYFUNCTION("""COMPUTED_VALUE"""),1.65)</f>
        <v>1.65</v>
      </c>
      <c r="O489" s="32">
        <f>IFERROR(__xludf.DUMMYFUNCTION("""COMPUTED_VALUE"""),17.5)</f>
        <v>17.5</v>
      </c>
      <c r="P489" s="32">
        <f>IFERROR(__xludf.DUMMYFUNCTION("""COMPUTED_VALUE"""),1.65)</f>
        <v>1.65</v>
      </c>
      <c r="Q489" s="32">
        <f>IFERROR(__xludf.DUMMYFUNCTION("""COMPUTED_VALUE"""),469.431501)</f>
        <v>469.431501</v>
      </c>
      <c r="R489" s="32">
        <f>IFERROR(__xludf.DUMMYFUNCTION("""COMPUTED_VALUE"""),10346.838347713)</f>
        <v>10346.83835</v>
      </c>
      <c r="S489" s="32">
        <f>IFERROR(__xludf.DUMMYFUNCTION("""COMPUTED_VALUE"""),15220.006768529)</f>
        <v>15220.00677</v>
      </c>
      <c r="T489" s="32">
        <f>IFERROR(__xludf.DUMMYFUNCTION("""COMPUTED_VALUE"""),28.658537)</f>
        <v>28.658537</v>
      </c>
      <c r="U489" s="32">
        <f>IFERROR(__xludf.DUMMYFUNCTION("""COMPUTED_VALUE"""),48.591549)</f>
        <v>48.591549</v>
      </c>
      <c r="V489" s="32">
        <f>IFERROR(__xludf.DUMMYFUNCTION("""COMPUTED_VALUE"""),15.934066)</f>
        <v>15.934066</v>
      </c>
      <c r="W489" s="32">
        <f>IFERROR(__xludf.DUMMYFUNCTION("""COMPUTED_VALUE"""),71.544715)</f>
        <v>71.544715</v>
      </c>
      <c r="X489" s="32">
        <f>IFERROR(__xludf.DUMMYFUNCTION("""COMPUTED_VALUE"""),44.453523)</f>
        <v>44.453523</v>
      </c>
      <c r="Y489" s="32">
        <f>IFERROR(__xludf.DUMMYFUNCTION("""COMPUTED_VALUE"""),-8.16336)</f>
        <v>-8.16336</v>
      </c>
      <c r="Z489" s="32">
        <f>IFERROR(__xludf.DUMMYFUNCTION("""COMPUTED_VALUE"""),-3.617483)</f>
        <v>-3.617483</v>
      </c>
      <c r="AA489" s="32">
        <f>IFERROR(__xludf.DUMMYFUNCTION("""COMPUTED_VALUE"""),4.586)</f>
        <v>4.586</v>
      </c>
      <c r="AB489" s="32">
        <f>IFERROR(__xludf.DUMMYFUNCTION("""COMPUTED_VALUE"""),9.442)</f>
        <v>9.442</v>
      </c>
      <c r="AC489" s="32">
        <f>IFERROR(__xludf.DUMMYFUNCTION("""COMPUTED_VALUE"""),3.4976)</f>
        <v>3.4976</v>
      </c>
      <c r="AD489" s="32">
        <f>IFERROR(__xludf.DUMMYFUNCTION("""COMPUTED_VALUE"""),6.9312)</f>
        <v>6.9312</v>
      </c>
      <c r="AE489" s="32">
        <f>IFERROR(__xludf.DUMMYFUNCTION("""COMPUTED_VALUE"""),4.911807)</f>
        <v>4.911807</v>
      </c>
      <c r="AF489" s="32">
        <f>IFERROR(__xludf.DUMMYFUNCTION("""COMPUTED_VALUE"""),0.349238)</f>
        <v>0.349238</v>
      </c>
      <c r="AG489" s="32">
        <f>IFERROR(__xludf.DUMMYFUNCTION("""COMPUTED_VALUE"""),0.0)</f>
        <v>0</v>
      </c>
      <c r="AH489" s="32">
        <f>IFERROR(__xludf.DUMMYFUNCTION("""COMPUTED_VALUE"""),15.726884)</f>
        <v>15.726884</v>
      </c>
      <c r="AI489" s="32">
        <f>IFERROR(__xludf.DUMMYFUNCTION("""COMPUTED_VALUE"""),1.5300292861249742)</f>
        <v>1.530029286</v>
      </c>
      <c r="AJ489" s="32">
        <f>IFERROR(__xludf.DUMMYFUNCTION("""COMPUTED_VALUE"""),19.503936564963244)</f>
        <v>19.50393656</v>
      </c>
      <c r="AK489" s="32">
        <f>IFERROR(__xludf.DUMMYFUNCTION("""COMPUTED_VALUE"""),2.3048)</f>
        <v>2.3048</v>
      </c>
      <c r="AL489" s="32">
        <f>IFERROR(__xludf.DUMMYFUNCTION("""COMPUTED_VALUE"""),3.0221)</f>
        <v>3.0221</v>
      </c>
      <c r="AM489" s="32">
        <f>IFERROR(__xludf.DUMMYFUNCTION("""COMPUTED_VALUE"""),0.623531)</f>
        <v>0.623531</v>
      </c>
      <c r="AN489" s="32">
        <f>IFERROR(__xludf.DUMMYFUNCTION("""COMPUTED_VALUE"""),0.173225)</f>
        <v>0.173225</v>
      </c>
      <c r="AO489" s="32">
        <f>IFERROR(__xludf.DUMMYFUNCTION("""COMPUTED_VALUE"""),0.0)</f>
        <v>0</v>
      </c>
      <c r="AP489" s="32">
        <f>IFERROR(__xludf.DUMMYFUNCTION("""COMPUTED_VALUE"""),0.19465648854961826)</f>
        <v>0.1946564885</v>
      </c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</row>
    <row r="490">
      <c r="A490" s="13" t="str">
        <f>IFERROR(__xludf.DUMMYFUNCTION("""COMPUTED_VALUE"""),"Tata Motors Ltd.")</f>
        <v>Tata Motors Ltd.</v>
      </c>
      <c r="B490" s="30">
        <f>IFERROR(__xludf.DUMMYFUNCTION("""COMPUTED_VALUE"""),500570.0)</f>
        <v>500570</v>
      </c>
      <c r="C490" s="13" t="str">
        <f>IFERROR(__xludf.DUMMYFUNCTION("""COMPUTED_VALUE"""),"TATAMOTORS")</f>
        <v>TATAMOTORS</v>
      </c>
      <c r="D490" s="13" t="str">
        <f>IFERROR(__xludf.DUMMYFUNCTION("""COMPUTED_VALUE"""),"INE155A01022")</f>
        <v>INE155A01022</v>
      </c>
      <c r="E490" s="13" t="str">
        <f>IFERROR(__xludf.DUMMYFUNCTION("""COMPUTED_VALUE"""),"Automobile")</f>
        <v>Automobile</v>
      </c>
      <c r="F490" s="13" t="str">
        <f>IFERROR(__xludf.DUMMYFUNCTION("""COMPUTED_VALUE"""),"Commercial Vehicles")</f>
        <v>Commercial Vehicles</v>
      </c>
      <c r="G490" s="31">
        <f>IFERROR(__xludf.DUMMYFUNCTION("""COMPUTED_VALUE"""),44809.0)</f>
        <v>44809</v>
      </c>
      <c r="H490" s="32">
        <f>IFERROR(__xludf.DUMMYFUNCTION("""COMPUTED_VALUE"""),459.0)</f>
        <v>459</v>
      </c>
      <c r="I490" s="32">
        <f>IFERROR(__xludf.DUMMYFUNCTION("""COMPUTED_VALUE"""),-0.59556)</f>
        <v>-0.59556</v>
      </c>
      <c r="J490" s="32">
        <f>IFERROR(__xludf.DUMMYFUNCTION("""COMPUTED_VALUE"""),290.9)</f>
        <v>290.9</v>
      </c>
      <c r="K490" s="32">
        <f>IFERROR(__xludf.DUMMYFUNCTION("""COMPUTED_VALUE"""),536.7)</f>
        <v>536.7</v>
      </c>
      <c r="L490" s="32">
        <f>IFERROR(__xludf.DUMMYFUNCTION("""COMPUTED_VALUE"""),63.5)</f>
        <v>63.5</v>
      </c>
      <c r="M490" s="32">
        <f>IFERROR(__xludf.DUMMYFUNCTION("""COMPUTED_VALUE"""),536.7)</f>
        <v>536.7</v>
      </c>
      <c r="N490" s="32">
        <f>IFERROR(__xludf.DUMMYFUNCTION("""COMPUTED_VALUE"""),63.5)</f>
        <v>63.5</v>
      </c>
      <c r="O490" s="32">
        <f>IFERROR(__xludf.DUMMYFUNCTION("""COMPUTED_VALUE"""),536.7)</f>
        <v>536.7</v>
      </c>
      <c r="P490" s="32">
        <f>IFERROR(__xludf.DUMMYFUNCTION("""COMPUTED_VALUE"""),10.897884)</f>
        <v>10.897884</v>
      </c>
      <c r="Q490" s="32">
        <f>IFERROR(__xludf.DUMMYFUNCTION("""COMPUTED_VALUE"""),605.901142)</f>
        <v>605.901142</v>
      </c>
      <c r="R490" s="32">
        <f>IFERROR(__xludf.DUMMYFUNCTION("""COMPUTED_VALUE"""),152441.9436996)</f>
        <v>152441.9437</v>
      </c>
      <c r="S490" s="32">
        <f>IFERROR(__xludf.DUMMYFUNCTION("""COMPUTED_VALUE"""),229786.74390146)</f>
        <v>229786.7439</v>
      </c>
      <c r="T490" s="32">
        <f>IFERROR(__xludf.DUMMYFUNCTION("""COMPUTED_VALUE"""),-1.300935)</f>
        <v>-1.300935</v>
      </c>
      <c r="U490" s="32">
        <f>IFERROR(__xludf.DUMMYFUNCTION("""COMPUTED_VALUE"""),-2.111324)</f>
        <v>-2.111324</v>
      </c>
      <c r="V490" s="32">
        <f>IFERROR(__xludf.DUMMYFUNCTION("""COMPUTED_VALUE"""),6.274601)</f>
        <v>6.274601</v>
      </c>
      <c r="W490" s="32">
        <f>IFERROR(__xludf.DUMMYFUNCTION("""COMPUTED_VALUE"""),55.303671)</f>
        <v>55.303671</v>
      </c>
      <c r="X490" s="32">
        <f>IFERROR(__xludf.DUMMYFUNCTION("""COMPUTED_VALUE"""),61.237549)</f>
        <v>61.237549</v>
      </c>
      <c r="Y490" s="32">
        <f>IFERROR(__xludf.DUMMYFUNCTION("""COMPUTED_VALUE"""),3.664991)</f>
        <v>3.664991</v>
      </c>
      <c r="Z490" s="32">
        <f>IFERROR(__xludf.DUMMYFUNCTION("""COMPUTED_VALUE"""),7.044795)</f>
        <v>7.044795</v>
      </c>
      <c r="AA490" s="13"/>
      <c r="AB490" s="32">
        <f>IFERROR(__xludf.DUMMYFUNCTION("""COMPUTED_VALUE"""),22.406)</f>
        <v>22.406</v>
      </c>
      <c r="AC490" s="32">
        <f>IFERROR(__xludf.DUMMYFUNCTION("""COMPUTED_VALUE"""),3.8646)</f>
        <v>3.8646</v>
      </c>
      <c r="AD490" s="32">
        <f>IFERROR(__xludf.DUMMYFUNCTION("""COMPUTED_VALUE"""),0.98485)</f>
        <v>0.98485</v>
      </c>
      <c r="AE490" s="32">
        <f>IFERROR(__xludf.DUMMYFUNCTION("""COMPUTED_VALUE"""),1.973795)</f>
        <v>1.973795</v>
      </c>
      <c r="AF490" s="13"/>
      <c r="AG490" s="32">
        <f>IFERROR(__xludf.DUMMYFUNCTION("""COMPUTED_VALUE"""),0.0)</f>
        <v>0</v>
      </c>
      <c r="AH490" s="32">
        <f>IFERROR(__xludf.DUMMYFUNCTION("""COMPUTED_VALUE"""),9.100631)</f>
        <v>9.100631</v>
      </c>
      <c r="AI490" s="32">
        <f>IFERROR(__xludf.DUMMYFUNCTION("""COMPUTED_VALUE"""),0.5426378122805373)</f>
        <v>0.5426378123</v>
      </c>
      <c r="AJ490" s="32">
        <f>IFERROR(__xludf.DUMMYFUNCTION("""COMPUTED_VALUE"""),10.673090956036024)</f>
        <v>10.67309096</v>
      </c>
      <c r="AK490" s="32">
        <f>IFERROR(__xludf.DUMMYFUNCTION("""COMPUTED_VALUE"""),-36.1232)</f>
        <v>-36.1232</v>
      </c>
      <c r="AL490" s="32">
        <f>IFERROR(__xludf.DUMMYFUNCTION("""COMPUTED_VALUE"""),118.7698)</f>
        <v>118.7698</v>
      </c>
      <c r="AM490" s="32">
        <f>IFERROR(__xludf.DUMMYFUNCTION("""COMPUTED_VALUE"""),37.300262)</f>
        <v>37.300262</v>
      </c>
      <c r="AN490" s="32">
        <f>IFERROR(__xludf.DUMMYFUNCTION("""COMPUTED_VALUE"""),-31.445961)</f>
        <v>-31.445961</v>
      </c>
      <c r="AO490" s="32">
        <f>IFERROR(__xludf.DUMMYFUNCTION("""COMPUTED_VALUE"""),0.0)</f>
        <v>0</v>
      </c>
      <c r="AP490" s="32">
        <f>IFERROR(__xludf.DUMMYFUNCTION("""COMPUTED_VALUE"""),0.14477361654555626)</f>
        <v>0.1447736165</v>
      </c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</row>
    <row r="491">
      <c r="A491" s="13" t="str">
        <f>IFERROR(__xludf.DUMMYFUNCTION("""COMPUTED_VALUE"""),"Tata Teleservices (Maharashtra) Ltd.")</f>
        <v>Tata Teleservices (Maharashtra) Ltd.</v>
      </c>
      <c r="B491" s="30">
        <f>IFERROR(__xludf.DUMMYFUNCTION("""COMPUTED_VALUE"""),532371.0)</f>
        <v>532371</v>
      </c>
      <c r="C491" s="13" t="str">
        <f>IFERROR(__xludf.DUMMYFUNCTION("""COMPUTED_VALUE"""),"TTML")</f>
        <v>TTML</v>
      </c>
      <c r="D491" s="13" t="str">
        <f>IFERROR(__xludf.DUMMYFUNCTION("""COMPUTED_VALUE"""),"INE517B01013")</f>
        <v>INE517B01013</v>
      </c>
      <c r="E491" s="13" t="str">
        <f>IFERROR(__xludf.DUMMYFUNCTION("""COMPUTED_VALUE"""),"Communication")</f>
        <v>Communication</v>
      </c>
      <c r="F491" s="13" t="str">
        <f>IFERROR(__xludf.DUMMYFUNCTION("""COMPUTED_VALUE"""),"Telecom Services")</f>
        <v>Telecom Services</v>
      </c>
      <c r="G491" s="31">
        <f>IFERROR(__xludf.DUMMYFUNCTION("""COMPUTED_VALUE"""),44809.0)</f>
        <v>44809</v>
      </c>
      <c r="H491" s="32">
        <f>IFERROR(__xludf.DUMMYFUNCTION("""COMPUTED_VALUE"""),132.75)</f>
        <v>132.75</v>
      </c>
      <c r="I491" s="32">
        <f>IFERROR(__xludf.DUMMYFUNCTION("""COMPUTED_VALUE"""),-1.848429)</f>
        <v>-1.848429</v>
      </c>
      <c r="J491" s="32">
        <f>IFERROR(__xludf.DUMMYFUNCTION("""COMPUTED_VALUE"""),33.3)</f>
        <v>33.3</v>
      </c>
      <c r="K491" s="32">
        <f>IFERROR(__xludf.DUMMYFUNCTION("""COMPUTED_VALUE"""),291.05)</f>
        <v>291.05</v>
      </c>
      <c r="L491" s="32">
        <f>IFERROR(__xludf.DUMMYFUNCTION("""COMPUTED_VALUE"""),1.8)</f>
        <v>1.8</v>
      </c>
      <c r="M491" s="32">
        <f>IFERROR(__xludf.DUMMYFUNCTION("""COMPUTED_VALUE"""),291.05)</f>
        <v>291.05</v>
      </c>
      <c r="N491" s="32">
        <f>IFERROR(__xludf.DUMMYFUNCTION("""COMPUTED_VALUE"""),1.8)</f>
        <v>1.8</v>
      </c>
      <c r="O491" s="32">
        <f>IFERROR(__xludf.DUMMYFUNCTION("""COMPUTED_VALUE"""),291.05)</f>
        <v>291.05</v>
      </c>
      <c r="P491" s="32">
        <f>IFERROR(__xludf.DUMMYFUNCTION("""COMPUTED_VALUE"""),1.8)</f>
        <v>1.8</v>
      </c>
      <c r="Q491" s="32">
        <f>IFERROR(__xludf.DUMMYFUNCTION("""COMPUTED_VALUE"""),291.05)</f>
        <v>291.05</v>
      </c>
      <c r="R491" s="32">
        <f>IFERROR(__xludf.DUMMYFUNCTION("""COMPUTED_VALUE"""),25922.34166002)</f>
        <v>25922.34166</v>
      </c>
      <c r="S491" s="32">
        <f>IFERROR(__xludf.DUMMYFUNCTION("""COMPUTED_VALUE"""),45938.74575996)</f>
        <v>45938.74576</v>
      </c>
      <c r="T491" s="32">
        <f>IFERROR(__xludf.DUMMYFUNCTION("""COMPUTED_VALUE"""),41.52452)</f>
        <v>41.52452</v>
      </c>
      <c r="U491" s="32">
        <f>IFERROR(__xludf.DUMMYFUNCTION("""COMPUTED_VALUE"""),21.844883)</f>
        <v>21.844883</v>
      </c>
      <c r="V491" s="32">
        <f>IFERROR(__xludf.DUMMYFUNCTION("""COMPUTED_VALUE"""),11.320755)</f>
        <v>11.320755</v>
      </c>
      <c r="W491" s="32">
        <f>IFERROR(__xludf.DUMMYFUNCTION("""COMPUTED_VALUE"""),270.810056)</f>
        <v>270.810056</v>
      </c>
      <c r="X491" s="32">
        <f>IFERROR(__xludf.DUMMYFUNCTION("""COMPUTED_VALUE"""),281.014142)</f>
        <v>281.014142</v>
      </c>
      <c r="Y491" s="32">
        <f>IFERROR(__xludf.DUMMYFUNCTION("""COMPUTED_VALUE"""),81.445479)</f>
        <v>81.445479</v>
      </c>
      <c r="Z491" s="32">
        <f>IFERROR(__xludf.DUMMYFUNCTION("""COMPUTED_VALUE"""),28.517147)</f>
        <v>28.517147</v>
      </c>
      <c r="AA491" s="13"/>
      <c r="AB491" s="32">
        <f>IFERROR(__xludf.DUMMYFUNCTION("""COMPUTED_VALUE"""),15.02166)</f>
        <v>15.02166</v>
      </c>
      <c r="AC491" s="32">
        <f>IFERROR(__xludf.DUMMYFUNCTION("""COMPUTED_VALUE"""),-1.3552)</f>
        <v>-1.3552</v>
      </c>
      <c r="AD491" s="32">
        <f>IFERROR(__xludf.DUMMYFUNCTION("""COMPUTED_VALUE"""),1.391985)</f>
        <v>1.391985</v>
      </c>
      <c r="AE491" s="32">
        <f>IFERROR(__xludf.DUMMYFUNCTION("""COMPUTED_VALUE"""),0.754098)</f>
        <v>0.754098</v>
      </c>
      <c r="AF491" s="13"/>
      <c r="AG491" s="32">
        <f>IFERROR(__xludf.DUMMYFUNCTION("""COMPUTED_VALUE"""),0.0)</f>
        <v>0</v>
      </c>
      <c r="AH491" s="32">
        <f>IFERROR(__xludf.DUMMYFUNCTION("""COMPUTED_VALUE"""),94.594238)</f>
        <v>94.594238</v>
      </c>
      <c r="AI491" s="32">
        <f>IFERROR(__xludf.DUMMYFUNCTION("""COMPUTED_VALUE"""),23.732974740233463)</f>
        <v>23.73297474</v>
      </c>
      <c r="AJ491" s="32">
        <f>IFERROR(__xludf.DUMMYFUNCTION("""COMPUTED_VALUE"""),48.689597408001504)</f>
        <v>48.68959741</v>
      </c>
      <c r="AK491" s="32">
        <f>IFERROR(__xludf.DUMMYFUNCTION("""COMPUTED_VALUE"""),-6.0956)</f>
        <v>-6.0956</v>
      </c>
      <c r="AL491" s="32">
        <f>IFERROR(__xludf.DUMMYFUNCTION("""COMPUTED_VALUE"""),-97.8429)</f>
        <v>-97.8429</v>
      </c>
      <c r="AM491" s="32">
        <f>IFERROR(__xludf.DUMMYFUNCTION("""COMPUTED_VALUE"""),2.723371)</f>
        <v>2.723371</v>
      </c>
      <c r="AN491" s="32">
        <f>IFERROR(__xludf.DUMMYFUNCTION("""COMPUTED_VALUE"""),-5.744502)</f>
        <v>-5.744502</v>
      </c>
      <c r="AO491" s="32">
        <f>IFERROR(__xludf.DUMMYFUNCTION("""COMPUTED_VALUE"""),0.0)</f>
        <v>0</v>
      </c>
      <c r="AP491" s="32">
        <f>IFERROR(__xludf.DUMMYFUNCTION("""COMPUTED_VALUE"""),0.5438928019240681)</f>
        <v>0.5438928019</v>
      </c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</row>
    <row r="492">
      <c r="A492" s="13" t="str">
        <f>IFERROR(__xludf.DUMMYFUNCTION("""COMPUTED_VALUE"""),"TCNS Clothing Co Ltd.")</f>
        <v>TCNS Clothing Co Ltd.</v>
      </c>
      <c r="B492" s="30">
        <f>IFERROR(__xludf.DUMMYFUNCTION("""COMPUTED_VALUE"""),541700.0)</f>
        <v>541700</v>
      </c>
      <c r="C492" s="13" t="str">
        <f>IFERROR(__xludf.DUMMYFUNCTION("""COMPUTED_VALUE"""),"TCNSBRANDS")</f>
        <v>TCNSBRANDS</v>
      </c>
      <c r="D492" s="13" t="str">
        <f>IFERROR(__xludf.DUMMYFUNCTION("""COMPUTED_VALUE"""),"INE778U01029")</f>
        <v>INE778U01029</v>
      </c>
      <c r="E492" s="13" t="str">
        <f>IFERROR(__xludf.DUMMYFUNCTION("""COMPUTED_VALUE"""),"Textiles")</f>
        <v>Textiles</v>
      </c>
      <c r="F492" s="13" t="str">
        <f>IFERROR(__xludf.DUMMYFUNCTION("""COMPUTED_VALUE"""),"Cloth")</f>
        <v>Cloth</v>
      </c>
      <c r="G492" s="31">
        <f>IFERROR(__xludf.DUMMYFUNCTION("""COMPUTED_VALUE"""),44809.0)</f>
        <v>44809</v>
      </c>
      <c r="H492" s="32">
        <f>IFERROR(__xludf.DUMMYFUNCTION("""COMPUTED_VALUE"""),699.0)</f>
        <v>699</v>
      </c>
      <c r="I492" s="32">
        <f>IFERROR(__xludf.DUMMYFUNCTION("""COMPUTED_VALUE"""),5.406017)</f>
        <v>5.406017</v>
      </c>
      <c r="J492" s="32">
        <f>IFERROR(__xludf.DUMMYFUNCTION("""COMPUTED_VALUE"""),494.1)</f>
        <v>494.1</v>
      </c>
      <c r="K492" s="32">
        <f>IFERROR(__xludf.DUMMYFUNCTION("""COMPUTED_VALUE"""),932.55)</f>
        <v>932.55</v>
      </c>
      <c r="L492" s="32">
        <f>IFERROR(__xludf.DUMMYFUNCTION("""COMPUTED_VALUE"""),295.1)</f>
        <v>295.1</v>
      </c>
      <c r="M492" s="32">
        <f>IFERROR(__xludf.DUMMYFUNCTION("""COMPUTED_VALUE"""),932.55)</f>
        <v>932.55</v>
      </c>
      <c r="N492" s="13"/>
      <c r="O492" s="13"/>
      <c r="P492" s="32">
        <f>IFERROR(__xludf.DUMMYFUNCTION("""COMPUTED_VALUE"""),295.1)</f>
        <v>295.1</v>
      </c>
      <c r="Q492" s="32">
        <f>IFERROR(__xludf.DUMMYFUNCTION("""COMPUTED_VALUE"""),932.55)</f>
        <v>932.55</v>
      </c>
      <c r="R492" s="32">
        <f>IFERROR(__xludf.DUMMYFUNCTION("""COMPUTED_VALUE"""),4302.97511118)</f>
        <v>4302.975111</v>
      </c>
      <c r="S492" s="32">
        <f>IFERROR(__xludf.DUMMYFUNCTION("""COMPUTED_VALUE"""),3932.82757615)</f>
        <v>3932.827576</v>
      </c>
      <c r="T492" s="32">
        <f>IFERROR(__xludf.DUMMYFUNCTION("""COMPUTED_VALUE"""),20.652455)</f>
        <v>20.652455</v>
      </c>
      <c r="U492" s="32">
        <f>IFERROR(__xludf.DUMMYFUNCTION("""COMPUTED_VALUE"""),15.623191)</f>
        <v>15.623191</v>
      </c>
      <c r="V492" s="32">
        <f>IFERROR(__xludf.DUMMYFUNCTION("""COMPUTED_VALUE"""),22.556325)</f>
        <v>22.556325</v>
      </c>
      <c r="W492" s="32">
        <f>IFERROR(__xludf.DUMMYFUNCTION("""COMPUTED_VALUE"""),3.234382)</f>
        <v>3.234382</v>
      </c>
      <c r="X492" s="32">
        <f>IFERROR(__xludf.DUMMYFUNCTION("""COMPUTED_VALUE"""),2.235081)</f>
        <v>2.235081</v>
      </c>
      <c r="Y492" s="13"/>
      <c r="Z492" s="13"/>
      <c r="AA492" s="32">
        <f>IFERROR(__xludf.DUMMYFUNCTION("""COMPUTED_VALUE"""),131.3124)</f>
        <v>131.3124</v>
      </c>
      <c r="AB492" s="32">
        <f>IFERROR(__xludf.DUMMYFUNCTION("""COMPUTED_VALUE"""),33.6692)</f>
        <v>33.6692</v>
      </c>
      <c r="AC492" s="32">
        <f>IFERROR(__xludf.DUMMYFUNCTION("""COMPUTED_VALUE"""),7.7854)</f>
        <v>7.7854</v>
      </c>
      <c r="AD492" s="32">
        <f>IFERROR(__xludf.DUMMYFUNCTION("""COMPUTED_VALUE"""),5.65805)</f>
        <v>5.65805</v>
      </c>
      <c r="AE492" s="32">
        <f>IFERROR(__xludf.DUMMYFUNCTION("""COMPUTED_VALUE"""),2.933285)</f>
        <v>2.933285</v>
      </c>
      <c r="AF492" s="32">
        <f>IFERROR(__xludf.DUMMYFUNCTION("""COMPUTED_VALUE"""),-3.542834)</f>
        <v>-3.542834</v>
      </c>
      <c r="AG492" s="32">
        <f>IFERROR(__xludf.DUMMYFUNCTION("""COMPUTED_VALUE"""),0.0)</f>
        <v>0</v>
      </c>
      <c r="AH492" s="32">
        <f>IFERROR(__xludf.DUMMYFUNCTION("""COMPUTED_VALUE"""),21.527917)</f>
        <v>21.527917</v>
      </c>
      <c r="AI492" s="32">
        <f>IFERROR(__xludf.DUMMYFUNCTION("""COMPUTED_VALUE"""),3.9893410931210123)</f>
        <v>3.989341093</v>
      </c>
      <c r="AJ492" s="32">
        <f>IFERROR(__xludf.DUMMYFUNCTION("""COMPUTED_VALUE"""),41.50646388714189)</f>
        <v>41.50646389</v>
      </c>
      <c r="AK492" s="32">
        <f>IFERROR(__xludf.DUMMYFUNCTION("""COMPUTED_VALUE"""),5.3171)</f>
        <v>5.3171</v>
      </c>
      <c r="AL492" s="32">
        <f>IFERROR(__xludf.DUMMYFUNCTION("""COMPUTED_VALUE"""),89.6807)</f>
        <v>89.6807</v>
      </c>
      <c r="AM492" s="32">
        <f>IFERROR(__xludf.DUMMYFUNCTION("""COMPUTED_VALUE"""),16.825448)</f>
        <v>16.825448</v>
      </c>
      <c r="AN492" s="32">
        <f>IFERROR(__xludf.DUMMYFUNCTION("""COMPUTED_VALUE"""),5.61373)</f>
        <v>5.61373</v>
      </c>
      <c r="AO492" s="32">
        <f>IFERROR(__xludf.DUMMYFUNCTION("""COMPUTED_VALUE"""),0.0)</f>
        <v>0</v>
      </c>
      <c r="AP492" s="32">
        <f>IFERROR(__xludf.DUMMYFUNCTION("""COMPUTED_VALUE"""),0.25044233553160683)</f>
        <v>0.2504423355</v>
      </c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</row>
    <row r="493">
      <c r="A493" s="13" t="str">
        <f>IFERROR(__xludf.DUMMYFUNCTION("""COMPUTED_VALUE"""),"TeamLease Services Ltd.")</f>
        <v>TeamLease Services Ltd.</v>
      </c>
      <c r="B493" s="30">
        <f>IFERROR(__xludf.DUMMYFUNCTION("""COMPUTED_VALUE"""),539658.0)</f>
        <v>539658</v>
      </c>
      <c r="C493" s="13" t="str">
        <f>IFERROR(__xludf.DUMMYFUNCTION("""COMPUTED_VALUE"""),"TEAMLEASE")</f>
        <v>TEAMLEASE</v>
      </c>
      <c r="D493" s="13" t="str">
        <f>IFERROR(__xludf.DUMMYFUNCTION("""COMPUTED_VALUE"""),"INE985S01024")</f>
        <v>INE985S01024</v>
      </c>
      <c r="E493" s="13" t="str">
        <f>IFERROR(__xludf.DUMMYFUNCTION("""COMPUTED_VALUE"""),"Services")</f>
        <v>Services</v>
      </c>
      <c r="F493" s="13" t="str">
        <f>IFERROR(__xludf.DUMMYFUNCTION("""COMPUTED_VALUE"""),"Business Services")</f>
        <v>Business Services</v>
      </c>
      <c r="G493" s="31">
        <f>IFERROR(__xludf.DUMMYFUNCTION("""COMPUTED_VALUE"""),44809.0)</f>
        <v>44809</v>
      </c>
      <c r="H493" s="32">
        <f>IFERROR(__xludf.DUMMYFUNCTION("""COMPUTED_VALUE"""),3339.75)</f>
        <v>3339.75</v>
      </c>
      <c r="I493" s="32">
        <f>IFERROR(__xludf.DUMMYFUNCTION("""COMPUTED_VALUE"""),0.025457)</f>
        <v>0.025457</v>
      </c>
      <c r="J493" s="32">
        <f>IFERROR(__xludf.DUMMYFUNCTION("""COMPUTED_VALUE"""),2910.0)</f>
        <v>2910</v>
      </c>
      <c r="K493" s="32">
        <f>IFERROR(__xludf.DUMMYFUNCTION("""COMPUTED_VALUE"""),5550.0)</f>
        <v>5550</v>
      </c>
      <c r="L493" s="32">
        <f>IFERROR(__xludf.DUMMYFUNCTION("""COMPUTED_VALUE"""),1415.35)</f>
        <v>1415.35</v>
      </c>
      <c r="M493" s="32">
        <f>IFERROR(__xludf.DUMMYFUNCTION("""COMPUTED_VALUE"""),5550.0)</f>
        <v>5550</v>
      </c>
      <c r="N493" s="32">
        <f>IFERROR(__xludf.DUMMYFUNCTION("""COMPUTED_VALUE"""),1415.35)</f>
        <v>1415.35</v>
      </c>
      <c r="O493" s="32">
        <f>IFERROR(__xludf.DUMMYFUNCTION("""COMPUTED_VALUE"""),5550.0)</f>
        <v>5550</v>
      </c>
      <c r="P493" s="32">
        <f>IFERROR(__xludf.DUMMYFUNCTION("""COMPUTED_VALUE"""),790.0)</f>
        <v>790</v>
      </c>
      <c r="Q493" s="32">
        <f>IFERROR(__xludf.DUMMYFUNCTION("""COMPUTED_VALUE"""),5550.0)</f>
        <v>5550</v>
      </c>
      <c r="R493" s="32">
        <f>IFERROR(__xludf.DUMMYFUNCTION("""COMPUTED_VALUE"""),5675.27246955)</f>
        <v>5675.27247</v>
      </c>
      <c r="S493" s="32">
        <f>IFERROR(__xludf.DUMMYFUNCTION("""COMPUTED_VALUE"""),5409.766586565)</f>
        <v>5409.766587</v>
      </c>
      <c r="T493" s="32">
        <f>IFERROR(__xludf.DUMMYFUNCTION("""COMPUTED_VALUE"""),-3.857503)</f>
        <v>-3.857503</v>
      </c>
      <c r="U493" s="32">
        <f>IFERROR(__xludf.DUMMYFUNCTION("""COMPUTED_VALUE"""),1.621811)</f>
        <v>1.621811</v>
      </c>
      <c r="V493" s="32">
        <f>IFERROR(__xludf.DUMMYFUNCTION("""COMPUTED_VALUE"""),-1.907657)</f>
        <v>-1.907657</v>
      </c>
      <c r="W493" s="32">
        <f>IFERROR(__xludf.DUMMYFUNCTION("""COMPUTED_VALUE"""),-21.443524)</f>
        <v>-21.443524</v>
      </c>
      <c r="X493" s="32">
        <f>IFERROR(__xludf.DUMMYFUNCTION("""COMPUTED_VALUE"""),7.235619)</f>
        <v>7.235619</v>
      </c>
      <c r="Y493" s="32">
        <f>IFERROR(__xludf.DUMMYFUNCTION("""COMPUTED_VALUE"""),17.326023)</f>
        <v>17.326023</v>
      </c>
      <c r="Z493" s="13"/>
      <c r="AA493" s="32">
        <f>IFERROR(__xludf.DUMMYFUNCTION("""COMPUTED_VALUE"""),149.8184)</f>
        <v>149.8184</v>
      </c>
      <c r="AB493" s="32">
        <f>IFERROR(__xludf.DUMMYFUNCTION("""COMPUTED_VALUE"""),64.03375)</f>
        <v>64.03375</v>
      </c>
      <c r="AC493" s="32">
        <f>IFERROR(__xludf.DUMMYFUNCTION("""COMPUTED_VALUE"""),7.9247)</f>
        <v>7.9247</v>
      </c>
      <c r="AD493" s="32">
        <f>IFERROR(__xludf.DUMMYFUNCTION("""COMPUTED_VALUE"""),9.1911)</f>
        <v>9.1911</v>
      </c>
      <c r="AE493" s="32">
        <f>IFERROR(__xludf.DUMMYFUNCTION("""COMPUTED_VALUE"""),2.844734)</f>
        <v>2.844734</v>
      </c>
      <c r="AF493" s="32">
        <f>IFERROR(__xludf.DUMMYFUNCTION("""COMPUTED_VALUE"""),-14.43074)</f>
        <v>-14.43074</v>
      </c>
      <c r="AG493" s="32">
        <f>IFERROR(__xludf.DUMMYFUNCTION("""COMPUTED_VALUE"""),0.0)</f>
        <v>0</v>
      </c>
      <c r="AH493" s="32">
        <f>IFERROR(__xludf.DUMMYFUNCTION("""COMPUTED_VALUE"""),32.672802)</f>
        <v>32.672802</v>
      </c>
      <c r="AI493" s="32">
        <f>IFERROR(__xludf.DUMMYFUNCTION("""COMPUTED_VALUE"""),0.8127922735236212)</f>
        <v>0.8127922735</v>
      </c>
      <c r="AJ493" s="32">
        <f>IFERROR(__xludf.DUMMYFUNCTION("""COMPUTED_VALUE"""),-923.1687926263908)</f>
        <v>-923.1687926</v>
      </c>
      <c r="AK493" s="32">
        <f>IFERROR(__xludf.DUMMYFUNCTION("""COMPUTED_VALUE"""),22.1568)</f>
        <v>22.1568</v>
      </c>
      <c r="AL493" s="32">
        <f>IFERROR(__xludf.DUMMYFUNCTION("""COMPUTED_VALUE"""),418.8808)</f>
        <v>418.8808</v>
      </c>
      <c r="AM493" s="32">
        <f>IFERROR(__xludf.DUMMYFUNCTION("""COMPUTED_VALUE"""),-3.595761)</f>
        <v>-3.595761</v>
      </c>
      <c r="AN493" s="32">
        <f>IFERROR(__xludf.DUMMYFUNCTION("""COMPUTED_VALUE"""),-15.832436)</f>
        <v>-15.832436</v>
      </c>
      <c r="AO493" s="32">
        <f>IFERROR(__xludf.DUMMYFUNCTION("""COMPUTED_VALUE"""),0.0)</f>
        <v>0</v>
      </c>
      <c r="AP493" s="32">
        <f>IFERROR(__xludf.DUMMYFUNCTION("""COMPUTED_VALUE"""),0.39824324324324323)</f>
        <v>0.3982432432</v>
      </c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</row>
    <row r="494">
      <c r="A494" s="13" t="str">
        <f>IFERROR(__xludf.DUMMYFUNCTION("""COMPUTED_VALUE"""),"TV18 Broadcast Ltd.")</f>
        <v>TV18 Broadcast Ltd.</v>
      </c>
      <c r="B494" s="30">
        <f>IFERROR(__xludf.DUMMYFUNCTION("""COMPUTED_VALUE"""),532800.0)</f>
        <v>532800</v>
      </c>
      <c r="C494" s="13" t="str">
        <f>IFERROR(__xludf.DUMMYFUNCTION("""COMPUTED_VALUE"""),"TV18BRDCST")</f>
        <v>TV18BRDCST</v>
      </c>
      <c r="D494" s="13" t="str">
        <f>IFERROR(__xludf.DUMMYFUNCTION("""COMPUTED_VALUE"""),"INE886H01027")</f>
        <v>INE886H01027</v>
      </c>
      <c r="E494" s="13" t="str">
        <f>IFERROR(__xludf.DUMMYFUNCTION("""COMPUTED_VALUE"""),"Services")</f>
        <v>Services</v>
      </c>
      <c r="F494" s="13" t="str">
        <f>IFERROR(__xludf.DUMMYFUNCTION("""COMPUTED_VALUE"""),"Media &amp; Entertainment")</f>
        <v>Media &amp; Entertainment</v>
      </c>
      <c r="G494" s="31">
        <f>IFERROR(__xludf.DUMMYFUNCTION("""COMPUTED_VALUE"""),44809.0)</f>
        <v>44809</v>
      </c>
      <c r="H494" s="32">
        <f>IFERROR(__xludf.DUMMYFUNCTION("""COMPUTED_VALUE"""),44.65)</f>
        <v>44.65</v>
      </c>
      <c r="I494" s="32">
        <f>IFERROR(__xludf.DUMMYFUNCTION("""COMPUTED_VALUE"""),7.46089)</f>
        <v>7.46089</v>
      </c>
      <c r="J494" s="32">
        <f>IFERROR(__xludf.DUMMYFUNCTION("""COMPUTED_VALUE"""),34.9)</f>
        <v>34.9</v>
      </c>
      <c r="K494" s="32">
        <f>IFERROR(__xludf.DUMMYFUNCTION("""COMPUTED_VALUE"""),82.6)</f>
        <v>82.6</v>
      </c>
      <c r="L494" s="32">
        <f>IFERROR(__xludf.DUMMYFUNCTION("""COMPUTED_VALUE"""),11.85)</f>
        <v>11.85</v>
      </c>
      <c r="M494" s="32">
        <f>IFERROR(__xludf.DUMMYFUNCTION("""COMPUTED_VALUE"""),82.6)</f>
        <v>82.6</v>
      </c>
      <c r="N494" s="32">
        <f>IFERROR(__xludf.DUMMYFUNCTION("""COMPUTED_VALUE"""),11.85)</f>
        <v>11.85</v>
      </c>
      <c r="O494" s="32">
        <f>IFERROR(__xludf.DUMMYFUNCTION("""COMPUTED_VALUE"""),82.6)</f>
        <v>82.6</v>
      </c>
      <c r="P494" s="32">
        <f>IFERROR(__xludf.DUMMYFUNCTION("""COMPUTED_VALUE"""),11.85)</f>
        <v>11.85</v>
      </c>
      <c r="Q494" s="32">
        <f>IFERROR(__xludf.DUMMYFUNCTION("""COMPUTED_VALUE"""),216.961155)</f>
        <v>216.961155</v>
      </c>
      <c r="R494" s="32">
        <f>IFERROR(__xludf.DUMMYFUNCTION("""COMPUTED_VALUE"""),7654.6181144)</f>
        <v>7654.618114</v>
      </c>
      <c r="S494" s="32">
        <f>IFERROR(__xludf.DUMMYFUNCTION("""COMPUTED_VALUE"""),7660.3564648)</f>
        <v>7660.356465</v>
      </c>
      <c r="T494" s="32">
        <f>IFERROR(__xludf.DUMMYFUNCTION("""COMPUTED_VALUE"""),5.805687)</f>
        <v>5.805687</v>
      </c>
      <c r="U494" s="32">
        <f>IFERROR(__xludf.DUMMYFUNCTION("""COMPUTED_VALUE"""),16.124837)</f>
        <v>16.124837</v>
      </c>
      <c r="V494" s="32">
        <f>IFERROR(__xludf.DUMMYFUNCTION("""COMPUTED_VALUE"""),10.110974)</f>
        <v>10.110974</v>
      </c>
      <c r="W494" s="32">
        <f>IFERROR(__xludf.DUMMYFUNCTION("""COMPUTED_VALUE"""),23.172414)</f>
        <v>23.172414</v>
      </c>
      <c r="X494" s="32">
        <f>IFERROR(__xludf.DUMMYFUNCTION("""COMPUTED_VALUE"""),30.479355)</f>
        <v>30.479355</v>
      </c>
      <c r="Y494" s="32">
        <f>IFERROR(__xludf.DUMMYFUNCTION("""COMPUTED_VALUE"""),1.522949)</f>
        <v>1.522949</v>
      </c>
      <c r="Z494" s="32">
        <f>IFERROR(__xludf.DUMMYFUNCTION("""COMPUTED_VALUE"""),10.009749)</f>
        <v>10.009749</v>
      </c>
      <c r="AA494" s="32">
        <f>IFERROR(__xludf.DUMMYFUNCTION("""COMPUTED_VALUE"""),14.7639)</f>
        <v>14.7639</v>
      </c>
      <c r="AB494" s="32">
        <f>IFERROR(__xludf.DUMMYFUNCTION("""COMPUTED_VALUE"""),19.9582)</f>
        <v>19.9582</v>
      </c>
      <c r="AC494" s="32">
        <f>IFERROR(__xludf.DUMMYFUNCTION("""COMPUTED_VALUE"""),1.5846)</f>
        <v>1.5846</v>
      </c>
      <c r="AD494" s="32">
        <f>IFERROR(__xludf.DUMMYFUNCTION("""COMPUTED_VALUE"""),1.55445)</f>
        <v>1.55445</v>
      </c>
      <c r="AE494" s="32">
        <f>IFERROR(__xludf.DUMMYFUNCTION("""COMPUTED_VALUE"""),11.818514)</f>
        <v>11.818514</v>
      </c>
      <c r="AF494" s="32">
        <f>IFERROR(__xludf.DUMMYFUNCTION("""COMPUTED_VALUE"""),0.175535)</f>
        <v>0.175535</v>
      </c>
      <c r="AG494" s="32">
        <f>IFERROR(__xludf.DUMMYFUNCTION("""COMPUTED_VALUE"""),0.0)</f>
        <v>0</v>
      </c>
      <c r="AH494" s="32">
        <f>IFERROR(__xludf.DUMMYFUNCTION("""COMPUTED_VALUE"""),7.70869)</f>
        <v>7.70869</v>
      </c>
      <c r="AI494" s="32">
        <f>IFERROR(__xludf.DUMMYFUNCTION("""COMPUTED_VALUE"""),1.3581047885384785)</f>
        <v>1.358104789</v>
      </c>
      <c r="AJ494" s="32">
        <f>IFERROR(__xludf.DUMMYFUNCTION("""COMPUTED_VALUE"""),5.804625819475093)</f>
        <v>5.804625819</v>
      </c>
      <c r="AK494" s="32">
        <f>IFERROR(__xludf.DUMMYFUNCTION("""COMPUTED_VALUE"""),3.0243)</f>
        <v>3.0243</v>
      </c>
      <c r="AL494" s="32">
        <f>IFERROR(__xludf.DUMMYFUNCTION("""COMPUTED_VALUE"""),28.1774)</f>
        <v>28.1774</v>
      </c>
      <c r="AM494" s="32">
        <f>IFERROR(__xludf.DUMMYFUNCTION("""COMPUTED_VALUE"""),7.692187)</f>
        <v>7.692187</v>
      </c>
      <c r="AN494" s="32">
        <f>IFERROR(__xludf.DUMMYFUNCTION("""COMPUTED_VALUE"""),6.404526)</f>
        <v>6.404526</v>
      </c>
      <c r="AO494" s="32">
        <f>IFERROR(__xludf.DUMMYFUNCTION("""COMPUTED_VALUE"""),0.0)</f>
        <v>0</v>
      </c>
      <c r="AP494" s="32">
        <f>IFERROR(__xludf.DUMMYFUNCTION("""COMPUTED_VALUE"""),0.4594430992736077)</f>
        <v>0.4594430993</v>
      </c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</row>
    <row r="495">
      <c r="A495" s="13" t="str">
        <f>IFERROR(__xludf.DUMMYFUNCTION("""COMPUTED_VALUE"""),"UCO Bank")</f>
        <v>UCO Bank</v>
      </c>
      <c r="B495" s="30">
        <f>IFERROR(__xludf.DUMMYFUNCTION("""COMPUTED_VALUE"""),532505.0)</f>
        <v>532505</v>
      </c>
      <c r="C495" s="13" t="str">
        <f>IFERROR(__xludf.DUMMYFUNCTION("""COMPUTED_VALUE"""),"UCOBANK")</f>
        <v>UCOBANK</v>
      </c>
      <c r="D495" s="13" t="str">
        <f>IFERROR(__xludf.DUMMYFUNCTION("""COMPUTED_VALUE"""),"INE691A01018")</f>
        <v>INE691A01018</v>
      </c>
      <c r="E495" s="13" t="str">
        <f>IFERROR(__xludf.DUMMYFUNCTION("""COMPUTED_VALUE"""),"Financial")</f>
        <v>Financial</v>
      </c>
      <c r="F495" s="13" t="str">
        <f>IFERROR(__xludf.DUMMYFUNCTION("""COMPUTED_VALUE"""),"Banking")</f>
        <v>Banking</v>
      </c>
      <c r="G495" s="31">
        <f>IFERROR(__xludf.DUMMYFUNCTION("""COMPUTED_VALUE"""),44809.0)</f>
        <v>44809</v>
      </c>
      <c r="H495" s="32">
        <f>IFERROR(__xludf.DUMMYFUNCTION("""COMPUTED_VALUE"""),12.25)</f>
        <v>12.25</v>
      </c>
      <c r="I495" s="32">
        <f>IFERROR(__xludf.DUMMYFUNCTION("""COMPUTED_VALUE"""),2.51046)</f>
        <v>2.51046</v>
      </c>
      <c r="J495" s="32">
        <f>IFERROR(__xludf.DUMMYFUNCTION("""COMPUTED_VALUE"""),10.55)</f>
        <v>10.55</v>
      </c>
      <c r="K495" s="32">
        <f>IFERROR(__xludf.DUMMYFUNCTION("""COMPUTED_VALUE"""),15.3)</f>
        <v>15.3</v>
      </c>
      <c r="L495" s="32">
        <f>IFERROR(__xludf.DUMMYFUNCTION("""COMPUTED_VALUE"""),8.4)</f>
        <v>8.4</v>
      </c>
      <c r="M495" s="32">
        <f>IFERROR(__xludf.DUMMYFUNCTION("""COMPUTED_VALUE"""),22.4)</f>
        <v>22.4</v>
      </c>
      <c r="N495" s="32">
        <f>IFERROR(__xludf.DUMMYFUNCTION("""COMPUTED_VALUE"""),8.4)</f>
        <v>8.4</v>
      </c>
      <c r="O495" s="32">
        <f>IFERROR(__xludf.DUMMYFUNCTION("""COMPUTED_VALUE"""),38.4)</f>
        <v>38.4</v>
      </c>
      <c r="P495" s="32">
        <f>IFERROR(__xludf.DUMMYFUNCTION("""COMPUTED_VALUE"""),8.4)</f>
        <v>8.4</v>
      </c>
      <c r="Q495" s="32">
        <f>IFERROR(__xludf.DUMMYFUNCTION("""COMPUTED_VALUE"""),152.4)</f>
        <v>152.4</v>
      </c>
      <c r="R495" s="32">
        <f>IFERROR(__xludf.DUMMYFUNCTION("""COMPUTED_VALUE"""),14658.004723776)</f>
        <v>14658.00472</v>
      </c>
      <c r="S495" s="32">
        <f>IFERROR(__xludf.DUMMYFUNCTION("""COMPUTED_VALUE"""),1647.52322032)</f>
        <v>1647.52322</v>
      </c>
      <c r="T495" s="32">
        <f>IFERROR(__xludf.DUMMYFUNCTION("""COMPUTED_VALUE"""),0.409836)</f>
        <v>0.409836</v>
      </c>
      <c r="U495" s="32">
        <f>IFERROR(__xludf.DUMMYFUNCTION("""COMPUTED_VALUE"""),0.823045)</f>
        <v>0.823045</v>
      </c>
      <c r="V495" s="32">
        <f>IFERROR(__xludf.DUMMYFUNCTION("""COMPUTED_VALUE"""),6.060606)</f>
        <v>6.060606</v>
      </c>
      <c r="W495" s="32">
        <f>IFERROR(__xludf.DUMMYFUNCTION("""COMPUTED_VALUE"""),-4.669261)</f>
        <v>-4.669261</v>
      </c>
      <c r="X495" s="32">
        <f>IFERROR(__xludf.DUMMYFUNCTION("""COMPUTED_VALUE"""),-6.423895)</f>
        <v>-6.423895</v>
      </c>
      <c r="Y495" s="32">
        <f>IFERROR(__xludf.DUMMYFUNCTION("""COMPUTED_VALUE"""),-16.947085)</f>
        <v>-16.947085</v>
      </c>
      <c r="Z495" s="32">
        <f>IFERROR(__xludf.DUMMYFUNCTION("""COMPUTED_VALUE"""),-15.383412)</f>
        <v>-15.383412</v>
      </c>
      <c r="AA495" s="32">
        <f>IFERROR(__xludf.DUMMYFUNCTION("""COMPUTED_VALUE"""),15.404)</f>
        <v>15.404</v>
      </c>
      <c r="AB495" s="32">
        <f>IFERROR(__xludf.DUMMYFUNCTION("""COMPUTED_VALUE"""),39.14885)</f>
        <v>39.14885</v>
      </c>
      <c r="AC495" s="32">
        <f>IFERROR(__xludf.DUMMYFUNCTION("""COMPUTED_VALUE"""),0.6958)</f>
        <v>0.6958</v>
      </c>
      <c r="AD495" s="32">
        <f>IFERROR(__xludf.DUMMYFUNCTION("""COMPUTED_VALUE"""),0.73165)</f>
        <v>0.73165</v>
      </c>
      <c r="AE495" s="32">
        <f>IFERROR(__xludf.DUMMYFUNCTION("""COMPUTED_VALUE"""),534.658853)</f>
        <v>534.658853</v>
      </c>
      <c r="AF495" s="32">
        <f>IFERROR(__xludf.DUMMYFUNCTION("""COMPUTED_VALUE"""),1.217866)</f>
        <v>1.217866</v>
      </c>
      <c r="AG495" s="32">
        <f>IFERROR(__xludf.DUMMYFUNCTION("""COMPUTED_VALUE"""),0.0)</f>
        <v>0</v>
      </c>
      <c r="AH495" s="32">
        <f>IFERROR(__xludf.DUMMYFUNCTION("""COMPUTED_VALUE"""),0.405397)</f>
        <v>0.405397</v>
      </c>
      <c r="AI495" s="32">
        <f>IFERROR(__xludf.DUMMYFUNCTION("""COMPUTED_VALUE"""),0.960372035858071)</f>
        <v>0.9603720359</v>
      </c>
      <c r="AJ495" s="32">
        <f>IFERROR(__xludf.DUMMYFUNCTION("""COMPUTED_VALUE"""),3.332378434616076)</f>
        <v>3.332378435</v>
      </c>
      <c r="AK495" s="32">
        <f>IFERROR(__xludf.DUMMYFUNCTION("""COMPUTED_VALUE"""),0.7959)</f>
        <v>0.7959</v>
      </c>
      <c r="AL495" s="32">
        <f>IFERROR(__xludf.DUMMYFUNCTION("""COMPUTED_VALUE"""),17.6205)</f>
        <v>17.6205</v>
      </c>
      <c r="AM495" s="32">
        <f>IFERROR(__xludf.DUMMYFUNCTION("""COMPUTED_VALUE"""),3.679054)</f>
        <v>3.679054</v>
      </c>
      <c r="AN495" s="32">
        <f>IFERROR(__xludf.DUMMYFUNCTION("""COMPUTED_VALUE"""),-0.87706)</f>
        <v>-0.87706</v>
      </c>
      <c r="AO495" s="32">
        <f>IFERROR(__xludf.DUMMYFUNCTION("""COMPUTED_VALUE"""),0.0)</f>
        <v>0</v>
      </c>
      <c r="AP495" s="32">
        <f>IFERROR(__xludf.DUMMYFUNCTION("""COMPUTED_VALUE"""),0.1993464052287582)</f>
        <v>0.1993464052</v>
      </c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</row>
    <row r="496">
      <c r="A496" s="13" t="str">
        <f>IFERROR(__xludf.DUMMYFUNCTION("""COMPUTED_VALUE"""),"Varroc Engineering Ltd.")</f>
        <v>Varroc Engineering Ltd.</v>
      </c>
      <c r="B496" s="30">
        <f>IFERROR(__xludf.DUMMYFUNCTION("""COMPUTED_VALUE"""),541578.0)</f>
        <v>541578</v>
      </c>
      <c r="C496" s="13" t="str">
        <f>IFERROR(__xludf.DUMMYFUNCTION("""COMPUTED_VALUE"""),"VARROC")</f>
        <v>VARROC</v>
      </c>
      <c r="D496" s="13" t="str">
        <f>IFERROR(__xludf.DUMMYFUNCTION("""COMPUTED_VALUE"""),"INE665L01035")</f>
        <v>INE665L01035</v>
      </c>
      <c r="E496" s="13" t="str">
        <f>IFERROR(__xludf.DUMMYFUNCTION("""COMPUTED_VALUE"""),"Automobile")</f>
        <v>Automobile</v>
      </c>
      <c r="F496" s="13" t="str">
        <f>IFERROR(__xludf.DUMMYFUNCTION("""COMPUTED_VALUE"""),"Auto Ancillaries")</f>
        <v>Auto Ancillaries</v>
      </c>
      <c r="G496" s="31">
        <f>IFERROR(__xludf.DUMMYFUNCTION("""COMPUTED_VALUE"""),44809.0)</f>
        <v>44809</v>
      </c>
      <c r="H496" s="32">
        <f>IFERROR(__xludf.DUMMYFUNCTION("""COMPUTED_VALUE"""),372.8)</f>
        <v>372.8</v>
      </c>
      <c r="I496" s="32">
        <f>IFERROR(__xludf.DUMMYFUNCTION("""COMPUTED_VALUE"""),-1.959237)</f>
        <v>-1.959237</v>
      </c>
      <c r="J496" s="32">
        <f>IFERROR(__xludf.DUMMYFUNCTION("""COMPUTED_VALUE"""),260.0)</f>
        <v>260</v>
      </c>
      <c r="K496" s="32">
        <f>IFERROR(__xludf.DUMMYFUNCTION("""COMPUTED_VALUE"""),494.6)</f>
        <v>494.6</v>
      </c>
      <c r="L496" s="32">
        <f>IFERROR(__xludf.DUMMYFUNCTION("""COMPUTED_VALUE"""),119.2)</f>
        <v>119.2</v>
      </c>
      <c r="M496" s="32">
        <f>IFERROR(__xludf.DUMMYFUNCTION("""COMPUTED_VALUE"""),526.6)</f>
        <v>526.6</v>
      </c>
      <c r="N496" s="13"/>
      <c r="O496" s="13"/>
      <c r="P496" s="32">
        <f>IFERROR(__xludf.DUMMYFUNCTION("""COMPUTED_VALUE"""),119.2)</f>
        <v>119.2</v>
      </c>
      <c r="Q496" s="32">
        <f>IFERROR(__xludf.DUMMYFUNCTION("""COMPUTED_VALUE"""),1178.7)</f>
        <v>1178.7</v>
      </c>
      <c r="R496" s="32">
        <f>IFERROR(__xludf.DUMMYFUNCTION("""COMPUTED_VALUE"""),5706.57204)</f>
        <v>5706.57204</v>
      </c>
      <c r="S496" s="32">
        <f>IFERROR(__xludf.DUMMYFUNCTION("""COMPUTED_VALUE"""),8066.23752)</f>
        <v>8066.23752</v>
      </c>
      <c r="T496" s="32">
        <f>IFERROR(__xludf.DUMMYFUNCTION("""COMPUTED_VALUE"""),10.919369)</f>
        <v>10.919369</v>
      </c>
      <c r="U496" s="32">
        <f>IFERROR(__xludf.DUMMYFUNCTION("""COMPUTED_VALUE"""),9.229417)</f>
        <v>9.229417</v>
      </c>
      <c r="V496" s="32">
        <f>IFERROR(__xludf.DUMMYFUNCTION("""COMPUTED_VALUE"""),9.437839)</f>
        <v>9.437839</v>
      </c>
      <c r="W496" s="32">
        <f>IFERROR(__xludf.DUMMYFUNCTION("""COMPUTED_VALUE"""),32.81083)</f>
        <v>32.81083</v>
      </c>
      <c r="X496" s="32">
        <f>IFERROR(__xludf.DUMMYFUNCTION("""COMPUTED_VALUE"""),-4.0479)</f>
        <v>-4.0479</v>
      </c>
      <c r="Y496" s="13"/>
      <c r="Z496" s="13"/>
      <c r="AA496" s="13"/>
      <c r="AB496" s="32">
        <f>IFERROR(__xludf.DUMMYFUNCTION("""COMPUTED_VALUE"""),61.60805)</f>
        <v>61.60805</v>
      </c>
      <c r="AC496" s="32">
        <f>IFERROR(__xludf.DUMMYFUNCTION("""COMPUTED_VALUE"""),2.8686)</f>
        <v>2.8686</v>
      </c>
      <c r="AD496" s="32">
        <f>IFERROR(__xludf.DUMMYFUNCTION("""COMPUTED_VALUE"""),1.8752)</f>
        <v>1.8752</v>
      </c>
      <c r="AE496" s="32">
        <f>IFERROR(__xludf.DUMMYFUNCTION("""COMPUTED_VALUE"""),-4.107328)</f>
        <v>-4.107328</v>
      </c>
      <c r="AF496" s="13"/>
      <c r="AG496" s="32">
        <f>IFERROR(__xludf.DUMMYFUNCTION("""COMPUTED_VALUE"""),0.0)</f>
        <v>0</v>
      </c>
      <c r="AH496" s="32">
        <f>IFERROR(__xludf.DUMMYFUNCTION("""COMPUTED_VALUE"""),27.853607)</f>
        <v>27.853607</v>
      </c>
      <c r="AI496" s="32">
        <f>IFERROR(__xludf.DUMMYFUNCTION("""COMPUTED_VALUE"""),0.6040120159457583)</f>
        <v>0.6040120159</v>
      </c>
      <c r="AJ496" s="32">
        <f>IFERROR(__xludf.DUMMYFUNCTION("""COMPUTED_VALUE"""),12.04660263284555)</f>
        <v>12.04660263</v>
      </c>
      <c r="AK496" s="32">
        <f>IFERROR(__xludf.DUMMYFUNCTION("""COMPUTED_VALUE"""),-61.1048)</f>
        <v>-61.1048</v>
      </c>
      <c r="AL496" s="32">
        <f>IFERROR(__xludf.DUMMYFUNCTION("""COMPUTED_VALUE"""),130.2044)</f>
        <v>130.2044</v>
      </c>
      <c r="AM496" s="32">
        <f>IFERROR(__xludf.DUMMYFUNCTION("""COMPUTED_VALUE"""),31.003862)</f>
        <v>31.003862</v>
      </c>
      <c r="AN496" s="32">
        <f>IFERROR(__xludf.DUMMYFUNCTION("""COMPUTED_VALUE"""),-28.591335)</f>
        <v>-28.591335</v>
      </c>
      <c r="AO496" s="32">
        <f>IFERROR(__xludf.DUMMYFUNCTION("""COMPUTED_VALUE"""),0.0)</f>
        <v>0</v>
      </c>
      <c r="AP496" s="32">
        <f>IFERROR(__xludf.DUMMYFUNCTION("""COMPUTED_VALUE"""),0.24625960372017794)</f>
        <v>0.2462596037</v>
      </c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</row>
    <row r="497">
      <c r="A497" s="13" t="str">
        <f>IFERROR(__xludf.DUMMYFUNCTION("""COMPUTED_VALUE"""),"Vodafone Idea Ltd.")</f>
        <v>Vodafone Idea Ltd.</v>
      </c>
      <c r="B497" s="30">
        <f>IFERROR(__xludf.DUMMYFUNCTION("""COMPUTED_VALUE"""),532822.0)</f>
        <v>532822</v>
      </c>
      <c r="C497" s="13" t="str">
        <f>IFERROR(__xludf.DUMMYFUNCTION("""COMPUTED_VALUE"""),"IDEA")</f>
        <v>IDEA</v>
      </c>
      <c r="D497" s="13" t="str">
        <f>IFERROR(__xludf.DUMMYFUNCTION("""COMPUTED_VALUE"""),"INE669E01016")</f>
        <v>INE669E01016</v>
      </c>
      <c r="E497" s="13" t="str">
        <f>IFERROR(__xludf.DUMMYFUNCTION("""COMPUTED_VALUE"""),"Communication")</f>
        <v>Communication</v>
      </c>
      <c r="F497" s="13" t="str">
        <f>IFERROR(__xludf.DUMMYFUNCTION("""COMPUTED_VALUE"""),"Telecom Services")</f>
        <v>Telecom Services</v>
      </c>
      <c r="G497" s="31">
        <f>IFERROR(__xludf.DUMMYFUNCTION("""COMPUTED_VALUE"""),44809.0)</f>
        <v>44809</v>
      </c>
      <c r="H497" s="32">
        <f>IFERROR(__xludf.DUMMYFUNCTION("""COMPUTED_VALUE"""),9.3)</f>
        <v>9.3</v>
      </c>
      <c r="I497" s="32">
        <f>IFERROR(__xludf.DUMMYFUNCTION("""COMPUTED_VALUE"""),3.910615)</f>
        <v>3.910615</v>
      </c>
      <c r="J497" s="32">
        <f>IFERROR(__xludf.DUMMYFUNCTION("""COMPUTED_VALUE"""),7.05)</f>
        <v>7.05</v>
      </c>
      <c r="K497" s="32">
        <f>IFERROR(__xludf.DUMMYFUNCTION("""COMPUTED_VALUE"""),16.8)</f>
        <v>16.8</v>
      </c>
      <c r="L497" s="32">
        <f>IFERROR(__xludf.DUMMYFUNCTION("""COMPUTED_VALUE"""),2.4)</f>
        <v>2.4</v>
      </c>
      <c r="M497" s="32">
        <f>IFERROR(__xludf.DUMMYFUNCTION("""COMPUTED_VALUE"""),16.8)</f>
        <v>16.8</v>
      </c>
      <c r="N497" s="32">
        <f>IFERROR(__xludf.DUMMYFUNCTION("""COMPUTED_VALUE"""),2.4)</f>
        <v>2.4</v>
      </c>
      <c r="O497" s="32">
        <f>IFERROR(__xludf.DUMMYFUNCTION("""COMPUTED_VALUE"""),71.8156)</f>
        <v>71.8156</v>
      </c>
      <c r="P497" s="32">
        <f>IFERROR(__xludf.DUMMYFUNCTION("""COMPUTED_VALUE"""),2.4)</f>
        <v>2.4</v>
      </c>
      <c r="Q497" s="32">
        <f>IFERROR(__xludf.DUMMYFUNCTION("""COMPUTED_VALUE"""),123.216)</f>
        <v>123.216</v>
      </c>
      <c r="R497" s="32">
        <f>IFERROR(__xludf.DUMMYFUNCTION("""COMPUTED_VALUE"""),29806.29083728)</f>
        <v>29806.29084</v>
      </c>
      <c r="S497" s="32">
        <f>IFERROR(__xludf.DUMMYFUNCTION("""COMPUTED_VALUE"""),216231.706552845)</f>
        <v>216231.7066</v>
      </c>
      <c r="T497" s="32">
        <f>IFERROR(__xludf.DUMMYFUNCTION("""COMPUTED_VALUE"""),1.639344)</f>
        <v>1.639344</v>
      </c>
      <c r="U497" s="32">
        <f>IFERROR(__xludf.DUMMYFUNCTION("""COMPUTED_VALUE"""),6.285714)</f>
        <v>6.285714</v>
      </c>
      <c r="V497" s="32">
        <f>IFERROR(__xludf.DUMMYFUNCTION("""COMPUTED_VALUE"""),1.086957)</f>
        <v>1.086957</v>
      </c>
      <c r="W497" s="32">
        <f>IFERROR(__xludf.DUMMYFUNCTION("""COMPUTED_VALUE"""),28.275862)</f>
        <v>28.275862</v>
      </c>
      <c r="X497" s="32">
        <f>IFERROR(__xludf.DUMMYFUNCTION("""COMPUTED_VALUE"""),22.980895)</f>
        <v>22.980895</v>
      </c>
      <c r="Y497" s="32">
        <f>IFERROR(__xludf.DUMMYFUNCTION("""COMPUTED_VALUE"""),-29.256711)</f>
        <v>-29.256711</v>
      </c>
      <c r="Z497" s="32">
        <f>IFERROR(__xludf.DUMMYFUNCTION("""COMPUTED_VALUE"""),-14.688522)</f>
        <v>-14.688522</v>
      </c>
      <c r="AA497" s="13"/>
      <c r="AB497" s="13"/>
      <c r="AC497" s="32">
        <f>IFERROR(__xludf.DUMMYFUNCTION("""COMPUTED_VALUE"""),-0.4303)</f>
        <v>-0.4303</v>
      </c>
      <c r="AD497" s="32">
        <f>IFERROR(__xludf.DUMMYFUNCTION("""COMPUTED_VALUE"""),0.7047)</f>
        <v>0.7047</v>
      </c>
      <c r="AE497" s="32">
        <f>IFERROR(__xludf.DUMMYFUNCTION("""COMPUTED_VALUE"""),-2.929281)</f>
        <v>-2.929281</v>
      </c>
      <c r="AF497" s="13"/>
      <c r="AG497" s="32">
        <f>IFERROR(__xludf.DUMMYFUNCTION("""COMPUTED_VALUE"""),0.0)</f>
        <v>0</v>
      </c>
      <c r="AH497" s="32">
        <f>IFERROR(__xludf.DUMMYFUNCTION("""COMPUTED_VALUE"""),12.843261)</f>
        <v>12.843261</v>
      </c>
      <c r="AI497" s="32">
        <f>IFERROR(__xludf.DUMMYFUNCTION("""COMPUTED_VALUE"""),0.7496457750098716)</f>
        <v>0.749645775</v>
      </c>
      <c r="AJ497" s="32">
        <f>IFERROR(__xludf.DUMMYFUNCTION("""COMPUTED_VALUE"""),1.7142860089308103)</f>
        <v>1.714286009</v>
      </c>
      <c r="AK497" s="32">
        <f>IFERROR(__xludf.DUMMYFUNCTION("""COMPUTED_VALUE"""),-8.7871)</f>
        <v>-8.7871</v>
      </c>
      <c r="AL497" s="32">
        <f>IFERROR(__xludf.DUMMYFUNCTION("""COMPUTED_VALUE"""),-21.5658)</f>
        <v>-21.5658</v>
      </c>
      <c r="AM497" s="32">
        <f>IFERROR(__xludf.DUMMYFUNCTION("""COMPUTED_VALUE"""),5.41334)</f>
        <v>5.41334</v>
      </c>
      <c r="AN497" s="32">
        <f>IFERROR(__xludf.DUMMYFUNCTION("""COMPUTED_VALUE"""),-3.42849)</f>
        <v>-3.42849</v>
      </c>
      <c r="AO497" s="32">
        <f>IFERROR(__xludf.DUMMYFUNCTION("""COMPUTED_VALUE"""),0.0)</f>
        <v>0</v>
      </c>
      <c r="AP497" s="32">
        <f>IFERROR(__xludf.DUMMYFUNCTION("""COMPUTED_VALUE"""),0.4464285714285714)</f>
        <v>0.4464285714</v>
      </c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</row>
    <row r="498">
      <c r="A498" s="13" t="str">
        <f>IFERROR(__xludf.DUMMYFUNCTION("""COMPUTED_VALUE"""),"Westlife Development Ltd.")</f>
        <v>Westlife Development Ltd.</v>
      </c>
      <c r="B498" s="30">
        <f>IFERROR(__xludf.DUMMYFUNCTION("""COMPUTED_VALUE"""),505533.0)</f>
        <v>505533</v>
      </c>
      <c r="C498" s="13" t="str">
        <f>IFERROR(__xludf.DUMMYFUNCTION("""COMPUTED_VALUE"""),"WESTLIFE")</f>
        <v>WESTLIFE</v>
      </c>
      <c r="D498" s="13" t="str">
        <f>IFERROR(__xludf.DUMMYFUNCTION("""COMPUTED_VALUE"""),"INE274F01020")</f>
        <v>INE274F01020</v>
      </c>
      <c r="E498" s="13" t="str">
        <f>IFERROR(__xludf.DUMMYFUNCTION("""COMPUTED_VALUE"""),"Services")</f>
        <v>Services</v>
      </c>
      <c r="F498" s="13" t="str">
        <f>IFERROR(__xludf.DUMMYFUNCTION("""COMPUTED_VALUE"""),"Restaurants")</f>
        <v>Restaurants</v>
      </c>
      <c r="G498" s="31">
        <f>IFERROR(__xludf.DUMMYFUNCTION("""COMPUTED_VALUE"""),44809.0)</f>
        <v>44809</v>
      </c>
      <c r="H498" s="32">
        <f>IFERROR(__xludf.DUMMYFUNCTION("""COMPUTED_VALUE"""),650.05)</f>
        <v>650.05</v>
      </c>
      <c r="I498" s="32">
        <f>IFERROR(__xludf.DUMMYFUNCTION("""COMPUTED_VALUE"""),0.822024)</f>
        <v>0.822024</v>
      </c>
      <c r="J498" s="32">
        <f>IFERROR(__xludf.DUMMYFUNCTION("""COMPUTED_VALUE"""),402.3)</f>
        <v>402.3</v>
      </c>
      <c r="K498" s="32">
        <f>IFERROR(__xludf.DUMMYFUNCTION("""COMPUTED_VALUE"""),683.55)</f>
        <v>683.55</v>
      </c>
      <c r="L498" s="32">
        <f>IFERROR(__xludf.DUMMYFUNCTION("""COMPUTED_VALUE"""),267.0)</f>
        <v>267</v>
      </c>
      <c r="M498" s="32">
        <f>IFERROR(__xludf.DUMMYFUNCTION("""COMPUTED_VALUE"""),683.55)</f>
        <v>683.55</v>
      </c>
      <c r="N498" s="32">
        <f>IFERROR(__xludf.DUMMYFUNCTION("""COMPUTED_VALUE"""),225.25)</f>
        <v>225.25</v>
      </c>
      <c r="O498" s="32">
        <f>IFERROR(__xludf.DUMMYFUNCTION("""COMPUTED_VALUE"""),683.55)</f>
        <v>683.55</v>
      </c>
      <c r="P498" s="32">
        <f>IFERROR(__xludf.DUMMYFUNCTION("""COMPUTED_VALUE"""),0.005)</f>
        <v>0.005</v>
      </c>
      <c r="Q498" s="32">
        <f>IFERROR(__xludf.DUMMYFUNCTION("""COMPUTED_VALUE"""),683.55)</f>
        <v>683.55</v>
      </c>
      <c r="R498" s="32">
        <f>IFERROR(__xludf.DUMMYFUNCTION("""COMPUTED_VALUE"""),10136.630405825)</f>
        <v>10136.63041</v>
      </c>
      <c r="S498" s="32">
        <f>IFERROR(__xludf.DUMMYFUNCTION("""COMPUTED_VALUE"""),10118.488282075)</f>
        <v>10118.48828</v>
      </c>
      <c r="T498" s="32">
        <f>IFERROR(__xludf.DUMMYFUNCTION("""COMPUTED_VALUE"""),0.853309)</f>
        <v>0.853309</v>
      </c>
      <c r="U498" s="32">
        <f>IFERROR(__xludf.DUMMYFUNCTION("""COMPUTED_VALUE"""),6.609266)</f>
        <v>6.609266</v>
      </c>
      <c r="V498" s="32">
        <f>IFERROR(__xludf.DUMMYFUNCTION("""COMPUTED_VALUE"""),41.161781)</f>
        <v>41.161781</v>
      </c>
      <c r="W498" s="32">
        <f>IFERROR(__xludf.DUMMYFUNCTION("""COMPUTED_VALUE"""),21.720813)</f>
        <v>21.720813</v>
      </c>
      <c r="X498" s="32">
        <f>IFERROR(__xludf.DUMMYFUNCTION("""COMPUTED_VALUE"""),32.953017)</f>
        <v>32.953017</v>
      </c>
      <c r="Y498" s="13"/>
      <c r="Z498" s="13"/>
      <c r="AA498" s="32">
        <f>IFERROR(__xludf.DUMMYFUNCTION("""COMPUTED_VALUE"""),184.6709)</f>
        <v>184.6709</v>
      </c>
      <c r="AB498" s="32">
        <f>IFERROR(__xludf.DUMMYFUNCTION("""COMPUTED_VALUE"""),182.6283)</f>
        <v>182.6283</v>
      </c>
      <c r="AC498" s="32">
        <f>IFERROR(__xludf.DUMMYFUNCTION("""COMPUTED_VALUE"""),21.1365)</f>
        <v>21.1365</v>
      </c>
      <c r="AD498" s="32">
        <f>IFERROR(__xludf.DUMMYFUNCTION("""COMPUTED_VALUE"""),11.05155)</f>
        <v>11.05155</v>
      </c>
      <c r="AE498" s="32">
        <f>IFERROR(__xludf.DUMMYFUNCTION("""COMPUTED_VALUE"""),1.770906)</f>
        <v>1.770906</v>
      </c>
      <c r="AF498" s="32">
        <f>IFERROR(__xludf.DUMMYFUNCTION("""COMPUTED_VALUE"""),3.851367)</f>
        <v>3.851367</v>
      </c>
      <c r="AG498" s="32">
        <f>IFERROR(__xludf.DUMMYFUNCTION("""COMPUTED_VALUE"""),0.0)</f>
        <v>0</v>
      </c>
      <c r="AH498" s="32">
        <f>IFERROR(__xludf.DUMMYFUNCTION("""COMPUTED_VALUE"""),34.055912)</f>
        <v>34.055912</v>
      </c>
      <c r="AI498" s="32">
        <f>IFERROR(__xludf.DUMMYFUNCTION("""COMPUTED_VALUE"""),7.806523622064072)</f>
        <v>7.806523622</v>
      </c>
      <c r="AJ498" s="32">
        <f>IFERROR(__xludf.DUMMYFUNCTION("""COMPUTED_VALUE"""),59.42588878754925)</f>
        <v>59.42588879</v>
      </c>
      <c r="AK498" s="32">
        <f>IFERROR(__xludf.DUMMYFUNCTION("""COMPUTED_VALUE"""),3.5466)</f>
        <v>3.5466</v>
      </c>
      <c r="AL498" s="32">
        <f>IFERROR(__xludf.DUMMYFUNCTION("""COMPUTED_VALUE"""),30.9867)</f>
        <v>30.9867</v>
      </c>
      <c r="AM498" s="32">
        <f>IFERROR(__xludf.DUMMYFUNCTION("""COMPUTED_VALUE"""),10.939618)</f>
        <v>10.939618</v>
      </c>
      <c r="AN498" s="32">
        <f>IFERROR(__xludf.DUMMYFUNCTION("""COMPUTED_VALUE"""),1.294917)</f>
        <v>1.294917</v>
      </c>
      <c r="AO498" s="32">
        <f>IFERROR(__xludf.DUMMYFUNCTION("""COMPUTED_VALUE"""),0.0)</f>
        <v>0</v>
      </c>
      <c r="AP498" s="32">
        <f>IFERROR(__xludf.DUMMYFUNCTION("""COMPUTED_VALUE"""),0.04900885085216883)</f>
        <v>0.04900885085</v>
      </c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</row>
    <row r="499">
      <c r="A499" s="13" t="str">
        <f>IFERROR(__xludf.DUMMYFUNCTION("""COMPUTED_VALUE"""),"Wockhardt Ltd.")</f>
        <v>Wockhardt Ltd.</v>
      </c>
      <c r="B499" s="30">
        <f>IFERROR(__xludf.DUMMYFUNCTION("""COMPUTED_VALUE"""),532300.0)</f>
        <v>532300</v>
      </c>
      <c r="C499" s="13" t="str">
        <f>IFERROR(__xludf.DUMMYFUNCTION("""COMPUTED_VALUE"""),"WOCKPHARMA")</f>
        <v>WOCKPHARMA</v>
      </c>
      <c r="D499" s="13" t="str">
        <f>IFERROR(__xludf.DUMMYFUNCTION("""COMPUTED_VALUE"""),"INE049B01025")</f>
        <v>INE049B01025</v>
      </c>
      <c r="E499" s="13" t="str">
        <f>IFERROR(__xludf.DUMMYFUNCTION("""COMPUTED_VALUE"""),"Healthcare")</f>
        <v>Healthcare</v>
      </c>
      <c r="F499" s="13" t="str">
        <f>IFERROR(__xludf.DUMMYFUNCTION("""COMPUTED_VALUE"""),"Drugs &amp; Pharma")</f>
        <v>Drugs &amp; Pharma</v>
      </c>
      <c r="G499" s="31">
        <f>IFERROR(__xludf.DUMMYFUNCTION("""COMPUTED_VALUE"""),44809.0)</f>
        <v>44809</v>
      </c>
      <c r="H499" s="32">
        <f>IFERROR(__xludf.DUMMYFUNCTION("""COMPUTED_VALUE"""),242.7)</f>
        <v>242.7</v>
      </c>
      <c r="I499" s="32">
        <f>IFERROR(__xludf.DUMMYFUNCTION("""COMPUTED_VALUE"""),3.013582)</f>
        <v>3.013582</v>
      </c>
      <c r="J499" s="32">
        <f>IFERROR(__xludf.DUMMYFUNCTION("""COMPUTED_VALUE"""),201.5)</f>
        <v>201.5</v>
      </c>
      <c r="K499" s="32">
        <f>IFERROR(__xludf.DUMMYFUNCTION("""COMPUTED_VALUE"""),492.045704)</f>
        <v>492.045704</v>
      </c>
      <c r="L499" s="32">
        <f>IFERROR(__xludf.DUMMYFUNCTION("""COMPUTED_VALUE"""),134.832343)</f>
        <v>134.832343</v>
      </c>
      <c r="M499" s="32">
        <f>IFERROR(__xludf.DUMMYFUNCTION("""COMPUTED_VALUE"""),741.36299)</f>
        <v>741.36299</v>
      </c>
      <c r="N499" s="32">
        <f>IFERROR(__xludf.DUMMYFUNCTION("""COMPUTED_VALUE"""),134.832343)</f>
        <v>134.832343</v>
      </c>
      <c r="O499" s="32">
        <f>IFERROR(__xludf.DUMMYFUNCTION("""COMPUTED_VALUE"""),932.578429)</f>
        <v>932.578429</v>
      </c>
      <c r="P499" s="32">
        <f>IFERROR(__xludf.DUMMYFUNCTION("""COMPUTED_VALUE"""),61.120319)</f>
        <v>61.120319</v>
      </c>
      <c r="Q499" s="32">
        <f>IFERROR(__xludf.DUMMYFUNCTION("""COMPUTED_VALUE"""),1996.058801)</f>
        <v>1996.058801</v>
      </c>
      <c r="R499" s="32">
        <f>IFERROR(__xludf.DUMMYFUNCTION("""COMPUTED_VALUE"""),3503.54294528)</f>
        <v>3503.542945</v>
      </c>
      <c r="S499" s="32">
        <f>IFERROR(__xludf.DUMMYFUNCTION("""COMPUTED_VALUE"""),4848.6166267)</f>
        <v>4848.616627</v>
      </c>
      <c r="T499" s="32">
        <f>IFERROR(__xludf.DUMMYFUNCTION("""COMPUTED_VALUE"""),-0.102902)</f>
        <v>-0.102902</v>
      </c>
      <c r="U499" s="32">
        <f>IFERROR(__xludf.DUMMYFUNCTION("""COMPUTED_VALUE"""),3.07921)</f>
        <v>3.07921</v>
      </c>
      <c r="V499" s="32">
        <f>IFERROR(__xludf.DUMMYFUNCTION("""COMPUTED_VALUE"""),-7.47236)</f>
        <v>-7.47236</v>
      </c>
      <c r="W499" s="32">
        <f>IFERROR(__xludf.DUMMYFUNCTION("""COMPUTED_VALUE"""),-37.255094)</f>
        <v>-37.255094</v>
      </c>
      <c r="X499" s="32">
        <f>IFERROR(__xludf.DUMMYFUNCTION("""COMPUTED_VALUE"""),4.162967)</f>
        <v>4.162967</v>
      </c>
      <c r="Y499" s="32">
        <f>IFERROR(__xludf.DUMMYFUNCTION("""COMPUTED_VALUE"""),-15.751507)</f>
        <v>-15.751507</v>
      </c>
      <c r="Z499" s="32">
        <f>IFERROR(__xludf.DUMMYFUNCTION("""COMPUTED_VALUE"""),-13.949224)</f>
        <v>-13.949224</v>
      </c>
      <c r="AA499" s="13"/>
      <c r="AB499" s="32">
        <f>IFERROR(__xludf.DUMMYFUNCTION("""COMPUTED_VALUE"""),35.0023)</f>
        <v>35.0023</v>
      </c>
      <c r="AC499" s="32">
        <f>IFERROR(__xludf.DUMMYFUNCTION("""COMPUTED_VALUE"""),0.9328)</f>
        <v>0.9328</v>
      </c>
      <c r="AD499" s="32">
        <f>IFERROR(__xludf.DUMMYFUNCTION("""COMPUTED_VALUE"""),1.48185)</f>
        <v>1.48185</v>
      </c>
      <c r="AE499" s="32">
        <f>IFERROR(__xludf.DUMMYFUNCTION("""COMPUTED_VALUE"""),1.38299)</f>
        <v>1.38299</v>
      </c>
      <c r="AF499" s="13"/>
      <c r="AG499" s="32">
        <f>IFERROR(__xludf.DUMMYFUNCTION("""COMPUTED_VALUE"""),0.0)</f>
        <v>0</v>
      </c>
      <c r="AH499" s="32">
        <f>IFERROR(__xludf.DUMMYFUNCTION("""COMPUTED_VALUE"""),20.49895)</f>
        <v>20.49895</v>
      </c>
      <c r="AI499" s="32">
        <f>IFERROR(__xludf.DUMMYFUNCTION("""COMPUTED_VALUE"""),1.1812787882490585)</f>
        <v>1.181278788</v>
      </c>
      <c r="AJ499" s="32">
        <f>IFERROR(__xludf.DUMMYFUNCTION("""COMPUTED_VALUE"""),8.483154831186441)</f>
        <v>8.483154831</v>
      </c>
      <c r="AK499" s="32">
        <f>IFERROR(__xludf.DUMMYFUNCTION("""COMPUTED_VALUE"""),-20.7032)</f>
        <v>-20.7032</v>
      </c>
      <c r="AL499" s="32">
        <f>IFERROR(__xludf.DUMMYFUNCTION("""COMPUTED_VALUE"""),260.7265)</f>
        <v>260.7265</v>
      </c>
      <c r="AM499" s="32">
        <f>IFERROR(__xludf.DUMMYFUNCTION("""COMPUTED_VALUE"""),28.680556)</f>
        <v>28.680556</v>
      </c>
      <c r="AN499" s="32">
        <f>IFERROR(__xludf.DUMMYFUNCTION("""COMPUTED_VALUE"""),8.541667)</f>
        <v>8.541667</v>
      </c>
      <c r="AO499" s="32">
        <f>IFERROR(__xludf.DUMMYFUNCTION("""COMPUTED_VALUE"""),0.0)</f>
        <v>0</v>
      </c>
      <c r="AP499" s="32">
        <f>IFERROR(__xludf.DUMMYFUNCTION("""COMPUTED_VALUE"""),0.5067574433492532)</f>
        <v>0.5067574433</v>
      </c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</row>
    <row r="500">
      <c r="A500" s="13" t="str">
        <f>IFERROR(__xludf.DUMMYFUNCTION("""COMPUTED_VALUE"""),"Yes Bank Ltd.")</f>
        <v>Yes Bank Ltd.</v>
      </c>
      <c r="B500" s="30">
        <f>IFERROR(__xludf.DUMMYFUNCTION("""COMPUTED_VALUE"""),532648.0)</f>
        <v>532648</v>
      </c>
      <c r="C500" s="13" t="str">
        <f>IFERROR(__xludf.DUMMYFUNCTION("""COMPUTED_VALUE"""),"YESBANK")</f>
        <v>YESBANK</v>
      </c>
      <c r="D500" s="13" t="str">
        <f>IFERROR(__xludf.DUMMYFUNCTION("""COMPUTED_VALUE"""),"INE528G01035")</f>
        <v>INE528G01035</v>
      </c>
      <c r="E500" s="13" t="str">
        <f>IFERROR(__xludf.DUMMYFUNCTION("""COMPUTED_VALUE"""),"Financial")</f>
        <v>Financial</v>
      </c>
      <c r="F500" s="13" t="str">
        <f>IFERROR(__xludf.DUMMYFUNCTION("""COMPUTED_VALUE"""),"Banking")</f>
        <v>Banking</v>
      </c>
      <c r="G500" s="31">
        <f>IFERROR(__xludf.DUMMYFUNCTION("""COMPUTED_VALUE"""),44809.0)</f>
        <v>44809</v>
      </c>
      <c r="H500" s="32">
        <f>IFERROR(__xludf.DUMMYFUNCTION("""COMPUTED_VALUE"""),16.65)</f>
        <v>16.65</v>
      </c>
      <c r="I500" s="32">
        <f>IFERROR(__xludf.DUMMYFUNCTION("""COMPUTED_VALUE"""),2.777778)</f>
        <v>2.777778</v>
      </c>
      <c r="J500" s="32">
        <f>IFERROR(__xludf.DUMMYFUNCTION("""COMPUTED_VALUE"""),10.8)</f>
        <v>10.8</v>
      </c>
      <c r="K500" s="32">
        <f>IFERROR(__xludf.DUMMYFUNCTION("""COMPUTED_VALUE"""),17.9)</f>
        <v>17.9</v>
      </c>
      <c r="L500" s="32">
        <f>IFERROR(__xludf.DUMMYFUNCTION("""COMPUTED_VALUE"""),5.55)</f>
        <v>5.55</v>
      </c>
      <c r="M500" s="32">
        <f>IFERROR(__xludf.DUMMYFUNCTION("""COMPUTED_VALUE"""),87.95)</f>
        <v>87.95</v>
      </c>
      <c r="N500" s="32">
        <f>IFERROR(__xludf.DUMMYFUNCTION("""COMPUTED_VALUE"""),5.55)</f>
        <v>5.55</v>
      </c>
      <c r="O500" s="32">
        <f>IFERROR(__xludf.DUMMYFUNCTION("""COMPUTED_VALUE"""),404.0)</f>
        <v>404</v>
      </c>
      <c r="P500" s="32">
        <f>IFERROR(__xludf.DUMMYFUNCTION("""COMPUTED_VALUE"""),5.55)</f>
        <v>5.55</v>
      </c>
      <c r="Q500" s="32">
        <f>IFERROR(__xludf.DUMMYFUNCTION("""COMPUTED_VALUE"""),404.0)</f>
        <v>404</v>
      </c>
      <c r="R500" s="32">
        <f>IFERROR(__xludf.DUMMYFUNCTION("""COMPUTED_VALUE"""),41716.865927115)</f>
        <v>41716.86593</v>
      </c>
      <c r="S500" s="32">
        <f>IFERROR(__xludf.DUMMYFUNCTION("""COMPUTED_VALUE"""),66306.639037875)</f>
        <v>66306.63904</v>
      </c>
      <c r="T500" s="32">
        <f>IFERROR(__xludf.DUMMYFUNCTION("""COMPUTED_VALUE"""),1.215805)</f>
        <v>1.215805</v>
      </c>
      <c r="U500" s="32">
        <f>IFERROR(__xludf.DUMMYFUNCTION("""COMPUTED_VALUE"""),0.0)</f>
        <v>0</v>
      </c>
      <c r="V500" s="32">
        <f>IFERROR(__xludf.DUMMYFUNCTION("""COMPUTED_VALUE"""),25.660377)</f>
        <v>25.660377</v>
      </c>
      <c r="W500" s="32">
        <f>IFERROR(__xludf.DUMMYFUNCTION("""COMPUTED_VALUE"""),50.0)</f>
        <v>50</v>
      </c>
      <c r="X500" s="32">
        <f>IFERROR(__xludf.DUMMYFUNCTION("""COMPUTED_VALUE"""),-34.573434)</f>
        <v>-34.573434</v>
      </c>
      <c r="Y500" s="32">
        <f>IFERROR(__xludf.DUMMYFUNCTION("""COMPUTED_VALUE"""),-45.703453)</f>
        <v>-45.703453</v>
      </c>
      <c r="Z500" s="32">
        <f>IFERROR(__xludf.DUMMYFUNCTION("""COMPUTED_VALUE"""),-12.944944)</f>
        <v>-12.944944</v>
      </c>
      <c r="AA500" s="32">
        <f>IFERROR(__xludf.DUMMYFUNCTION("""COMPUTED_VALUE"""),35.5209)</f>
        <v>35.5209</v>
      </c>
      <c r="AB500" s="32">
        <f>IFERROR(__xludf.DUMMYFUNCTION("""COMPUTED_VALUE"""),18.7043)</f>
        <v>18.7043</v>
      </c>
      <c r="AC500" s="32">
        <f>IFERROR(__xludf.DUMMYFUNCTION("""COMPUTED_VALUE"""),1.223)</f>
        <v>1.223</v>
      </c>
      <c r="AD500" s="32">
        <f>IFERROR(__xludf.DUMMYFUNCTION("""COMPUTED_VALUE"""),1.1193)</f>
        <v>1.1193</v>
      </c>
      <c r="AE500" s="32">
        <f>IFERROR(__xludf.DUMMYFUNCTION("""COMPUTED_VALUE"""),23.805251)</f>
        <v>23.805251</v>
      </c>
      <c r="AF500" s="32">
        <f>IFERROR(__xludf.DUMMYFUNCTION("""COMPUTED_VALUE"""),15.579397)</f>
        <v>15.579397</v>
      </c>
      <c r="AG500" s="32">
        <f>IFERROR(__xludf.DUMMYFUNCTION("""COMPUTED_VALUE"""),0.0)</f>
        <v>0</v>
      </c>
      <c r="AH500" s="32">
        <f>IFERROR(__xludf.DUMMYFUNCTION("""COMPUTED_VALUE"""),23.870285)</f>
        <v>23.870285</v>
      </c>
      <c r="AI500" s="32">
        <f>IFERROR(__xludf.DUMMYFUNCTION("""COMPUTED_VALUE"""),2.1251825505489617)</f>
        <v>2.125182551</v>
      </c>
      <c r="AJ500" s="32">
        <f>IFERROR(__xludf.DUMMYFUNCTION("""COMPUTED_VALUE"""),1.7678327508609328)</f>
        <v>1.767832751</v>
      </c>
      <c r="AK500" s="32">
        <f>IFERROR(__xludf.DUMMYFUNCTION("""COMPUTED_VALUE"""),0.4687)</f>
        <v>0.4687</v>
      </c>
      <c r="AL500" s="32">
        <f>IFERROR(__xludf.DUMMYFUNCTION("""COMPUTED_VALUE"""),13.6139)</f>
        <v>13.6139</v>
      </c>
      <c r="AM500" s="32">
        <f>IFERROR(__xludf.DUMMYFUNCTION("""COMPUTED_VALUE"""),9.418395)</f>
        <v>9.418395</v>
      </c>
      <c r="AN500" s="32">
        <f>IFERROR(__xludf.DUMMYFUNCTION("""COMPUTED_VALUE"""),7.864591)</f>
        <v>7.864591</v>
      </c>
      <c r="AO500" s="32">
        <f>IFERROR(__xludf.DUMMYFUNCTION("""COMPUTED_VALUE"""),0.0)</f>
        <v>0</v>
      </c>
      <c r="AP500" s="32">
        <f>IFERROR(__xludf.DUMMYFUNCTION("""COMPUTED_VALUE"""),0.06983240223463688)</f>
        <v>0.06983240223</v>
      </c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</row>
    <row r="501">
      <c r="A501" s="13" t="str">
        <f>IFERROR(__xludf.DUMMYFUNCTION("""COMPUTED_VALUE"""),"Zomato Ltd.")</f>
        <v>Zomato Ltd.</v>
      </c>
      <c r="B501" s="30">
        <f>IFERROR(__xludf.DUMMYFUNCTION("""COMPUTED_VALUE"""),543320.0)</f>
        <v>543320</v>
      </c>
      <c r="C501" s="13" t="str">
        <f>IFERROR(__xludf.DUMMYFUNCTION("""COMPUTED_VALUE"""),"ZOMATO")</f>
        <v>ZOMATO</v>
      </c>
      <c r="D501" s="13" t="str">
        <f>IFERROR(__xludf.DUMMYFUNCTION("""COMPUTED_VALUE"""),"INE758T01015")</f>
        <v>INE758T01015</v>
      </c>
      <c r="E501" s="13" t="str">
        <f>IFERROR(__xludf.DUMMYFUNCTION("""COMPUTED_VALUE"""),"Services")</f>
        <v>Services</v>
      </c>
      <c r="F501" s="13" t="str">
        <f>IFERROR(__xludf.DUMMYFUNCTION("""COMPUTED_VALUE"""),"E-Commerce")</f>
        <v>E-Commerce</v>
      </c>
      <c r="G501" s="31">
        <f>IFERROR(__xludf.DUMMYFUNCTION("""COMPUTED_VALUE"""),44809.0)</f>
        <v>44809</v>
      </c>
      <c r="H501" s="32">
        <f>IFERROR(__xludf.DUMMYFUNCTION("""COMPUTED_VALUE"""),59.65)</f>
        <v>59.65</v>
      </c>
      <c r="I501" s="32">
        <f>IFERROR(__xludf.DUMMYFUNCTION("""COMPUTED_VALUE"""),-0.167364)</f>
        <v>-0.167364</v>
      </c>
      <c r="J501" s="32">
        <f>IFERROR(__xludf.DUMMYFUNCTION("""COMPUTED_VALUE"""),40.6)</f>
        <v>40.6</v>
      </c>
      <c r="K501" s="32">
        <f>IFERROR(__xludf.DUMMYFUNCTION("""COMPUTED_VALUE"""),169.1)</f>
        <v>169.1</v>
      </c>
      <c r="L501" s="13"/>
      <c r="M501" s="13"/>
      <c r="N501" s="13"/>
      <c r="O501" s="13"/>
      <c r="P501" s="32">
        <f>IFERROR(__xludf.DUMMYFUNCTION("""COMPUTED_VALUE"""),40.55)</f>
        <v>40.55</v>
      </c>
      <c r="Q501" s="32">
        <f>IFERROR(__xludf.DUMMYFUNCTION("""COMPUTED_VALUE"""),169.1)</f>
        <v>169.1</v>
      </c>
      <c r="R501" s="32">
        <f>IFERROR(__xludf.DUMMYFUNCTION("""COMPUTED_VALUE"""),50993.21195792)</f>
        <v>50993.21196</v>
      </c>
      <c r="S501" s="32">
        <f>IFERROR(__xludf.DUMMYFUNCTION("""COMPUTED_VALUE"""),47828.75563936)</f>
        <v>47828.75564</v>
      </c>
      <c r="T501" s="32">
        <f>IFERROR(__xludf.DUMMYFUNCTION("""COMPUTED_VALUE"""),-3.556993)</f>
        <v>-3.556993</v>
      </c>
      <c r="U501" s="32">
        <f>IFERROR(__xludf.DUMMYFUNCTION("""COMPUTED_VALUE"""),3.111495)</f>
        <v>3.111495</v>
      </c>
      <c r="V501" s="32">
        <f>IFERROR(__xludf.DUMMYFUNCTION("""COMPUTED_VALUE"""),-17.325017)</f>
        <v>-17.325017</v>
      </c>
      <c r="W501" s="32">
        <f>IFERROR(__xludf.DUMMYFUNCTION("""COMPUTED_VALUE"""),-60.166945)</f>
        <v>-60.166945</v>
      </c>
      <c r="X501" s="13"/>
      <c r="Y501" s="13"/>
      <c r="Z501" s="13"/>
      <c r="AA501" s="13"/>
      <c r="AB501" s="13"/>
      <c r="AC501" s="32">
        <f>IFERROR(__xludf.DUMMYFUNCTION("""COMPUTED_VALUE"""),2.5925)</f>
        <v>2.5925</v>
      </c>
      <c r="AD501" s="32">
        <f>IFERROR(__xludf.DUMMYFUNCTION("""COMPUTED_VALUE"""),3.958)</f>
        <v>3.958</v>
      </c>
      <c r="AE501" s="32">
        <f>IFERROR(__xludf.DUMMYFUNCTION("""COMPUTED_VALUE"""),-1.58289)</f>
        <v>-1.58289</v>
      </c>
      <c r="AF501" s="13"/>
      <c r="AG501" s="32">
        <f>IFERROR(__xludf.DUMMYFUNCTION("""COMPUTED_VALUE"""),0.0)</f>
        <v>0</v>
      </c>
      <c r="AH501" s="32">
        <f>IFERROR(__xludf.DUMMYFUNCTION("""COMPUTED_VALUE"""),-40.16523)</f>
        <v>-40.16523</v>
      </c>
      <c r="AI501" s="32">
        <f>IFERROR(__xludf.DUMMYFUNCTION("""COMPUTED_VALUE"""),10.70858521974842)</f>
        <v>10.70858522</v>
      </c>
      <c r="AJ501" s="32">
        <f>IFERROR(__xludf.DUMMYFUNCTION("""COMPUTED_VALUE"""),-73.583278438557)</f>
        <v>-73.58327844</v>
      </c>
      <c r="AK501" s="32">
        <f>IFERROR(__xludf.DUMMYFUNCTION("""COMPUTED_VALUE"""),-1.2144)</f>
        <v>-1.2144</v>
      </c>
      <c r="AL501" s="32">
        <f>IFERROR(__xludf.DUMMYFUNCTION("""COMPUTED_VALUE"""),23.0089)</f>
        <v>23.0089</v>
      </c>
      <c r="AM501" s="32">
        <f>IFERROR(__xludf.DUMMYFUNCTION("""COMPUTED_VALUE"""),-0.906712)</f>
        <v>-0.906712</v>
      </c>
      <c r="AN501" s="32">
        <f>IFERROR(__xludf.DUMMYFUNCTION("""COMPUTED_VALUE"""),-1.155567)</f>
        <v>-1.155567</v>
      </c>
      <c r="AO501" s="32">
        <f>IFERROR(__xludf.DUMMYFUNCTION("""COMPUTED_VALUE"""),0.0)</f>
        <v>0</v>
      </c>
      <c r="AP501" s="32">
        <f>IFERROR(__xludf.DUMMYFUNCTION("""COMPUTED_VALUE"""),0.6472501478415138)</f>
        <v>0.6472501478</v>
      </c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</row>
    <row r="502">
      <c r="A502" s="13" t="str">
        <f>IFERROR(__xludf.DUMMYFUNCTION("""COMPUTED_VALUE"""),"Tata Motors DVR")</f>
        <v>Tata Motors DVR</v>
      </c>
      <c r="B502" s="30">
        <f>IFERROR(__xludf.DUMMYFUNCTION("""COMPUTED_VALUE"""),570001.0)</f>
        <v>570001</v>
      </c>
      <c r="C502" s="13" t="str">
        <f>IFERROR(__xludf.DUMMYFUNCTION("""COMPUTED_VALUE"""),"TATAMTRDVR")</f>
        <v>TATAMTRDVR</v>
      </c>
      <c r="D502" s="13" t="str">
        <f>IFERROR(__xludf.DUMMYFUNCTION("""COMPUTED_VALUE"""),"IN9155A01020")</f>
        <v>IN9155A01020</v>
      </c>
      <c r="E502" s="13" t="str">
        <f>IFERROR(__xludf.DUMMYFUNCTION("""COMPUTED_VALUE"""),"Automobile")</f>
        <v>Automobile</v>
      </c>
      <c r="F502" s="13" t="str">
        <f>IFERROR(__xludf.DUMMYFUNCTION("""COMPUTED_VALUE"""),"Commercial Vehicles")</f>
        <v>Commercial Vehicles</v>
      </c>
      <c r="G502" s="31">
        <f>IFERROR(__xludf.DUMMYFUNCTION("""COMPUTED_VALUE"""),44809.0)</f>
        <v>44809</v>
      </c>
      <c r="H502" s="32">
        <f>IFERROR(__xludf.DUMMYFUNCTION("""COMPUTED_VALUE"""),227.8)</f>
        <v>227.8</v>
      </c>
      <c r="I502" s="32">
        <f>IFERROR(__xludf.DUMMYFUNCTION("""COMPUTED_VALUE"""),-0.956522)</f>
        <v>-0.956522</v>
      </c>
      <c r="J502" s="32">
        <f>IFERROR(__xludf.DUMMYFUNCTION("""COMPUTED_VALUE"""),137.5)</f>
        <v>137.5</v>
      </c>
      <c r="K502" s="32">
        <f>IFERROR(__xludf.DUMMYFUNCTION("""COMPUTED_VALUE"""),298.65)</f>
        <v>298.65</v>
      </c>
      <c r="L502" s="32">
        <f>IFERROR(__xludf.DUMMYFUNCTION("""COMPUTED_VALUE"""),28.35)</f>
        <v>28.35</v>
      </c>
      <c r="M502" s="32">
        <f>IFERROR(__xludf.DUMMYFUNCTION("""COMPUTED_VALUE"""),298.65)</f>
        <v>298.65</v>
      </c>
      <c r="N502" s="32">
        <f>IFERROR(__xludf.DUMMYFUNCTION("""COMPUTED_VALUE"""),28.35)</f>
        <v>28.35</v>
      </c>
      <c r="O502" s="32">
        <f>IFERROR(__xludf.DUMMYFUNCTION("""COMPUTED_VALUE"""),298.65)</f>
        <v>298.65</v>
      </c>
      <c r="P502" s="32">
        <f>IFERROR(__xludf.DUMMYFUNCTION("""COMPUTED_VALUE"""),21.376476)</f>
        <v>21.376476</v>
      </c>
      <c r="Q502" s="32">
        <f>IFERROR(__xludf.DUMMYFUNCTION("""COMPUTED_VALUE"""),387.300172)</f>
        <v>387.300172</v>
      </c>
      <c r="R502" s="32">
        <f>IFERROR(__xludf.DUMMYFUNCTION("""COMPUTED_VALUE"""),8756.41082862)</f>
        <v>8756.410829</v>
      </c>
      <c r="S502" s="13"/>
      <c r="T502" s="32">
        <f>IFERROR(__xludf.DUMMYFUNCTION("""COMPUTED_VALUE"""),-1.27844)</f>
        <v>-1.27844</v>
      </c>
      <c r="U502" s="32">
        <f>IFERROR(__xludf.DUMMYFUNCTION("""COMPUTED_VALUE"""),-0.021944)</f>
        <v>-0.021944</v>
      </c>
      <c r="V502" s="32">
        <f>IFERROR(__xludf.DUMMYFUNCTION("""COMPUTED_VALUE"""),10.074897)</f>
        <v>10.074897</v>
      </c>
      <c r="W502" s="32">
        <f>IFERROR(__xludf.DUMMYFUNCTION("""COMPUTED_VALUE"""),62.424242)</f>
        <v>62.424242</v>
      </c>
      <c r="X502" s="32">
        <f>IFERROR(__xludf.DUMMYFUNCTION("""COMPUTED_VALUE"""),65.833682)</f>
        <v>65.833682</v>
      </c>
      <c r="Y502" s="32">
        <f>IFERROR(__xludf.DUMMYFUNCTION("""COMPUTED_VALUE"""),0.717562)</f>
        <v>0.717562</v>
      </c>
      <c r="Z502" s="32">
        <f>IFERROR(__xludf.DUMMYFUNCTION("""COMPUTED_VALUE"""),5.184694)</f>
        <v>5.184694</v>
      </c>
      <c r="AA502" s="13"/>
      <c r="AB502" s="13"/>
      <c r="AC502" s="13"/>
      <c r="AD502" s="32">
        <f>IFERROR(__xludf.DUMMYFUNCTION("""COMPUTED_VALUE"""),37.0625)</f>
        <v>37.0625</v>
      </c>
      <c r="AE502" s="32">
        <f>IFERROR(__xludf.DUMMYFUNCTION("""COMPUTED_VALUE"""),0.0)</f>
        <v>0</v>
      </c>
      <c r="AF502" s="13"/>
      <c r="AG502" s="32">
        <f>IFERROR(__xludf.DUMMYFUNCTION("""COMPUTED_VALUE"""),0.0)</f>
        <v>0</v>
      </c>
      <c r="AH502" s="13"/>
      <c r="AI502" s="13"/>
      <c r="AJ502" s="13"/>
      <c r="AK502" s="13"/>
      <c r="AL502" s="13"/>
      <c r="AM502" s="13"/>
      <c r="AN502" s="13"/>
      <c r="AO502" s="13"/>
      <c r="AP502" s="32">
        <f>IFERROR(__xludf.DUMMYFUNCTION("""COMPUTED_VALUE"""),0.23723422065963493)</f>
        <v>0.2372342207</v>
      </c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13" max="13" width="42.13"/>
    <col customWidth="1" hidden="1" min="14" max="14" width="41.13"/>
    <col customWidth="1" min="15" max="15" width="15.0"/>
  </cols>
  <sheetData>
    <row r="1">
      <c r="A1" s="33"/>
    </row>
    <row r="2" ht="84.75" customHeight="1">
      <c r="A2" s="34"/>
    </row>
    <row r="3" ht="42.0" customHeight="1"/>
    <row r="4">
      <c r="M4" s="35" t="str">
        <f>'Import answer from python code'!A33</f>
        <v> NSE_code</v>
      </c>
      <c r="N4" s="35" t="str">
        <f>'Import answer from python code'!B33</f>
        <v>Sector</v>
      </c>
    </row>
    <row r="5">
      <c r="M5" s="36" t="str">
        <f>'Import answer from python code'!A34</f>
        <v>SUNCLAYLTD</v>
      </c>
      <c r="N5" s="36" t="str">
        <f>'Import answer from python code'!B34</f>
        <v>Automobile</v>
      </c>
    </row>
    <row r="6">
      <c r="M6" s="36" t="str">
        <f>'Import answer from python code'!A35</f>
        <v>FINCABLES</v>
      </c>
      <c r="N6" s="36" t="str">
        <f>'Import answer from python code'!B35</f>
        <v>Capital Goods</v>
      </c>
    </row>
    <row r="7">
      <c r="M7" s="36" t="str">
        <f>'Import answer from python code'!A36</f>
        <v>GNFC</v>
      </c>
      <c r="N7" s="36" t="str">
        <f>'Import answer from python code'!B36</f>
        <v>Chemicals</v>
      </c>
    </row>
    <row r="8">
      <c r="M8" s="36" t="str">
        <f>'Import answer from python code'!A37</f>
        <v>HFCL</v>
      </c>
      <c r="N8" s="36" t="str">
        <f>'Import answer from python code'!B37</f>
        <v>Communication</v>
      </c>
    </row>
    <row r="9">
      <c r="M9" s="36" t="str">
        <f>'Import answer from python code'!A38</f>
        <v>KNRCON</v>
      </c>
      <c r="N9" s="36" t="str">
        <f>'Import answer from python code'!B38</f>
        <v>Construction</v>
      </c>
    </row>
    <row r="10">
      <c r="M10" s="36" t="str">
        <f>'Import answer from python code'!A39</f>
        <v>WHIRLPOOL</v>
      </c>
      <c r="N10" s="36" t="str">
        <f>'Import answer from python code'!B39</f>
        <v>Consumer Discretionary</v>
      </c>
    </row>
    <row r="11">
      <c r="M11" s="36" t="str">
        <f>'Import answer from python code'!A40</f>
        <v>JKPAPER</v>
      </c>
      <c r="N11" s="36" t="str">
        <f>'Import answer from python code'!B40</f>
        <v>Consumer Staples</v>
      </c>
    </row>
    <row r="12">
      <c r="M12" s="36" t="str">
        <f>'Import answer from python code'!A41</f>
        <v>SRF</v>
      </c>
      <c r="N12" s="36" t="str">
        <f>'Import answer from python code'!B41</f>
        <v>Diversified</v>
      </c>
    </row>
    <row r="13">
      <c r="M13" s="36" t="str">
        <f>'Import answer from python code'!A42</f>
        <v>ADANIPOWER</v>
      </c>
      <c r="N13" s="36" t="str">
        <f>'Import answer from python code'!B42</f>
        <v>Energy</v>
      </c>
    </row>
    <row r="14">
      <c r="M14" s="36" t="str">
        <f>'Import answer from python code'!A43</f>
        <v>MOTILALOFS</v>
      </c>
      <c r="N14" s="36" t="str">
        <f>'Import answer from python code'!B43</f>
        <v>Financial</v>
      </c>
    </row>
    <row r="15">
      <c r="M15" s="36" t="str">
        <f>'Import answer from python code'!A44</f>
        <v>AUROPHARMA</v>
      </c>
      <c r="N15" s="36" t="str">
        <f>'Import answer from python code'!B44</f>
        <v>Healthcare</v>
      </c>
    </row>
    <row r="16">
      <c r="M16" s="36" t="str">
        <f>'Import answer from python code'!A45</f>
        <v>UFLEX</v>
      </c>
      <c r="N16" s="36" t="str">
        <f>'Import answer from python code'!B45</f>
        <v>Materials</v>
      </c>
    </row>
    <row r="17">
      <c r="M17" s="36" t="str">
        <f>'Import answer from python code'!A46</f>
        <v>JSWSTEEL</v>
      </c>
      <c r="N17" s="36" t="str">
        <f>'Import answer from python code'!B46</f>
        <v>Metals &amp; Mining</v>
      </c>
    </row>
    <row r="18">
      <c r="M18" s="36" t="str">
        <f>'Import answer from python code'!A47</f>
        <v>NAUKRI</v>
      </c>
      <c r="N18" s="36" t="str">
        <f>'Import answer from python code'!B47</f>
        <v>Services</v>
      </c>
    </row>
    <row r="19">
      <c r="M19" s="36" t="str">
        <f>'Import answer from python code'!A48</f>
        <v>MASTEK</v>
      </c>
      <c r="N19" s="36" t="str">
        <f>'Import answer from python code'!B48</f>
        <v>Technology</v>
      </c>
    </row>
    <row r="20">
      <c r="M20" s="36" t="str">
        <f>'Import answer from python code'!A49</f>
        <v>VTL</v>
      </c>
      <c r="N20" s="36" t="str">
        <f>'Import answer from python code'!B49</f>
        <v>Textiles</v>
      </c>
    </row>
    <row r="21">
      <c r="M21" s="37" t="str">
        <f>'Import answer from python code'!A50</f>
        <v/>
      </c>
      <c r="N21" s="37" t="str">
        <f>'Import answer from python code'!B50</f>
        <v/>
      </c>
    </row>
    <row r="22">
      <c r="M22" s="37" t="str">
        <f>'Import answer from python code'!A51</f>
        <v/>
      </c>
    </row>
    <row r="23">
      <c r="M23" s="37" t="str">
        <f>'Import answer from python code'!A52</f>
        <v/>
      </c>
    </row>
    <row r="24">
      <c r="M24" s="37" t="str">
        <f>'Import answer from python code'!A53</f>
        <v/>
      </c>
    </row>
    <row r="25">
      <c r="M25" s="37" t="str">
        <f>'Import answer from python code'!A54</f>
        <v/>
      </c>
    </row>
    <row r="26">
      <c r="M26" s="37" t="str">
        <f>'Import answer from python code'!A55</f>
        <v/>
      </c>
    </row>
    <row r="27">
      <c r="M27" s="37" t="str">
        <f>'Import answer from python code'!A56</f>
        <v/>
      </c>
    </row>
    <row r="28">
      <c r="M28" s="37" t="str">
        <f>'Import answer from python code'!A57</f>
        <v/>
      </c>
    </row>
    <row r="29">
      <c r="M29" s="37" t="str">
        <f>'Import answer from python code'!A58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32.5"/>
    <col customWidth="1" min="3" max="3" width="22.5"/>
  </cols>
  <sheetData>
    <row r="1">
      <c r="A1" s="38" t="s">
        <v>83</v>
      </c>
      <c r="B1" s="39" t="s">
        <v>60</v>
      </c>
      <c r="C1" s="39" t="s">
        <v>61</v>
      </c>
      <c r="D1" s="12" t="s">
        <v>84</v>
      </c>
      <c r="E1" s="13">
        <f>'Import answer from python code'!C24</f>
        <v>24735.72</v>
      </c>
      <c r="F1" s="13"/>
      <c r="G1" s="13">
        <f>SUM(G2:G6)</f>
        <v>2891.67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40">
        <v>1.0</v>
      </c>
      <c r="B2" s="3" t="str">
        <f>IF('Import answer from python code'!$C$27="Low Risk Taking",'Import answer from python code'!F2,IF('Import answer from python code'!$C$27="Moderate Risk Taking",'Import answer from python code'!F18,IF('Import answer from python code'!$C$27="Risk Taking",'Import answer from python code'!F10,IF('Import answer from python code'!$C$27="High Risk Taking",'Import answer from python code'!F26))))</f>
        <v>Cyient Ltd.</v>
      </c>
      <c r="C2" s="3">
        <f t="shared" ref="C2:C6" si="1">D2*F2</f>
        <v>4176</v>
      </c>
      <c r="D2" s="41">
        <f>VLOOKUP(B2,'BSE500'!A1:AP502,8,0)</f>
        <v>835.2</v>
      </c>
      <c r="E2" s="14">
        <f>'Import answer from python code'!$C$24/5</f>
        <v>4947.144</v>
      </c>
      <c r="F2" s="30">
        <f t="shared" ref="F2:F6" si="2">ROUNDDOWN(E2/D2,0)</f>
        <v>5</v>
      </c>
      <c r="G2" s="30">
        <f t="shared" ref="G2:G6" si="3">E2-D2*F2</f>
        <v>771.144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40">
        <v>2.0</v>
      </c>
      <c r="B3" s="3" t="str">
        <f>IF('Import answer from python code'!$C$27="Low Risk Taking",'Import answer from python code'!F3,IF('Import answer from python code'!$C$27="Moderate Risk Taking",'Import answer from python code'!F19,IF('Import answer from python code'!$C$27="Risk Taking",'Import answer from python code'!F11,IF('Import answer from python code'!$C$27="High Risk Taking",'Import answer from python code'!F27))))</f>
        <v>Chambal Fertilisers &amp; Chemicals Ltd.</v>
      </c>
      <c r="C3" s="3">
        <f t="shared" si="1"/>
        <v>4839.1</v>
      </c>
      <c r="D3" s="41">
        <f>VLOOKUP(B3,'BSE500'!A2:AP503,8,0)</f>
        <v>345.65</v>
      </c>
      <c r="E3" s="14">
        <f>'Import answer from python code'!$C$24/5</f>
        <v>4947.144</v>
      </c>
      <c r="F3" s="30">
        <f t="shared" si="2"/>
        <v>14</v>
      </c>
      <c r="G3" s="30">
        <f t="shared" si="3"/>
        <v>108.044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40">
        <v>3.0</v>
      </c>
      <c r="B4" s="3" t="str">
        <f>IF('Import answer from python code'!$C$27="Low Risk Taking",'Import answer from python code'!F4,IF('Import answer from python code'!$C$27="Moderate Risk Taking",'Import answer from python code'!F20,IF('Import answer from python code'!$C$27="Risk Taking",'Import answer from python code'!F12,IF('Import answer from python code'!$C$27="High Risk Taking",'Import answer from python code'!F28))))</f>
        <v>BASF India Ltd.</v>
      </c>
      <c r="C4" s="3">
        <f t="shared" si="1"/>
        <v>3179.75</v>
      </c>
      <c r="D4" s="41">
        <f>VLOOKUP(B4,'BSE500'!A3:AP504,8,0)</f>
        <v>3179.75</v>
      </c>
      <c r="E4" s="14">
        <f>'Import answer from python code'!$C$24/5</f>
        <v>4947.144</v>
      </c>
      <c r="F4" s="30">
        <f t="shared" si="2"/>
        <v>1</v>
      </c>
      <c r="G4" s="30">
        <f t="shared" si="3"/>
        <v>1767.394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40">
        <v>4.0</v>
      </c>
      <c r="B5" s="3" t="str">
        <f>IF('Import answer from python code'!$C$27="Low Risk Taking",'Import answer from python code'!F5,IF('Import answer from python code'!$C$27="Moderate Risk Taking",'Import answer from python code'!F21,IF('Import answer from python code'!$C$27="Risk Taking",'Import answer from python code'!F13,IF('Import answer from python code'!$C$27="High Risk Taking",'Import answer from python code'!F29))))</f>
        <v>Allcargo Logistics Ltd.</v>
      </c>
      <c r="C5" s="3">
        <f t="shared" si="1"/>
        <v>4733.4</v>
      </c>
      <c r="D5" s="41">
        <f>VLOOKUP(B5,'BSE500'!A4:AP505,8,0)</f>
        <v>338.1</v>
      </c>
      <c r="E5" s="14">
        <f>'Import answer from python code'!$C$24/5</f>
        <v>4947.144</v>
      </c>
      <c r="F5" s="30">
        <f t="shared" si="2"/>
        <v>14</v>
      </c>
      <c r="G5" s="30">
        <f t="shared" si="3"/>
        <v>213.744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40">
        <v>5.0</v>
      </c>
      <c r="B6" s="3" t="str">
        <f>IF('Import answer from python code'!$C$27="Low Risk Taking",'Import answer from python code'!F6,IF('Import answer from python code'!$C$27="Moderate Risk Taking",'Import answer from python code'!F22,IF('Import answer from python code'!$C$27="Risk Taking",'Import answer from python code'!F14,IF('Import answer from python code'!$C$27="High Risk Taking",'Import answer from python code'!F30))))</f>
        <v>Mahindra CIE Automotive Ltd.</v>
      </c>
      <c r="C6" s="3">
        <f t="shared" si="1"/>
        <v>4915.8</v>
      </c>
      <c r="D6" s="41">
        <f>VLOOKUP(B6,'BSE500'!A5:AP506,8,0)</f>
        <v>273.1</v>
      </c>
      <c r="E6" s="14">
        <f>'Import answer from python code'!$C$24/5</f>
        <v>4947.144</v>
      </c>
      <c r="F6" s="30">
        <f t="shared" si="2"/>
        <v>18</v>
      </c>
      <c r="G6" s="30">
        <f t="shared" si="3"/>
        <v>31.344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42"/>
      <c r="B7" s="13"/>
      <c r="C7" s="13"/>
      <c r="D7" s="13"/>
      <c r="E7" s="14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4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</sheetData>
  <hyperlinks>
    <hyperlink r:id="rId1" ref="A1"/>
  </hyperlinks>
  <drawing r:id="rId2"/>
</worksheet>
</file>