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alyaayyadurai/Desktop/UBS Stock pitch/"/>
    </mc:Choice>
  </mc:AlternateContent>
  <xr:revisionPtr revIDLastSave="0" documentId="8_{8EB06A6C-DBFA-2344-AC60-ECDBEFFC8594}" xr6:coauthVersionLast="47" xr6:coauthVersionMax="47" xr10:uidLastSave="{00000000-0000-0000-0000-000000000000}"/>
  <bookViews>
    <workbookView xWindow="0" yWindow="0" windowWidth="35840" windowHeight="22400" activeTab="5" xr2:uid="{608A0F95-C411-4E87-BE42-51159C3A09C7}"/>
  </bookViews>
  <sheets>
    <sheet name="__FDSCACHE__" sheetId="6" state="veryHidden" r:id="rId1"/>
    <sheet name="DCF" sheetId="5" r:id="rId2"/>
    <sheet name="WACC" sheetId="7" r:id="rId3"/>
    <sheet name="IS" sheetId="8" r:id="rId4"/>
    <sheet name="CFS" sheetId="9" r:id="rId5"/>
    <sheet name="Comps" sheetId="10" r:id="rId6"/>
  </sheets>
  <definedNames>
    <definedName name="tgr" localSheetId="2">WACC!#REF!</definedName>
    <definedName name="tgr">DCF!$D$10</definedName>
    <definedName name="wacc" localSheetId="2">WACC!#REF!</definedName>
    <definedName name="wacc">DCF!$D$9</definedName>
  </definedName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0" l="1"/>
  <c r="E13" i="10"/>
  <c r="I14" i="10"/>
  <c r="H14" i="10"/>
  <c r="G14" i="10"/>
  <c r="I13" i="10"/>
  <c r="H13" i="10"/>
  <c r="G13" i="10"/>
  <c r="N13" i="10"/>
  <c r="M14" i="10"/>
  <c r="M13" i="10"/>
  <c r="N11" i="10"/>
  <c r="N10" i="10"/>
  <c r="N9" i="10"/>
  <c r="N8" i="10"/>
  <c r="N14" i="10" s="1"/>
  <c r="F11" i="10"/>
  <c r="J11" i="10" s="1"/>
  <c r="F10" i="10"/>
  <c r="J10" i="10" s="1"/>
  <c r="F9" i="10"/>
  <c r="J9" i="10" s="1"/>
  <c r="F8" i="10"/>
  <c r="J8" i="10" s="1"/>
  <c r="D14" i="10"/>
  <c r="D13" i="10"/>
  <c r="O11" i="10"/>
  <c r="O10" i="10"/>
  <c r="O9" i="10"/>
  <c r="K14" i="10"/>
  <c r="P11" i="10" l="1"/>
  <c r="K13" i="10"/>
  <c r="O8" i="10"/>
  <c r="O14" i="10" s="1"/>
  <c r="F13" i="10"/>
  <c r="F14" i="10"/>
  <c r="L14" i="10"/>
  <c r="P8" i="10"/>
  <c r="Q8" i="10"/>
  <c r="Q10" i="10"/>
  <c r="P10" i="10"/>
  <c r="Q11" i="10"/>
  <c r="L13" i="10"/>
  <c r="P60" i="5"/>
  <c r="D10" i="7"/>
  <c r="D12" i="7"/>
  <c r="D13" i="7" s="1"/>
  <c r="D14" i="7" s="1"/>
  <c r="D18" i="7"/>
  <c r="D19" i="7" s="1"/>
  <c r="J32" i="5"/>
  <c r="K29" i="5"/>
  <c r="J29" i="5"/>
  <c r="J50" i="5" s="1"/>
  <c r="I29" i="5"/>
  <c r="H29" i="5"/>
  <c r="G29" i="5"/>
  <c r="G30" i="5" s="1"/>
  <c r="F29" i="5"/>
  <c r="E29" i="5"/>
  <c r="J26" i="5"/>
  <c r="I26" i="5"/>
  <c r="H26" i="5"/>
  <c r="G26" i="5"/>
  <c r="G27" i="5" s="1"/>
  <c r="F26" i="5"/>
  <c r="F27" i="5" s="1"/>
  <c r="E26" i="5"/>
  <c r="J23" i="5"/>
  <c r="J44" i="5" s="1"/>
  <c r="I23" i="5"/>
  <c r="H23" i="5"/>
  <c r="G23" i="5"/>
  <c r="F23" i="5"/>
  <c r="E23" i="5"/>
  <c r="H8" i="9"/>
  <c r="K23" i="5" s="1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K26" i="5" s="1"/>
  <c r="K47" i="5" s="1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7" i="9"/>
  <c r="J20" i="5"/>
  <c r="K19" i="5"/>
  <c r="J19" i="5"/>
  <c r="J39" i="5" s="1"/>
  <c r="I19" i="5"/>
  <c r="H19" i="5"/>
  <c r="G19" i="5"/>
  <c r="F19" i="5"/>
  <c r="E19" i="5"/>
  <c r="J16" i="5"/>
  <c r="I16" i="5"/>
  <c r="H16" i="5"/>
  <c r="G16" i="5"/>
  <c r="F16" i="5"/>
  <c r="E16" i="5"/>
  <c r="H6" i="8"/>
  <c r="H12" i="8"/>
  <c r="H13" i="8"/>
  <c r="H14" i="8"/>
  <c r="H15" i="8"/>
  <c r="H16" i="8"/>
  <c r="H17" i="8"/>
  <c r="K16" i="5" s="1"/>
  <c r="H18" i="8"/>
  <c r="H20" i="8"/>
  <c r="H21" i="8"/>
  <c r="H22" i="8"/>
  <c r="H23" i="8"/>
  <c r="H24" i="8"/>
  <c r="H25" i="8"/>
  <c r="H26" i="8"/>
  <c r="H27" i="8"/>
  <c r="H28" i="8"/>
  <c r="H10" i="8"/>
  <c r="K13" i="5" s="1"/>
  <c r="H9" i="8"/>
  <c r="H8" i="8"/>
  <c r="H7" i="8"/>
  <c r="J13" i="5"/>
  <c r="I13" i="5"/>
  <c r="I33" i="5" s="1"/>
  <c r="H13" i="5"/>
  <c r="G13" i="5"/>
  <c r="F13" i="5"/>
  <c r="E13" i="5"/>
  <c r="F32" i="5"/>
  <c r="G32" i="5" s="1"/>
  <c r="H32" i="5" s="1"/>
  <c r="I32" i="5" s="1"/>
  <c r="M32" i="5" s="1"/>
  <c r="N32" i="5" s="1"/>
  <c r="O32" i="5" s="1"/>
  <c r="P32" i="5" s="1"/>
  <c r="F22" i="5"/>
  <c r="G22" i="5" s="1"/>
  <c r="H22" i="5" s="1"/>
  <c r="I22" i="5" s="1"/>
  <c r="M22" i="5" s="1"/>
  <c r="N22" i="5" s="1"/>
  <c r="O22" i="5" s="1"/>
  <c r="P22" i="5" s="1"/>
  <c r="O13" i="10" l="1"/>
  <c r="I30" i="5"/>
  <c r="H30" i="5"/>
  <c r="E30" i="5"/>
  <c r="F30" i="5"/>
  <c r="I20" i="5"/>
  <c r="K30" i="5"/>
  <c r="P9" i="10"/>
  <c r="P13" i="10" s="1"/>
  <c r="Q9" i="10"/>
  <c r="Q14" i="10" s="1"/>
  <c r="J13" i="10"/>
  <c r="J14" i="10"/>
  <c r="J24" i="5"/>
  <c r="I39" i="5"/>
  <c r="D26" i="7"/>
  <c r="D20" i="7" s="1"/>
  <c r="K33" i="5"/>
  <c r="I24" i="5"/>
  <c r="I27" i="5"/>
  <c r="I47" i="5"/>
  <c r="I48" i="5" s="1"/>
  <c r="H27" i="5"/>
  <c r="J27" i="5"/>
  <c r="J47" i="5"/>
  <c r="J22" i="5"/>
  <c r="I50" i="5"/>
  <c r="I51" i="5" s="1"/>
  <c r="I44" i="5"/>
  <c r="I45" i="5" s="1"/>
  <c r="K24" i="5"/>
  <c r="J30" i="5"/>
  <c r="K27" i="5"/>
  <c r="K17" i="5"/>
  <c r="J17" i="5"/>
  <c r="K44" i="5"/>
  <c r="K45" i="5" s="1"/>
  <c r="J14" i="5"/>
  <c r="I17" i="5"/>
  <c r="J33" i="5"/>
  <c r="J34" i="5" s="1"/>
  <c r="I36" i="5"/>
  <c r="I37" i="5" s="1"/>
  <c r="I14" i="5"/>
  <c r="J36" i="5"/>
  <c r="K14" i="5"/>
  <c r="E33" i="5"/>
  <c r="F33" i="5"/>
  <c r="G33" i="5"/>
  <c r="H33" i="5"/>
  <c r="E39" i="5"/>
  <c r="F20" i="5"/>
  <c r="G39" i="5"/>
  <c r="H14" i="5"/>
  <c r="G17" i="5"/>
  <c r="E20" i="5"/>
  <c r="E47" i="5"/>
  <c r="H47" i="5"/>
  <c r="E50" i="5"/>
  <c r="F50" i="5"/>
  <c r="E36" i="5"/>
  <c r="F36" i="5"/>
  <c r="G36" i="5"/>
  <c r="K36" i="5"/>
  <c r="H39" i="5"/>
  <c r="K39" i="5"/>
  <c r="E44" i="5"/>
  <c r="F44" i="5"/>
  <c r="G44" i="5"/>
  <c r="D21" i="7"/>
  <c r="M31" i="5"/>
  <c r="N31" i="5" s="1"/>
  <c r="O31" i="5" s="1"/>
  <c r="P31" i="5" s="1"/>
  <c r="P14" i="10" l="1"/>
  <c r="Q13" i="10"/>
  <c r="K34" i="5"/>
  <c r="J37" i="5"/>
  <c r="J48" i="5"/>
  <c r="M30" i="5"/>
  <c r="L30" i="5"/>
  <c r="P30" i="5"/>
  <c r="N30" i="5"/>
  <c r="O30" i="5"/>
  <c r="P27" i="5"/>
  <c r="O27" i="5"/>
  <c r="N27" i="5"/>
  <c r="M27" i="5"/>
  <c r="L27" i="5"/>
  <c r="O17" i="5"/>
  <c r="J51" i="5"/>
  <c r="J45" i="5"/>
  <c r="I40" i="5"/>
  <c r="I34" i="5"/>
  <c r="H34" i="5"/>
  <c r="G34" i="5"/>
  <c r="J40" i="5"/>
  <c r="G24" i="5"/>
  <c r="H24" i="5"/>
  <c r="H17" i="5"/>
  <c r="K20" i="5"/>
  <c r="H44" i="5"/>
  <c r="H45" i="5" s="1"/>
  <c r="K50" i="5"/>
  <c r="G45" i="5"/>
  <c r="E40" i="5"/>
  <c r="F39" i="5"/>
  <c r="F40" i="5" s="1"/>
  <c r="H50" i="5"/>
  <c r="H51" i="5" s="1"/>
  <c r="G50" i="5"/>
  <c r="G51" i="5" s="1"/>
  <c r="G20" i="5"/>
  <c r="H36" i="5"/>
  <c r="H37" i="5" s="1"/>
  <c r="G37" i="5"/>
  <c r="H20" i="5"/>
  <c r="D11" i="7"/>
  <c r="F34" i="5"/>
  <c r="F37" i="5"/>
  <c r="F45" i="5"/>
  <c r="E45" i="5"/>
  <c r="E48" i="5"/>
  <c r="F17" i="5"/>
  <c r="N17" i="5" s="1"/>
  <c r="E17" i="5"/>
  <c r="G14" i="5"/>
  <c r="N14" i="5" s="1"/>
  <c r="F24" i="5"/>
  <c r="N24" i="5" s="1"/>
  <c r="F14" i="5"/>
  <c r="P14" i="5" s="1"/>
  <c r="E27" i="5"/>
  <c r="E24" i="5"/>
  <c r="F51" i="5"/>
  <c r="E51" i="5"/>
  <c r="K40" i="5"/>
  <c r="E37" i="5"/>
  <c r="G47" i="5"/>
  <c r="G48" i="5" s="1"/>
  <c r="F47" i="5"/>
  <c r="F48" i="5" s="1"/>
  <c r="H48" i="5"/>
  <c r="G40" i="5"/>
  <c r="F12" i="5"/>
  <c r="G12" i="5" s="1"/>
  <c r="H12" i="5" s="1"/>
  <c r="M14" i="5" l="1"/>
  <c r="P17" i="5"/>
  <c r="L14" i="5"/>
  <c r="L13" i="5" s="1"/>
  <c r="L16" i="5" s="1"/>
  <c r="L19" i="5" s="1"/>
  <c r="L17" i="5"/>
  <c r="O14" i="5"/>
  <c r="M17" i="5"/>
  <c r="M37" i="5"/>
  <c r="L24" i="5"/>
  <c r="L23" i="5" s="1"/>
  <c r="L44" i="5" s="1"/>
  <c r="P24" i="5"/>
  <c r="M24" i="5"/>
  <c r="O24" i="5"/>
  <c r="O34" i="5"/>
  <c r="N34" i="5"/>
  <c r="L34" i="5"/>
  <c r="L33" i="5" s="1"/>
  <c r="M34" i="5"/>
  <c r="P34" i="5"/>
  <c r="L26" i="5"/>
  <c r="L47" i="5" s="1"/>
  <c r="L29" i="5"/>
  <c r="M13" i="5"/>
  <c r="D28" i="7"/>
  <c r="D9" i="5" s="1"/>
  <c r="L45" i="5"/>
  <c r="N45" i="5"/>
  <c r="M45" i="5"/>
  <c r="P45" i="5"/>
  <c r="O45" i="5"/>
  <c r="N51" i="5"/>
  <c r="O51" i="5"/>
  <c r="M51" i="5"/>
  <c r="I12" i="5"/>
  <c r="K48" i="5"/>
  <c r="P48" i="5" s="1"/>
  <c r="K51" i="5"/>
  <c r="L51" i="5" s="1"/>
  <c r="H40" i="5"/>
  <c r="K37" i="5"/>
  <c r="N37" i="5" s="1"/>
  <c r="L37" i="5" l="1"/>
  <c r="P37" i="5"/>
  <c r="L48" i="5"/>
  <c r="O37" i="5"/>
  <c r="N48" i="5"/>
  <c r="P51" i="5"/>
  <c r="M33" i="5"/>
  <c r="M36" i="5" s="1"/>
  <c r="M16" i="5"/>
  <c r="M19" i="5" s="1"/>
  <c r="M23" i="5"/>
  <c r="M44" i="5" s="1"/>
  <c r="M26" i="5"/>
  <c r="M47" i="5" s="1"/>
  <c r="M29" i="5"/>
  <c r="N13" i="5"/>
  <c r="M12" i="5"/>
  <c r="N12" i="5" s="1"/>
  <c r="O12" i="5" s="1"/>
  <c r="P12" i="5" s="1"/>
  <c r="J12" i="5"/>
  <c r="O48" i="5"/>
  <c r="M48" i="5"/>
  <c r="L36" i="5"/>
  <c r="L50" i="5"/>
  <c r="N33" i="5" l="1"/>
  <c r="O33" i="5" s="1"/>
  <c r="N26" i="5"/>
  <c r="N47" i="5" s="1"/>
  <c r="N29" i="5"/>
  <c r="O13" i="5"/>
  <c r="N23" i="5"/>
  <c r="N44" i="5" s="1"/>
  <c r="N16" i="5"/>
  <c r="N19" i="5" s="1"/>
  <c r="N36" i="5"/>
  <c r="N42" i="5" s="1"/>
  <c r="L39" i="5"/>
  <c r="L42" i="5"/>
  <c r="M39" i="5"/>
  <c r="M42" i="5"/>
  <c r="M50" i="5"/>
  <c r="P33" i="5"/>
  <c r="O36" i="5"/>
  <c r="O42" i="5" s="1"/>
  <c r="N39" i="5" l="1"/>
  <c r="O29" i="5"/>
  <c r="O16" i="5"/>
  <c r="O19" i="5" s="1"/>
  <c r="P13" i="5"/>
  <c r="O26" i="5"/>
  <c r="O47" i="5" s="1"/>
  <c r="O23" i="5"/>
  <c r="O44" i="5" s="1"/>
  <c r="M53" i="5"/>
  <c r="M54" i="5" s="1"/>
  <c r="L53" i="5"/>
  <c r="L54" i="5" s="1"/>
  <c r="N50" i="5"/>
  <c r="O39" i="5"/>
  <c r="P36" i="5"/>
  <c r="P42" i="5" s="1"/>
  <c r="P23" i="5" l="1"/>
  <c r="P44" i="5" s="1"/>
  <c r="P26" i="5"/>
  <c r="P47" i="5" s="1"/>
  <c r="P29" i="5"/>
  <c r="P16" i="5"/>
  <c r="P19" i="5" s="1"/>
  <c r="N53" i="5"/>
  <c r="N54" i="5" s="1"/>
  <c r="O50" i="5"/>
  <c r="P50" i="5"/>
  <c r="P53" i="5" s="1"/>
  <c r="P56" i="5" s="1"/>
  <c r="P57" i="5" s="1"/>
  <c r="P39" i="5"/>
  <c r="O53" i="5" l="1"/>
  <c r="O54" i="5" s="1"/>
  <c r="P54" i="5"/>
  <c r="P58" i="5" l="1"/>
  <c r="P61" i="5" s="1"/>
  <c r="P63" i="5" s="1"/>
  <c r="G4" i="5" s="1"/>
  <c r="M5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Chon</author>
  </authors>
  <commentList>
    <comment ref="A1" authorId="0" shapeId="0" xr:uid="{94DFBBEB-3902-49B6-BE75-B8C7EF0A6481}">
      <text>
        <r>
          <rPr>
            <b/>
            <sz val="9"/>
            <color indexed="81"/>
            <rFont val="Tahoma"/>
            <family val="2"/>
          </rPr>
          <t>&lt;?xml version="1.0" encoding="utf-8"?&gt;&lt;Schema xmlns:xsd="http://www.w3.org/2001/XMLSchema" xmlns:xsi="http://www.w3.org/2001/XMLSchema-instance" Version="2" Timestamp="1658677764"&gt;&lt;FQL&gt;&lt;Q&gt;AMZN^FE_ESTIMATE(DEP_AMORT_EXP,MEAN,ANN_ROLL,2022,NOW,,,'')&lt;/Q&gt;&lt;R&gt;1&lt;/R&gt;&lt;C&gt;1&lt;/C&gt;&lt;D xsi:type="xsd:double"&gt;38716.438&lt;/D&gt;&lt;/FQL&gt;&lt;FQL&gt;&lt;Q&gt;AMZN^FE_ESTIMATE(DEP_AMORT_EXP,MEAN,ANN_ROLL,2023,NOW,,,'')&lt;/Q&gt;&lt;R&gt;1&lt;/R&gt;&lt;C&gt;1&lt;/C&gt;&lt;D xsi:type="xsd:double"&gt;44728.72&lt;/D&gt;&lt;/FQL&gt;&lt;FQL&gt;&lt;Q&gt;AMZN^FE_ESTIMATE(DEP_AMORT_EXP,MEAN,ANN_ROLL,2024,NOW,,,'')&lt;/Q&gt;&lt;R&gt;1&lt;/R&gt;&lt;C&gt;1&lt;/C&gt;&lt;D xsi:type="xsd:double"&gt;52136.97&lt;/D&gt;&lt;/FQL&gt;&lt;FQL&gt;&lt;Q&gt;AMZN^FE_ESTIMATE(DEP_AMORT_EXP,MEAN,ANN_ROLL,2025,NOW,,,'')&lt;/Q&gt;&lt;R&gt;1&lt;/R&gt;&lt;C&gt;1&lt;/C&gt;&lt;D xsi:type="xsd:double"&gt;55507.54&lt;/D&gt;&lt;/FQL&gt;&lt;FQL&gt;&lt;Q&gt;AMZN^FE_ESTIMATE(DEP_AMORT_EXP,MEAN,ANN_ROLL,2026,NOW,,,'')&lt;/Q&gt;&lt;R&gt;1&lt;/R&gt;&lt;C&gt;1&lt;/C&gt;&lt;D xsi:type="xsd:double"&gt;58234.55&lt;/D&gt;&lt;/FQL&gt;&lt;FQL&gt;&lt;Q&gt;AMZN^FE_ESTIMATE(DEP_AMORT_EXP,MEAN,ANN_ROLL,2027,NOW,,,'')&lt;/Q&gt;&lt;R&gt;1&lt;/R&gt;&lt;C&gt;1&lt;/C&gt;&lt;D xsi:type="xsd:double"&gt;64625&lt;/D&gt;&lt;/FQL&gt;&lt;FQL&gt;&lt;Q&gt;AMZN^FE_ESTIMATE(CAPEX,MEAN,ANN_ROLL,2022,NOW,,,'')&lt;/Q&gt;&lt;R&gt;1&lt;/R&gt;&lt;C&gt;1&lt;/C&gt;&lt;D xsi:type="xsd:double"&gt;61050.723&lt;/D&gt;&lt;/FQL&gt;&lt;FQL&gt;&lt;Q&gt;AMZN^FE_ESTIMATE(CAPEX,MEAN,ANN_ROLL,2023,NOW,,,'')&lt;/Q&gt;&lt;R&gt;1&lt;/R&gt;&lt;C&gt;1&lt;/C&gt;&lt;D xsi:type="xsd:double"&gt;62598.887&lt;/D&gt;&lt;/FQL&gt;&lt;FQL&gt;&lt;Q&gt;AMZN^FE_ESTIMATE(CAPEX,MEAN,ANN_ROLL,2024,NOW,,,'')&lt;/Q&gt;&lt;R&gt;1&lt;/R&gt;&lt;C&gt;1&lt;/C&gt;&lt;D xsi:type="xsd:double"&gt;64481.453&lt;/D&gt;&lt;/FQL&gt;&lt;FQL&gt;&lt;Q&gt;AMZN^FE_ESTIMATE(CAPEX,MEAN,ANN_ROLL,2025,NOW,,,'')&lt;/Q&gt;&lt;R&gt;1&lt;/R&gt;&lt;C&gt;1&lt;/C&gt;&lt;D xsi:type="xsd:double"&gt;69493.41&lt;/D&gt;&lt;/FQL&gt;&lt;FQL&gt;&lt;Q&gt;AMZN^FE_ESTIMATE(CAPEX,MEAN,ANN_ROLL,2026,NOW,,,'')&lt;/Q&gt;&lt;R&gt;1&lt;/R&gt;&lt;C&gt;1&lt;/C&gt;&lt;D xsi:type="xsd:double"&gt;65697&lt;/D&gt;&lt;/FQL&gt;&lt;FQL&gt;&lt;Q&gt;AMZN^FE_ESTIMATE(CAPEX,MEAN,ANN_ROLL,2027,NOW,,,'')&lt;/Q&gt;&lt;R&gt;1&lt;/R&gt;&lt;C&gt;1&lt;/C&gt;&lt;D xsi:type="xsd:double"&gt;69051.93&lt;/D&gt;&lt;/FQL&gt;&lt;/Schema&gt;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tc={E0BB07CA-E6DC-B447-8760-11C1BA97861A}</author>
    <author>tc={AFA07D3C-FEE7-0D41-BED4-36FBD3FE8279}</author>
    <author>tc={453F5A24-6A20-7B42-9216-0B30C2802105}</author>
  </authors>
  <commentList>
    <comment ref="K12" authorId="0" shapeId="0" xr:uid="{E0BB07CA-E6DC-B447-8760-11C1BA97861A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the value from the past 4 quarters earnings reported. Therefore overlaps with half of 2024 earnings report</t>
      </text>
    </comment>
    <comment ref="K22" authorId="1" shapeId="0" xr:uid="{AFA07D3C-FEE7-0D41-BED4-36FBD3FE8279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the value from the past 4 quarters earnings reported. Therefore overlaps with half of 2024 earnings report</t>
      </text>
    </comment>
    <comment ref="K32" authorId="2" shapeId="0" xr:uid="{453F5A24-6A20-7B42-9216-0B30C2802105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the value from the past 4 quarters earnings reported. Therefore overlaps with half of 2024 earnings report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tc={38BB5F87-F494-8B44-918F-6B3205B17132}</author>
  </authors>
  <commentList>
    <comment ref="B12" authorId="0" shapeId="0" xr:uid="{38BB5F87-F494-8B44-918F-6B3205B1713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TTM - Trailing Twelve Months
</t>
      </text>
    </comment>
  </commentList>
</comments>
</file>

<file path=xl/sharedStrings.xml><?xml version="1.0" encoding="utf-8"?>
<sst xmlns="http://schemas.openxmlformats.org/spreadsheetml/2006/main" count="238" uniqueCount="166">
  <si>
    <t>EBITDA</t>
  </si>
  <si>
    <t>Proceeds from long-term debt</t>
  </si>
  <si>
    <t>Deferred income taxes</t>
  </si>
  <si>
    <t>Ticker</t>
  </si>
  <si>
    <t>Date</t>
  </si>
  <si>
    <t>x</t>
  </si>
  <si>
    <t>Assumptions</t>
  </si>
  <si>
    <t>Income Statement</t>
  </si>
  <si>
    <t>Cash Flow Items</t>
  </si>
  <si>
    <t>DCF</t>
  </si>
  <si>
    <t>Revenue</t>
  </si>
  <si>
    <t>% growth</t>
  </si>
  <si>
    <t>EBIT</t>
  </si>
  <si>
    <t>% of sales</t>
  </si>
  <si>
    <t>% of EBIT</t>
  </si>
  <si>
    <t>D&amp;A</t>
  </si>
  <si>
    <t>CapEx</t>
  </si>
  <si>
    <t>% margin</t>
  </si>
  <si>
    <t>EBIAT</t>
  </si>
  <si>
    <t>WACC</t>
  </si>
  <si>
    <t>TGR</t>
  </si>
  <si>
    <t>Valuation Assumptions</t>
  </si>
  <si>
    <t>This sheet contains FactSet XML data for use with this workbook's =FDS codes.  Modifying the worksheet's contents may damage the workbook's =FDS functionality.</t>
  </si>
  <si>
    <t>Equity Value</t>
  </si>
  <si>
    <t>Shares</t>
  </si>
  <si>
    <t>Share Price</t>
  </si>
  <si>
    <t>Implied Share Price</t>
  </si>
  <si>
    <t>Debt</t>
  </si>
  <si>
    <t>% Debt</t>
  </si>
  <si>
    <t>Cost of Debt</t>
  </si>
  <si>
    <t>Tax Rate</t>
  </si>
  <si>
    <t>% Equity</t>
  </si>
  <si>
    <t>Cost of Equity</t>
  </si>
  <si>
    <t>Risk Free Rate</t>
  </si>
  <si>
    <t>Beta</t>
  </si>
  <si>
    <t>Market Risk Premium</t>
  </si>
  <si>
    <t>Debt + Equity</t>
  </si>
  <si>
    <t>Cost of Equity = Risk Free Rate + (Beta x (Expected Market Return - Risk Free Rate))</t>
  </si>
  <si>
    <t>Upside (Downside)</t>
  </si>
  <si>
    <t>UNH</t>
  </si>
  <si>
    <t>ACTUAL</t>
  </si>
  <si>
    <t>PROJECTED</t>
  </si>
  <si>
    <t>2024 ($m)</t>
  </si>
  <si>
    <t>2023 ($m)</t>
  </si>
  <si>
    <t>2022 ($m)</t>
  </si>
  <si>
    <t>Revenues</t>
  </si>
  <si>
    <t>Premiums</t>
  </si>
  <si>
    <t>Products</t>
  </si>
  <si>
    <t>Services</t>
  </si>
  <si>
    <t>Investment &amp; other income</t>
  </si>
  <si>
    <t>Total revenues</t>
  </si>
  <si>
    <t>Operating costs</t>
  </si>
  <si>
    <t>Medical costs</t>
  </si>
  <si>
    <t>Cost of products sold</t>
  </si>
  <si>
    <t>Depreciation &amp; amortization</t>
  </si>
  <si>
    <t>Total operating costs</t>
  </si>
  <si>
    <t>Earnings from operations</t>
  </si>
  <si>
    <t>Interest expense</t>
  </si>
  <si>
    <t>Earnings before income taxes</t>
  </si>
  <si>
    <t>–</t>
  </si>
  <si>
    <t>Provision for income taxes</t>
  </si>
  <si>
    <t>Net earnings</t>
  </si>
  <si>
    <t>Earnings to NCI</t>
  </si>
  <si>
    <t>Net earnings to UNH</t>
  </si>
  <si>
    <t>EPS (Basic)</t>
  </si>
  <si>
    <t>EPS (Diluted)</t>
  </si>
  <si>
    <t>Weighted shares (Basic)</t>
  </si>
  <si>
    <t>Weighted shares (Diluted)</t>
  </si>
  <si>
    <t>For the years ended Dec 31</t>
  </si>
  <si>
    <t>Cash Flow</t>
  </si>
  <si>
    <t>UnitedHealth Group Inc</t>
  </si>
  <si>
    <t>NYSE: UNH</t>
  </si>
  <si>
    <t>Operating Activities</t>
  </si>
  <si>
    <t>Share-based comp</t>
  </si>
  <si>
    <t>Loss on sale of subsidiaries</t>
  </si>
  <si>
    <t>Gains on sales &amp; other</t>
  </si>
  <si>
    <t>Other, net</t>
  </si>
  <si>
    <t>Accounts receivable</t>
  </si>
  <si>
    <t>Other assets</t>
  </si>
  <si>
    <t>Medical costs payable</t>
  </si>
  <si>
    <t>Accounts payable &amp; other liab.</t>
  </si>
  <si>
    <t>Unearned revenues</t>
  </si>
  <si>
    <t>Cash from operations</t>
  </si>
  <si>
    <t>Investing Activities</t>
  </si>
  <si>
    <t>Purchases of investments</t>
  </si>
  <si>
    <t>Sales of investments</t>
  </si>
  <si>
    <t>Maturities of investments</t>
  </si>
  <si>
    <t>Acquisitions (net)</t>
  </si>
  <si>
    <t>Loans to providers – cyberattack</t>
  </si>
  <si>
    <t>Repayments of provider loans</t>
  </si>
  <si>
    <t>Cash received from disposals</t>
  </si>
  <si>
    <t>Cash from investing</t>
  </si>
  <si>
    <t>Financing Activities</t>
  </si>
  <si>
    <t>Share repurchases</t>
  </si>
  <si>
    <t>Dividends paid</t>
  </si>
  <si>
    <t>Proceeds from stock issuances</t>
  </si>
  <si>
    <t>Repayment of long-term debt</t>
  </si>
  <si>
    <t>Proceeds from short-term debt</t>
  </si>
  <si>
    <t>Customer funds administered</t>
  </si>
  <si>
    <t>Redeemable NCI</t>
  </si>
  <si>
    <t>Cash from financing</t>
  </si>
  <si>
    <t>FX effect</t>
  </si>
  <si>
    <t>Net change in cash</t>
  </si>
  <si>
    <t>Cash at beginning</t>
  </si>
  <si>
    <t>Cash at end</t>
  </si>
  <si>
    <t>Six Months Ended Jun 30</t>
  </si>
  <si>
    <t>For the year ended Jun 30</t>
  </si>
  <si>
    <t>Shares Outstanding</t>
  </si>
  <si>
    <t>Stock Price (Current)</t>
  </si>
  <si>
    <t>in millions</t>
  </si>
  <si>
    <t>Long Term Debt</t>
  </si>
  <si>
    <t>Short Term Debt</t>
  </si>
  <si>
    <t>Interest Expense (TTM)</t>
  </si>
  <si>
    <t>Pre tax Cost of Debt</t>
  </si>
  <si>
    <t>TTM2025A</t>
  </si>
  <si>
    <t>WACC =  (% Equity x Cost of Equity) + (% Debt x Pre tax Cost of Debt x (1 -Tax rate))</t>
  </si>
  <si>
    <t>Public Comparables</t>
  </si>
  <si>
    <t>($ in millions)</t>
  </si>
  <si>
    <t>Company Name</t>
  </si>
  <si>
    <t>Share</t>
  </si>
  <si>
    <t>Market</t>
  </si>
  <si>
    <t>Enterprise</t>
  </si>
  <si>
    <t>LTM</t>
  </si>
  <si>
    <t xml:space="preserve">LTM </t>
  </si>
  <si>
    <t>LTM EBITDA</t>
  </si>
  <si>
    <t>EV/LTM</t>
  </si>
  <si>
    <t>Symbol</t>
  </si>
  <si>
    <t>Price</t>
  </si>
  <si>
    <t>Capitalization</t>
  </si>
  <si>
    <t>Value</t>
  </si>
  <si>
    <t>Margin</t>
  </si>
  <si>
    <t>Mean</t>
  </si>
  <si>
    <t>Median</t>
  </si>
  <si>
    <t>UnitedHealth Group</t>
  </si>
  <si>
    <t>UnitedHealth Group DCF</t>
  </si>
  <si>
    <t>Revenue ($m)</t>
  </si>
  <si>
    <t>EBIT ($m)</t>
  </si>
  <si>
    <t>Taxes ($m)</t>
  </si>
  <si>
    <t>D&amp;A ($m)</t>
  </si>
  <si>
    <t>CapEx ($m)</t>
  </si>
  <si>
    <t>Change in NWC ($m)</t>
  </si>
  <si>
    <t>Unlevered FCF ($m)</t>
  </si>
  <si>
    <t>Present Value of FCF ($m)</t>
  </si>
  <si>
    <t>Terminal Value ($m)</t>
  </si>
  <si>
    <t>Present Value of Terminal Value ($m)</t>
  </si>
  <si>
    <t>Enterprise Value ($m)</t>
  </si>
  <si>
    <t>+ Cash ($m)</t>
  </si>
  <si>
    <t>- Debt ($m)</t>
  </si>
  <si>
    <t>Equity Value ($m)</t>
  </si>
  <si>
    <t>UnitedHealth Group Inc.</t>
  </si>
  <si>
    <t>Cigna Group</t>
  </si>
  <si>
    <t>Elevance Health Inc.</t>
  </si>
  <si>
    <t>Humana Inc.</t>
  </si>
  <si>
    <t>NYSE:UNH</t>
  </si>
  <si>
    <t>NYSE:CI</t>
  </si>
  <si>
    <t>Share Price on 25/09/25</t>
  </si>
  <si>
    <t>NYSE:ELV</t>
  </si>
  <si>
    <t>NYSE:HUM</t>
  </si>
  <si>
    <t>Outstanding</t>
  </si>
  <si>
    <t>On 25/09/2025</t>
  </si>
  <si>
    <t>Cash and</t>
  </si>
  <si>
    <t>Cash Equivalents</t>
  </si>
  <si>
    <t xml:space="preserve">Total </t>
  </si>
  <si>
    <t>Interest</t>
  </si>
  <si>
    <t>Minority</t>
  </si>
  <si>
    <t>Note: Considering last twelve months (LTM) data to get the latest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</si>
</sst>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44" formatCode="_(&quot;£&quot;* #,##0.00_);_(&quot;£&quot;* \(#,##0.00\);_(&quot;£&quot;* &quot;-&quot;??_);_(@_)"/>
    <numFmt numFmtId="43" formatCode="_(* #,##0.00_);_(* \(#,##0.00\);_(* &quot;-&quot;??_);_(@_)"/>
    <numFmt numFmtId="164" formatCode="&quot;$&quot;#,##0_);[Red]\(&quot;$&quot;#,##0\)"/>
    <numFmt numFmtId="166" formatCode="0.0%"/>
    <numFmt numFmtId="167" formatCode="0.0%;\(0.0%\)"/>
    <numFmt numFmtId="168" formatCode="_([$$-409]* #,##0.00_);_([$$-409]* \(#,##0.00\);_([$$-409]* &quot;-&quot;??_);_(@_)"/>
    <numFmt numFmtId="169" formatCode="0%;\(0%\)"/>
    <numFmt numFmtId="170" formatCode="&quot;$&quot;#,##0.00"/>
    <numFmt numFmtId="173" formatCode="General&quot;A&quot;"/>
    <numFmt numFmtId="174" formatCode="General&quot;P&quot;"/>
    <numFmt numFmtId="175" formatCode="General&quot;($m)&quot;"/>
    <numFmt numFmtId="180" formatCode="0.00_);\(0.00\)"/>
    <numFmt numFmtId="183" formatCode="0.0_);\(0.0\)"/>
    <numFmt numFmtId="184" formatCode="m/yy;@"/>
    <numFmt numFmtId="185" formatCode="* _(&quot;$&quot;#,##0.00_);* \(&quot;$&quot;#,##0.00\);* _(&quot;-&quot;?_);_(@_)"/>
    <numFmt numFmtId="186" formatCode="* _(&quot;$&quot;#,##0_);* \(&quot;$&quot;#,##0\);* _(&quot;-&quot;?_);_(@_)"/>
    <numFmt numFmtId="187" formatCode="#,##0.0\x_);\(#,##0.0\x\);\-\-\x_)"/>
    <numFmt numFmtId="188" formatCode="[$$-409]#,##0.00_);\([$$-409]#,##0.00\)"/>
    <numFmt numFmtId="189" formatCode="[$$-409]#,##0_);\([$$-409]#,##0\)"/>
    <numFmt numFmtId="191" formatCode="_(* #,##0.0_);_(* \(#,##0.0\);_(* &quot;-&quot;??_);_(@_)"/>
    <numFmt numFmtId="192" formatCode="#,##0.00\x_);\(#,##0.00\x\);\-\-\x_)"/>
    <numFmt numFmtId="194" formatCode="_(&quot;$&quot;* #,##0.0_);_(&quot;$&quot;* \(#,##0.0\);_(&quot;$&quot;* &quot;-&quot;??_);_(@_)"/>
    <numFmt numFmtId="195" formatCode="#,##0.0%_);\(#,##0.0%\);\-\-\%_."/>
  </numFmts>
  <fonts count="3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Tahoma"/>
      <family val="2"/>
    </font>
    <font>
      <i/>
      <sz val="11"/>
      <color theme="4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i/>
      <sz val="10"/>
      <name val="Calibri"/>
      <family val="2"/>
      <scheme val="minor"/>
    </font>
    <font>
      <sz val="1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8.5"/>
      <color rgb="FFFFFFFF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4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3A9948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9">
    <xf numFmtId="0" fontId="0" fillId="0" borderId="0"/>
    <xf numFmtId="9" fontId="2" fillId="0" borderId="0" applyFont="0" applyFill="0" applyBorder="0" applyAlignment="0" applyProtection="0"/>
    <xf numFmtId="0" fontId="5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7" fillId="0" borderId="0"/>
    <xf numFmtId="0" fontId="17" fillId="0" borderId="0"/>
    <xf numFmtId="0" fontId="16" fillId="0" borderId="0" applyNumberFormat="0" applyFill="0" applyBorder="0" applyProtection="0"/>
    <xf numFmtId="0" fontId="17" fillId="0" borderId="0" applyFill="0" applyBorder="0" applyProtection="0">
      <protection locked="0"/>
    </xf>
  </cellStyleXfs>
  <cellXfs count="157">
    <xf numFmtId="0" fontId="0" fillId="0" borderId="0" xfId="0"/>
    <xf numFmtId="0" fontId="0" fillId="0" borderId="1" xfId="0" applyBorder="1"/>
    <xf numFmtId="0" fontId="6" fillId="0" borderId="1" xfId="0" applyFont="1" applyBorder="1"/>
    <xf numFmtId="0" fontId="0" fillId="3" borderId="0" xfId="0" applyFill="1"/>
    <xf numFmtId="0" fontId="3" fillId="3" borderId="0" xfId="0" applyFont="1" applyFill="1"/>
    <xf numFmtId="0" fontId="0" fillId="2" borderId="2" xfId="0" applyFill="1" applyBorder="1" applyAlignment="1">
      <alignment horizontal="center"/>
    </xf>
    <xf numFmtId="14" fontId="0" fillId="2" borderId="2" xfId="0" applyNumberFormat="1" applyFill="1" applyBorder="1" applyAlignment="1">
      <alignment horizontal="center"/>
    </xf>
    <xf numFmtId="0" fontId="7" fillId="4" borderId="0" xfId="0" applyFont="1" applyFill="1"/>
    <xf numFmtId="0" fontId="8" fillId="4" borderId="0" xfId="0" applyFont="1" applyFill="1"/>
    <xf numFmtId="3" fontId="7" fillId="4" borderId="0" xfId="0" applyNumberFormat="1" applyFont="1" applyFill="1"/>
    <xf numFmtId="166" fontId="9" fillId="4" borderId="0" xfId="1" applyNumberFormat="1" applyFont="1" applyFill="1"/>
    <xf numFmtId="0" fontId="9" fillId="4" borderId="0" xfId="0" applyFont="1" applyFill="1"/>
    <xf numFmtId="0" fontId="10" fillId="0" borderId="0" xfId="0" applyFont="1"/>
    <xf numFmtId="3" fontId="0" fillId="0" borderId="0" xfId="0" applyNumberFormat="1"/>
    <xf numFmtId="3" fontId="11" fillId="4" borderId="0" xfId="0" applyNumberFormat="1" applyFont="1" applyFill="1"/>
    <xf numFmtId="3" fontId="12" fillId="0" borderId="0" xfId="0" applyNumberFormat="1" applyFont="1"/>
    <xf numFmtId="9" fontId="0" fillId="0" borderId="0" xfId="1" applyFont="1"/>
    <xf numFmtId="37" fontId="11" fillId="4" borderId="0" xfId="0" applyNumberFormat="1" applyFont="1" applyFill="1"/>
    <xf numFmtId="0" fontId="4" fillId="0" borderId="0" xfId="0" applyFont="1"/>
    <xf numFmtId="166" fontId="0" fillId="2" borderId="3" xfId="0" applyNumberFormat="1" applyFill="1" applyBorder="1" applyAlignment="1">
      <alignment horizontal="center"/>
    </xf>
    <xf numFmtId="166" fontId="10" fillId="0" borderId="0" xfId="1" applyNumberFormat="1" applyFont="1"/>
    <xf numFmtId="166" fontId="7" fillId="4" borderId="0" xfId="1" applyNumberFormat="1" applyFont="1" applyFill="1"/>
    <xf numFmtId="164" fontId="7" fillId="4" borderId="0" xfId="0" applyNumberFormat="1" applyFont="1" applyFill="1"/>
    <xf numFmtId="166" fontId="0" fillId="0" borderId="0" xfId="0" applyNumberFormat="1"/>
    <xf numFmtId="1" fontId="0" fillId="0" borderId="0" xfId="0" applyNumberFormat="1"/>
    <xf numFmtId="166" fontId="0" fillId="0" borderId="0" xfId="1" applyNumberFormat="1" applyFont="1"/>
    <xf numFmtId="3" fontId="13" fillId="4" borderId="0" xfId="0" applyNumberFormat="1" applyFont="1" applyFill="1"/>
    <xf numFmtId="37" fontId="12" fillId="0" borderId="0" xfId="0" applyNumberFormat="1" applyFont="1"/>
    <xf numFmtId="37" fontId="7" fillId="0" borderId="0" xfId="0" applyNumberFormat="1" applyFont="1"/>
    <xf numFmtId="14" fontId="0" fillId="0" borderId="0" xfId="0" applyNumberFormat="1"/>
    <xf numFmtId="0" fontId="0" fillId="0" borderId="0" xfId="0" quotePrefix="1"/>
    <xf numFmtId="168" fontId="0" fillId="0" borderId="0" xfId="0" applyNumberFormat="1"/>
    <xf numFmtId="169" fontId="0" fillId="0" borderId="0" xfId="1" applyNumberFormat="1" applyFont="1"/>
    <xf numFmtId="167" fontId="10" fillId="0" borderId="0" xfId="1" applyNumberFormat="1" applyFont="1"/>
    <xf numFmtId="0" fontId="7" fillId="4" borderId="8" xfId="0" applyFont="1" applyFill="1" applyBorder="1"/>
    <xf numFmtId="3" fontId="7" fillId="4" borderId="8" xfId="0" applyNumberFormat="1" applyFont="1" applyFill="1" applyBorder="1"/>
    <xf numFmtId="0" fontId="0" fillId="0" borderId="8" xfId="0" applyBorder="1"/>
    <xf numFmtId="3" fontId="12" fillId="0" borderId="8" xfId="0" applyNumberFormat="1" applyFont="1" applyBorder="1"/>
    <xf numFmtId="166" fontId="10" fillId="0" borderId="8" xfId="1" applyNumberFormat="1" applyFont="1" applyBorder="1"/>
    <xf numFmtId="37" fontId="12" fillId="0" borderId="8" xfId="0" applyNumberFormat="1" applyFont="1" applyBorder="1"/>
    <xf numFmtId="167" fontId="10" fillId="0" borderId="8" xfId="1" applyNumberFormat="1" applyFont="1" applyBorder="1"/>
    <xf numFmtId="0" fontId="0" fillId="0" borderId="7" xfId="0" applyBorder="1"/>
    <xf numFmtId="37" fontId="7" fillId="0" borderId="1" xfId="0" applyNumberFormat="1" applyFont="1" applyBorder="1"/>
    <xf numFmtId="0" fontId="0" fillId="0" borderId="1" xfId="0" quotePrefix="1" applyBorder="1"/>
    <xf numFmtId="168" fontId="4" fillId="0" borderId="0" xfId="0" applyNumberFormat="1" applyFont="1"/>
    <xf numFmtId="37" fontId="8" fillId="0" borderId="0" xfId="0" applyNumberFormat="1" applyFont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37" fontId="4" fillId="0" borderId="5" xfId="0" applyNumberFormat="1" applyFont="1" applyBorder="1"/>
    <xf numFmtId="37" fontId="4" fillId="0" borderId="6" xfId="0" applyNumberFormat="1" applyFont="1" applyBorder="1"/>
    <xf numFmtId="3" fontId="4" fillId="0" borderId="5" xfId="0" applyNumberFormat="1" applyFont="1" applyBorder="1"/>
    <xf numFmtId="166" fontId="0" fillId="2" borderId="3" xfId="0" applyNumberFormat="1" applyFill="1" applyBorder="1" applyAlignment="1">
      <alignment horizontal="right"/>
    </xf>
    <xf numFmtId="166" fontId="0" fillId="0" borderId="0" xfId="0" applyNumberFormat="1" applyAlignment="1">
      <alignment horizontal="right"/>
    </xf>
    <xf numFmtId="0" fontId="0" fillId="2" borderId="3" xfId="0" applyFill="1" applyBorder="1" applyAlignment="1">
      <alignment horizontal="right"/>
    </xf>
    <xf numFmtId="0" fontId="4" fillId="5" borderId="4" xfId="0" applyFont="1" applyFill="1" applyBorder="1"/>
    <xf numFmtId="0" fontId="0" fillId="5" borderId="5" xfId="0" applyFill="1" applyBorder="1"/>
    <xf numFmtId="10" fontId="4" fillId="5" borderId="6" xfId="0" applyNumberFormat="1" applyFont="1" applyFill="1" applyBorder="1"/>
    <xf numFmtId="170" fontId="0" fillId="0" borderId="3" xfId="0" applyNumberFormat="1" applyBorder="1" applyAlignment="1">
      <alignment horizontal="center"/>
    </xf>
    <xf numFmtId="167" fontId="0" fillId="0" borderId="3" xfId="0" applyNumberFormat="1" applyBorder="1" applyAlignment="1">
      <alignment horizontal="center"/>
    </xf>
    <xf numFmtId="0" fontId="7" fillId="4" borderId="0" xfId="0" applyFont="1" applyFill="1" applyBorder="1"/>
    <xf numFmtId="0" fontId="0" fillId="0" borderId="0" xfId="0" applyBorder="1"/>
    <xf numFmtId="173" fontId="3" fillId="3" borderId="0" xfId="0" applyNumberFormat="1" applyFont="1" applyFill="1"/>
    <xf numFmtId="174" fontId="3" fillId="3" borderId="0" xfId="0" applyNumberFormat="1" applyFont="1" applyFill="1"/>
    <xf numFmtId="0" fontId="0" fillId="0" borderId="0" xfId="0" applyFont="1"/>
    <xf numFmtId="0" fontId="0" fillId="2" borderId="9" xfId="0" applyFill="1" applyBorder="1" applyAlignment="1">
      <alignment horizontal="center"/>
    </xf>
    <xf numFmtId="0" fontId="0" fillId="6" borderId="9" xfId="0" applyFont="1" applyFill="1" applyBorder="1" applyAlignment="1">
      <alignment horizontal="center"/>
    </xf>
    <xf numFmtId="3" fontId="0" fillId="0" borderId="0" xfId="0" applyNumberFormat="1" applyFont="1"/>
    <xf numFmtId="175" fontId="4" fillId="0" borderId="5" xfId="0" applyNumberFormat="1" applyFont="1" applyBorder="1"/>
    <xf numFmtId="0" fontId="0" fillId="2" borderId="9" xfId="0" applyFont="1" applyFill="1" applyBorder="1"/>
    <xf numFmtId="0" fontId="0" fillId="0" borderId="5" xfId="0" applyFont="1" applyBorder="1" applyAlignment="1">
      <alignment horizontal="center"/>
    </xf>
    <xf numFmtId="173" fontId="3" fillId="3" borderId="0" xfId="0" applyNumberFormat="1" applyFont="1" applyFill="1" applyAlignment="1">
      <alignment horizontal="right"/>
    </xf>
    <xf numFmtId="3" fontId="15" fillId="0" borderId="0" xfId="0" applyNumberFormat="1" applyFont="1"/>
    <xf numFmtId="175" fontId="4" fillId="0" borderId="1" xfId="0" applyNumberFormat="1" applyFont="1" applyBorder="1"/>
    <xf numFmtId="175" fontId="4" fillId="0" borderId="4" xfId="0" applyNumberFormat="1" applyFont="1" applyBorder="1"/>
    <xf numFmtId="0" fontId="0" fillId="0" borderId="10" xfId="0" applyBorder="1"/>
    <xf numFmtId="0" fontId="0" fillId="0" borderId="4" xfId="0" applyFont="1" applyBorder="1" applyAlignment="1">
      <alignment horizontal="center"/>
    </xf>
    <xf numFmtId="0" fontId="0" fillId="0" borderId="10" xfId="0" applyFont="1" applyBorder="1"/>
    <xf numFmtId="0" fontId="0" fillId="0" borderId="0" xfId="0" applyFont="1" applyBorder="1"/>
    <xf numFmtId="0" fontId="0" fillId="0" borderId="9" xfId="0" applyFont="1" applyBorder="1"/>
    <xf numFmtId="175" fontId="4" fillId="0" borderId="9" xfId="0" applyNumberFormat="1" applyFont="1" applyBorder="1"/>
    <xf numFmtId="0" fontId="0" fillId="0" borderId="11" xfId="0" applyFont="1" applyBorder="1"/>
    <xf numFmtId="3" fontId="0" fillId="0" borderId="11" xfId="0" applyNumberFormat="1" applyFont="1" applyBorder="1"/>
    <xf numFmtId="3" fontId="1" fillId="0" borderId="0" xfId="0" applyNumberFormat="1" applyFont="1"/>
    <xf numFmtId="0" fontId="7" fillId="4" borderId="10" xfId="0" applyFont="1" applyFill="1" applyBorder="1"/>
    <xf numFmtId="174" fontId="3" fillId="3" borderId="10" xfId="0" applyNumberFormat="1" applyFont="1" applyFill="1" applyBorder="1"/>
    <xf numFmtId="3" fontId="13" fillId="4" borderId="10" xfId="0" applyNumberFormat="1" applyFont="1" applyFill="1" applyBorder="1"/>
    <xf numFmtId="167" fontId="9" fillId="4" borderId="0" xfId="1" applyNumberFormat="1" applyFont="1" applyFill="1"/>
    <xf numFmtId="167" fontId="9" fillId="4" borderId="0" xfId="1" applyNumberFormat="1" applyFont="1" applyFill="1" applyBorder="1"/>
    <xf numFmtId="3" fontId="13" fillId="4" borderId="0" xfId="0" applyNumberFormat="1" applyFont="1" applyFill="1" applyBorder="1"/>
    <xf numFmtId="180" fontId="13" fillId="4" borderId="10" xfId="0" applyNumberFormat="1" applyFont="1" applyFill="1" applyBorder="1"/>
    <xf numFmtId="180" fontId="13" fillId="4" borderId="0" xfId="0" applyNumberFormat="1" applyFont="1" applyFill="1"/>
    <xf numFmtId="167" fontId="19" fillId="4" borderId="10" xfId="1" applyNumberFormat="1" applyFont="1" applyFill="1" applyBorder="1"/>
    <xf numFmtId="167" fontId="19" fillId="4" borderId="0" xfId="1" applyNumberFormat="1" applyFont="1" applyFill="1" applyBorder="1"/>
    <xf numFmtId="37" fontId="13" fillId="4" borderId="10" xfId="0" applyNumberFormat="1" applyFont="1" applyFill="1" applyBorder="1"/>
    <xf numFmtId="37" fontId="13" fillId="4" borderId="0" xfId="0" applyNumberFormat="1" applyFont="1" applyFill="1"/>
    <xf numFmtId="3" fontId="13" fillId="0" borderId="0" xfId="0" applyNumberFormat="1" applyFont="1"/>
    <xf numFmtId="37" fontId="13" fillId="0" borderId="0" xfId="0" applyNumberFormat="1" applyFont="1"/>
    <xf numFmtId="166" fontId="19" fillId="0" borderId="0" xfId="1" applyNumberFormat="1" applyFont="1" applyFill="1" applyBorder="1"/>
    <xf numFmtId="167" fontId="19" fillId="0" borderId="0" xfId="1" applyNumberFormat="1" applyFont="1" applyFill="1" applyBorder="1"/>
    <xf numFmtId="3" fontId="13" fillId="0" borderId="10" xfId="0" applyNumberFormat="1" applyFont="1" applyBorder="1"/>
    <xf numFmtId="166" fontId="19" fillId="0" borderId="10" xfId="1" applyNumberFormat="1" applyFont="1" applyFill="1" applyBorder="1"/>
    <xf numFmtId="37" fontId="13" fillId="0" borderId="10" xfId="0" applyNumberFormat="1" applyFont="1" applyBorder="1"/>
    <xf numFmtId="167" fontId="19" fillId="0" borderId="10" xfId="1" applyNumberFormat="1" applyFont="1" applyFill="1" applyBorder="1"/>
    <xf numFmtId="43" fontId="0" fillId="0" borderId="0" xfId="0" applyNumberFormat="1"/>
    <xf numFmtId="183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37" fontId="7" fillId="0" borderId="1" xfId="0" applyNumberFormat="1" applyFont="1" applyBorder="1" applyAlignment="1">
      <alignment horizontal="right"/>
    </xf>
    <xf numFmtId="0" fontId="1" fillId="0" borderId="0" xfId="0" applyFont="1"/>
    <xf numFmtId="0" fontId="20" fillId="0" borderId="12" xfId="5" applyFont="1" applyBorder="1"/>
    <xf numFmtId="0" fontId="20" fillId="4" borderId="12" xfId="5" applyFont="1" applyFill="1" applyBorder="1"/>
    <xf numFmtId="0" fontId="21" fillId="4" borderId="0" xfId="6" applyFont="1" applyFill="1"/>
    <xf numFmtId="0" fontId="22" fillId="4" borderId="0" xfId="7" applyNumberFormat="1" applyFont="1" applyFill="1" applyBorder="1" applyAlignment="1">
      <alignment vertical="top"/>
    </xf>
    <xf numFmtId="0" fontId="22" fillId="4" borderId="0" xfId="7" applyNumberFormat="1" applyFont="1" applyFill="1" applyBorder="1"/>
    <xf numFmtId="0" fontId="23" fillId="4" borderId="0" xfId="6" applyFont="1" applyFill="1" applyAlignment="1">
      <alignment vertical="top"/>
    </xf>
    <xf numFmtId="0" fontId="23" fillId="4" borderId="0" xfId="6" applyFont="1" applyFill="1"/>
    <xf numFmtId="0" fontId="24" fillId="4" borderId="0" xfId="0" applyFont="1" applyFill="1" applyAlignment="1">
      <alignment vertical="top"/>
    </xf>
    <xf numFmtId="0" fontId="23" fillId="4" borderId="0" xfId="7" applyNumberFormat="1" applyFont="1" applyFill="1" applyBorder="1"/>
    <xf numFmtId="184" fontId="24" fillId="4" borderId="0" xfId="0" applyNumberFormat="1" applyFont="1" applyFill="1" applyAlignment="1">
      <alignment vertical="top"/>
    </xf>
    <xf numFmtId="0" fontId="25" fillId="4" borderId="0" xfId="0" applyFont="1" applyFill="1" applyAlignment="1">
      <alignment vertical="top"/>
    </xf>
    <xf numFmtId="43" fontId="25" fillId="4" borderId="0" xfId="0" applyNumberFormat="1" applyFont="1" applyFill="1" applyAlignment="1">
      <alignment vertical="top"/>
    </xf>
    <xf numFmtId="0" fontId="26" fillId="7" borderId="0" xfId="7" applyFont="1" applyFill="1" applyBorder="1" applyAlignment="1">
      <alignment horizontal="center" wrapText="1"/>
    </xf>
    <xf numFmtId="14" fontId="26" fillId="7" borderId="0" xfId="7" applyNumberFormat="1" applyFont="1" applyFill="1" applyBorder="1" applyAlignment="1">
      <alignment horizontal="center" wrapText="1"/>
    </xf>
    <xf numFmtId="0" fontId="23" fillId="4" borderId="0" xfId="6" applyFont="1" applyFill="1" applyAlignment="1">
      <alignment horizontal="center"/>
    </xf>
    <xf numFmtId="0" fontId="23" fillId="4" borderId="0" xfId="6" applyFont="1" applyFill="1" applyAlignment="1">
      <alignment horizontal="center" vertical="center"/>
    </xf>
    <xf numFmtId="0" fontId="27" fillId="8" borderId="0" xfId="7" applyFont="1" applyFill="1" applyBorder="1" applyAlignment="1">
      <alignment horizontal="center" wrapText="1"/>
    </xf>
    <xf numFmtId="0" fontId="27" fillId="8" borderId="0" xfId="7" applyFont="1" applyFill="1" applyBorder="1" applyAlignment="1">
      <alignment horizontal="left"/>
    </xf>
    <xf numFmtId="185" fontId="7" fillId="0" borderId="0" xfId="8" applyNumberFormat="1" applyFont="1" applyFill="1" applyAlignment="1" applyProtection="1">
      <alignment horizontal="right"/>
    </xf>
    <xf numFmtId="186" fontId="7" fillId="0" borderId="0" xfId="8" applyNumberFormat="1" applyFont="1" applyFill="1" applyAlignment="1" applyProtection="1">
      <alignment horizontal="right"/>
    </xf>
    <xf numFmtId="166" fontId="0" fillId="0" borderId="0" xfId="1" applyNumberFormat="1" applyFont="1" applyAlignment="1">
      <alignment horizontal="right"/>
    </xf>
    <xf numFmtId="187" fontId="0" fillId="0" borderId="0" xfId="0" applyNumberFormat="1" applyAlignment="1">
      <alignment horizontal="right"/>
    </xf>
    <xf numFmtId="0" fontId="23" fillId="0" borderId="0" xfId="6" applyFont="1"/>
    <xf numFmtId="188" fontId="7" fillId="0" borderId="0" xfId="3" applyNumberFormat="1" applyFont="1" applyAlignment="1">
      <alignment horizontal="right"/>
    </xf>
    <xf numFmtId="189" fontId="0" fillId="0" borderId="0" xfId="3" applyNumberFormat="1" applyFont="1" applyAlignment="1">
      <alignment horizontal="right"/>
    </xf>
    <xf numFmtId="191" fontId="0" fillId="0" borderId="0" xfId="3" applyNumberFormat="1" applyFont="1" applyAlignment="1">
      <alignment horizontal="right"/>
    </xf>
    <xf numFmtId="10" fontId="0" fillId="0" borderId="0" xfId="1" applyNumberFormat="1" applyFont="1" applyAlignment="1">
      <alignment horizontal="right"/>
    </xf>
    <xf numFmtId="192" fontId="28" fillId="9" borderId="13" xfId="6" applyNumberFormat="1" applyFont="1" applyFill="1" applyBorder="1" applyAlignment="1">
      <alignment vertical="center"/>
    </xf>
    <xf numFmtId="170" fontId="28" fillId="9" borderId="14" xfId="4" applyNumberFormat="1" applyFont="1" applyFill="1" applyBorder="1" applyAlignment="1">
      <alignment horizontal="right" vertical="center"/>
    </xf>
    <xf numFmtId="185" fontId="28" fillId="9" borderId="14" xfId="8" applyNumberFormat="1" applyFont="1" applyFill="1" applyBorder="1" applyAlignment="1" applyProtection="1">
      <alignment horizontal="right"/>
    </xf>
    <xf numFmtId="10" fontId="28" fillId="9" borderId="14" xfId="8" applyNumberFormat="1" applyFont="1" applyFill="1" applyBorder="1" applyAlignment="1" applyProtection="1">
      <alignment horizontal="right"/>
    </xf>
    <xf numFmtId="187" fontId="28" fillId="9" borderId="14" xfId="8" applyNumberFormat="1" applyFont="1" applyFill="1" applyBorder="1" applyAlignment="1" applyProtection="1">
      <alignment horizontal="right"/>
    </xf>
    <xf numFmtId="192" fontId="28" fillId="9" borderId="15" xfId="6" applyNumberFormat="1" applyFont="1" applyFill="1" applyBorder="1" applyAlignment="1">
      <alignment vertical="center"/>
    </xf>
    <xf numFmtId="43" fontId="29" fillId="9" borderId="12" xfId="3" applyFont="1" applyFill="1" applyBorder="1" applyAlignment="1">
      <alignment horizontal="right" vertical="center"/>
    </xf>
    <xf numFmtId="188" fontId="29" fillId="9" borderId="12" xfId="3" applyNumberFormat="1" applyFont="1" applyFill="1" applyBorder="1" applyAlignment="1">
      <alignment horizontal="right" vertical="center"/>
    </xf>
    <xf numFmtId="10" fontId="29" fillId="9" borderId="12" xfId="3" applyNumberFormat="1" applyFont="1" applyFill="1" applyBorder="1" applyAlignment="1">
      <alignment horizontal="right" vertical="center"/>
    </xf>
    <xf numFmtId="187" fontId="29" fillId="9" borderId="12" xfId="3" applyNumberFormat="1" applyFont="1" applyFill="1" applyBorder="1" applyAlignment="1">
      <alignment horizontal="right" vertical="center"/>
    </xf>
    <xf numFmtId="192" fontId="23" fillId="0" borderId="0" xfId="6" applyNumberFormat="1" applyFont="1" applyAlignment="1">
      <alignment vertical="center"/>
    </xf>
    <xf numFmtId="187" fontId="4" fillId="0" borderId="0" xfId="0" applyNumberFormat="1" applyFont="1" applyAlignment="1">
      <alignment horizontal="right"/>
    </xf>
    <xf numFmtId="0" fontId="23" fillId="0" borderId="0" xfId="6" applyFont="1" applyAlignment="1">
      <alignment vertical="top"/>
    </xf>
    <xf numFmtId="0" fontId="28" fillId="0" borderId="0" xfId="6" applyFont="1" applyAlignment="1">
      <alignment horizontal="right" vertical="center"/>
    </xf>
    <xf numFmtId="194" fontId="28" fillId="0" borderId="0" xfId="4" applyNumberFormat="1" applyFont="1" applyFill="1" applyBorder="1" applyAlignment="1">
      <alignment horizontal="right" vertical="center"/>
    </xf>
    <xf numFmtId="195" fontId="28" fillId="0" borderId="0" xfId="6" applyNumberFormat="1" applyFont="1" applyAlignment="1">
      <alignment horizontal="right" vertical="center"/>
    </xf>
    <xf numFmtId="187" fontId="28" fillId="0" borderId="0" xfId="6" applyNumberFormat="1" applyFont="1" applyAlignment="1">
      <alignment horizontal="right" vertical="center"/>
    </xf>
    <xf numFmtId="192" fontId="23" fillId="0" borderId="0" xfId="6" applyNumberFormat="1" applyFont="1" applyAlignment="1">
      <alignment vertical="top"/>
    </xf>
    <xf numFmtId="192" fontId="23" fillId="0" borderId="0" xfId="6" quotePrefix="1" applyNumberFormat="1" applyFont="1" applyAlignment="1">
      <alignment vertical="center"/>
    </xf>
    <xf numFmtId="0" fontId="0" fillId="0" borderId="1" xfId="0" applyFont="1" applyBorder="1"/>
    <xf numFmtId="192" fontId="30" fillId="0" borderId="0" xfId="6" applyNumberFormat="1" applyFont="1" applyAlignment="1">
      <alignment horizontal="left" vertical="center"/>
    </xf>
  </cellXfs>
  <cellStyles count="9">
    <cellStyle name="_x000a_386grabber=M" xfId="8" xr:uid="{508F83FB-5899-0649-A417-8E06F938F02E}"/>
    <cellStyle name="Comma" xfId="3" builtinId="3"/>
    <cellStyle name="Currency" xfId="4" builtinId="4"/>
    <cellStyle name="Normal" xfId="0" builtinId="0"/>
    <cellStyle name="Normal 2" xfId="2" xr:uid="{A2D1003C-8034-459A-B554-420F0A7D1C00}"/>
    <cellStyle name="Normal 2 3" xfId="5" xr:uid="{E829A5EB-3B8A-D74A-AD78-6C32E1615FEA}"/>
    <cellStyle name="Normal 3" xfId="6" xr:uid="{4B9CD490-0645-0A4C-BBD8-29A2ECFF250C}"/>
    <cellStyle name="Per cent" xfId="1" builtinId="5"/>
    <cellStyle name="Style 43" xfId="7" xr:uid="{E524AD05-BCF1-6E4C-8CF4-E14AD526F6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yyadurai, Agalya (PG/T - Maths &amp; Physics)" id="{2AFF74E4-1119-4749-81EA-5B73D81BCCC6}" userId="S::aa04279@surrey.ac.uk::84517e02-3a3d-44b1-9b27-2a96740d4471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2" dT="2025-09-25T02:37:33.93" personId="{2AFF74E4-1119-4749-81EA-5B73D81BCCC6}" id="{E0BB07CA-E6DC-B447-8760-11C1BA97861A}">
    <text>This is the value from the past 4 quarters earnings reported. Therefore overlaps with half of 2024 earnings report</text>
  </threadedComment>
  <threadedComment ref="K22" dT="2025-09-25T02:37:33.93" personId="{2AFF74E4-1119-4749-81EA-5B73D81BCCC6}" id="{AFA07D3C-FEE7-0D41-BED4-36FBD3FE8279}">
    <text>This is the value from the past 4 quarters earnings reported. Therefore overlaps with half of 2024 earnings report</text>
  </threadedComment>
  <threadedComment ref="K32" dT="2025-09-25T02:37:33.93" personId="{2AFF74E4-1119-4749-81EA-5B73D81BCCC6}" id="{453F5A24-6A20-7B42-9216-0B30C2802105}">
    <text>This is the value from the past 4 quarters earnings reported. Therefore overlaps with half of 2024 earnings report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2" dT="2025-09-25T06:56:12.56" personId="{2AFF74E4-1119-4749-81EA-5B73D81BCCC6}" id="{38BB5F87-F494-8B44-918F-6B3205B17132}">
    <text xml:space="preserve">TTM - Trailing Twelve Months
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D1782-985A-4F6E-8405-30EA8D9C5EDB}">
  <dimension ref="A1:B1"/>
  <sheetViews>
    <sheetView workbookViewId="0"/>
  </sheetViews>
  <sheetFormatPr baseColWidth="10" defaultColWidth="8.83203125" defaultRowHeight="15" x14ac:dyDescent="0.2"/>
  <sheetData>
    <row r="1" spans="1:2" x14ac:dyDescent="0.2">
      <c r="B1" t="s">
        <v>22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04BFC-A7CD-4D1E-875D-83F0626367C5}">
  <dimension ref="A2:AF63"/>
  <sheetViews>
    <sheetView showGridLines="0" zoomScale="170" zoomScaleNormal="170" workbookViewId="0">
      <selection activeCell="E6" sqref="E6"/>
    </sheetView>
  </sheetViews>
  <sheetFormatPr baseColWidth="10" defaultColWidth="9.6640625" defaultRowHeight="15" outlineLevelRow="1" outlineLevelCol="1" x14ac:dyDescent="0.2"/>
  <cols>
    <col min="1" max="1" width="3.6640625" customWidth="1"/>
    <col min="3" max="3" width="10.5" bestFit="1" customWidth="1"/>
    <col min="5" max="12" width="9.6640625" customWidth="1" outlineLevel="1"/>
    <col min="13" max="20" width="9.6640625" customWidth="1"/>
    <col min="24" max="28" width="10.5" bestFit="1" customWidth="1"/>
    <col min="29" max="29" width="12" bestFit="1" customWidth="1"/>
    <col min="32" max="32" width="10.33203125" bestFit="1" customWidth="1"/>
  </cols>
  <sheetData>
    <row r="2" spans="1:20" s="1" customFormat="1" ht="21" x14ac:dyDescent="0.25">
      <c r="B2" s="2" t="s">
        <v>134</v>
      </c>
    </row>
    <row r="4" spans="1:20" x14ac:dyDescent="0.2">
      <c r="A4" t="s">
        <v>5</v>
      </c>
      <c r="B4" t="s">
        <v>3</v>
      </c>
      <c r="C4" s="5" t="s">
        <v>39</v>
      </c>
      <c r="E4" t="s">
        <v>26</v>
      </c>
      <c r="G4" s="58">
        <f>P63</f>
        <v>525.81622443032495</v>
      </c>
      <c r="O4" s="31"/>
      <c r="T4" s="32"/>
    </row>
    <row r="5" spans="1:20" x14ac:dyDescent="0.2">
      <c r="B5" t="s">
        <v>4</v>
      </c>
      <c r="C5" s="6">
        <v>45925</v>
      </c>
      <c r="E5" t="s">
        <v>155</v>
      </c>
      <c r="G5" s="58">
        <v>350.67</v>
      </c>
      <c r="K5" t="s">
        <v>38</v>
      </c>
      <c r="M5" s="59">
        <f>G4/G5-1</f>
        <v>0.49946167174359068</v>
      </c>
      <c r="O5" s="31"/>
    </row>
    <row r="7" spans="1:20" x14ac:dyDescent="0.2">
      <c r="A7" t="s">
        <v>5</v>
      </c>
      <c r="B7" s="4" t="s">
        <v>6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20" x14ac:dyDescent="0.2">
      <c r="B8" s="18" t="s">
        <v>21</v>
      </c>
    </row>
    <row r="9" spans="1:20" x14ac:dyDescent="0.2">
      <c r="B9" t="s">
        <v>19</v>
      </c>
      <c r="D9" s="19">
        <f>WACC!D28</f>
        <v>7.4462293815009448E-2</v>
      </c>
    </row>
    <row r="10" spans="1:20" x14ac:dyDescent="0.2">
      <c r="B10" t="s">
        <v>20</v>
      </c>
      <c r="D10" s="19">
        <v>0.02</v>
      </c>
    </row>
    <row r="11" spans="1:20" x14ac:dyDescent="0.2">
      <c r="E11" s="66" t="s">
        <v>40</v>
      </c>
      <c r="F11" s="66"/>
      <c r="G11" s="66"/>
      <c r="H11" s="66"/>
      <c r="I11" s="66"/>
      <c r="J11" s="66"/>
      <c r="K11" s="66"/>
      <c r="L11" s="65" t="s">
        <v>41</v>
      </c>
      <c r="M11" s="65"/>
      <c r="N11" s="65"/>
      <c r="O11" s="65"/>
      <c r="P11" s="65"/>
    </row>
    <row r="12" spans="1:20" outlineLevel="1" x14ac:dyDescent="0.2">
      <c r="A12" t="s">
        <v>5</v>
      </c>
      <c r="B12" s="4" t="s">
        <v>7</v>
      </c>
      <c r="C12" s="3"/>
      <c r="D12" s="3"/>
      <c r="E12" s="62">
        <v>2019</v>
      </c>
      <c r="F12" s="62">
        <f>E12+1</f>
        <v>2020</v>
      </c>
      <c r="G12" s="62">
        <f>F12+1</f>
        <v>2021</v>
      </c>
      <c r="H12" s="62">
        <f>G12+1</f>
        <v>2022</v>
      </c>
      <c r="I12" s="62">
        <f>H12+1</f>
        <v>2023</v>
      </c>
      <c r="J12" s="62">
        <f>I12+1</f>
        <v>2024</v>
      </c>
      <c r="K12" s="71" t="s">
        <v>114</v>
      </c>
      <c r="L12" s="63">
        <v>2025</v>
      </c>
      <c r="M12" s="63">
        <f>L12+1</f>
        <v>2026</v>
      </c>
      <c r="N12" s="63">
        <f>M12+1</f>
        <v>2027</v>
      </c>
      <c r="O12" s="63">
        <f>N12+1</f>
        <v>2028</v>
      </c>
      <c r="P12" s="63">
        <f>O12+1</f>
        <v>2029</v>
      </c>
    </row>
    <row r="13" spans="1:20" s="7" customFormat="1" outlineLevel="1" x14ac:dyDescent="0.2">
      <c r="B13" s="7" t="s">
        <v>135</v>
      </c>
      <c r="E13" s="14">
        <f>IS!B10</f>
        <v>242155</v>
      </c>
      <c r="F13" s="14">
        <f>IS!C10</f>
        <v>257141</v>
      </c>
      <c r="G13" s="14">
        <f>IS!D10</f>
        <v>287597</v>
      </c>
      <c r="H13" s="14">
        <f>IS!E10</f>
        <v>324162</v>
      </c>
      <c r="I13" s="14">
        <f>IS!F10</f>
        <v>371622</v>
      </c>
      <c r="J13" s="14">
        <f>IS!G10</f>
        <v>400278</v>
      </c>
      <c r="K13" s="14">
        <f>IS!H10</f>
        <v>422818</v>
      </c>
      <c r="L13" s="86">
        <f>K13+(K13*L14)</f>
        <v>453634.12478280079</v>
      </c>
      <c r="M13" s="89">
        <f>L13+(L13*M14)</f>
        <v>486696.21247784549</v>
      </c>
      <c r="N13" s="89">
        <f>M13+(M13*N14)</f>
        <v>522167.95496523677</v>
      </c>
      <c r="O13" s="89">
        <f>N13+(N13*O14)</f>
        <v>560224.97443410673</v>
      </c>
      <c r="P13" s="89">
        <f>O13+(O13*P14)</f>
        <v>601055.6928959575</v>
      </c>
    </row>
    <row r="14" spans="1:20" s="7" customFormat="1" outlineLevel="1" x14ac:dyDescent="0.2">
      <c r="B14" s="11" t="s">
        <v>11</v>
      </c>
      <c r="E14" s="10"/>
      <c r="F14" s="10">
        <f t="shared" ref="F14:P14" si="0">F13/E13-1</f>
        <v>6.1885982118890848E-2</v>
      </c>
      <c r="G14" s="10">
        <f t="shared" si="0"/>
        <v>0.11844085540617799</v>
      </c>
      <c r="H14" s="10">
        <f t="shared" si="0"/>
        <v>0.12713971286209524</v>
      </c>
      <c r="I14" s="10">
        <f t="shared" si="0"/>
        <v>0.14640827734281014</v>
      </c>
      <c r="J14" s="10">
        <f t="shared" si="0"/>
        <v>7.7110612396467326E-2</v>
      </c>
      <c r="K14" s="10">
        <f t="shared" si="0"/>
        <v>5.631086394955509E-2</v>
      </c>
      <c r="L14" s="101">
        <f>AVERAGE($F14:$K14)-2.5%</f>
        <v>7.2882717345999437E-2</v>
      </c>
      <c r="M14" s="98">
        <f>AVERAGE($F14:$K14)-2.5%</f>
        <v>7.2882717345999437E-2</v>
      </c>
      <c r="N14" s="98">
        <f>AVERAGE($F14:$K14)-2.5%</f>
        <v>7.2882717345999437E-2</v>
      </c>
      <c r="O14" s="98">
        <f>AVERAGE($F14:$K14)-2.5%</f>
        <v>7.2882717345999437E-2</v>
      </c>
      <c r="P14" s="98">
        <f>AVERAGE($F14:$K14)-2.5%</f>
        <v>7.2882717345999437E-2</v>
      </c>
    </row>
    <row r="15" spans="1:20" s="7" customFormat="1" outlineLevel="1" x14ac:dyDescent="0.2">
      <c r="B15" s="8"/>
      <c r="K15" s="34"/>
    </row>
    <row r="16" spans="1:20" s="7" customFormat="1" outlineLevel="1" x14ac:dyDescent="0.2">
      <c r="B16" s="7" t="s">
        <v>136</v>
      </c>
      <c r="E16" s="14">
        <f>IS!B17</f>
        <v>19685</v>
      </c>
      <c r="F16" s="14">
        <f>IS!C17</f>
        <v>22405</v>
      </c>
      <c r="G16" s="14">
        <f>IS!D17</f>
        <v>23970</v>
      </c>
      <c r="H16" s="14">
        <f>IS!E17</f>
        <v>28435</v>
      </c>
      <c r="I16" s="14">
        <f>IS!F17</f>
        <v>32358</v>
      </c>
      <c r="J16" s="14">
        <f>IS!G17</f>
        <v>32287</v>
      </c>
      <c r="K16" s="14">
        <f>IS!H17</f>
        <v>30750</v>
      </c>
      <c r="L16" s="86">
        <f>L13*L17</f>
        <v>33164.856600352898</v>
      </c>
      <c r="M16" s="89">
        <f>M13*M17</f>
        <v>35582.001469777017</v>
      </c>
      <c r="N16" s="89">
        <f>N13*N17</f>
        <v>38175.314425503711</v>
      </c>
      <c r="O16" s="89">
        <f>O13*O17</f>
        <v>40957.635076372353</v>
      </c>
      <c r="P16" s="89">
        <f>P13*P17</f>
        <v>43942.738816804194</v>
      </c>
    </row>
    <row r="17" spans="1:16" s="7" customFormat="1" outlineLevel="1" x14ac:dyDescent="0.2">
      <c r="B17" s="11" t="s">
        <v>13</v>
      </c>
      <c r="E17" s="10">
        <f t="shared" ref="E17:P17" si="1">E16/E13</f>
        <v>8.1290908715492147E-2</v>
      </c>
      <c r="F17" s="10">
        <f t="shared" si="1"/>
        <v>8.7131184836334932E-2</v>
      </c>
      <c r="G17" s="10">
        <f t="shared" si="1"/>
        <v>8.3345792897700596E-2</v>
      </c>
      <c r="H17" s="10">
        <f t="shared" si="1"/>
        <v>8.7718486435794454E-2</v>
      </c>
      <c r="I17" s="10">
        <f t="shared" si="1"/>
        <v>8.7072347708155057E-2</v>
      </c>
      <c r="J17" s="10">
        <f t="shared" si="1"/>
        <v>8.0661440298992207E-2</v>
      </c>
      <c r="K17" s="10">
        <f t="shared" si="1"/>
        <v>7.2726326693754756E-2</v>
      </c>
      <c r="L17" s="101">
        <f>AVERAGE($F17:$K17)-1%</f>
        <v>7.3109263145122005E-2</v>
      </c>
      <c r="M17" s="98">
        <f>AVERAGE($F17:$K17)-1%</f>
        <v>7.3109263145122005E-2</v>
      </c>
      <c r="N17" s="98">
        <f>AVERAGE($F17:$K17)-1%</f>
        <v>7.3109263145122005E-2</v>
      </c>
      <c r="O17" s="98">
        <f>AVERAGE($F17:$K17)-1%</f>
        <v>7.3109263145122005E-2</v>
      </c>
      <c r="P17" s="98">
        <f>AVERAGE($F17:$K17)-1%</f>
        <v>7.3109263145122005E-2</v>
      </c>
    </row>
    <row r="18" spans="1:16" s="7" customFormat="1" outlineLevel="1" x14ac:dyDescent="0.2">
      <c r="K18" s="34"/>
    </row>
    <row r="19" spans="1:16" s="7" customFormat="1" outlineLevel="1" x14ac:dyDescent="0.2">
      <c r="B19" s="7" t="s">
        <v>137</v>
      </c>
      <c r="E19" s="17">
        <f>IS!B21</f>
        <v>-3742</v>
      </c>
      <c r="F19" s="17">
        <f>IS!C21</f>
        <v>-4973</v>
      </c>
      <c r="G19" s="17">
        <f>IS!D21</f>
        <v>-4578</v>
      </c>
      <c r="H19" s="17">
        <f>IS!E21</f>
        <v>-5704</v>
      </c>
      <c r="I19" s="17">
        <f>IS!F21</f>
        <v>-5968</v>
      </c>
      <c r="J19" s="17">
        <f>IS!G21</f>
        <v>-4829</v>
      </c>
      <c r="K19" s="17">
        <f>IS!H21</f>
        <v>-4505</v>
      </c>
      <c r="L19" s="90">
        <f>L16*L20</f>
        <v>-6964.6198860741079</v>
      </c>
      <c r="M19" s="91">
        <f>M16*M20</f>
        <v>-7472.2203086531736</v>
      </c>
      <c r="N19" s="91">
        <f>N16*N20</f>
        <v>-8016.8160293557794</v>
      </c>
      <c r="O19" s="91">
        <f>O16*O20</f>
        <v>-8601.1033660381945</v>
      </c>
      <c r="P19" s="91">
        <f>P16*P20</f>
        <v>-9227.9751515288808</v>
      </c>
    </row>
    <row r="20" spans="1:16" s="7" customFormat="1" outlineLevel="1" x14ac:dyDescent="0.2">
      <c r="B20" s="11" t="s">
        <v>14</v>
      </c>
      <c r="E20" s="87">
        <f t="shared" ref="E20:P20" si="2">E19/E16</f>
        <v>-0.19009398018796037</v>
      </c>
      <c r="F20" s="87">
        <f t="shared" si="2"/>
        <v>-0.2219593840660567</v>
      </c>
      <c r="G20" s="87">
        <f t="shared" si="2"/>
        <v>-0.19098873591989987</v>
      </c>
      <c r="H20" s="87">
        <f t="shared" si="2"/>
        <v>-0.20059785475646211</v>
      </c>
      <c r="I20" s="87">
        <f t="shared" si="2"/>
        <v>-0.18443661536559738</v>
      </c>
      <c r="J20" s="87">
        <f t="shared" si="2"/>
        <v>-0.14956484033821663</v>
      </c>
      <c r="K20" s="88">
        <f t="shared" si="2"/>
        <v>-0.14650406504065042</v>
      </c>
      <c r="L20" s="92">
        <v>-0.21</v>
      </c>
      <c r="M20" s="93">
        <v>-0.21</v>
      </c>
      <c r="N20" s="93">
        <v>-0.21</v>
      </c>
      <c r="O20" s="93">
        <v>-0.21</v>
      </c>
      <c r="P20" s="93">
        <v>-0.21</v>
      </c>
    </row>
    <row r="21" spans="1:16" s="7" customFormat="1" outlineLevel="1" x14ac:dyDescent="0.2">
      <c r="K21" s="60"/>
      <c r="L21" s="84"/>
    </row>
    <row r="22" spans="1:16" outlineLevel="1" x14ac:dyDescent="0.2">
      <c r="A22" t="s">
        <v>5</v>
      </c>
      <c r="B22" s="4" t="s">
        <v>8</v>
      </c>
      <c r="C22" s="3"/>
      <c r="D22" s="3"/>
      <c r="E22" s="62">
        <v>2019</v>
      </c>
      <c r="F22" s="62">
        <f>E22+1</f>
        <v>2020</v>
      </c>
      <c r="G22" s="62">
        <f>F22+1</f>
        <v>2021</v>
      </c>
      <c r="H22" s="62">
        <f>G22+1</f>
        <v>2022</v>
      </c>
      <c r="I22" s="62">
        <f>H22+1</f>
        <v>2023</v>
      </c>
      <c r="J22" s="62">
        <f>I22+1</f>
        <v>2024</v>
      </c>
      <c r="K22" s="71" t="s">
        <v>114</v>
      </c>
      <c r="L22" s="85">
        <v>2025</v>
      </c>
      <c r="M22" s="63">
        <f>L22+1</f>
        <v>2026</v>
      </c>
      <c r="N22" s="63">
        <f>M22+1</f>
        <v>2027</v>
      </c>
      <c r="O22" s="63">
        <f>N22+1</f>
        <v>2028</v>
      </c>
      <c r="P22" s="63">
        <f>O22+1</f>
        <v>2029</v>
      </c>
    </row>
    <row r="23" spans="1:16" s="7" customFormat="1" outlineLevel="1" x14ac:dyDescent="0.2">
      <c r="B23" s="7" t="s">
        <v>138</v>
      </c>
      <c r="E23" s="14">
        <f>CFS!B8</f>
        <v>2720</v>
      </c>
      <c r="F23" s="14">
        <f>CFS!C8</f>
        <v>2891</v>
      </c>
      <c r="G23" s="14">
        <f>CFS!D8</f>
        <v>3103</v>
      </c>
      <c r="H23" s="14">
        <f>CFS!E8</f>
        <v>3400</v>
      </c>
      <c r="I23" s="14">
        <f>CFS!F8</f>
        <v>3972</v>
      </c>
      <c r="J23" s="14">
        <f>CFS!G8</f>
        <v>4099</v>
      </c>
      <c r="K23" s="14">
        <f>CFS!H8</f>
        <v>4227</v>
      </c>
      <c r="L23" s="86">
        <f>L13*L24</f>
        <v>4796.9326738098007</v>
      </c>
      <c r="M23" s="26">
        <f>M13*M24</f>
        <v>5146.54616200287</v>
      </c>
      <c r="N23" s="26">
        <f>N13*N24</f>
        <v>5521.6404312362629</v>
      </c>
      <c r="O23" s="26">
        <f>O13*O24</f>
        <v>5924.0725900722982</v>
      </c>
      <c r="P23" s="26">
        <f>P13*P24</f>
        <v>6355.835098191721</v>
      </c>
    </row>
    <row r="24" spans="1:16" s="7" customFormat="1" outlineLevel="1" x14ac:dyDescent="0.2">
      <c r="B24" s="11" t="s">
        <v>13</v>
      </c>
      <c r="E24" s="10">
        <f>E23/E13</f>
        <v>1.1232475067621978E-2</v>
      </c>
      <c r="F24" s="10">
        <f>F23/F13</f>
        <v>1.1242858976203716E-2</v>
      </c>
      <c r="G24" s="10">
        <f>G23/G13</f>
        <v>1.0789403227432831E-2</v>
      </c>
      <c r="H24" s="10">
        <f>H23/H13</f>
        <v>1.0488582869059298E-2</v>
      </c>
      <c r="I24" s="10">
        <f>I23/I13</f>
        <v>1.0688280026478519E-2</v>
      </c>
      <c r="J24" s="10">
        <f>J23/J13</f>
        <v>1.0240382933860967E-2</v>
      </c>
      <c r="K24" s="10">
        <f>K23/K13</f>
        <v>9.9972092011219958E-3</v>
      </c>
      <c r="L24" s="101">
        <f>AVERAGE($F24:$K24)</f>
        <v>1.0574452872359556E-2</v>
      </c>
      <c r="M24" s="98">
        <f>AVERAGE($F24:$K24)</f>
        <v>1.0574452872359556E-2</v>
      </c>
      <c r="N24" s="98">
        <f>AVERAGE($F24:$K24)</f>
        <v>1.0574452872359556E-2</v>
      </c>
      <c r="O24" s="98">
        <f>AVERAGE($F24:$K24)</f>
        <v>1.0574452872359556E-2</v>
      </c>
      <c r="P24" s="98">
        <f>AVERAGE($F24:$K24)</f>
        <v>1.0574452872359556E-2</v>
      </c>
    </row>
    <row r="25" spans="1:16" s="7" customFormat="1" outlineLevel="1" x14ac:dyDescent="0.2">
      <c r="E25" s="9"/>
      <c r="F25" s="9"/>
      <c r="G25" s="9"/>
      <c r="H25" s="9"/>
      <c r="I25" s="9"/>
      <c r="J25" s="9"/>
      <c r="K25" s="35"/>
      <c r="L25" s="9"/>
      <c r="M25" s="9"/>
      <c r="N25" s="9"/>
      <c r="O25" s="9"/>
      <c r="P25" s="9"/>
    </row>
    <row r="26" spans="1:16" s="7" customFormat="1" outlineLevel="1" x14ac:dyDescent="0.2">
      <c r="B26" s="7" t="s">
        <v>139</v>
      </c>
      <c r="E26" s="17">
        <f>CFS!B25</f>
        <v>-2071</v>
      </c>
      <c r="F26" s="17">
        <f>CFS!C25</f>
        <v>-2051</v>
      </c>
      <c r="G26" s="17">
        <f>CFS!D25</f>
        <v>-2454</v>
      </c>
      <c r="H26" s="17">
        <f>CFS!E25</f>
        <v>-2802</v>
      </c>
      <c r="I26" s="17">
        <f>CFS!F25</f>
        <v>-3386</v>
      </c>
      <c r="J26" s="17">
        <f>CFS!G25</f>
        <v>-3499</v>
      </c>
      <c r="K26" s="17">
        <f>CFS!H25</f>
        <v>-3687</v>
      </c>
      <c r="L26" s="94">
        <f>L13*L27</f>
        <v>-3910.7545229855655</v>
      </c>
      <c r="M26" s="95">
        <f>M13*M27</f>
        <v>-4195.7809394939113</v>
      </c>
      <c r="N26" s="95">
        <f>N13*N27</f>
        <v>-4501.580855752778</v>
      </c>
      <c r="O26" s="95">
        <f>O13*O27</f>
        <v>-4829.6683008727705</v>
      </c>
      <c r="P26" s="95">
        <f>P13*P27</f>
        <v>-5181.667650520214</v>
      </c>
    </row>
    <row r="27" spans="1:16" s="7" customFormat="1" outlineLevel="1" x14ac:dyDescent="0.2">
      <c r="B27" s="11" t="s">
        <v>13</v>
      </c>
      <c r="E27" s="87">
        <f>E26/E$13</f>
        <v>-8.5523734797959983E-3</v>
      </c>
      <c r="F27" s="87">
        <f>F26/F$13</f>
        <v>-7.9761687167740659E-3</v>
      </c>
      <c r="G27" s="87">
        <f>G26/G$13</f>
        <v>-8.5327732904028897E-3</v>
      </c>
      <c r="H27" s="87">
        <f>H26/H$13</f>
        <v>-8.6438262350306324E-3</v>
      </c>
      <c r="I27" s="87">
        <f>I26/I$13</f>
        <v>-9.1114089047472976E-3</v>
      </c>
      <c r="J27" s="87">
        <f>J26/J$13</f>
        <v>-8.7414247098266708E-3</v>
      </c>
      <c r="K27" s="87">
        <f>K26/K$13</f>
        <v>-8.7200639518658155E-3</v>
      </c>
      <c r="L27" s="103">
        <f>AVERAGE($F27:$K27)</f>
        <v>-8.6209443014412281E-3</v>
      </c>
      <c r="M27" s="99">
        <f>AVERAGE($F27:$K27)</f>
        <v>-8.6209443014412281E-3</v>
      </c>
      <c r="N27" s="99">
        <f>AVERAGE($F27:$K27)</f>
        <v>-8.6209443014412281E-3</v>
      </c>
      <c r="O27" s="99">
        <f>AVERAGE($F27:$K27)</f>
        <v>-8.6209443014412281E-3</v>
      </c>
      <c r="P27" s="99">
        <f>AVERAGE($F27:$K27)</f>
        <v>-8.6209443014412281E-3</v>
      </c>
    </row>
    <row r="28" spans="1:16" s="7" customFormat="1" outlineLevel="1" x14ac:dyDescent="0.2">
      <c r="E28" s="9"/>
      <c r="F28" s="9"/>
      <c r="G28" s="9"/>
      <c r="H28" s="9"/>
      <c r="I28" s="9"/>
      <c r="J28" s="9"/>
      <c r="K28" s="35"/>
      <c r="L28" s="9"/>
      <c r="M28" s="9"/>
      <c r="N28" s="9"/>
      <c r="O28" s="9"/>
      <c r="P28" s="9"/>
    </row>
    <row r="29" spans="1:16" s="7" customFormat="1" outlineLevel="1" x14ac:dyDescent="0.2">
      <c r="B29" s="7" t="s">
        <v>140</v>
      </c>
      <c r="E29" s="17">
        <f>SUM(CFS!B14:B18)</f>
        <v>683</v>
      </c>
      <c r="F29" s="17">
        <f>SUM(CFS!C14:C18)</f>
        <v>2895</v>
      </c>
      <c r="G29" s="17">
        <f>SUM(CFS!D14:D18)</f>
        <v>1522</v>
      </c>
      <c r="H29" s="17">
        <f>SUM(CFS!E14:E18)</f>
        <v>2246</v>
      </c>
      <c r="I29" s="17">
        <f>SUM(CFS!F14:F18)</f>
        <v>1643</v>
      </c>
      <c r="J29" s="17">
        <f>SUM(CFS!G14:G18)</f>
        <v>-808</v>
      </c>
      <c r="K29" s="17">
        <f>SUM(CFS!H14:H18)</f>
        <v>5310</v>
      </c>
      <c r="L29" s="86">
        <f>L13*L30</f>
        <v>2906.3078503424581</v>
      </c>
      <c r="M29" s="26">
        <f>M13*M30</f>
        <v>3118.1274639194266</v>
      </c>
      <c r="N29" s="26">
        <f>N13*N30</f>
        <v>3345.3850665210643</v>
      </c>
      <c r="O29" s="26">
        <f>O13*O30</f>
        <v>3589.2058207378468</v>
      </c>
      <c r="P29" s="26">
        <f>P13*P30</f>
        <v>3850.7968940672995</v>
      </c>
    </row>
    <row r="30" spans="1:16" s="7" customFormat="1" outlineLevel="1" x14ac:dyDescent="0.2">
      <c r="B30" s="11" t="s">
        <v>13</v>
      </c>
      <c r="E30" s="33">
        <f>E29/E$13</f>
        <v>2.820507526171254E-3</v>
      </c>
      <c r="F30" s="33">
        <f>F29/F$13</f>
        <v>1.1258414644105763E-2</v>
      </c>
      <c r="G30" s="33">
        <f>G29/G$13</f>
        <v>5.2921275256696005E-3</v>
      </c>
      <c r="H30" s="33">
        <f>H29/H$13</f>
        <v>6.9286344482079945E-3</v>
      </c>
      <c r="I30" s="33">
        <f>I29/I$13</f>
        <v>4.4211591348197899E-3</v>
      </c>
      <c r="J30" s="33">
        <f>J29/J$13</f>
        <v>-2.0185970750328523E-3</v>
      </c>
      <c r="K30" s="33">
        <f>K29/K$13</f>
        <v>1.2558594951019115E-2</v>
      </c>
      <c r="L30" s="101">
        <f>AVERAGE($F30:$K30)</f>
        <v>6.4067222714649019E-3</v>
      </c>
      <c r="M30" s="98">
        <f>AVERAGE($F30:$K30)</f>
        <v>6.4067222714649019E-3</v>
      </c>
      <c r="N30" s="98">
        <f>AVERAGE($F30:$K30)</f>
        <v>6.4067222714649019E-3</v>
      </c>
      <c r="O30" s="98">
        <f>AVERAGE($F30:$K30)</f>
        <v>6.4067222714649019E-3</v>
      </c>
      <c r="P30" s="98">
        <f>AVERAGE($F30:$K30)</f>
        <v>6.4067222714649019E-3</v>
      </c>
    </row>
    <row r="31" spans="1:16" x14ac:dyDescent="0.2">
      <c r="K31" s="36"/>
      <c r="L31">
        <v>1</v>
      </c>
      <c r="M31">
        <f>L31+1</f>
        <v>2</v>
      </c>
      <c r="N31">
        <f t="shared" ref="N31:P31" si="3">M31+1</f>
        <v>3</v>
      </c>
      <c r="O31">
        <f t="shared" si="3"/>
        <v>4</v>
      </c>
      <c r="P31">
        <f t="shared" si="3"/>
        <v>5</v>
      </c>
    </row>
    <row r="32" spans="1:16" x14ac:dyDescent="0.2">
      <c r="A32" t="s">
        <v>5</v>
      </c>
      <c r="B32" s="4" t="s">
        <v>9</v>
      </c>
      <c r="C32" s="3"/>
      <c r="D32" s="3"/>
      <c r="E32" s="62">
        <v>2019</v>
      </c>
      <c r="F32" s="62">
        <f>E32+1</f>
        <v>2020</v>
      </c>
      <c r="G32" s="62">
        <f>F32+1</f>
        <v>2021</v>
      </c>
      <c r="H32" s="62">
        <f>G32+1</f>
        <v>2022</v>
      </c>
      <c r="I32" s="62">
        <f>H32+1</f>
        <v>2023</v>
      </c>
      <c r="J32" s="62">
        <f>I32+1</f>
        <v>2024</v>
      </c>
      <c r="K32" s="71" t="s">
        <v>114</v>
      </c>
      <c r="L32" s="85">
        <v>2025</v>
      </c>
      <c r="M32" s="63">
        <f>L32+1</f>
        <v>2026</v>
      </c>
      <c r="N32" s="63">
        <f>M32+1</f>
        <v>2027</v>
      </c>
      <c r="O32" s="63">
        <f>N32+1</f>
        <v>2028</v>
      </c>
      <c r="P32" s="63">
        <f>O32+1</f>
        <v>2029</v>
      </c>
    </row>
    <row r="33" spans="2:32" x14ac:dyDescent="0.2">
      <c r="B33" t="s">
        <v>135</v>
      </c>
      <c r="E33" s="15">
        <f>E13</f>
        <v>242155</v>
      </c>
      <c r="F33" s="15">
        <f>F13</f>
        <v>257141</v>
      </c>
      <c r="G33" s="15">
        <f>G13</f>
        <v>287597</v>
      </c>
      <c r="H33" s="15">
        <f>H13</f>
        <v>324162</v>
      </c>
      <c r="I33" s="15">
        <f>I13</f>
        <v>371622</v>
      </c>
      <c r="J33" s="15">
        <f>J13</f>
        <v>400278</v>
      </c>
      <c r="K33" s="15">
        <f>K13</f>
        <v>422818</v>
      </c>
      <c r="L33" s="100">
        <f>K33*(1+L34)</f>
        <v>453634.12478280079</v>
      </c>
      <c r="M33" s="96">
        <f t="shared" ref="M33:P33" si="4">L33*(1+M34)</f>
        <v>486696.21247784549</v>
      </c>
      <c r="N33" s="96">
        <f t="shared" si="4"/>
        <v>522167.95496523677</v>
      </c>
      <c r="O33" s="96">
        <f t="shared" si="4"/>
        <v>560224.97443410661</v>
      </c>
      <c r="P33" s="96">
        <f t="shared" si="4"/>
        <v>601055.69289595739</v>
      </c>
    </row>
    <row r="34" spans="2:32" x14ac:dyDescent="0.2">
      <c r="B34" s="12" t="s">
        <v>11</v>
      </c>
      <c r="E34" s="20"/>
      <c r="F34" s="20">
        <f>F33/E33-1</f>
        <v>6.1885982118890848E-2</v>
      </c>
      <c r="G34" s="20">
        <f>G33/F33-1</f>
        <v>0.11844085540617799</v>
      </c>
      <c r="H34" s="20">
        <f>H33/G33-1</f>
        <v>0.12713971286209524</v>
      </c>
      <c r="I34" s="20">
        <f>I33/H33-1</f>
        <v>0.14640827734281014</v>
      </c>
      <c r="J34" s="20">
        <f>J33/I33-1</f>
        <v>7.7110612396467326E-2</v>
      </c>
      <c r="K34" s="20">
        <f>K33/J33-1</f>
        <v>5.631086394955509E-2</v>
      </c>
      <c r="L34" s="101">
        <f>AVERAGE($F34:$K34)-2.5%</f>
        <v>7.2882717345999437E-2</v>
      </c>
      <c r="M34" s="98">
        <f>AVERAGE($F34:$K34)-2.5%</f>
        <v>7.2882717345999437E-2</v>
      </c>
      <c r="N34" s="98">
        <f>AVERAGE($F34:$K34)-2.5%</f>
        <v>7.2882717345999437E-2</v>
      </c>
      <c r="O34" s="98">
        <f>AVERAGE($F34:$K34)-2.5%</f>
        <v>7.2882717345999437E-2</v>
      </c>
      <c r="P34" s="98">
        <f>AVERAGE($F34:$K34)-2.5%</f>
        <v>7.2882717345999437E-2</v>
      </c>
      <c r="W34" s="7"/>
      <c r="AA34" s="24"/>
      <c r="AB34" s="24"/>
      <c r="AC34" s="24"/>
    </row>
    <row r="35" spans="2:32" x14ac:dyDescent="0.2">
      <c r="K35" s="36"/>
      <c r="AA35" s="24"/>
      <c r="AB35" s="24"/>
      <c r="AC35" s="24"/>
    </row>
    <row r="36" spans="2:32" x14ac:dyDescent="0.2">
      <c r="B36" t="s">
        <v>136</v>
      </c>
      <c r="E36" s="15">
        <f>E16</f>
        <v>19685</v>
      </c>
      <c r="F36" s="15">
        <f>F16</f>
        <v>22405</v>
      </c>
      <c r="G36" s="15">
        <f>G16</f>
        <v>23970</v>
      </c>
      <c r="H36" s="15">
        <f>H16</f>
        <v>28435</v>
      </c>
      <c r="I36" s="15">
        <f>I16</f>
        <v>32358</v>
      </c>
      <c r="J36" s="15">
        <f>J16</f>
        <v>32287</v>
      </c>
      <c r="K36" s="37">
        <f>K16</f>
        <v>30750</v>
      </c>
      <c r="L36" s="96">
        <f>L37*L33</f>
        <v>33164.856600352898</v>
      </c>
      <c r="M36" s="96">
        <f>M37*M33</f>
        <v>35582.001469777017</v>
      </c>
      <c r="N36" s="96">
        <f>N37*N33</f>
        <v>38175.314425503711</v>
      </c>
      <c r="O36" s="96">
        <f>O37*O33</f>
        <v>40957.635076372346</v>
      </c>
      <c r="P36" s="96">
        <f>P37*P33</f>
        <v>43942.738816804187</v>
      </c>
      <c r="X36" s="13"/>
      <c r="Y36" s="13"/>
      <c r="Z36" s="13"/>
      <c r="AA36" s="13"/>
      <c r="AB36" s="13"/>
      <c r="AC36" s="13"/>
    </row>
    <row r="37" spans="2:32" x14ac:dyDescent="0.2">
      <c r="B37" s="12" t="s">
        <v>17</v>
      </c>
      <c r="E37" s="20">
        <f>E36/E33</f>
        <v>8.1290908715492147E-2</v>
      </c>
      <c r="F37" s="20">
        <f>F36/F33</f>
        <v>8.7131184836334932E-2</v>
      </c>
      <c r="G37" s="20">
        <f>G36/G33</f>
        <v>8.3345792897700596E-2</v>
      </c>
      <c r="H37" s="20">
        <f>H36/H33</f>
        <v>8.7718486435794454E-2</v>
      </c>
      <c r="I37" s="20">
        <f>I36/I33</f>
        <v>8.7072347708155057E-2</v>
      </c>
      <c r="J37" s="20">
        <f>J36/J33</f>
        <v>8.0661440298992207E-2</v>
      </c>
      <c r="K37" s="38">
        <f>K36/K33</f>
        <v>7.2726326693754756E-2</v>
      </c>
      <c r="L37" s="101">
        <f>AVERAGE($F37:$K37)-1%</f>
        <v>7.3109263145122005E-2</v>
      </c>
      <c r="M37" s="98">
        <f>AVERAGE($F37:$K37)-1%</f>
        <v>7.3109263145122005E-2</v>
      </c>
      <c r="N37" s="98">
        <f>AVERAGE($F37:$K37)-1%</f>
        <v>7.3109263145122005E-2</v>
      </c>
      <c r="O37" s="98">
        <f>AVERAGE($F37:$K37)-1%</f>
        <v>7.3109263145122005E-2</v>
      </c>
      <c r="P37" s="98">
        <f>AVERAGE($F37:$K37)-1%</f>
        <v>7.3109263145122005E-2</v>
      </c>
      <c r="X37" s="25"/>
      <c r="Y37" s="25"/>
      <c r="Z37" s="25"/>
      <c r="AA37" s="25"/>
      <c r="AB37" s="25"/>
      <c r="AC37" s="25"/>
    </row>
    <row r="38" spans="2:32" x14ac:dyDescent="0.2">
      <c r="K38" s="36"/>
      <c r="M38" s="23"/>
      <c r="N38" s="23"/>
      <c r="W38" s="7"/>
      <c r="AA38" s="9"/>
      <c r="AB38" s="9"/>
      <c r="AC38" s="9"/>
      <c r="AD38" s="7"/>
      <c r="AE38" s="7"/>
      <c r="AF38" s="7"/>
    </row>
    <row r="39" spans="2:32" x14ac:dyDescent="0.2">
      <c r="B39" t="s">
        <v>137</v>
      </c>
      <c r="E39" s="27">
        <f>E19</f>
        <v>-3742</v>
      </c>
      <c r="F39" s="27">
        <f>F19</f>
        <v>-4973</v>
      </c>
      <c r="G39" s="27">
        <f>G19</f>
        <v>-4578</v>
      </c>
      <c r="H39" s="27">
        <f>H19</f>
        <v>-5704</v>
      </c>
      <c r="I39" s="27">
        <f>I19</f>
        <v>-5968</v>
      </c>
      <c r="J39" s="27">
        <f>J19</f>
        <v>-4829</v>
      </c>
      <c r="K39" s="39">
        <f>K19</f>
        <v>-4505</v>
      </c>
      <c r="L39" s="97">
        <f>L40*L36</f>
        <v>-6964.6198860741079</v>
      </c>
      <c r="M39" s="97">
        <f>M40*M36</f>
        <v>-7472.2203086531736</v>
      </c>
      <c r="N39" s="97">
        <f>N40*N36</f>
        <v>-8016.8160293557794</v>
      </c>
      <c r="O39" s="97">
        <f>O40*O36</f>
        <v>-8601.1033660381927</v>
      </c>
      <c r="P39" s="97">
        <f>P40*P36</f>
        <v>-9227.975151528879</v>
      </c>
      <c r="W39" s="7"/>
      <c r="AA39" s="9"/>
      <c r="AB39" s="9"/>
      <c r="AC39" s="9"/>
      <c r="AD39" s="7"/>
      <c r="AE39" s="7"/>
      <c r="AF39" s="7"/>
    </row>
    <row r="40" spans="2:32" x14ac:dyDescent="0.2">
      <c r="B40" s="12" t="s">
        <v>14</v>
      </c>
      <c r="E40" s="33">
        <f>E39/E36</f>
        <v>-0.19009398018796037</v>
      </c>
      <c r="F40" s="33">
        <f>F39/F36</f>
        <v>-0.2219593840660567</v>
      </c>
      <c r="G40" s="33">
        <f>G39/G36</f>
        <v>-0.19098873591989987</v>
      </c>
      <c r="H40" s="33">
        <f>H39/H36</f>
        <v>-0.20059785475646211</v>
      </c>
      <c r="I40" s="33">
        <f>I39/I36</f>
        <v>-0.18443661536559738</v>
      </c>
      <c r="J40" s="33">
        <f>J39/J36</f>
        <v>-0.14956484033821663</v>
      </c>
      <c r="K40" s="40">
        <f>K39/K36</f>
        <v>-0.14650406504065042</v>
      </c>
      <c r="L40" s="103">
        <v>-0.21</v>
      </c>
      <c r="M40" s="99">
        <v>-0.21</v>
      </c>
      <c r="N40" s="99">
        <v>-0.21</v>
      </c>
      <c r="O40" s="99">
        <v>-0.21</v>
      </c>
      <c r="P40" s="99">
        <v>-0.21</v>
      </c>
      <c r="W40" s="7"/>
      <c r="AA40" s="21"/>
      <c r="AB40" s="21"/>
      <c r="AC40" s="21"/>
      <c r="AD40" s="7"/>
      <c r="AE40" s="7"/>
      <c r="AF40" s="7"/>
    </row>
    <row r="41" spans="2:32" x14ac:dyDescent="0.2">
      <c r="K41" s="36"/>
      <c r="W41" s="7"/>
      <c r="AA41" s="22"/>
      <c r="AB41" s="22"/>
      <c r="AC41" s="22"/>
      <c r="AD41" s="22"/>
      <c r="AE41" s="22"/>
      <c r="AF41" s="22"/>
    </row>
    <row r="42" spans="2:32" x14ac:dyDescent="0.2">
      <c r="B42" s="46" t="s">
        <v>18</v>
      </c>
      <c r="C42" s="47"/>
      <c r="D42" s="47"/>
      <c r="E42" s="47"/>
      <c r="F42" s="47"/>
      <c r="G42" s="47"/>
      <c r="H42" s="47"/>
      <c r="I42" s="47"/>
      <c r="J42" s="47"/>
      <c r="K42" s="48"/>
      <c r="L42" s="51">
        <f>L36*(1+L40)</f>
        <v>26200.236714278792</v>
      </c>
      <c r="M42" s="51">
        <f>M36*(1+M40)</f>
        <v>28109.781161123843</v>
      </c>
      <c r="N42" s="51">
        <f>N36*(1+N40)</f>
        <v>30158.498396147934</v>
      </c>
      <c r="O42" s="51">
        <f>O36*(1+O40)</f>
        <v>32356.531710334155</v>
      </c>
      <c r="P42" s="51">
        <f>P36*(1+P40)</f>
        <v>34714.763665275306</v>
      </c>
      <c r="W42" s="7"/>
      <c r="AA42" s="21"/>
      <c r="AB42" s="21"/>
      <c r="AC42" s="21"/>
      <c r="AD42" s="21"/>
      <c r="AE42" s="21"/>
      <c r="AF42" s="21"/>
    </row>
    <row r="43" spans="2:32" x14ac:dyDescent="0.2">
      <c r="K43" s="36"/>
      <c r="M43" s="13"/>
      <c r="W43" s="7"/>
      <c r="AA43" s="7"/>
      <c r="AB43" s="7"/>
      <c r="AC43" s="7"/>
      <c r="AD43" s="7"/>
      <c r="AE43" s="7"/>
      <c r="AF43" s="7"/>
    </row>
    <row r="44" spans="2:32" x14ac:dyDescent="0.2">
      <c r="B44" t="s">
        <v>138</v>
      </c>
      <c r="E44" s="15">
        <f t="shared" ref="E44:P44" si="5">E23</f>
        <v>2720</v>
      </c>
      <c r="F44" s="15">
        <f t="shared" si="5"/>
        <v>2891</v>
      </c>
      <c r="G44" s="15">
        <f t="shared" si="5"/>
        <v>3103</v>
      </c>
      <c r="H44" s="15">
        <f t="shared" si="5"/>
        <v>3400</v>
      </c>
      <c r="I44" s="15">
        <f t="shared" si="5"/>
        <v>3972</v>
      </c>
      <c r="J44" s="15">
        <f t="shared" si="5"/>
        <v>4099</v>
      </c>
      <c r="K44" s="15">
        <f t="shared" si="5"/>
        <v>4227</v>
      </c>
      <c r="L44" s="100">
        <f t="shared" si="5"/>
        <v>4796.9326738098007</v>
      </c>
      <c r="M44" s="96">
        <f t="shared" si="5"/>
        <v>5146.54616200287</v>
      </c>
      <c r="N44" s="96">
        <f t="shared" si="5"/>
        <v>5521.6404312362629</v>
      </c>
      <c r="O44" s="96">
        <f t="shared" si="5"/>
        <v>5924.0725900722982</v>
      </c>
      <c r="P44" s="96">
        <f t="shared" si="5"/>
        <v>6355.835098191721</v>
      </c>
      <c r="W44" s="7"/>
    </row>
    <row r="45" spans="2:32" x14ac:dyDescent="0.2">
      <c r="B45" s="12" t="s">
        <v>13</v>
      </c>
      <c r="E45" s="20">
        <f t="shared" ref="E45:P45" si="6">E44/E$33</f>
        <v>1.1232475067621978E-2</v>
      </c>
      <c r="F45" s="20">
        <f t="shared" si="6"/>
        <v>1.1242858976203716E-2</v>
      </c>
      <c r="G45" s="20">
        <f t="shared" si="6"/>
        <v>1.0789403227432831E-2</v>
      </c>
      <c r="H45" s="20">
        <f t="shared" si="6"/>
        <v>1.0488582869059298E-2</v>
      </c>
      <c r="I45" s="20">
        <f t="shared" si="6"/>
        <v>1.0688280026478519E-2</v>
      </c>
      <c r="J45" s="20">
        <f t="shared" si="6"/>
        <v>1.0240382933860967E-2</v>
      </c>
      <c r="K45" s="20">
        <f t="shared" si="6"/>
        <v>9.9972092011219958E-3</v>
      </c>
      <c r="L45" s="103">
        <f>AVERAGE($F45:$K45)</f>
        <v>1.0574452872359556E-2</v>
      </c>
      <c r="M45" s="99">
        <f>AVERAGE($F45:$K45)</f>
        <v>1.0574452872359556E-2</v>
      </c>
      <c r="N45" s="99">
        <f>AVERAGE($F45:$K45)</f>
        <v>1.0574452872359556E-2</v>
      </c>
      <c r="O45" s="99">
        <f>AVERAGE($F45:$K45)</f>
        <v>1.0574452872359556E-2</v>
      </c>
      <c r="P45" s="99">
        <f>AVERAGE($F45:$K45)</f>
        <v>1.0574452872359556E-2</v>
      </c>
      <c r="W45" s="7"/>
      <c r="AA45" s="21"/>
      <c r="AB45" s="21"/>
      <c r="AC45" s="21"/>
    </row>
    <row r="46" spans="2:32" x14ac:dyDescent="0.2">
      <c r="K46" s="61"/>
      <c r="L46" s="75"/>
    </row>
    <row r="47" spans="2:32" x14ac:dyDescent="0.2">
      <c r="B47" t="s">
        <v>139</v>
      </c>
      <c r="E47" s="27">
        <f t="shared" ref="E47:P47" si="7">E26</f>
        <v>-2071</v>
      </c>
      <c r="F47" s="27">
        <f t="shared" si="7"/>
        <v>-2051</v>
      </c>
      <c r="G47" s="27">
        <f t="shared" si="7"/>
        <v>-2454</v>
      </c>
      <c r="H47" s="27">
        <f t="shared" si="7"/>
        <v>-2802</v>
      </c>
      <c r="I47" s="27">
        <f t="shared" si="7"/>
        <v>-3386</v>
      </c>
      <c r="J47" s="27">
        <f t="shared" si="7"/>
        <v>-3499</v>
      </c>
      <c r="K47" s="27">
        <f t="shared" si="7"/>
        <v>-3687</v>
      </c>
      <c r="L47" s="102">
        <f t="shared" si="7"/>
        <v>-3910.7545229855655</v>
      </c>
      <c r="M47" s="97">
        <f t="shared" si="7"/>
        <v>-4195.7809394939113</v>
      </c>
      <c r="N47" s="97">
        <f t="shared" si="7"/>
        <v>-4501.580855752778</v>
      </c>
      <c r="O47" s="97">
        <f t="shared" si="7"/>
        <v>-4829.6683008727705</v>
      </c>
      <c r="P47" s="97">
        <f t="shared" si="7"/>
        <v>-5181.667650520214</v>
      </c>
      <c r="W47" s="7"/>
    </row>
    <row r="48" spans="2:32" x14ac:dyDescent="0.2">
      <c r="B48" s="12" t="s">
        <v>13</v>
      </c>
      <c r="E48" s="33">
        <f t="shared" ref="E48:P48" si="8">E47/E$33</f>
        <v>-8.5523734797959983E-3</v>
      </c>
      <c r="F48" s="33">
        <f t="shared" si="8"/>
        <v>-7.9761687167740659E-3</v>
      </c>
      <c r="G48" s="33">
        <f t="shared" si="8"/>
        <v>-8.5327732904028897E-3</v>
      </c>
      <c r="H48" s="33">
        <f t="shared" si="8"/>
        <v>-8.6438262350306324E-3</v>
      </c>
      <c r="I48" s="33">
        <f t="shared" si="8"/>
        <v>-9.1114089047472976E-3</v>
      </c>
      <c r="J48" s="33">
        <f t="shared" si="8"/>
        <v>-8.7414247098266708E-3</v>
      </c>
      <c r="K48" s="40">
        <f t="shared" si="8"/>
        <v>-8.7200639518658155E-3</v>
      </c>
      <c r="L48" s="103">
        <f>AVERAGE($F48:$K48)</f>
        <v>-8.6209443014412281E-3</v>
      </c>
      <c r="M48" s="99">
        <f>AVERAGE($F48:$K48)</f>
        <v>-8.6209443014412281E-3</v>
      </c>
      <c r="N48" s="99">
        <f>AVERAGE($F48:$K48)</f>
        <v>-8.6209443014412281E-3</v>
      </c>
      <c r="O48" s="99">
        <f>AVERAGE($F48:$K48)</f>
        <v>-8.6209443014412281E-3</v>
      </c>
      <c r="P48" s="99">
        <f>AVERAGE($F48:$K48)</f>
        <v>-8.6209443014412281E-3</v>
      </c>
      <c r="W48" s="7"/>
      <c r="AA48" s="23"/>
      <c r="AB48" s="23"/>
      <c r="AC48" s="23"/>
      <c r="AD48" s="23"/>
      <c r="AE48" s="23"/>
      <c r="AF48" s="23"/>
    </row>
    <row r="49" spans="1:29" x14ac:dyDescent="0.2">
      <c r="K49" s="36"/>
    </row>
    <row r="50" spans="1:29" x14ac:dyDescent="0.2">
      <c r="B50" t="s">
        <v>140</v>
      </c>
      <c r="E50" s="27">
        <f>E29</f>
        <v>683</v>
      </c>
      <c r="F50" s="27">
        <f>F29</f>
        <v>2895</v>
      </c>
      <c r="G50" s="27">
        <f>G29</f>
        <v>1522</v>
      </c>
      <c r="H50" s="27">
        <f>H29</f>
        <v>2246</v>
      </c>
      <c r="I50" s="27">
        <f>I29</f>
        <v>1643</v>
      </c>
      <c r="J50" s="27">
        <f>J29</f>
        <v>-808</v>
      </c>
      <c r="K50" s="39">
        <f>K29</f>
        <v>5310</v>
      </c>
      <c r="L50" s="97">
        <f>L51*L33</f>
        <v>2906.3078503424581</v>
      </c>
      <c r="M50" s="97">
        <f>M51*M33</f>
        <v>3118.1274639194266</v>
      </c>
      <c r="N50" s="97">
        <f>N51*N33</f>
        <v>3345.3850665210643</v>
      </c>
      <c r="O50" s="97">
        <f>O51*O33</f>
        <v>3589.2058207378459</v>
      </c>
      <c r="P50" s="97">
        <f>P51*P33</f>
        <v>3850.7968940672986</v>
      </c>
      <c r="W50" s="7"/>
      <c r="AA50" s="23"/>
      <c r="AB50" s="23"/>
      <c r="AC50" s="23"/>
    </row>
    <row r="51" spans="1:29" x14ac:dyDescent="0.2">
      <c r="B51" s="12" t="s">
        <v>13</v>
      </c>
      <c r="E51" s="33">
        <f>E50/E$33</f>
        <v>2.820507526171254E-3</v>
      </c>
      <c r="F51" s="33">
        <f>F50/F$33</f>
        <v>1.1258414644105763E-2</v>
      </c>
      <c r="G51" s="33">
        <f>G50/G$33</f>
        <v>5.2921275256696005E-3</v>
      </c>
      <c r="H51" s="33">
        <f>H50/H$33</f>
        <v>6.9286344482079945E-3</v>
      </c>
      <c r="I51" s="33">
        <f>I50/I$33</f>
        <v>4.4211591348197899E-3</v>
      </c>
      <c r="J51" s="33">
        <f>J50/J$33</f>
        <v>-2.0185970750328523E-3</v>
      </c>
      <c r="K51" s="40">
        <f>K50/K$33</f>
        <v>1.2558594951019115E-2</v>
      </c>
      <c r="L51" s="103">
        <f>AVERAGE($F51:$K51)</f>
        <v>6.4067222714649019E-3</v>
      </c>
      <c r="M51" s="99">
        <f>AVERAGE($F51:$K51)</f>
        <v>6.4067222714649019E-3</v>
      </c>
      <c r="N51" s="99">
        <f>AVERAGE($F51:$K51)</f>
        <v>6.4067222714649019E-3</v>
      </c>
      <c r="O51" s="99">
        <f>AVERAGE($F51:$K51)</f>
        <v>6.4067222714649019E-3</v>
      </c>
      <c r="P51" s="99">
        <f>AVERAGE($F51:$K51)</f>
        <v>6.4067222714649019E-3</v>
      </c>
    </row>
    <row r="52" spans="1:29" x14ac:dyDescent="0.2">
      <c r="K52" s="41"/>
    </row>
    <row r="53" spans="1:29" x14ac:dyDescent="0.2">
      <c r="B53" s="46" t="s">
        <v>141</v>
      </c>
      <c r="C53" s="47"/>
      <c r="D53" s="47"/>
      <c r="E53" s="47"/>
      <c r="F53" s="47"/>
      <c r="G53" s="47"/>
      <c r="H53" s="47"/>
      <c r="I53" s="47"/>
      <c r="J53" s="47"/>
      <c r="K53" s="48"/>
      <c r="L53" s="49">
        <f>L42+L44+L47-L50</f>
        <v>24180.107014760571</v>
      </c>
      <c r="M53" s="49">
        <f>M42+M44+M47-M50</f>
        <v>25942.418919713378</v>
      </c>
      <c r="N53" s="49">
        <f>N42+N44+N47-N50</f>
        <v>27833.172905110354</v>
      </c>
      <c r="O53" s="49">
        <f>O42+O44+O47-O50</f>
        <v>29861.730178795839</v>
      </c>
      <c r="P53" s="49">
        <f>P42+P44+P47-P50</f>
        <v>32038.134218879521</v>
      </c>
    </row>
    <row r="54" spans="1:29" x14ac:dyDescent="0.2">
      <c r="B54" s="46" t="s">
        <v>142</v>
      </c>
      <c r="C54" s="47"/>
      <c r="D54" s="47"/>
      <c r="E54" s="47"/>
      <c r="F54" s="47"/>
      <c r="G54" s="47"/>
      <c r="H54" s="47"/>
      <c r="I54" s="47"/>
      <c r="J54" s="47"/>
      <c r="K54" s="48"/>
      <c r="L54" s="49">
        <f>L53/(1+wacc)^L31</f>
        <v>22504.379310423403</v>
      </c>
      <c r="M54" s="49">
        <f>M53/(1+wacc)^M31</f>
        <v>22471.295424452674</v>
      </c>
      <c r="N54" s="49">
        <f>N53/(1+wacc)^N31</f>
        <v>22438.260175393716</v>
      </c>
      <c r="O54" s="49">
        <f>O53/(1+wacc)^O31</f>
        <v>22405.273491744974</v>
      </c>
      <c r="P54" s="50">
        <f>P53/(1+wacc)^P31</f>
        <v>22372.335302110016</v>
      </c>
    </row>
    <row r="55" spans="1:29" x14ac:dyDescent="0.2">
      <c r="L55" s="29"/>
    </row>
    <row r="56" spans="1:29" x14ac:dyDescent="0.2">
      <c r="A56" t="s">
        <v>5</v>
      </c>
      <c r="B56" t="s">
        <v>143</v>
      </c>
      <c r="L56" s="29"/>
      <c r="P56" s="28">
        <f>(P53*(1+tgr))/(wacc-tgr)</f>
        <v>600027.9204959051</v>
      </c>
    </row>
    <row r="57" spans="1:29" x14ac:dyDescent="0.2">
      <c r="B57" s="1" t="s">
        <v>144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42">
        <f>P56/(1+wacc)^P31</f>
        <v>419001.48542519222</v>
      </c>
    </row>
    <row r="58" spans="1:29" x14ac:dyDescent="0.2">
      <c r="B58" s="18" t="s">
        <v>145</v>
      </c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45">
        <f>SUM(L54:P54,P57)</f>
        <v>531193.02912931703</v>
      </c>
    </row>
    <row r="59" spans="1:29" x14ac:dyDescent="0.2">
      <c r="B59" s="30" t="s">
        <v>146</v>
      </c>
      <c r="P59" s="28">
        <v>28596</v>
      </c>
    </row>
    <row r="60" spans="1:29" x14ac:dyDescent="0.2">
      <c r="B60" s="43" t="s">
        <v>147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07">
        <f>WACC!D10</f>
        <v>79193</v>
      </c>
    </row>
    <row r="61" spans="1:29" x14ac:dyDescent="0.2">
      <c r="B61" s="18" t="s">
        <v>148</v>
      </c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45">
        <f>P58+P59-P60</f>
        <v>480596.02912931703</v>
      </c>
    </row>
    <row r="62" spans="1:29" x14ac:dyDescent="0.2">
      <c r="B62" s="1" t="s">
        <v>24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42">
        <v>914</v>
      </c>
    </row>
    <row r="63" spans="1:29" x14ac:dyDescent="0.2">
      <c r="A63" t="s">
        <v>5</v>
      </c>
      <c r="B63" s="18" t="s">
        <v>25</v>
      </c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44">
        <f>P61/P62</f>
        <v>525.81622443032495</v>
      </c>
    </row>
  </sheetData>
  <mergeCells count="2">
    <mergeCell ref="E11:K11"/>
    <mergeCell ref="L11:P11"/>
  </mergeCells>
  <pageMargins left="0.7" right="0.7" top="0.75" bottom="0.75" header="0.3" footer="0.3"/>
  <pageSetup orientation="portrait" r:id="rId1"/>
  <ignoredErrors>
    <ignoredError sqref="E29:J29" formulaRange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99695-58F3-4CD4-90DA-B503E392CA39}">
  <dimension ref="A2:J28"/>
  <sheetViews>
    <sheetView showGridLines="0" zoomScale="150" zoomScaleNormal="150" workbookViewId="0">
      <selection activeCell="F33" sqref="F33"/>
    </sheetView>
  </sheetViews>
  <sheetFormatPr baseColWidth="10" defaultColWidth="9.6640625" defaultRowHeight="15" outlineLevelCol="1" x14ac:dyDescent="0.2"/>
  <cols>
    <col min="1" max="1" width="3.6640625" customWidth="1"/>
    <col min="4" max="4" width="10.5" bestFit="1" customWidth="1"/>
    <col min="5" max="10" width="9.6640625" customWidth="1" outlineLevel="1"/>
    <col min="11" max="18" width="9.6640625" customWidth="1"/>
    <col min="22" max="26" width="10.5" bestFit="1" customWidth="1"/>
    <col min="27" max="27" width="12" bestFit="1" customWidth="1"/>
    <col min="30" max="30" width="10.33203125" bestFit="1" customWidth="1"/>
  </cols>
  <sheetData>
    <row r="2" spans="1:9" s="1" customFormat="1" ht="21" x14ac:dyDescent="0.25">
      <c r="B2" s="2" t="s">
        <v>19</v>
      </c>
    </row>
    <row r="4" spans="1:9" x14ac:dyDescent="0.2">
      <c r="A4" t="s">
        <v>5</v>
      </c>
      <c r="B4" s="4" t="s">
        <v>19</v>
      </c>
      <c r="C4" s="3"/>
      <c r="D4" s="3"/>
      <c r="E4" s="3"/>
      <c r="F4" s="3"/>
      <c r="G4" s="3"/>
      <c r="H4" s="3"/>
      <c r="I4" s="3"/>
    </row>
    <row r="5" spans="1:9" x14ac:dyDescent="0.2">
      <c r="B5" s="18" t="s">
        <v>115</v>
      </c>
    </row>
    <row r="6" spans="1:9" x14ac:dyDescent="0.2">
      <c r="B6" s="18" t="s">
        <v>37</v>
      </c>
    </row>
    <row r="8" spans="1:9" x14ac:dyDescent="0.2">
      <c r="B8" t="s">
        <v>110</v>
      </c>
      <c r="D8" s="104">
        <v>73495</v>
      </c>
      <c r="E8" t="s">
        <v>109</v>
      </c>
    </row>
    <row r="9" spans="1:9" x14ac:dyDescent="0.2">
      <c r="B9" t="s">
        <v>111</v>
      </c>
      <c r="D9" s="104">
        <v>5698</v>
      </c>
      <c r="E9" t="s">
        <v>109</v>
      </c>
    </row>
    <row r="10" spans="1:9" x14ac:dyDescent="0.2">
      <c r="B10" t="s">
        <v>27</v>
      </c>
      <c r="D10" s="13">
        <f>(D8+D9)</f>
        <v>79193</v>
      </c>
      <c r="E10" t="s">
        <v>109</v>
      </c>
    </row>
    <row r="11" spans="1:9" x14ac:dyDescent="0.2">
      <c r="B11" t="s">
        <v>28</v>
      </c>
      <c r="D11" s="53">
        <f>D10/D26</f>
        <v>0.19812843149621853</v>
      </c>
    </row>
    <row r="12" spans="1:9" x14ac:dyDescent="0.2">
      <c r="B12" t="s">
        <v>112</v>
      </c>
      <c r="D12" s="105">
        <f>IS!H18</f>
        <v>-4102</v>
      </c>
      <c r="E12" t="s">
        <v>109</v>
      </c>
    </row>
    <row r="13" spans="1:9" x14ac:dyDescent="0.2">
      <c r="B13" t="s">
        <v>113</v>
      </c>
      <c r="D13" s="106">
        <f>D12/(D8+D9)</f>
        <v>-5.179750735544808E-2</v>
      </c>
    </row>
    <row r="14" spans="1:9" x14ac:dyDescent="0.2">
      <c r="B14" t="s">
        <v>29</v>
      </c>
      <c r="D14" s="52">
        <f>-D13*(1-D15)</f>
        <v>4.0920030810803983E-2</v>
      </c>
    </row>
    <row r="15" spans="1:9" x14ac:dyDescent="0.2">
      <c r="B15" t="s">
        <v>30</v>
      </c>
      <c r="D15" s="52">
        <v>0.21</v>
      </c>
    </row>
    <row r="17" spans="1:5" x14ac:dyDescent="0.2">
      <c r="B17" t="s">
        <v>107</v>
      </c>
      <c r="D17">
        <v>914</v>
      </c>
      <c r="E17" t="s">
        <v>109</v>
      </c>
    </row>
    <row r="18" spans="1:5" x14ac:dyDescent="0.2">
      <c r="B18" t="s">
        <v>108</v>
      </c>
      <c r="D18">
        <f>DCF!G5</f>
        <v>350.67</v>
      </c>
    </row>
    <row r="19" spans="1:5" x14ac:dyDescent="0.2">
      <c r="B19" t="s">
        <v>23</v>
      </c>
      <c r="D19" s="13">
        <f>D17*D18</f>
        <v>320512.38</v>
      </c>
      <c r="E19" t="s">
        <v>109</v>
      </c>
    </row>
    <row r="20" spans="1:5" x14ac:dyDescent="0.2">
      <c r="B20" t="s">
        <v>31</v>
      </c>
      <c r="D20" s="16">
        <f>D19/D26</f>
        <v>0.8018715685037815</v>
      </c>
    </row>
    <row r="21" spans="1:5" x14ac:dyDescent="0.2">
      <c r="B21" t="s">
        <v>32</v>
      </c>
      <c r="D21" s="23">
        <f>D22+D23*D24</f>
        <v>8.2750000000000004E-2</v>
      </c>
    </row>
    <row r="22" spans="1:5" x14ac:dyDescent="0.2">
      <c r="B22" t="s">
        <v>33</v>
      </c>
      <c r="D22" s="52">
        <v>4.1500000000000002E-2</v>
      </c>
    </row>
    <row r="23" spans="1:5" x14ac:dyDescent="0.2">
      <c r="B23" t="s">
        <v>34</v>
      </c>
      <c r="D23" s="54">
        <v>0.75</v>
      </c>
    </row>
    <row r="24" spans="1:5" x14ac:dyDescent="0.2">
      <c r="B24" t="s">
        <v>35</v>
      </c>
      <c r="D24" s="52">
        <v>5.5E-2</v>
      </c>
    </row>
    <row r="26" spans="1:5" x14ac:dyDescent="0.2">
      <c r="B26" t="s">
        <v>36</v>
      </c>
      <c r="D26" s="13">
        <f>D10+D19</f>
        <v>399705.38</v>
      </c>
      <c r="E26" t="s">
        <v>109</v>
      </c>
    </row>
    <row r="28" spans="1:5" x14ac:dyDescent="0.2">
      <c r="A28" t="s">
        <v>5</v>
      </c>
      <c r="B28" s="55" t="s">
        <v>19</v>
      </c>
      <c r="C28" s="56"/>
      <c r="D28" s="57">
        <f>D20*D21+(D11*D14)</f>
        <v>7.4462293815009448E-2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37B07-62A4-B246-A86A-BE9D7826C848}">
  <dimension ref="A1:K28"/>
  <sheetViews>
    <sheetView showGridLines="0" zoomScale="130" zoomScaleNormal="130" workbookViewId="0">
      <selection activeCell="E4" sqref="E4"/>
    </sheetView>
  </sheetViews>
  <sheetFormatPr baseColWidth="10" defaultRowHeight="15" x14ac:dyDescent="0.2"/>
  <cols>
    <col min="1" max="1" width="23.1640625" bestFit="1" customWidth="1"/>
    <col min="8" max="8" width="20.5" bestFit="1" customWidth="1"/>
    <col min="9" max="10" width="10.83203125" customWidth="1"/>
  </cols>
  <sheetData>
    <row r="1" spans="1:11" x14ac:dyDescent="0.2">
      <c r="A1" s="69" t="s">
        <v>70</v>
      </c>
      <c r="B1" s="64"/>
      <c r="C1" s="64"/>
      <c r="D1" s="64"/>
      <c r="E1" s="64"/>
      <c r="F1" s="64"/>
      <c r="G1" s="64"/>
      <c r="H1" s="64"/>
      <c r="I1" s="64"/>
      <c r="J1" s="64"/>
      <c r="K1" s="64"/>
    </row>
    <row r="2" spans="1:11" x14ac:dyDescent="0.2">
      <c r="A2" s="69" t="s">
        <v>71</v>
      </c>
      <c r="B2" s="64"/>
      <c r="C2" s="64"/>
      <c r="D2" s="64"/>
      <c r="E2" s="64"/>
      <c r="F2" s="64"/>
      <c r="G2" s="64"/>
      <c r="H2" s="64"/>
      <c r="I2" s="64"/>
      <c r="J2" s="64"/>
      <c r="K2" s="64"/>
    </row>
    <row r="3" spans="1:11" x14ac:dyDescent="0.2">
      <c r="A3" s="64"/>
      <c r="B3" s="70" t="s">
        <v>68</v>
      </c>
      <c r="C3" s="70"/>
      <c r="D3" s="70"/>
      <c r="E3" s="70"/>
      <c r="F3" s="70"/>
      <c r="G3" s="70"/>
      <c r="H3" s="79" t="s">
        <v>106</v>
      </c>
      <c r="I3" s="76" t="s">
        <v>105</v>
      </c>
      <c r="J3" s="70"/>
    </row>
    <row r="4" spans="1:11" x14ac:dyDescent="0.2">
      <c r="A4" s="155" t="s">
        <v>7</v>
      </c>
      <c r="B4" s="73">
        <v>2019</v>
      </c>
      <c r="C4" s="73">
        <v>2020</v>
      </c>
      <c r="D4" s="73">
        <v>2021</v>
      </c>
      <c r="E4" s="73" t="s">
        <v>44</v>
      </c>
      <c r="F4" s="73" t="s">
        <v>43</v>
      </c>
      <c r="G4" s="68" t="s">
        <v>42</v>
      </c>
      <c r="H4" s="80">
        <v>2025</v>
      </c>
      <c r="I4" s="74">
        <v>2025</v>
      </c>
      <c r="J4" s="68">
        <v>2024</v>
      </c>
    </row>
    <row r="5" spans="1:11" x14ac:dyDescent="0.2">
      <c r="A5" s="18" t="s">
        <v>45</v>
      </c>
      <c r="B5" s="64"/>
      <c r="C5" s="64"/>
      <c r="D5" s="64"/>
      <c r="E5" s="64"/>
      <c r="F5" s="64"/>
      <c r="G5" s="64"/>
      <c r="H5" s="81"/>
      <c r="I5" s="77"/>
      <c r="J5" s="78"/>
    </row>
    <row r="6" spans="1:11" x14ac:dyDescent="0.2">
      <c r="A6" s="64" t="s">
        <v>46</v>
      </c>
      <c r="B6" s="13">
        <v>189699</v>
      </c>
      <c r="C6" s="13">
        <v>201478</v>
      </c>
      <c r="D6" s="13">
        <v>226233</v>
      </c>
      <c r="E6" s="13">
        <v>257157</v>
      </c>
      <c r="F6" s="13">
        <v>290827</v>
      </c>
      <c r="G6" s="13">
        <v>308810</v>
      </c>
      <c r="H6" s="82">
        <f>(G6-J6)+I6</f>
        <v>328364</v>
      </c>
      <c r="I6" s="13">
        <v>174439</v>
      </c>
      <c r="J6" s="13">
        <v>154885</v>
      </c>
    </row>
    <row r="7" spans="1:11" x14ac:dyDescent="0.2">
      <c r="A7" s="64" t="s">
        <v>47</v>
      </c>
      <c r="B7" s="13">
        <v>31597</v>
      </c>
      <c r="C7" s="13">
        <v>34145</v>
      </c>
      <c r="D7" s="13">
        <v>34437</v>
      </c>
      <c r="E7" s="13">
        <v>37424</v>
      </c>
      <c r="F7" s="13">
        <v>42583</v>
      </c>
      <c r="G7" s="13">
        <v>50226</v>
      </c>
      <c r="H7" s="82">
        <f>(G7-J7)+I7</f>
        <v>52706</v>
      </c>
      <c r="I7" s="13">
        <v>26600</v>
      </c>
      <c r="J7" s="13">
        <v>24120</v>
      </c>
    </row>
    <row r="8" spans="1:11" x14ac:dyDescent="0.2">
      <c r="A8" s="64" t="s">
        <v>48</v>
      </c>
      <c r="B8" s="13">
        <v>18973</v>
      </c>
      <c r="C8" s="13">
        <v>20016</v>
      </c>
      <c r="D8" s="13">
        <v>24603</v>
      </c>
      <c r="E8" s="13">
        <v>27551</v>
      </c>
      <c r="F8" s="13">
        <v>34123</v>
      </c>
      <c r="G8" s="13">
        <v>36040</v>
      </c>
      <c r="H8" s="82">
        <f>(G8-J8)+I8</f>
        <v>36413</v>
      </c>
      <c r="I8" s="13">
        <v>18011</v>
      </c>
      <c r="J8" s="13">
        <v>17638</v>
      </c>
    </row>
    <row r="9" spans="1:11" x14ac:dyDescent="0.2">
      <c r="A9" s="64" t="s">
        <v>49</v>
      </c>
      <c r="B9" s="13">
        <v>1886</v>
      </c>
      <c r="C9" s="13">
        <v>1502</v>
      </c>
      <c r="D9" s="13">
        <v>2324</v>
      </c>
      <c r="E9" s="13">
        <v>2030</v>
      </c>
      <c r="F9" s="13">
        <v>4089</v>
      </c>
      <c r="G9" s="13">
        <v>5202</v>
      </c>
      <c r="H9" s="82">
        <f>(G9-J9)+I9</f>
        <v>5335</v>
      </c>
      <c r="I9" s="13">
        <v>2141</v>
      </c>
      <c r="J9" s="13">
        <v>2008</v>
      </c>
    </row>
    <row r="10" spans="1:11" ht="16" x14ac:dyDescent="0.2">
      <c r="A10" s="64" t="s">
        <v>50</v>
      </c>
      <c r="B10" s="13">
        <v>242155</v>
      </c>
      <c r="C10" s="13">
        <v>257141</v>
      </c>
      <c r="D10" s="13">
        <v>287597</v>
      </c>
      <c r="E10" s="13">
        <v>324162</v>
      </c>
      <c r="F10" s="13">
        <v>371622</v>
      </c>
      <c r="G10" s="13">
        <v>400278</v>
      </c>
      <c r="H10" s="82">
        <f>(G10-J10)+I10</f>
        <v>422818</v>
      </c>
      <c r="I10" s="72">
        <v>221191</v>
      </c>
      <c r="J10" s="72">
        <v>198651</v>
      </c>
    </row>
    <row r="11" spans="1:11" x14ac:dyDescent="0.2">
      <c r="A11" s="18" t="s">
        <v>51</v>
      </c>
      <c r="B11" s="13"/>
      <c r="C11" s="13"/>
      <c r="D11" s="13"/>
      <c r="H11" s="82"/>
    </row>
    <row r="12" spans="1:11" x14ac:dyDescent="0.2">
      <c r="A12" s="64" t="s">
        <v>52</v>
      </c>
      <c r="B12" s="13">
        <v>156440</v>
      </c>
      <c r="C12" s="13">
        <v>159396</v>
      </c>
      <c r="D12" s="13">
        <v>186911</v>
      </c>
      <c r="E12" s="13">
        <v>210842</v>
      </c>
      <c r="F12" s="13">
        <v>241894</v>
      </c>
      <c r="G12" s="13">
        <v>264185</v>
      </c>
      <c r="H12" s="82">
        <f>(G12-J12)+I12</f>
        <v>284988</v>
      </c>
      <c r="I12" s="13">
        <v>151996</v>
      </c>
      <c r="J12" s="13">
        <v>131193</v>
      </c>
    </row>
    <row r="13" spans="1:11" x14ac:dyDescent="0.2">
      <c r="A13" s="64" t="s">
        <v>51</v>
      </c>
      <c r="B13" s="13">
        <v>35193</v>
      </c>
      <c r="C13" s="13">
        <v>41704</v>
      </c>
      <c r="D13" s="13">
        <v>42579</v>
      </c>
      <c r="E13" s="13">
        <v>47782</v>
      </c>
      <c r="F13" s="13">
        <v>54628</v>
      </c>
      <c r="G13" s="13">
        <v>53013</v>
      </c>
      <c r="H13" s="82">
        <f>(G13-J13)+I13</f>
        <v>53146</v>
      </c>
      <c r="I13" s="13">
        <v>27372</v>
      </c>
      <c r="J13" s="13">
        <v>27239</v>
      </c>
    </row>
    <row r="14" spans="1:11" x14ac:dyDescent="0.2">
      <c r="A14" s="64" t="s">
        <v>53</v>
      </c>
      <c r="B14" s="13">
        <v>28117</v>
      </c>
      <c r="C14" s="13">
        <v>30745</v>
      </c>
      <c r="D14" s="13">
        <v>31034</v>
      </c>
      <c r="E14" s="13">
        <v>33703</v>
      </c>
      <c r="F14" s="13">
        <v>38770</v>
      </c>
      <c r="G14" s="13">
        <v>46694</v>
      </c>
      <c r="H14" s="82">
        <f>(G14-J14)+I14</f>
        <v>49707</v>
      </c>
      <c r="I14" s="13">
        <v>25409</v>
      </c>
      <c r="J14" s="13">
        <v>22396</v>
      </c>
    </row>
    <row r="15" spans="1:11" x14ac:dyDescent="0.2">
      <c r="A15" s="64" t="s">
        <v>54</v>
      </c>
      <c r="B15" s="13">
        <v>2720</v>
      </c>
      <c r="C15" s="13">
        <v>2891</v>
      </c>
      <c r="D15" s="13">
        <v>3103</v>
      </c>
      <c r="E15" s="13">
        <v>3400</v>
      </c>
      <c r="F15" s="13">
        <v>3972</v>
      </c>
      <c r="G15" s="13">
        <v>4099</v>
      </c>
      <c r="H15" s="82">
        <f>(G15-J15)+I15</f>
        <v>4227</v>
      </c>
      <c r="I15" s="13">
        <v>2145</v>
      </c>
      <c r="J15" s="13">
        <v>2017</v>
      </c>
    </row>
    <row r="16" spans="1:11" ht="16" x14ac:dyDescent="0.2">
      <c r="A16" s="64" t="s">
        <v>55</v>
      </c>
      <c r="B16" s="13">
        <v>222470</v>
      </c>
      <c r="C16" s="13">
        <v>234736</v>
      </c>
      <c r="D16" s="13">
        <v>263627</v>
      </c>
      <c r="E16" s="13">
        <v>295727</v>
      </c>
      <c r="F16" s="13">
        <v>339264</v>
      </c>
      <c r="G16" s="13">
        <v>367991</v>
      </c>
      <c r="H16" s="82">
        <f>(G16-J16)+I16</f>
        <v>392068</v>
      </c>
      <c r="I16" s="72">
        <v>206922</v>
      </c>
      <c r="J16" s="72">
        <v>182845</v>
      </c>
    </row>
    <row r="17" spans="1:10" x14ac:dyDescent="0.2">
      <c r="A17" s="64" t="s">
        <v>56</v>
      </c>
      <c r="B17" s="13">
        <v>19685</v>
      </c>
      <c r="C17" s="13">
        <v>22405</v>
      </c>
      <c r="D17" s="13">
        <v>23970</v>
      </c>
      <c r="E17" s="13">
        <v>28435</v>
      </c>
      <c r="F17" s="13">
        <v>32358</v>
      </c>
      <c r="G17" s="13">
        <v>32287</v>
      </c>
      <c r="H17" s="82">
        <f>(G17-J17)+I17</f>
        <v>30750</v>
      </c>
      <c r="I17" s="13">
        <v>14269</v>
      </c>
      <c r="J17" s="13">
        <v>15806</v>
      </c>
    </row>
    <row r="18" spans="1:10" x14ac:dyDescent="0.2">
      <c r="A18" s="64" t="s">
        <v>57</v>
      </c>
      <c r="B18" s="13">
        <v>-1704</v>
      </c>
      <c r="C18" s="13">
        <v>-1663</v>
      </c>
      <c r="D18" s="13">
        <v>-1660</v>
      </c>
      <c r="E18" s="13">
        <v>-2092</v>
      </c>
      <c r="F18" s="13">
        <v>-3246</v>
      </c>
      <c r="G18" s="13">
        <v>-3906</v>
      </c>
      <c r="H18" s="82">
        <f>(G18-J18)+I18</f>
        <v>-4102</v>
      </c>
      <c r="I18" s="13">
        <v>-2025</v>
      </c>
      <c r="J18" s="13">
        <v>-1829</v>
      </c>
    </row>
    <row r="19" spans="1:10" x14ac:dyDescent="0.2">
      <c r="A19" t="s">
        <v>74</v>
      </c>
      <c r="B19" s="13"/>
      <c r="C19" s="13"/>
      <c r="D19" s="13"/>
      <c r="E19" t="s">
        <v>59</v>
      </c>
      <c r="F19" t="s">
        <v>59</v>
      </c>
      <c r="G19" s="13">
        <v>-8310</v>
      </c>
      <c r="H19" s="82"/>
      <c r="I19">
        <v>-56</v>
      </c>
      <c r="J19" s="13">
        <v>-8311</v>
      </c>
    </row>
    <row r="20" spans="1:10" ht="16" x14ac:dyDescent="0.2">
      <c r="A20" s="64" t="s">
        <v>58</v>
      </c>
      <c r="B20" s="13">
        <v>17981</v>
      </c>
      <c r="C20" s="13">
        <v>20742</v>
      </c>
      <c r="D20" s="13">
        <v>22310</v>
      </c>
      <c r="E20" s="13">
        <v>26343</v>
      </c>
      <c r="F20" s="13">
        <v>29112</v>
      </c>
      <c r="G20" s="13">
        <v>20071</v>
      </c>
      <c r="H20" s="82">
        <f>(G20-J20)+I20</f>
        <v>26593</v>
      </c>
      <c r="I20" s="72">
        <v>12188</v>
      </c>
      <c r="J20" s="72">
        <v>5666</v>
      </c>
    </row>
    <row r="21" spans="1:10" x14ac:dyDescent="0.2">
      <c r="A21" s="64" t="s">
        <v>60</v>
      </c>
      <c r="B21" s="13">
        <v>-3742</v>
      </c>
      <c r="C21" s="13">
        <v>-4973</v>
      </c>
      <c r="D21" s="13">
        <v>-4578</v>
      </c>
      <c r="E21" s="13">
        <v>-5704</v>
      </c>
      <c r="F21" s="13">
        <v>-5968</v>
      </c>
      <c r="G21" s="13">
        <v>-4829</v>
      </c>
      <c r="H21" s="82">
        <f>(G21-J21)+I21</f>
        <v>-4505</v>
      </c>
      <c r="I21" s="13">
        <v>-2142</v>
      </c>
      <c r="J21" s="13">
        <v>-2466</v>
      </c>
    </row>
    <row r="22" spans="1:10" ht="16" x14ac:dyDescent="0.2">
      <c r="A22" s="64" t="s">
        <v>61</v>
      </c>
      <c r="B22" s="13">
        <v>14239</v>
      </c>
      <c r="C22" s="13">
        <v>15769</v>
      </c>
      <c r="D22" s="13">
        <v>17732</v>
      </c>
      <c r="E22" s="13">
        <v>20639</v>
      </c>
      <c r="F22" s="13">
        <v>23144</v>
      </c>
      <c r="G22" s="13">
        <v>15242</v>
      </c>
      <c r="H22" s="82">
        <f>(G22-J22)+I22</f>
        <v>22088</v>
      </c>
      <c r="I22" s="72">
        <v>10046</v>
      </c>
      <c r="J22" s="72">
        <v>3200</v>
      </c>
    </row>
    <row r="23" spans="1:10" x14ac:dyDescent="0.2">
      <c r="A23" s="64" t="s">
        <v>62</v>
      </c>
      <c r="B23">
        <v>-400</v>
      </c>
      <c r="C23">
        <v>-366</v>
      </c>
      <c r="D23">
        <v>-447</v>
      </c>
      <c r="E23">
        <v>-519</v>
      </c>
      <c r="F23">
        <v>-763</v>
      </c>
      <c r="G23">
        <v>-837</v>
      </c>
      <c r="H23" s="82">
        <f>(G23-J23)+I23</f>
        <v>-792</v>
      </c>
      <c r="I23">
        <v>-348</v>
      </c>
      <c r="J23">
        <v>-393</v>
      </c>
    </row>
    <row r="24" spans="1:10" ht="16" x14ac:dyDescent="0.2">
      <c r="A24" s="64" t="s">
        <v>63</v>
      </c>
      <c r="B24" s="13">
        <v>13839</v>
      </c>
      <c r="C24" s="13">
        <v>15403</v>
      </c>
      <c r="D24" s="13">
        <v>17285</v>
      </c>
      <c r="E24" s="13">
        <v>20120</v>
      </c>
      <c r="F24" s="13">
        <v>22381</v>
      </c>
      <c r="G24" s="13">
        <v>14405</v>
      </c>
      <c r="H24" s="82">
        <f>(G24-J24)+I24</f>
        <v>21296</v>
      </c>
      <c r="I24" s="72">
        <v>9698</v>
      </c>
      <c r="J24" s="72">
        <v>2807</v>
      </c>
    </row>
    <row r="25" spans="1:10" x14ac:dyDescent="0.2">
      <c r="A25" s="64" t="s">
        <v>64</v>
      </c>
      <c r="B25">
        <v>14.55</v>
      </c>
      <c r="C25">
        <v>16.23</v>
      </c>
      <c r="D25">
        <v>18.329999999999998</v>
      </c>
      <c r="E25">
        <v>21.47</v>
      </c>
      <c r="F25">
        <v>24.12</v>
      </c>
      <c r="G25">
        <v>15.64</v>
      </c>
      <c r="H25" s="82">
        <f>(G25-J25)+I25</f>
        <v>23.25</v>
      </c>
      <c r="I25">
        <v>10.66</v>
      </c>
      <c r="J25">
        <v>3.05</v>
      </c>
    </row>
    <row r="26" spans="1:10" x14ac:dyDescent="0.2">
      <c r="A26" s="64" t="s">
        <v>65</v>
      </c>
      <c r="B26">
        <v>14.33</v>
      </c>
      <c r="C26">
        <v>16.03</v>
      </c>
      <c r="D26">
        <v>18.079999999999998</v>
      </c>
      <c r="E26">
        <v>21.18</v>
      </c>
      <c r="F26">
        <v>23.86</v>
      </c>
      <c r="G26">
        <v>15.51</v>
      </c>
      <c r="H26" s="82">
        <f>(G26-J26)+I26</f>
        <v>23.1</v>
      </c>
      <c r="I26">
        <v>10.61</v>
      </c>
      <c r="J26">
        <v>3.02</v>
      </c>
    </row>
    <row r="27" spans="1:10" x14ac:dyDescent="0.2">
      <c r="A27" s="64" t="s">
        <v>66</v>
      </c>
      <c r="B27">
        <v>951</v>
      </c>
      <c r="C27">
        <v>949</v>
      </c>
      <c r="D27">
        <v>943</v>
      </c>
      <c r="E27">
        <v>937</v>
      </c>
      <c r="F27">
        <v>928</v>
      </c>
      <c r="G27">
        <v>921</v>
      </c>
      <c r="H27" s="82">
        <f>(G27-J27)+I27</f>
        <v>910</v>
      </c>
      <c r="I27">
        <v>910</v>
      </c>
      <c r="J27">
        <v>921</v>
      </c>
    </row>
    <row r="28" spans="1:10" x14ac:dyDescent="0.2">
      <c r="A28" s="64" t="s">
        <v>67</v>
      </c>
      <c r="B28">
        <v>966</v>
      </c>
      <c r="C28">
        <v>961</v>
      </c>
      <c r="D28">
        <v>956</v>
      </c>
      <c r="E28">
        <v>950</v>
      </c>
      <c r="F28">
        <v>938</v>
      </c>
      <c r="G28">
        <v>929</v>
      </c>
      <c r="H28" s="82">
        <f>(G28-J28)+I28</f>
        <v>914</v>
      </c>
      <c r="I28" s="77">
        <v>914</v>
      </c>
      <c r="J28" s="78">
        <v>929</v>
      </c>
    </row>
  </sheetData>
  <mergeCells count="2">
    <mergeCell ref="B3:G3"/>
    <mergeCell ref="I3:J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1F1AB-7F5D-864D-A261-A7F286B2B824}">
  <dimension ref="A1:J45"/>
  <sheetViews>
    <sheetView showGridLines="0" zoomScale="120" zoomScaleNormal="120" workbookViewId="0">
      <selection activeCell="A5" sqref="A5"/>
    </sheetView>
  </sheetViews>
  <sheetFormatPr baseColWidth="10" defaultRowHeight="15" x14ac:dyDescent="0.2"/>
  <cols>
    <col min="1" max="1" width="25.6640625" style="64" bestFit="1" customWidth="1"/>
    <col min="2" max="7" width="10.83203125" style="64"/>
    <col min="8" max="8" width="20.5" style="64" bestFit="1" customWidth="1"/>
    <col min="9" max="16384" width="10.83203125" style="64"/>
  </cols>
  <sheetData>
    <row r="1" spans="1:10" x14ac:dyDescent="0.2">
      <c r="A1" s="69" t="s">
        <v>70</v>
      </c>
    </row>
    <row r="2" spans="1:10" x14ac:dyDescent="0.2">
      <c r="A2" s="69" t="s">
        <v>71</v>
      </c>
    </row>
    <row r="4" spans="1:10" x14ac:dyDescent="0.2">
      <c r="B4" s="70" t="s">
        <v>68</v>
      </c>
      <c r="C4" s="70"/>
      <c r="D4" s="70"/>
      <c r="E4" s="70"/>
      <c r="F4" s="70"/>
      <c r="G4" s="70"/>
      <c r="H4" s="79" t="s">
        <v>106</v>
      </c>
      <c r="I4" s="76" t="s">
        <v>105</v>
      </c>
      <c r="J4" s="70"/>
    </row>
    <row r="5" spans="1:10" x14ac:dyDescent="0.2">
      <c r="A5" s="155" t="s">
        <v>69</v>
      </c>
      <c r="B5" s="68">
        <v>2019</v>
      </c>
      <c r="C5" s="68">
        <v>2020</v>
      </c>
      <c r="D5" s="68">
        <v>2021</v>
      </c>
      <c r="E5" s="68" t="s">
        <v>44</v>
      </c>
      <c r="F5" s="68" t="s">
        <v>43</v>
      </c>
      <c r="G5" s="68" t="s">
        <v>42</v>
      </c>
      <c r="H5" s="80">
        <v>2025</v>
      </c>
      <c r="I5" s="74">
        <v>2025</v>
      </c>
      <c r="J5" s="68">
        <v>2024</v>
      </c>
    </row>
    <row r="6" spans="1:10" x14ac:dyDescent="0.2">
      <c r="A6" s="18" t="s">
        <v>72</v>
      </c>
    </row>
    <row r="7" spans="1:10" x14ac:dyDescent="0.2">
      <c r="A7" s="64" t="s">
        <v>61</v>
      </c>
      <c r="B7" s="67">
        <v>14239</v>
      </c>
      <c r="C7" s="67">
        <v>15769</v>
      </c>
      <c r="D7" s="67">
        <v>17732</v>
      </c>
      <c r="E7" s="67">
        <v>20639</v>
      </c>
      <c r="F7" s="67">
        <v>23144</v>
      </c>
      <c r="G7" s="67">
        <v>15242</v>
      </c>
      <c r="H7" s="67">
        <f>(G7-J7)+I7</f>
        <v>22088</v>
      </c>
      <c r="I7" s="13">
        <v>10046</v>
      </c>
      <c r="J7" s="13">
        <v>3200</v>
      </c>
    </row>
    <row r="8" spans="1:10" x14ac:dyDescent="0.2">
      <c r="A8" s="64" t="s">
        <v>54</v>
      </c>
      <c r="B8" s="67">
        <v>2720</v>
      </c>
      <c r="C8" s="67">
        <v>2891</v>
      </c>
      <c r="D8" s="67">
        <v>3103</v>
      </c>
      <c r="E8" s="67">
        <v>3400</v>
      </c>
      <c r="F8" s="67">
        <v>3972</v>
      </c>
      <c r="G8" s="67">
        <v>4099</v>
      </c>
      <c r="H8" s="67">
        <f t="shared" ref="H8:H45" si="0">(G8-J8)+I8</f>
        <v>4227</v>
      </c>
      <c r="I8" s="13">
        <v>2145</v>
      </c>
      <c r="J8" s="13">
        <v>2017</v>
      </c>
    </row>
    <row r="9" spans="1:10" x14ac:dyDescent="0.2">
      <c r="A9" s="64" t="s">
        <v>2</v>
      </c>
      <c r="B9" s="64">
        <v>230</v>
      </c>
      <c r="C9" s="64">
        <v>-8</v>
      </c>
      <c r="D9" s="64">
        <v>130</v>
      </c>
      <c r="E9" s="64">
        <v>-673</v>
      </c>
      <c r="F9" s="64">
        <v>-245</v>
      </c>
      <c r="G9" s="64">
        <v>-296</v>
      </c>
      <c r="H9" s="67">
        <f t="shared" si="0"/>
        <v>-25</v>
      </c>
      <c r="I9">
        <v>-87</v>
      </c>
      <c r="J9">
        <v>-358</v>
      </c>
    </row>
    <row r="10" spans="1:10" x14ac:dyDescent="0.2">
      <c r="A10" s="64" t="s">
        <v>73</v>
      </c>
      <c r="B10" s="64">
        <v>697</v>
      </c>
      <c r="C10" s="64">
        <v>679</v>
      </c>
      <c r="D10" s="64">
        <v>800</v>
      </c>
      <c r="E10" s="64">
        <v>925</v>
      </c>
      <c r="F10" s="67">
        <v>1059</v>
      </c>
      <c r="G10" s="67">
        <v>1018</v>
      </c>
      <c r="H10" s="67">
        <f t="shared" si="0"/>
        <v>996</v>
      </c>
      <c r="I10">
        <v>572</v>
      </c>
      <c r="J10">
        <v>594</v>
      </c>
    </row>
    <row r="11" spans="1:10" x14ac:dyDescent="0.2">
      <c r="A11" s="64" t="s">
        <v>74</v>
      </c>
      <c r="E11" s="64" t="s">
        <v>59</v>
      </c>
      <c r="F11" s="64" t="s">
        <v>59</v>
      </c>
      <c r="G11" s="67">
        <v>8310</v>
      </c>
      <c r="H11" s="67">
        <f t="shared" si="0"/>
        <v>55</v>
      </c>
      <c r="I11">
        <v>56</v>
      </c>
      <c r="J11" s="13">
        <v>8311</v>
      </c>
    </row>
    <row r="12" spans="1:10" x14ac:dyDescent="0.2">
      <c r="A12" s="64" t="s">
        <v>75</v>
      </c>
      <c r="E12" s="64">
        <v>-588</v>
      </c>
      <c r="F12" s="64">
        <v>-489</v>
      </c>
      <c r="G12" s="67">
        <v>-3333</v>
      </c>
      <c r="H12" s="67">
        <f t="shared" si="0"/>
        <v>-3333</v>
      </c>
    </row>
    <row r="13" spans="1:10" x14ac:dyDescent="0.2">
      <c r="A13" s="64" t="s">
        <v>76</v>
      </c>
      <c r="B13" s="64">
        <v>-106</v>
      </c>
      <c r="C13" s="64">
        <v>-52</v>
      </c>
      <c r="D13" s="64">
        <v>-944</v>
      </c>
      <c r="E13" s="64">
        <v>257</v>
      </c>
      <c r="F13" s="64">
        <v>-16</v>
      </c>
      <c r="G13" s="64">
        <v>-28</v>
      </c>
      <c r="H13" s="67">
        <f t="shared" si="0"/>
        <v>-360</v>
      </c>
      <c r="I13">
        <v>127</v>
      </c>
      <c r="J13">
        <v>459</v>
      </c>
    </row>
    <row r="14" spans="1:10" x14ac:dyDescent="0.2">
      <c r="A14" s="64" t="s">
        <v>77</v>
      </c>
      <c r="B14" s="64">
        <v>162</v>
      </c>
      <c r="C14" s="64">
        <v>-688</v>
      </c>
      <c r="D14" s="67">
        <v>-1000</v>
      </c>
      <c r="E14" s="67">
        <v>-2523</v>
      </c>
      <c r="F14" s="67">
        <v>-3114</v>
      </c>
      <c r="G14" s="67">
        <v>-1437</v>
      </c>
      <c r="H14" s="67">
        <f t="shared" si="0"/>
        <v>-647</v>
      </c>
      <c r="I14" s="13">
        <v>-1681</v>
      </c>
      <c r="J14" s="13">
        <v>-2471</v>
      </c>
    </row>
    <row r="15" spans="1:10" x14ac:dyDescent="0.2">
      <c r="A15" s="64" t="s">
        <v>78</v>
      </c>
      <c r="B15" s="67">
        <v>-1563</v>
      </c>
      <c r="C15" s="67">
        <v>-2195</v>
      </c>
      <c r="D15" s="67">
        <v>-1031</v>
      </c>
      <c r="E15" s="67">
        <v>-1374</v>
      </c>
      <c r="F15" s="67">
        <v>-2444</v>
      </c>
      <c r="G15" s="67">
        <v>-4140</v>
      </c>
      <c r="H15" s="67">
        <f t="shared" si="0"/>
        <v>-2162</v>
      </c>
      <c r="I15" s="13">
        <v>-2143</v>
      </c>
      <c r="J15" s="13">
        <v>-4121</v>
      </c>
    </row>
    <row r="16" spans="1:10" x14ac:dyDescent="0.2">
      <c r="A16" s="64" t="s">
        <v>79</v>
      </c>
      <c r="B16" s="67">
        <v>1221</v>
      </c>
      <c r="C16" s="64">
        <v>152</v>
      </c>
      <c r="D16" s="67">
        <v>2701</v>
      </c>
      <c r="E16" s="67">
        <v>4053</v>
      </c>
      <c r="F16" s="67">
        <v>3482</v>
      </c>
      <c r="G16" s="67">
        <v>2503</v>
      </c>
      <c r="H16" s="67">
        <f t="shared" si="0"/>
        <v>6097</v>
      </c>
      <c r="I16" s="13">
        <v>4371</v>
      </c>
      <c r="J16">
        <v>777</v>
      </c>
    </row>
    <row r="17" spans="1:10" x14ac:dyDescent="0.2">
      <c r="A17" s="64" t="s">
        <v>80</v>
      </c>
      <c r="B17" s="64">
        <v>733</v>
      </c>
      <c r="C17" s="67">
        <v>5348</v>
      </c>
      <c r="D17" s="67">
        <v>1162</v>
      </c>
      <c r="E17" s="67">
        <v>1964</v>
      </c>
      <c r="F17" s="67">
        <v>3516</v>
      </c>
      <c r="G17" s="67">
        <v>2463</v>
      </c>
      <c r="H17" s="67">
        <f t="shared" si="0"/>
        <v>1947</v>
      </c>
      <c r="I17">
        <v>-480</v>
      </c>
      <c r="J17">
        <v>36</v>
      </c>
    </row>
    <row r="18" spans="1:10" x14ac:dyDescent="0.2">
      <c r="A18" s="64" t="s">
        <v>81</v>
      </c>
      <c r="B18" s="64">
        <v>130</v>
      </c>
      <c r="C18" s="64">
        <v>278</v>
      </c>
      <c r="D18" s="64">
        <v>-310</v>
      </c>
      <c r="E18" s="64">
        <v>126</v>
      </c>
      <c r="F18" s="64">
        <v>203</v>
      </c>
      <c r="G18" s="64">
        <v>-197</v>
      </c>
      <c r="H18" s="67">
        <f t="shared" si="0"/>
        <v>75</v>
      </c>
      <c r="I18">
        <v>-282</v>
      </c>
      <c r="J18">
        <v>-554</v>
      </c>
    </row>
    <row r="19" spans="1:10" ht="16" x14ac:dyDescent="0.2">
      <c r="A19" s="64" t="s">
        <v>82</v>
      </c>
      <c r="B19" s="67">
        <v>18463</v>
      </c>
      <c r="C19" s="67">
        <v>22174</v>
      </c>
      <c r="D19" s="67">
        <v>22343</v>
      </c>
      <c r="E19" s="67">
        <v>26206</v>
      </c>
      <c r="F19" s="67">
        <v>29068</v>
      </c>
      <c r="G19" s="67">
        <v>24204</v>
      </c>
      <c r="H19" s="67">
        <f t="shared" si="0"/>
        <v>28958</v>
      </c>
      <c r="I19" s="83">
        <v>12644</v>
      </c>
      <c r="J19" s="83">
        <v>7890</v>
      </c>
    </row>
    <row r="20" spans="1:10" x14ac:dyDescent="0.2">
      <c r="A20" s="18" t="s">
        <v>83</v>
      </c>
      <c r="B20" s="67"/>
      <c r="C20" s="67"/>
      <c r="D20" s="67"/>
      <c r="H20" s="67">
        <f t="shared" si="0"/>
        <v>0</v>
      </c>
    </row>
    <row r="21" spans="1:10" x14ac:dyDescent="0.2">
      <c r="A21" s="64" t="s">
        <v>84</v>
      </c>
      <c r="B21" s="67">
        <v>-18131</v>
      </c>
      <c r="C21" s="67">
        <v>-16577</v>
      </c>
      <c r="D21" s="67">
        <v>-17139</v>
      </c>
      <c r="E21" s="67">
        <v>-18825</v>
      </c>
      <c r="F21" s="67">
        <v>-18314</v>
      </c>
      <c r="G21" s="67">
        <v>-27308</v>
      </c>
      <c r="H21" s="67">
        <f t="shared" si="0"/>
        <v>-25358</v>
      </c>
      <c r="I21" s="67">
        <v>-8180</v>
      </c>
      <c r="J21" s="67">
        <v>-10130</v>
      </c>
    </row>
    <row r="22" spans="1:10" x14ac:dyDescent="0.2">
      <c r="A22" s="64" t="s">
        <v>85</v>
      </c>
      <c r="B22" s="67">
        <v>8536</v>
      </c>
      <c r="C22" s="67">
        <v>6489</v>
      </c>
      <c r="D22" s="67">
        <v>7045</v>
      </c>
      <c r="E22" s="67">
        <v>5907</v>
      </c>
      <c r="F22" s="67">
        <v>7507</v>
      </c>
      <c r="G22" s="67">
        <v>18514</v>
      </c>
      <c r="H22" s="67">
        <f t="shared" si="0"/>
        <v>18407</v>
      </c>
      <c r="I22" s="67">
        <v>5181</v>
      </c>
      <c r="J22" s="67">
        <v>5288</v>
      </c>
    </row>
    <row r="23" spans="1:10" x14ac:dyDescent="0.2">
      <c r="A23" s="64" t="s">
        <v>86</v>
      </c>
      <c r="B23" s="67">
        <v>7091</v>
      </c>
      <c r="C23" s="67">
        <v>7252</v>
      </c>
      <c r="D23" s="67">
        <v>8251</v>
      </c>
      <c r="E23" s="67">
        <v>6081</v>
      </c>
      <c r="F23" s="67">
        <v>9230</v>
      </c>
      <c r="G23" s="67">
        <v>9319</v>
      </c>
      <c r="H23" s="67">
        <f t="shared" si="0"/>
        <v>9024</v>
      </c>
      <c r="I23" s="67">
        <v>4326</v>
      </c>
      <c r="J23" s="67">
        <v>4621</v>
      </c>
    </row>
    <row r="24" spans="1:10" x14ac:dyDescent="0.2">
      <c r="A24" s="64" t="s">
        <v>87</v>
      </c>
      <c r="B24" s="67">
        <v>-8343</v>
      </c>
      <c r="C24" s="67">
        <v>-7139</v>
      </c>
      <c r="D24" s="67">
        <v>-4821</v>
      </c>
      <c r="E24" s="67">
        <v>-21458</v>
      </c>
      <c r="F24" s="67">
        <v>-10136</v>
      </c>
      <c r="G24" s="67">
        <v>-13408</v>
      </c>
      <c r="H24" s="67">
        <f t="shared" si="0"/>
        <v>-11111</v>
      </c>
      <c r="I24" s="64">
        <v>-734</v>
      </c>
      <c r="J24" s="67">
        <v>-3031</v>
      </c>
    </row>
    <row r="25" spans="1:10" x14ac:dyDescent="0.2">
      <c r="A25" s="64" t="s">
        <v>16</v>
      </c>
      <c r="B25" s="67">
        <v>-2071</v>
      </c>
      <c r="C25" s="67">
        <v>-2051</v>
      </c>
      <c r="D25" s="67">
        <v>-2454</v>
      </c>
      <c r="E25" s="67">
        <v>-2802</v>
      </c>
      <c r="F25" s="67">
        <v>-3386</v>
      </c>
      <c r="G25" s="67">
        <v>-3499</v>
      </c>
      <c r="H25" s="67">
        <f t="shared" si="0"/>
        <v>-3687</v>
      </c>
      <c r="I25" s="67">
        <v>-1784</v>
      </c>
      <c r="J25" s="67">
        <v>-1596</v>
      </c>
    </row>
    <row r="26" spans="1:10" x14ac:dyDescent="0.2">
      <c r="A26" s="64" t="s">
        <v>88</v>
      </c>
      <c r="B26" s="64" t="s">
        <v>59</v>
      </c>
      <c r="C26" s="64" t="s">
        <v>59</v>
      </c>
      <c r="D26" s="64" t="s">
        <v>59</v>
      </c>
      <c r="E26" s="64" t="s">
        <v>59</v>
      </c>
      <c r="F26" s="64" t="s">
        <v>59</v>
      </c>
      <c r="G26" s="67">
        <v>-9033</v>
      </c>
      <c r="H26" s="67">
        <f t="shared" si="0"/>
        <v>-933</v>
      </c>
      <c r="J26" s="67">
        <v>-8100</v>
      </c>
    </row>
    <row r="27" spans="1:10" x14ac:dyDescent="0.2">
      <c r="A27" s="64" t="s">
        <v>89</v>
      </c>
      <c r="B27" s="64" t="s">
        <v>59</v>
      </c>
      <c r="C27" s="64" t="s">
        <v>59</v>
      </c>
      <c r="D27" s="64" t="s">
        <v>59</v>
      </c>
      <c r="E27" s="64" t="s">
        <v>59</v>
      </c>
      <c r="F27" s="64" t="s">
        <v>59</v>
      </c>
      <c r="G27" s="67">
        <v>4514</v>
      </c>
      <c r="H27" s="67">
        <f t="shared" si="0"/>
        <v>5203</v>
      </c>
      <c r="I27" s="67">
        <v>1293</v>
      </c>
      <c r="J27" s="64">
        <v>604</v>
      </c>
    </row>
    <row r="28" spans="1:10" x14ac:dyDescent="0.2">
      <c r="A28" s="64" t="s">
        <v>90</v>
      </c>
      <c r="B28" s="64" t="s">
        <v>59</v>
      </c>
      <c r="C28" s="64" t="s">
        <v>59</v>
      </c>
      <c r="D28" s="64" t="s">
        <v>59</v>
      </c>
      <c r="E28" s="67">
        <v>3414</v>
      </c>
      <c r="F28" s="64">
        <v>685</v>
      </c>
      <c r="G28" s="67">
        <v>2041</v>
      </c>
      <c r="H28" s="67">
        <f t="shared" si="0"/>
        <v>2041</v>
      </c>
    </row>
    <row r="29" spans="1:10" x14ac:dyDescent="0.2">
      <c r="A29" s="64" t="s">
        <v>76</v>
      </c>
      <c r="B29" s="64">
        <v>219</v>
      </c>
      <c r="C29" s="64">
        <v>-506</v>
      </c>
      <c r="D29" s="67">
        <v>-1254</v>
      </c>
      <c r="E29" s="64">
        <v>-793</v>
      </c>
      <c r="F29" s="64">
        <v>-960</v>
      </c>
      <c r="G29" s="67">
        <v>-1667</v>
      </c>
      <c r="H29" s="67">
        <f t="shared" si="0"/>
        <v>-1872</v>
      </c>
      <c r="I29" s="67">
        <v>-1618</v>
      </c>
      <c r="J29" s="67">
        <v>-1413</v>
      </c>
    </row>
    <row r="30" spans="1:10" ht="16" x14ac:dyDescent="0.2">
      <c r="A30" s="64" t="s">
        <v>91</v>
      </c>
      <c r="B30" s="67">
        <v>-12699</v>
      </c>
      <c r="C30" s="67">
        <v>-12532</v>
      </c>
      <c r="D30" s="67">
        <v>-10372</v>
      </c>
      <c r="E30" s="67">
        <v>-28476</v>
      </c>
      <c r="F30" s="67">
        <v>-15574</v>
      </c>
      <c r="G30" s="67">
        <v>-20527</v>
      </c>
      <c r="H30" s="67">
        <f t="shared" si="0"/>
        <v>-8286</v>
      </c>
      <c r="I30" s="83">
        <v>-1516</v>
      </c>
      <c r="J30" s="83">
        <v>-13757</v>
      </c>
    </row>
    <row r="31" spans="1:10" x14ac:dyDescent="0.2">
      <c r="A31" s="18" t="s">
        <v>92</v>
      </c>
      <c r="B31" s="67"/>
      <c r="C31" s="67"/>
      <c r="D31" s="67"/>
      <c r="H31" s="67">
        <f t="shared" si="0"/>
        <v>0</v>
      </c>
    </row>
    <row r="32" spans="1:10" x14ac:dyDescent="0.2">
      <c r="A32" s="64" t="s">
        <v>93</v>
      </c>
      <c r="B32" s="67">
        <v>-5500</v>
      </c>
      <c r="C32" s="67">
        <v>-4250</v>
      </c>
      <c r="D32" s="67">
        <v>-5000</v>
      </c>
      <c r="E32" s="67">
        <v>-7000</v>
      </c>
      <c r="F32" s="67">
        <v>-8000</v>
      </c>
      <c r="G32" s="67">
        <v>-9000</v>
      </c>
      <c r="H32" s="67">
        <f t="shared" si="0"/>
        <v>-11473</v>
      </c>
      <c r="I32" s="67">
        <v>-5545</v>
      </c>
      <c r="J32" s="67">
        <v>-3072</v>
      </c>
    </row>
    <row r="33" spans="1:10" x14ac:dyDescent="0.2">
      <c r="A33" s="64" t="s">
        <v>94</v>
      </c>
      <c r="B33" s="67">
        <v>-3932</v>
      </c>
      <c r="C33" s="67">
        <v>-4584</v>
      </c>
      <c r="D33" s="67">
        <v>-5280</v>
      </c>
      <c r="E33" s="67">
        <v>-5991</v>
      </c>
      <c r="F33" s="67">
        <v>-6761</v>
      </c>
      <c r="G33" s="67">
        <v>-7533</v>
      </c>
      <c r="H33" s="67">
        <f t="shared" si="0"/>
        <v>-7781</v>
      </c>
      <c r="I33" s="67">
        <v>-3912</v>
      </c>
      <c r="J33" s="67">
        <v>-3664</v>
      </c>
    </row>
    <row r="34" spans="1:10" x14ac:dyDescent="0.2">
      <c r="A34" s="64" t="s">
        <v>95</v>
      </c>
      <c r="B34" s="67">
        <v>1037</v>
      </c>
      <c r="C34" s="67">
        <v>1440</v>
      </c>
      <c r="D34" s="67">
        <v>1355</v>
      </c>
      <c r="E34" s="67">
        <v>1253</v>
      </c>
      <c r="F34" s="67">
        <v>1353</v>
      </c>
      <c r="G34" s="67">
        <v>1846</v>
      </c>
      <c r="H34" s="67">
        <f t="shared" si="0"/>
        <v>1683</v>
      </c>
      <c r="I34" s="64">
        <v>581</v>
      </c>
      <c r="J34" s="64">
        <v>744</v>
      </c>
    </row>
    <row r="35" spans="1:10" x14ac:dyDescent="0.2">
      <c r="A35" s="64" t="s">
        <v>96</v>
      </c>
      <c r="B35" s="67">
        <v>-1750</v>
      </c>
      <c r="C35" s="67">
        <v>-3150</v>
      </c>
      <c r="D35" s="67">
        <v>-3150</v>
      </c>
      <c r="E35" s="67">
        <v>-3015</v>
      </c>
      <c r="F35" s="67">
        <v>-2125</v>
      </c>
      <c r="G35" s="67">
        <v>-3000</v>
      </c>
      <c r="H35" s="67">
        <f t="shared" si="0"/>
        <v>-1250</v>
      </c>
      <c r="J35" s="67">
        <v>-1750</v>
      </c>
    </row>
    <row r="36" spans="1:10" x14ac:dyDescent="0.2">
      <c r="A36" s="64" t="s">
        <v>97</v>
      </c>
      <c r="B36" s="64">
        <v>300</v>
      </c>
      <c r="C36" s="64">
        <v>872</v>
      </c>
      <c r="D36" s="67">
        <v>-1302</v>
      </c>
      <c r="E36" s="64">
        <v>732</v>
      </c>
      <c r="F36" s="64">
        <v>11</v>
      </c>
      <c r="G36" s="64">
        <v>-151</v>
      </c>
      <c r="H36" s="67">
        <f t="shared" si="0"/>
        <v>-10169</v>
      </c>
      <c r="I36" s="67">
        <v>-1403</v>
      </c>
      <c r="J36" s="67">
        <v>8615</v>
      </c>
    </row>
    <row r="37" spans="1:10" x14ac:dyDescent="0.2">
      <c r="A37" s="64" t="s">
        <v>1</v>
      </c>
      <c r="B37" s="67">
        <v>5444</v>
      </c>
      <c r="C37" s="67">
        <v>4864</v>
      </c>
      <c r="D37" s="67">
        <v>6933</v>
      </c>
      <c r="E37" s="67">
        <v>14819</v>
      </c>
      <c r="F37" s="67">
        <v>6394</v>
      </c>
      <c r="G37" s="67">
        <v>17811</v>
      </c>
      <c r="H37" s="67">
        <f t="shared" si="0"/>
        <v>14855</v>
      </c>
      <c r="I37" s="67">
        <v>2969</v>
      </c>
      <c r="J37" s="67">
        <v>5925</v>
      </c>
    </row>
    <row r="38" spans="1:10" x14ac:dyDescent="0.2">
      <c r="A38" s="64" t="s">
        <v>98</v>
      </c>
      <c r="B38" s="64">
        <v>13</v>
      </c>
      <c r="C38" s="67">
        <v>1677</v>
      </c>
      <c r="D38" s="64">
        <v>622</v>
      </c>
      <c r="E38" s="67">
        <v>5548</v>
      </c>
      <c r="F38" s="64">
        <v>-521</v>
      </c>
      <c r="G38" s="67">
        <v>-1560</v>
      </c>
      <c r="H38" s="67">
        <f t="shared" si="0"/>
        <v>-2575</v>
      </c>
      <c r="I38" s="64">
        <v>-25</v>
      </c>
      <c r="J38" s="64">
        <v>990</v>
      </c>
    </row>
    <row r="39" spans="1:10" x14ac:dyDescent="0.2">
      <c r="A39" s="64" t="s">
        <v>99</v>
      </c>
      <c r="B39" s="64">
        <v>-618</v>
      </c>
      <c r="C39" s="64">
        <v>0</v>
      </c>
      <c r="D39" s="67">
        <v>-1338</v>
      </c>
      <c r="E39" s="64">
        <v>-176</v>
      </c>
      <c r="F39" s="64">
        <v>-730</v>
      </c>
      <c r="G39" s="64">
        <v>-280</v>
      </c>
      <c r="H39" s="67">
        <f t="shared" si="0"/>
        <v>-280</v>
      </c>
    </row>
    <row r="40" spans="1:10" x14ac:dyDescent="0.2">
      <c r="A40" s="64" t="s">
        <v>76</v>
      </c>
      <c r="B40" s="64">
        <v>0</v>
      </c>
      <c r="C40" s="64">
        <v>-459</v>
      </c>
      <c r="D40" s="64">
        <v>-295</v>
      </c>
      <c r="E40" s="67">
        <v>-1944</v>
      </c>
      <c r="F40" s="67">
        <v>-1150</v>
      </c>
      <c r="G40" s="67">
        <v>-1645</v>
      </c>
      <c r="H40" s="67">
        <f t="shared" si="0"/>
        <v>-1405</v>
      </c>
      <c r="I40" s="64">
        <v>-513</v>
      </c>
      <c r="J40" s="64">
        <v>-753</v>
      </c>
    </row>
    <row r="41" spans="1:10" ht="16" x14ac:dyDescent="0.2">
      <c r="A41" s="64" t="s">
        <v>100</v>
      </c>
      <c r="B41" s="67">
        <v>-5625</v>
      </c>
      <c r="C41" s="67">
        <v>-3590</v>
      </c>
      <c r="D41" s="67">
        <v>-7455</v>
      </c>
      <c r="E41" s="67">
        <v>-2226</v>
      </c>
      <c r="F41" s="67">
        <v>-11529</v>
      </c>
      <c r="G41" s="67">
        <v>-3512</v>
      </c>
      <c r="H41" s="67">
        <f t="shared" si="0"/>
        <v>-18395</v>
      </c>
      <c r="I41" s="83">
        <v>-7848</v>
      </c>
      <c r="J41" s="83">
        <v>7035</v>
      </c>
    </row>
    <row r="42" spans="1:10" x14ac:dyDescent="0.2">
      <c r="A42" s="64" t="s">
        <v>101</v>
      </c>
      <c r="B42" s="64">
        <v>-20</v>
      </c>
      <c r="C42" s="64">
        <v>-116</v>
      </c>
      <c r="D42" s="64">
        <v>-62</v>
      </c>
      <c r="E42" s="64">
        <v>34</v>
      </c>
      <c r="F42" s="64">
        <v>97</v>
      </c>
      <c r="G42" s="64">
        <v>-61</v>
      </c>
      <c r="H42" s="67">
        <f t="shared" si="0"/>
        <v>12</v>
      </c>
      <c r="I42" s="64">
        <v>29</v>
      </c>
      <c r="J42" s="64">
        <v>-44</v>
      </c>
    </row>
    <row r="43" spans="1:10" ht="16" x14ac:dyDescent="0.2">
      <c r="A43" s="64" t="s">
        <v>102</v>
      </c>
      <c r="B43" s="64">
        <v>119</v>
      </c>
      <c r="C43" s="67">
        <v>5936</v>
      </c>
      <c r="D43" s="67">
        <v>4454</v>
      </c>
      <c r="E43" s="67">
        <v>1990</v>
      </c>
      <c r="F43" s="67">
        <v>2062</v>
      </c>
      <c r="G43" s="64">
        <v>-115</v>
      </c>
      <c r="H43" s="67">
        <f t="shared" si="0"/>
        <v>2070</v>
      </c>
      <c r="I43" s="83">
        <v>3309</v>
      </c>
      <c r="J43" s="83">
        <v>1124</v>
      </c>
    </row>
    <row r="44" spans="1:10" x14ac:dyDescent="0.2">
      <c r="A44" s="64" t="s">
        <v>103</v>
      </c>
      <c r="B44" s="67">
        <v>10866</v>
      </c>
      <c r="C44" s="67">
        <v>10985</v>
      </c>
      <c r="D44" s="67">
        <v>16921</v>
      </c>
      <c r="E44" s="67">
        <v>21375</v>
      </c>
      <c r="F44" s="67">
        <v>23365</v>
      </c>
      <c r="G44" s="67">
        <v>25427</v>
      </c>
      <c r="H44" s="67">
        <f t="shared" si="0"/>
        <v>25312</v>
      </c>
      <c r="I44" s="67">
        <v>25312</v>
      </c>
      <c r="J44" s="67">
        <v>25427</v>
      </c>
    </row>
    <row r="45" spans="1:10" ht="16" x14ac:dyDescent="0.2">
      <c r="A45" s="64" t="s">
        <v>104</v>
      </c>
      <c r="B45" s="67">
        <v>10985</v>
      </c>
      <c r="C45" s="67">
        <v>16921</v>
      </c>
      <c r="D45" s="67">
        <v>21375</v>
      </c>
      <c r="E45" s="67">
        <v>23365</v>
      </c>
      <c r="F45" s="67">
        <v>25427</v>
      </c>
      <c r="G45" s="67">
        <v>25312</v>
      </c>
      <c r="H45" s="67">
        <f t="shared" si="0"/>
        <v>27622</v>
      </c>
      <c r="I45" s="83">
        <v>28596</v>
      </c>
      <c r="J45" s="83">
        <v>26286</v>
      </c>
    </row>
  </sheetData>
  <mergeCells count="2">
    <mergeCell ref="B4:G4"/>
    <mergeCell ref="I4:J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DBD98-04D3-A949-8E43-770D907EAE0E}">
  <dimension ref="A1:Q28"/>
  <sheetViews>
    <sheetView showGridLines="0" tabSelected="1" zoomScale="140" zoomScaleNormal="140" workbookViewId="0">
      <selection activeCell="J25" sqref="J25"/>
    </sheetView>
  </sheetViews>
  <sheetFormatPr baseColWidth="10" defaultColWidth="9.1640625" defaultRowHeight="15" x14ac:dyDescent="0.2"/>
  <cols>
    <col min="1" max="1" width="3.5" customWidth="1"/>
    <col min="2" max="2" width="27.1640625" style="131" customWidth="1"/>
    <col min="3" max="3" width="9.1640625" style="131" bestFit="1" customWidth="1"/>
    <col min="4" max="4" width="8.6640625" style="131" bestFit="1" customWidth="1"/>
    <col min="5" max="5" width="13.6640625" style="131" bestFit="1" customWidth="1"/>
    <col min="6" max="6" width="10.6640625" style="131" bestFit="1" customWidth="1"/>
    <col min="7" max="7" width="9.83203125" style="131" bestFit="1" customWidth="1"/>
    <col min="8" max="8" width="9" style="131" bestFit="1" customWidth="1"/>
    <col min="9" max="9" width="12.83203125" style="131" bestFit="1" customWidth="1"/>
    <col min="10" max="10" width="10.6640625" style="131" bestFit="1" customWidth="1"/>
    <col min="11" max="11" width="10.6640625" style="153" bestFit="1" customWidth="1"/>
    <col min="12" max="12" width="9.83203125" style="153" bestFit="1" customWidth="1"/>
    <col min="13" max="13" width="9" style="153" bestFit="1" customWidth="1"/>
    <col min="14" max="14" width="9.83203125" style="153" bestFit="1" customWidth="1"/>
    <col min="15" max="15" width="9.6640625" style="153" bestFit="1" customWidth="1"/>
    <col min="16" max="16" width="7.1640625" style="153" bestFit="1" customWidth="1"/>
    <col min="17" max="17" width="6.6640625" style="153" bestFit="1" customWidth="1"/>
    <col min="18" max="16384" width="9.1640625" style="115"/>
  </cols>
  <sheetData>
    <row r="1" spans="1:17" s="111" customFormat="1" ht="17" thickBot="1" x14ac:dyDescent="0.25">
      <c r="A1" s="108"/>
      <c r="B1" s="109" t="s">
        <v>133</v>
      </c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</row>
    <row r="2" spans="1:17" x14ac:dyDescent="0.2">
      <c r="B2" s="112" t="s">
        <v>116</v>
      </c>
      <c r="C2" s="113"/>
      <c r="D2" s="113"/>
      <c r="E2" s="113"/>
      <c r="F2" s="113"/>
      <c r="G2" s="113"/>
      <c r="H2" s="113"/>
      <c r="I2" s="113"/>
      <c r="J2" s="113"/>
      <c r="K2" s="114"/>
      <c r="L2" s="114"/>
      <c r="M2" s="114"/>
      <c r="N2" s="114"/>
      <c r="O2" s="114"/>
      <c r="P2" s="114"/>
      <c r="Q2" s="114"/>
    </row>
    <row r="3" spans="1:17" x14ac:dyDescent="0.2">
      <c r="B3" s="116" t="s">
        <v>117</v>
      </c>
      <c r="C3" s="117"/>
      <c r="D3" s="117"/>
      <c r="E3" s="117"/>
      <c r="F3" s="117"/>
      <c r="G3" s="117"/>
      <c r="H3" s="117"/>
      <c r="I3" s="117"/>
      <c r="J3" s="117"/>
      <c r="K3" s="114"/>
      <c r="L3" s="114"/>
      <c r="M3" s="114"/>
      <c r="N3" s="114"/>
      <c r="O3" s="114"/>
      <c r="P3" s="114"/>
      <c r="Q3" s="114"/>
    </row>
    <row r="4" spans="1:17" s="119" customFormat="1" x14ac:dyDescent="0.2">
      <c r="A4"/>
      <c r="B4" s="118" t="s">
        <v>159</v>
      </c>
      <c r="K4" s="120"/>
    </row>
    <row r="5" spans="1:17" s="123" customFormat="1" x14ac:dyDescent="0.2">
      <c r="A5"/>
      <c r="B5" s="121" t="s">
        <v>118</v>
      </c>
      <c r="C5" s="121" t="s">
        <v>3</v>
      </c>
      <c r="D5" s="121" t="s">
        <v>119</v>
      </c>
      <c r="E5" s="121" t="s">
        <v>158</v>
      </c>
      <c r="F5" s="121" t="s">
        <v>120</v>
      </c>
      <c r="G5" s="121" t="s">
        <v>162</v>
      </c>
      <c r="H5" s="121" t="s">
        <v>164</v>
      </c>
      <c r="I5" s="121" t="s">
        <v>160</v>
      </c>
      <c r="J5" s="121" t="s">
        <v>121</v>
      </c>
      <c r="K5" s="121" t="s">
        <v>122</v>
      </c>
      <c r="L5" s="121" t="s">
        <v>123</v>
      </c>
      <c r="M5" s="121" t="s">
        <v>122</v>
      </c>
      <c r="N5" s="121" t="s">
        <v>122</v>
      </c>
      <c r="O5" s="121" t="s">
        <v>124</v>
      </c>
      <c r="P5" s="121" t="s">
        <v>125</v>
      </c>
      <c r="Q5" s="122" t="s">
        <v>125</v>
      </c>
    </row>
    <row r="6" spans="1:17" s="124" customFormat="1" x14ac:dyDescent="0.2">
      <c r="A6"/>
      <c r="B6" s="121"/>
      <c r="C6" s="121" t="s">
        <v>126</v>
      </c>
      <c r="D6" s="121" t="s">
        <v>127</v>
      </c>
      <c r="E6" s="121" t="s">
        <v>24</v>
      </c>
      <c r="F6" s="121" t="s">
        <v>128</v>
      </c>
      <c r="G6" s="121" t="s">
        <v>27</v>
      </c>
      <c r="H6" s="121" t="s">
        <v>163</v>
      </c>
      <c r="I6" s="121" t="s">
        <v>161</v>
      </c>
      <c r="J6" s="121" t="s">
        <v>129</v>
      </c>
      <c r="K6" s="121" t="s">
        <v>10</v>
      </c>
      <c r="L6" s="121" t="s">
        <v>0</v>
      </c>
      <c r="M6" s="121" t="s">
        <v>15</v>
      </c>
      <c r="N6" s="121" t="s">
        <v>12</v>
      </c>
      <c r="O6" s="121" t="s">
        <v>130</v>
      </c>
      <c r="P6" s="121" t="s">
        <v>10</v>
      </c>
      <c r="Q6" s="122" t="s">
        <v>0</v>
      </c>
    </row>
    <row r="7" spans="1:17" s="124" customFormat="1" x14ac:dyDescent="0.2">
      <c r="A7"/>
      <c r="B7" s="125"/>
      <c r="C7" s="125"/>
      <c r="D7" s="125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6"/>
      <c r="Q7" s="125"/>
    </row>
    <row r="8" spans="1:17" s="131" customFormat="1" ht="17.5" customHeight="1" x14ac:dyDescent="0.2">
      <c r="A8"/>
      <c r="B8" t="s">
        <v>149</v>
      </c>
      <c r="C8" t="s">
        <v>153</v>
      </c>
      <c r="D8" s="127">
        <v>350.67</v>
      </c>
      <c r="E8" s="13">
        <v>905673625</v>
      </c>
      <c r="F8" s="128">
        <f>(D8*E8)/1000000</f>
        <v>317592.57007875002</v>
      </c>
      <c r="G8" s="128">
        <v>79193</v>
      </c>
      <c r="H8" s="13">
        <v>4315</v>
      </c>
      <c r="I8" s="13">
        <v>28596</v>
      </c>
      <c r="J8" s="128">
        <f>F8+G8+H8-I8</f>
        <v>372504.57007875002</v>
      </c>
      <c r="K8" s="128">
        <v>422818</v>
      </c>
      <c r="L8" s="128">
        <v>34977</v>
      </c>
      <c r="M8" s="128">
        <v>4227</v>
      </c>
      <c r="N8" s="128">
        <f>L8-M8</f>
        <v>30750</v>
      </c>
      <c r="O8" s="129">
        <f>L8/K8</f>
        <v>8.2723535894876757E-2</v>
      </c>
      <c r="P8" s="130">
        <f>J8/K8</f>
        <v>0.8810045222264663</v>
      </c>
      <c r="Q8" s="130">
        <f>J8/L8</f>
        <v>10.649986278947594</v>
      </c>
    </row>
    <row r="9" spans="1:17" s="131" customFormat="1" ht="17.5" customHeight="1" x14ac:dyDescent="0.2">
      <c r="A9"/>
      <c r="B9" t="s">
        <v>150</v>
      </c>
      <c r="C9" t="s">
        <v>154</v>
      </c>
      <c r="D9" s="132">
        <v>291.43</v>
      </c>
      <c r="E9" s="13">
        <v>266928075</v>
      </c>
      <c r="F9" s="128">
        <f>(D9*E9)/1000000</f>
        <v>77790.848897250005</v>
      </c>
      <c r="G9" s="128">
        <v>30768</v>
      </c>
      <c r="H9">
        <v>216</v>
      </c>
      <c r="I9" s="13">
        <v>4329</v>
      </c>
      <c r="J9" s="128">
        <f>F9+G9+H9-I9</f>
        <v>104445.84889725001</v>
      </c>
      <c r="K9" s="133">
        <v>262023</v>
      </c>
      <c r="L9" s="133">
        <v>10730</v>
      </c>
      <c r="M9" s="133">
        <v>1704</v>
      </c>
      <c r="N9" s="128">
        <f>L9-M9</f>
        <v>9026</v>
      </c>
      <c r="O9" s="129">
        <f>L9/K9</f>
        <v>4.0950603572968786E-2</v>
      </c>
      <c r="P9" s="130">
        <f>J9/K9</f>
        <v>0.39861328546444397</v>
      </c>
      <c r="Q9" s="130">
        <f>J9/L9</f>
        <v>9.7340026931267474</v>
      </c>
    </row>
    <row r="10" spans="1:17" s="131" customFormat="1" ht="17.5" customHeight="1" x14ac:dyDescent="0.2">
      <c r="A10"/>
      <c r="B10" t="s">
        <v>151</v>
      </c>
      <c r="C10" t="s">
        <v>156</v>
      </c>
      <c r="D10" s="132">
        <v>326.38</v>
      </c>
      <c r="E10" s="13">
        <v>225178304</v>
      </c>
      <c r="F10" s="128">
        <f>(D10*E10)/1000000</f>
        <v>73493.694859520008</v>
      </c>
      <c r="G10" s="128">
        <v>30186</v>
      </c>
      <c r="H10">
        <v>129</v>
      </c>
      <c r="I10" s="13">
        <v>8560</v>
      </c>
      <c r="J10" s="128">
        <f>F10+G10+H10-I10</f>
        <v>95248.694859520008</v>
      </c>
      <c r="K10" s="133">
        <v>189215</v>
      </c>
      <c r="L10" s="133">
        <v>7672</v>
      </c>
      <c r="M10" s="133">
        <v>604</v>
      </c>
      <c r="N10" s="128">
        <f>L10-M10</f>
        <v>7068</v>
      </c>
      <c r="O10" s="129">
        <f>L10/K10</f>
        <v>4.0546468303252911E-2</v>
      </c>
      <c r="P10" s="130">
        <f>J10/K10</f>
        <v>0.50338871051195733</v>
      </c>
      <c r="Q10" s="130">
        <f>J10/L10</f>
        <v>12.415106212137644</v>
      </c>
    </row>
    <row r="11" spans="1:17" s="131" customFormat="1" ht="17.5" customHeight="1" x14ac:dyDescent="0.2">
      <c r="A11"/>
      <c r="B11" t="s">
        <v>152</v>
      </c>
      <c r="C11" t="s">
        <v>157</v>
      </c>
      <c r="D11" s="132">
        <v>261.97000000000003</v>
      </c>
      <c r="E11" s="13">
        <v>120271819</v>
      </c>
      <c r="F11" s="128">
        <f>(D11*E11)/1000000</f>
        <v>31507.608423430003</v>
      </c>
      <c r="G11" s="128">
        <v>12586</v>
      </c>
      <c r="H11">
        <v>61</v>
      </c>
      <c r="I11" s="13">
        <v>4040</v>
      </c>
      <c r="J11" s="128">
        <f>F11+G11+H11-I11</f>
        <v>40114.608423430007</v>
      </c>
      <c r="K11" s="133">
        <v>123110</v>
      </c>
      <c r="L11" s="133">
        <v>4076</v>
      </c>
      <c r="M11" s="133">
        <v>779</v>
      </c>
      <c r="N11" s="128">
        <f>L11-M11</f>
        <v>3297</v>
      </c>
      <c r="O11" s="129">
        <f>L11/K11</f>
        <v>3.3108602063195519E-2</v>
      </c>
      <c r="P11" s="130">
        <f>J11/K11</f>
        <v>0.3258436229666965</v>
      </c>
      <c r="Q11" s="130">
        <f>J11/L11</f>
        <v>9.8416605553066745</v>
      </c>
    </row>
    <row r="12" spans="1:17" s="131" customFormat="1" ht="16" thickBot="1" x14ac:dyDescent="0.25">
      <c r="A12"/>
      <c r="B12"/>
      <c r="C12" s="134"/>
      <c r="D12" s="134"/>
      <c r="E12" s="134"/>
      <c r="F12" s="134"/>
      <c r="G12" s="134"/>
      <c r="H12" s="134"/>
      <c r="I12" s="134"/>
      <c r="J12" s="134"/>
      <c r="K12" s="134"/>
      <c r="L12" s="134"/>
      <c r="M12" s="134"/>
      <c r="N12" s="134"/>
      <c r="O12" s="135"/>
      <c r="P12" s="130"/>
      <c r="Q12" s="130"/>
    </row>
    <row r="13" spans="1:17" s="131" customFormat="1" ht="17.5" customHeight="1" x14ac:dyDescent="0.2">
      <c r="A13"/>
      <c r="B13" s="136" t="s">
        <v>131</v>
      </c>
      <c r="C13" s="137"/>
      <c r="D13" s="138">
        <f>AVERAGE(D8:D11)</f>
        <v>307.61250000000001</v>
      </c>
      <c r="E13" s="138">
        <f>AVERAGE(E8:E11)</f>
        <v>379512955.75</v>
      </c>
      <c r="F13" s="138">
        <f>AVERAGE(F8:F11)</f>
        <v>125096.18056473751</v>
      </c>
      <c r="G13" s="138">
        <f>AVERAGE(G8:G11)</f>
        <v>38183.25</v>
      </c>
      <c r="H13" s="138">
        <f>AVERAGE(H8:H11)</f>
        <v>1180.25</v>
      </c>
      <c r="I13" s="138">
        <f>AVERAGE(I8:I11)</f>
        <v>11381.25</v>
      </c>
      <c r="J13" s="138">
        <f>AVERAGE(J8:J11)</f>
        <v>153078.43056473753</v>
      </c>
      <c r="K13" s="138">
        <f>AVERAGE(K8:K11)</f>
        <v>249291.5</v>
      </c>
      <c r="L13" s="138">
        <f>AVERAGE(L8:L11)</f>
        <v>14363.75</v>
      </c>
      <c r="M13" s="138">
        <f>AVERAGE(M8:M11)</f>
        <v>1828.5</v>
      </c>
      <c r="N13" s="138">
        <f>AVERAGE(N8:N11)</f>
        <v>12535.25</v>
      </c>
      <c r="O13" s="139">
        <f>AVERAGE(O8:O11)</f>
        <v>4.9332302458573493E-2</v>
      </c>
      <c r="P13" s="140">
        <f>AVERAGE(P8:P11)</f>
        <v>0.52721253529239098</v>
      </c>
      <c r="Q13" s="140">
        <f>AVERAGE(Q8:Q11)</f>
        <v>10.660188934879665</v>
      </c>
    </row>
    <row r="14" spans="1:17" s="131" customFormat="1" ht="16" thickBot="1" x14ac:dyDescent="0.25">
      <c r="A14"/>
      <c r="B14" s="141" t="s">
        <v>132</v>
      </c>
      <c r="C14" s="142"/>
      <c r="D14" s="143">
        <f>MEDIAN(D8:D11)</f>
        <v>308.90499999999997</v>
      </c>
      <c r="E14" s="143">
        <f>MEDIAN(E8:E11)</f>
        <v>246053189.5</v>
      </c>
      <c r="F14" s="143">
        <f>MEDIAN(F8:F11)</f>
        <v>75642.271878385014</v>
      </c>
      <c r="G14" s="143">
        <f>MEDIAN(G8:G11)</f>
        <v>30477</v>
      </c>
      <c r="H14" s="143">
        <f>MEDIAN(H8:H11)</f>
        <v>172.5</v>
      </c>
      <c r="I14" s="143">
        <f>MEDIAN(I8:I11)</f>
        <v>6444.5</v>
      </c>
      <c r="J14" s="143">
        <f>MEDIAN(J8:J11)</f>
        <v>99847.271878385014</v>
      </c>
      <c r="K14" s="143">
        <f>MEDIAN(K8:K11)</f>
        <v>225619</v>
      </c>
      <c r="L14" s="143">
        <f>MEDIAN(L8:L11)</f>
        <v>9201</v>
      </c>
      <c r="M14" s="143">
        <f>MEDIAN(M8:M11)</f>
        <v>1241.5</v>
      </c>
      <c r="N14" s="143">
        <f>MEDIAN(N8:N11)</f>
        <v>8047</v>
      </c>
      <c r="O14" s="144">
        <f>MEDIAN(O8:O11)</f>
        <v>4.0748535938110848E-2</v>
      </c>
      <c r="P14" s="145">
        <f>MEDIAN(P8:P11)</f>
        <v>0.45100099798820065</v>
      </c>
      <c r="Q14" s="145">
        <f>MEDIAN(Q8:Q11)</f>
        <v>10.245823417127134</v>
      </c>
    </row>
    <row r="15" spans="1:17" s="131" customFormat="1" x14ac:dyDescent="0.2">
      <c r="A15"/>
      <c r="B15" s="146"/>
      <c r="C15" s="134"/>
      <c r="D15" s="134"/>
      <c r="E15" s="134"/>
      <c r="F15" s="134"/>
      <c r="G15" s="134"/>
      <c r="H15" s="134"/>
      <c r="I15" s="134"/>
      <c r="J15" s="134"/>
      <c r="K15" s="134"/>
      <c r="L15" s="134"/>
      <c r="M15" s="134"/>
      <c r="N15" s="134"/>
      <c r="O15" s="134"/>
      <c r="P15" s="134"/>
      <c r="Q15" s="134"/>
    </row>
    <row r="16" spans="1:17" ht="17.5" customHeight="1" x14ac:dyDescent="0.2">
      <c r="B16" s="156" t="s">
        <v>165</v>
      </c>
      <c r="C16" s="147"/>
      <c r="D16" s="147"/>
      <c r="E16" s="147"/>
      <c r="F16" s="147"/>
      <c r="G16" s="147"/>
      <c r="H16" s="147"/>
      <c r="I16" s="147"/>
      <c r="K16" s="148"/>
      <c r="L16" s="148"/>
      <c r="M16" s="148"/>
      <c r="N16" s="148"/>
      <c r="O16" s="148"/>
      <c r="P16" s="149"/>
      <c r="Q16" s="149"/>
    </row>
    <row r="17" spans="2:17" ht="17.5" customHeight="1" x14ac:dyDescent="0.2">
      <c r="B17" s="147"/>
      <c r="C17" s="150"/>
      <c r="D17" s="150"/>
      <c r="E17" s="150"/>
      <c r="F17" s="150"/>
      <c r="G17" s="150"/>
      <c r="H17" s="150"/>
      <c r="I17" s="150"/>
      <c r="J17" s="150"/>
      <c r="K17" s="150"/>
      <c r="L17" s="150"/>
      <c r="M17" s="150"/>
      <c r="N17" s="150"/>
      <c r="O17" s="151"/>
      <c r="P17" s="152"/>
    </row>
    <row r="18" spans="2:17" ht="17.5" customHeight="1" x14ac:dyDescent="0.2">
      <c r="B18" s="147"/>
      <c r="C18" s="150"/>
      <c r="D18" s="150"/>
      <c r="E18" s="150"/>
      <c r="F18" s="150"/>
      <c r="G18" s="150"/>
      <c r="H18" s="150"/>
      <c r="I18" s="150"/>
      <c r="J18" s="150"/>
      <c r="K18" s="150"/>
      <c r="L18" s="150"/>
      <c r="M18" s="150"/>
      <c r="N18" s="150"/>
      <c r="O18" s="151"/>
      <c r="P18" s="152"/>
    </row>
    <row r="19" spans="2:17" ht="17.5" customHeight="1" x14ac:dyDescent="0.2">
      <c r="B19" s="147"/>
      <c r="C19" s="150"/>
      <c r="D19" s="150"/>
      <c r="E19" s="150"/>
      <c r="F19" s="150"/>
      <c r="G19" s="150"/>
      <c r="H19" s="150"/>
      <c r="I19" s="150"/>
      <c r="J19" s="150"/>
      <c r="K19" s="150"/>
      <c r="L19" s="150"/>
      <c r="M19" s="150"/>
      <c r="N19" s="150"/>
      <c r="O19" s="151"/>
      <c r="P19" s="152"/>
    </row>
    <row r="20" spans="2:17" ht="17.5" customHeight="1" x14ac:dyDescent="0.2">
      <c r="B20" s="147"/>
      <c r="C20" s="151"/>
      <c r="D20" s="151"/>
      <c r="E20" s="151"/>
      <c r="F20" s="151"/>
      <c r="G20" s="151"/>
      <c r="H20" s="151"/>
      <c r="I20"/>
      <c r="J20" s="151"/>
      <c r="K20" s="151"/>
      <c r="L20" s="151"/>
      <c r="M20" s="151"/>
      <c r="N20" s="151"/>
      <c r="O20" s="151"/>
      <c r="P20" s="152"/>
    </row>
    <row r="21" spans="2:17" x14ac:dyDescent="0.2">
      <c r="B21" s="154"/>
    </row>
    <row r="22" spans="2:17" x14ac:dyDescent="0.2">
      <c r="I22" s="18"/>
    </row>
    <row r="23" spans="2:17" x14ac:dyDescent="0.2">
      <c r="D23" s="18"/>
      <c r="E23" s="18"/>
      <c r="F23" s="18"/>
      <c r="G23" s="18"/>
      <c r="I23"/>
    </row>
    <row r="24" spans="2:17" x14ac:dyDescent="0.2">
      <c r="B24" s="18"/>
      <c r="C24" s="18"/>
      <c r="D24"/>
      <c r="E24" s="13"/>
      <c r="F24" s="13"/>
      <c r="G24"/>
      <c r="I24" s="18"/>
    </row>
    <row r="25" spans="2:17" x14ac:dyDescent="0.2">
      <c r="B25"/>
      <c r="C25" s="13"/>
      <c r="D25"/>
      <c r="E25" s="13"/>
      <c r="F25" s="13"/>
      <c r="G25"/>
      <c r="I25"/>
      <c r="Q25" s="130"/>
    </row>
    <row r="26" spans="2:17" x14ac:dyDescent="0.2">
      <c r="B26"/>
      <c r="C26" s="13"/>
      <c r="D26"/>
      <c r="E26"/>
      <c r="I26" s="18"/>
    </row>
    <row r="27" spans="2:17" x14ac:dyDescent="0.2">
      <c r="B27"/>
      <c r="C27" s="13"/>
      <c r="D27"/>
      <c r="E27"/>
      <c r="I27"/>
    </row>
    <row r="28" spans="2:17" x14ac:dyDescent="0.2">
      <c r="B28"/>
      <c r="C28" s="13"/>
      <c r="D28"/>
      <c r="E28"/>
      <c r="I28" s="1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FdsFormulaCache xmlns="urn:fdsformulacache" version="2" timestamp="1658677764"><![CDATA[{"AMZN^FE_ESTIMATE(DEP_AMORT_EXP,MEAN,ANN_ROLL,2022,NOW,,,'')":38716.438,"AMZN^FE_ESTIMATE(DEP_AMORT_EXP,MEAN,ANN_ROLL,2023,NOW,,,'')":44728.72,"AMZN^FE_ESTIMATE(DEP_AMORT_EXP,MEAN,ANN_ROLL,2024,NOW,,,'')":52136.97,"AMZN^FE_ESTIMATE(DEP_AMORT_EXP,MEAN,ANN_ROLL,2025,NOW,,,'')":55507.54,"AMZN^FE_ESTIMATE(DEP_AMORT_EXP,MEAN,ANN_ROLL,2026,NOW,,,'')":58234.55,"AMZN^FE_ESTIMATE(DEP_AMORT_EXP,MEAN,ANN_ROLL,2027,NOW,,,'')":64625.0,"AMZN^FE_ESTIMATE(CAPEX,MEAN,ANN_ROLL,2022,NOW,,,'')":61050.723,"AMZN^FE_ESTIMATE(CAPEX,MEAN,ANN_ROLL,2023,NOW,,,'')":62598.887,"AMZN^FE_ESTIMATE(CAPEX,MEAN,ANN_ROLL,2024,NOW,,,'')":64481.453,"AMZN^FE_ESTIMATE(CAPEX,MEAN,ANN_ROLL,2025,NOW,,,'')":69493.41,"AMZN^FE_ESTIMATE(CAPEX,MEAN,ANN_ROLL,2026,NOW,,,'')":65697.0,"AMZN^FE_ESTIMATE(CAPEX,MEAN,ANN_ROLL,2027,NOW,,,'')":69051.93}]]></FdsFormulaCache>
</file>

<file path=customXml/itemProps1.xml><?xml version="1.0" encoding="utf-8"?>
<ds:datastoreItem xmlns:ds="http://schemas.openxmlformats.org/officeDocument/2006/customXml" ds:itemID="{711B3DE4-1D2D-41B1-AFF1-87866EF7E7A5}">
  <ds:schemaRefs>
    <ds:schemaRef ds:uri="urn:fdsformulacach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DCF</vt:lpstr>
      <vt:lpstr>WACC</vt:lpstr>
      <vt:lpstr>IS</vt:lpstr>
      <vt:lpstr>CFS</vt:lpstr>
      <vt:lpstr>Comps</vt:lpstr>
      <vt:lpstr>tgr</vt:lpstr>
      <vt:lpstr>wacc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Chon</dc:creator>
  <cp:lastModifiedBy>Ayyadurai, Agalya (PG/T - Maths &amp; Physics)</cp:lastModifiedBy>
  <dcterms:created xsi:type="dcterms:W3CDTF">2022-06-12T18:45:32Z</dcterms:created>
  <dcterms:modified xsi:type="dcterms:W3CDTF">2025-09-25T09:09:34Z</dcterms:modified>
</cp:coreProperties>
</file>