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u/Downloads/"/>
    </mc:Choice>
  </mc:AlternateContent>
  <xr:revisionPtr revIDLastSave="0" documentId="13_ncr:1_{42BCB7F5-10E5-7547-B38B-17F88D8A9E05}" xr6:coauthVersionLast="47" xr6:coauthVersionMax="47" xr10:uidLastSave="{00000000-0000-0000-0000-000000000000}"/>
  <bookViews>
    <workbookView xWindow="0" yWindow="500" windowWidth="38400" windowHeight="19980" tabRatio="469" activeTab="1" xr2:uid="{D300FDC3-214D-4A9C-9638-25E424262776}"/>
  </bookViews>
  <sheets>
    <sheet name="PivotJS" sheetId="1" state="hidden" r:id="rId1"/>
    <sheet name="Pivot Spread Plate" sheetId="6" r:id="rId2"/>
    <sheet name="Pivot Spot Plate" sheetId="8" r:id="rId3"/>
    <sheet name="Sheet1" sheetId="9" r:id="rId4"/>
    <sheet name="Sheet2" sheetId="10" r:id="rId5"/>
    <sheet name="scratch_pad" sheetId="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6" l="1" a="1"/>
  <c r="L4" i="6"/>
  <c r="L5" i="6" a="1"/>
  <c r="L5" i="6"/>
  <c r="L6" i="6" a="1"/>
  <c r="L6" i="6"/>
  <c r="L7" i="6" a="1"/>
  <c r="L7" i="6"/>
  <c r="L8" i="6" a="1"/>
  <c r="L8" i="6"/>
  <c r="L9" i="6" a="1"/>
  <c r="L9" i="6"/>
  <c r="L10" i="6" a="1"/>
  <c r="L10" i="6"/>
  <c r="L11" i="6" a="1"/>
  <c r="L11" i="6"/>
  <c r="L12" i="6" a="1"/>
  <c r="L12" i="6"/>
  <c r="L13" i="6" a="1"/>
  <c r="L13" i="6"/>
  <c r="L14" i="6" a="1"/>
  <c r="L14" i="6"/>
  <c r="L15" i="6" a="1"/>
  <c r="L15" i="6"/>
  <c r="L16" i="6" a="1"/>
  <c r="L16" i="6"/>
  <c r="L17" i="6" a="1"/>
  <c r="L17" i="6"/>
  <c r="L18" i="6" a="1"/>
  <c r="L18" i="6"/>
  <c r="L19" i="6" a="1"/>
  <c r="L19" i="6"/>
  <c r="L20" i="6" a="1"/>
  <c r="L20" i="6"/>
  <c r="L21" i="6" a="1"/>
  <c r="L21" i="6"/>
  <c r="L22" i="6" a="1"/>
  <c r="L22" i="6"/>
  <c r="L23" i="6" a="1"/>
  <c r="L23" i="6"/>
  <c r="L24" i="6" a="1"/>
  <c r="L24" i="6"/>
  <c r="L25" i="6" a="1"/>
  <c r="L25" i="6"/>
  <c r="L26" i="6" a="1"/>
  <c r="L26" i="6"/>
  <c r="L27" i="6" a="1"/>
  <c r="L27" i="6"/>
  <c r="L28" i="6" a="1"/>
  <c r="L28" i="6"/>
  <c r="L29" i="6" a="1"/>
  <c r="L29" i="6"/>
  <c r="L30" i="6" a="1"/>
  <c r="L30" i="6"/>
  <c r="L31" i="6" a="1"/>
  <c r="L31" i="6"/>
  <c r="L32" i="6" a="1"/>
  <c r="L32" i="6"/>
  <c r="L33" i="6" a="1"/>
  <c r="L33" i="6"/>
  <c r="L34" i="6" a="1"/>
  <c r="L34" i="6"/>
  <c r="L35" i="6" a="1"/>
  <c r="L35" i="6"/>
  <c r="L36" i="6" a="1"/>
  <c r="L36" i="6"/>
  <c r="L37" i="6" a="1"/>
  <c r="L37" i="6"/>
  <c r="L38" i="6" a="1"/>
  <c r="L38" i="6"/>
  <c r="L39" i="6" a="1"/>
  <c r="L39" i="6"/>
  <c r="L40" i="6" a="1"/>
  <c r="L40" i="6"/>
  <c r="L41" i="6" a="1"/>
  <c r="L41" i="6"/>
  <c r="L42" i="6" a="1"/>
  <c r="L42" i="6"/>
  <c r="L43" i="6" a="1"/>
  <c r="L43" i="6"/>
  <c r="L44" i="6" a="1"/>
  <c r="L44" i="6"/>
  <c r="L45" i="6" a="1"/>
  <c r="L45" i="6"/>
  <c r="L46" i="6" a="1"/>
  <c r="L46" i="6"/>
  <c r="L47" i="6" a="1"/>
  <c r="L47" i="6"/>
  <c r="L48" i="6" a="1"/>
  <c r="L48" i="6"/>
  <c r="L49" i="6" a="1"/>
  <c r="L49" i="6"/>
  <c r="L50" i="6" a="1"/>
  <c r="L50" i="6"/>
  <c r="L51" i="6" a="1"/>
  <c r="L51" i="6"/>
  <c r="L52" i="6" a="1"/>
  <c r="L52" i="6"/>
  <c r="L53" i="6" a="1"/>
  <c r="L53" i="6"/>
  <c r="L54" i="6" a="1"/>
  <c r="L54" i="6"/>
  <c r="L55" i="6" a="1"/>
  <c r="L55" i="6"/>
  <c r="L56" i="6" a="1"/>
  <c r="L56" i="6"/>
  <c r="L57" i="6" a="1"/>
  <c r="L57" i="6"/>
  <c r="L58" i="6" a="1"/>
  <c r="L58" i="6"/>
  <c r="L59" i="6" a="1"/>
  <c r="L59" i="6"/>
  <c r="L60" i="6" a="1"/>
  <c r="L60" i="6"/>
  <c r="L61" i="6" a="1"/>
  <c r="L61" i="6"/>
  <c r="L62" i="6" a="1"/>
  <c r="L62" i="6"/>
  <c r="L63" i="6" a="1"/>
  <c r="L63" i="6"/>
  <c r="L64" i="6" a="1"/>
  <c r="L64" i="6"/>
  <c r="L65" i="6" a="1"/>
  <c r="L65" i="6"/>
  <c r="L66" i="6" a="1"/>
  <c r="L66" i="6"/>
  <c r="L67" i="6" a="1"/>
  <c r="L67" i="6"/>
  <c r="L68" i="6" a="1"/>
  <c r="L68" i="6"/>
  <c r="L69" i="6" a="1"/>
  <c r="L69" i="6"/>
  <c r="L70" i="6" a="1"/>
  <c r="L70" i="6"/>
  <c r="L71" i="6" a="1"/>
  <c r="L71" i="6"/>
  <c r="L72" i="6" a="1"/>
  <c r="L72" i="6"/>
  <c r="L73" i="6" a="1"/>
  <c r="L73" i="6"/>
  <c r="L74" i="6" a="1"/>
  <c r="L74" i="6"/>
  <c r="L75" i="6" a="1"/>
  <c r="L75" i="6"/>
  <c r="L76" i="6" a="1"/>
  <c r="L76" i="6"/>
  <c r="L77" i="6" a="1"/>
  <c r="L77" i="6"/>
  <c r="L78" i="6" a="1"/>
  <c r="L78" i="6"/>
  <c r="L79" i="6" a="1"/>
  <c r="L79" i="6"/>
  <c r="L80" i="6" a="1"/>
  <c r="L80" i="6"/>
  <c r="L81" i="6" a="1"/>
  <c r="L81" i="6"/>
  <c r="L82" i="6" a="1"/>
  <c r="L82" i="6"/>
  <c r="L83" i="6" a="1"/>
  <c r="L83" i="6"/>
  <c r="L84" i="6" a="1"/>
  <c r="L84" i="6"/>
  <c r="L85" i="6" a="1"/>
  <c r="L85" i="6"/>
  <c r="L86" i="6" a="1"/>
  <c r="L86" i="6"/>
  <c r="L87" i="6" a="1"/>
  <c r="L87" i="6"/>
  <c r="L88" i="6" a="1"/>
  <c r="L88" i="6"/>
  <c r="L89" i="6" a="1"/>
  <c r="L89" i="6"/>
  <c r="L90" i="6" a="1"/>
  <c r="L90" i="6"/>
  <c r="L91" i="6" a="1"/>
  <c r="L91" i="6"/>
  <c r="L92" i="6" a="1"/>
  <c r="L92" i="6"/>
  <c r="L93" i="6" a="1"/>
  <c r="L93" i="6"/>
  <c r="L94" i="6" a="1"/>
  <c r="L94" i="6"/>
  <c r="L95" i="6" a="1"/>
  <c r="L95" i="6"/>
  <c r="L96" i="6" a="1"/>
  <c r="L96" i="6"/>
  <c r="L97" i="6" a="1"/>
  <c r="L97" i="6"/>
  <c r="L98" i="6" a="1"/>
  <c r="L98" i="6"/>
  <c r="L99" i="6" a="1"/>
  <c r="L99" i="6"/>
  <c r="L100" i="6" a="1"/>
  <c r="L100" i="6"/>
  <c r="L101" i="6" a="1"/>
  <c r="L101" i="6"/>
  <c r="L102" i="6" a="1"/>
  <c r="L102" i="6"/>
  <c r="L103" i="6" a="1"/>
  <c r="L103" i="6"/>
  <c r="L104" i="6" a="1"/>
  <c r="L104" i="6"/>
  <c r="L105" i="6" a="1"/>
  <c r="L105" i="6"/>
  <c r="L106" i="6" a="1"/>
  <c r="L106" i="6"/>
  <c r="L107" i="6" a="1"/>
  <c r="L107" i="6"/>
  <c r="L108" i="6" a="1"/>
  <c r="L108" i="6"/>
  <c r="L109" i="6" a="1"/>
  <c r="L109" i="6"/>
  <c r="L110" i="6" a="1"/>
  <c r="L110" i="6"/>
  <c r="L111" i="6" a="1"/>
  <c r="L111" i="6"/>
  <c r="L112" i="6" a="1"/>
  <c r="L112" i="6"/>
  <c r="L113" i="6" a="1"/>
  <c r="L113" i="6"/>
  <c r="L114" i="6" a="1"/>
  <c r="L114" i="6"/>
  <c r="L115" i="6" a="1"/>
  <c r="L115" i="6"/>
  <c r="L116" i="6" a="1"/>
  <c r="L116" i="6"/>
  <c r="L117" i="6" a="1"/>
  <c r="L117" i="6"/>
  <c r="L118" i="6" a="1"/>
  <c r="L118" i="6"/>
  <c r="L119" i="6" a="1"/>
  <c r="L119" i="6"/>
  <c r="L120" i="6" a="1"/>
  <c r="L120" i="6"/>
  <c r="L121" i="6" a="1"/>
  <c r="L121" i="6"/>
  <c r="L122" i="6" a="1"/>
  <c r="L122" i="6"/>
  <c r="L123" i="6" a="1"/>
  <c r="L123" i="6"/>
  <c r="L124" i="6" a="1"/>
  <c r="L124" i="6"/>
  <c r="L125" i="6" a="1"/>
  <c r="L125" i="6"/>
  <c r="L126" i="6" a="1"/>
  <c r="L126" i="6"/>
  <c r="L127" i="6" a="1"/>
  <c r="L127" i="6"/>
  <c r="L128" i="6" a="1"/>
  <c r="L128" i="6"/>
  <c r="L129" i="6" a="1"/>
  <c r="L129" i="6"/>
  <c r="L130" i="6" a="1"/>
  <c r="L130" i="6"/>
  <c r="L131" i="6" a="1"/>
  <c r="L131" i="6"/>
  <c r="L132" i="6" a="1"/>
  <c r="L132" i="6"/>
  <c r="L133" i="6" a="1"/>
  <c r="L133" i="6"/>
  <c r="L134" i="6" a="1"/>
  <c r="L134" i="6"/>
  <c r="L135" i="6" a="1"/>
  <c r="L135" i="6"/>
  <c r="L136" i="6" a="1"/>
  <c r="L136" i="6"/>
  <c r="L137" i="6" a="1"/>
  <c r="L137" i="6"/>
  <c r="L138" i="6" a="1"/>
  <c r="L138" i="6"/>
  <c r="L139" i="6" a="1"/>
  <c r="L139" i="6"/>
  <c r="L140" i="6" a="1"/>
  <c r="L140" i="6"/>
  <c r="L141" i="6" a="1"/>
  <c r="L141" i="6"/>
  <c r="L142" i="6" a="1"/>
  <c r="L142" i="6"/>
  <c r="L143" i="6" a="1"/>
  <c r="L143" i="6"/>
  <c r="L144" i="6" a="1"/>
  <c r="L144" i="6"/>
  <c r="L145" i="6" a="1"/>
  <c r="L145" i="6"/>
  <c r="L146" i="6" a="1"/>
  <c r="L146" i="6"/>
  <c r="L147" i="6" a="1"/>
  <c r="L147" i="6"/>
  <c r="L148" i="6" a="1"/>
  <c r="L148" i="6"/>
  <c r="L149" i="6" a="1"/>
  <c r="L149" i="6"/>
  <c r="L150" i="6" a="1"/>
  <c r="L150" i="6"/>
  <c r="L151" i="6" a="1"/>
  <c r="L151" i="6"/>
  <c r="L152" i="6" a="1"/>
  <c r="L152" i="6"/>
  <c r="L153" i="6" a="1"/>
  <c r="L153" i="6"/>
  <c r="L154" i="6" a="1"/>
  <c r="L154" i="6"/>
  <c r="L155" i="6" a="1"/>
  <c r="L155" i="6"/>
  <c r="L156" i="6" a="1"/>
  <c r="L156" i="6"/>
  <c r="L157" i="6" a="1"/>
  <c r="L157" i="6"/>
  <c r="L158" i="6" a="1"/>
  <c r="L158" i="6"/>
  <c r="L159" i="6" a="1"/>
  <c r="L159" i="6"/>
  <c r="L160" i="6" a="1"/>
  <c r="L160" i="6"/>
  <c r="L161" i="6" a="1"/>
  <c r="L161" i="6"/>
  <c r="L162" i="6" a="1"/>
  <c r="L162" i="6"/>
  <c r="L163" i="6" a="1"/>
  <c r="L163" i="6"/>
  <c r="L164" i="6" a="1"/>
  <c r="L164" i="6"/>
  <c r="L165" i="6" a="1"/>
  <c r="L165" i="6"/>
  <c r="L166" i="6" a="1"/>
  <c r="L166" i="6"/>
  <c r="L167" i="6" a="1"/>
  <c r="L167" i="6"/>
  <c r="L168" i="6" a="1"/>
  <c r="L168" i="6"/>
  <c r="L169" i="6" a="1"/>
  <c r="L169" i="6"/>
  <c r="L170" i="6" a="1"/>
  <c r="L170" i="6"/>
  <c r="L171" i="6" a="1"/>
  <c r="L171" i="6"/>
  <c r="L172" i="6" a="1"/>
  <c r="L172" i="6"/>
  <c r="L173" i="6" a="1"/>
  <c r="L173" i="6"/>
  <c r="L174" i="6" a="1"/>
  <c r="L174" i="6"/>
  <c r="L175" i="6" a="1"/>
  <c r="L175" i="6"/>
  <c r="L176" i="6" a="1"/>
  <c r="L176" i="6"/>
  <c r="L177" i="6" a="1"/>
  <c r="L177" i="6"/>
  <c r="L178" i="6" a="1"/>
  <c r="L178" i="6"/>
  <c r="L179" i="6" a="1"/>
  <c r="L179" i="6"/>
  <c r="L180" i="6" a="1"/>
  <c r="L180" i="6"/>
  <c r="L181" i="6" a="1"/>
  <c r="L181" i="6"/>
  <c r="L182" i="6" a="1"/>
  <c r="L182" i="6"/>
  <c r="L183" i="6" a="1"/>
  <c r="L183" i="6"/>
  <c r="L184" i="6" a="1"/>
  <c r="L184" i="6"/>
  <c r="L185" i="6" a="1"/>
  <c r="L185" i="6"/>
  <c r="L186" i="6" a="1"/>
  <c r="L186" i="6"/>
  <c r="L187" i="6" a="1"/>
  <c r="L187" i="6"/>
  <c r="L188" i="6" a="1"/>
  <c r="L188" i="6"/>
  <c r="L189" i="6" a="1"/>
  <c r="L189" i="6"/>
  <c r="L190" i="6" a="1"/>
  <c r="L190" i="6"/>
  <c r="L191" i="6" a="1"/>
  <c r="L191" i="6"/>
  <c r="L192" i="6" a="1"/>
  <c r="L192" i="6"/>
  <c r="L193" i="6" a="1"/>
  <c r="L193" i="6"/>
  <c r="L194" i="6" a="1"/>
  <c r="L194" i="6"/>
  <c r="L195" i="6" a="1"/>
  <c r="L195" i="6"/>
  <c r="L196" i="6" a="1"/>
  <c r="L196" i="6"/>
  <c r="L197" i="6" a="1"/>
  <c r="L197" i="6"/>
  <c r="L198" i="6" a="1"/>
  <c r="L198" i="6"/>
  <c r="L199" i="6" a="1"/>
  <c r="L199" i="6"/>
  <c r="L200" i="6" a="1"/>
  <c r="L200" i="6"/>
  <c r="L201" i="6" a="1"/>
  <c r="L201" i="6"/>
  <c r="L202" i="6" a="1"/>
  <c r="L202" i="6"/>
  <c r="L203" i="6" a="1"/>
  <c r="L203" i="6"/>
  <c r="L204" i="6" a="1"/>
  <c r="L204" i="6"/>
  <c r="L205" i="6" a="1"/>
  <c r="L205" i="6"/>
  <c r="L206" i="6" a="1"/>
  <c r="L206" i="6"/>
  <c r="L207" i="6" a="1"/>
  <c r="L207" i="6"/>
  <c r="L208" i="6" a="1"/>
  <c r="L208" i="6"/>
  <c r="L209" i="6" a="1"/>
  <c r="L209" i="6"/>
  <c r="L210" i="6" a="1"/>
  <c r="L210" i="6"/>
  <c r="L211" i="6" a="1"/>
  <c r="L211" i="6"/>
  <c r="L212" i="6" a="1"/>
  <c r="L212" i="6"/>
  <c r="L213" i="6" a="1"/>
  <c r="L213" i="6"/>
  <c r="L214" i="6" a="1"/>
  <c r="L214" i="6"/>
  <c r="L215" i="6" a="1"/>
  <c r="L215" i="6"/>
  <c r="L216" i="6" a="1"/>
  <c r="L216" i="6"/>
  <c r="L217" i="6" a="1"/>
  <c r="L217" i="6"/>
  <c r="L218" i="6" a="1"/>
  <c r="L218" i="6"/>
  <c r="L219" i="6" a="1"/>
  <c r="L219" i="6"/>
  <c r="L220" i="6" a="1"/>
  <c r="L220" i="6"/>
  <c r="L221" i="6" a="1"/>
  <c r="L221" i="6"/>
  <c r="L222" i="6" a="1"/>
  <c r="L222" i="6"/>
  <c r="L223" i="6" a="1"/>
  <c r="L223" i="6"/>
  <c r="L224" i="6" a="1"/>
  <c r="L224" i="6"/>
  <c r="L225" i="6" a="1"/>
  <c r="L225" i="6"/>
  <c r="L226" i="6" a="1"/>
  <c r="L226" i="6"/>
  <c r="L227" i="6" a="1"/>
  <c r="L227" i="6"/>
  <c r="L228" i="6" a="1"/>
  <c r="L228" i="6"/>
  <c r="L229" i="6" a="1"/>
  <c r="L229" i="6"/>
  <c r="L230" i="6" a="1"/>
  <c r="L230" i="6"/>
  <c r="L231" i="6" a="1"/>
  <c r="L231" i="6"/>
  <c r="L232" i="6" a="1"/>
  <c r="L232" i="6"/>
  <c r="L233" i="6" a="1"/>
  <c r="L233" i="6"/>
  <c r="L234" i="6" a="1"/>
  <c r="L234" i="6"/>
  <c r="L235" i="6" a="1"/>
  <c r="L235" i="6"/>
  <c r="L236" i="6" a="1"/>
  <c r="L236" i="6"/>
  <c r="L237" i="6" a="1"/>
  <c r="L237" i="6"/>
  <c r="L238" i="6" a="1"/>
  <c r="L238" i="6"/>
  <c r="L239" i="6" a="1"/>
  <c r="L239" i="6"/>
  <c r="L240" i="6" a="1"/>
  <c r="L240" i="6"/>
  <c r="L241" i="6" a="1"/>
  <c r="L241" i="6"/>
  <c r="L242" i="6" a="1"/>
  <c r="L242" i="6"/>
  <c r="L243" i="6" a="1"/>
  <c r="L243" i="6"/>
  <c r="L244" i="6" a="1"/>
  <c r="L244" i="6"/>
  <c r="L245" i="6" a="1"/>
  <c r="L245" i="6"/>
  <c r="L246" i="6" a="1"/>
  <c r="L246" i="6"/>
  <c r="L247" i="6" a="1"/>
  <c r="L247" i="6"/>
  <c r="L248" i="6" a="1"/>
  <c r="L248" i="6"/>
  <c r="L249" i="6" a="1"/>
  <c r="L249" i="6"/>
  <c r="L250" i="6" a="1"/>
  <c r="L250" i="6"/>
  <c r="L251" i="6" a="1"/>
  <c r="L251" i="6"/>
  <c r="L252" i="6" a="1"/>
  <c r="L252" i="6"/>
  <c r="L253" i="6" a="1"/>
  <c r="L253" i="6"/>
  <c r="L254" i="6" a="1"/>
  <c r="L254" i="6"/>
  <c r="L255" i="6" a="1"/>
  <c r="L255" i="6"/>
  <c r="L256" i="6" a="1"/>
  <c r="L256" i="6"/>
  <c r="L257" i="6" a="1"/>
  <c r="L257" i="6"/>
  <c r="L258" i="6" a="1"/>
  <c r="L258" i="6"/>
  <c r="L259" i="6" a="1"/>
  <c r="L259" i="6"/>
  <c r="L260" i="6" a="1"/>
  <c r="L260" i="6"/>
  <c r="L261" i="6" a="1"/>
  <c r="L261" i="6"/>
  <c r="L262" i="6" a="1"/>
  <c r="L262" i="6"/>
  <c r="L263" i="6" a="1"/>
  <c r="L263" i="6"/>
  <c r="L264" i="6" a="1"/>
  <c r="L264" i="6"/>
  <c r="L265" i="6" a="1"/>
  <c r="L265" i="6"/>
  <c r="L266" i="6" a="1"/>
  <c r="L266" i="6"/>
  <c r="L267" i="6" a="1"/>
  <c r="L267" i="6"/>
  <c r="L268" i="6" a="1"/>
  <c r="L268" i="6"/>
  <c r="L269" i="6" a="1"/>
  <c r="L269" i="6"/>
  <c r="L270" i="6" a="1"/>
  <c r="L270" i="6"/>
  <c r="L271" i="6" a="1"/>
  <c r="L271" i="6"/>
  <c r="L272" i="6" a="1"/>
  <c r="L272" i="6"/>
  <c r="L273" i="6" a="1"/>
  <c r="L273" i="6"/>
  <c r="L274" i="6" a="1"/>
  <c r="L274" i="6"/>
  <c r="L275" i="6" a="1"/>
  <c r="L275" i="6"/>
  <c r="L276" i="6" a="1"/>
  <c r="L276" i="6"/>
  <c r="L277" i="6" a="1"/>
  <c r="L277" i="6"/>
  <c r="L278" i="6" a="1"/>
  <c r="L278" i="6"/>
  <c r="L279" i="6" a="1"/>
  <c r="L279" i="6"/>
  <c r="L280" i="6" a="1"/>
  <c r="L280" i="6"/>
  <c r="L281" i="6" a="1"/>
  <c r="L281" i="6"/>
  <c r="L282" i="6" a="1"/>
  <c r="L282" i="6"/>
  <c r="L283" i="6" a="1"/>
  <c r="L283" i="6"/>
  <c r="L284" i="6" a="1"/>
  <c r="L284" i="6"/>
  <c r="L285" i="6" a="1"/>
  <c r="L285" i="6"/>
  <c r="L286" i="6" a="1"/>
  <c r="L286" i="6"/>
  <c r="L287" i="6" a="1"/>
  <c r="L287" i="6"/>
  <c r="L288" i="6" a="1"/>
  <c r="L288" i="6"/>
  <c r="L289" i="6" a="1"/>
  <c r="L289" i="6"/>
  <c r="L290" i="6" a="1"/>
  <c r="L290" i="6"/>
  <c r="L291" i="6" a="1"/>
  <c r="L291" i="6"/>
  <c r="L292" i="6" a="1"/>
  <c r="L292" i="6"/>
  <c r="L293" i="6" a="1"/>
  <c r="L293" i="6"/>
  <c r="L294" i="6" a="1"/>
  <c r="L294" i="6"/>
  <c r="L295" i="6" a="1"/>
  <c r="L295" i="6"/>
  <c r="L296" i="6" a="1"/>
  <c r="L296" i="6"/>
  <c r="L297" i="6" a="1"/>
  <c r="L297" i="6"/>
  <c r="L298" i="6" a="1"/>
  <c r="L298" i="6"/>
  <c r="L299" i="6" a="1"/>
  <c r="L299" i="6"/>
  <c r="L300" i="6" a="1"/>
  <c r="L300" i="6"/>
  <c r="L301" i="6" a="1"/>
  <c r="L301" i="6"/>
  <c r="L302" i="6" a="1"/>
  <c r="L302" i="6"/>
  <c r="L303" i="6" a="1"/>
  <c r="L303" i="6"/>
  <c r="L304" i="6" a="1"/>
  <c r="L304" i="6"/>
  <c r="L305" i="6" a="1"/>
  <c r="L305" i="6"/>
  <c r="L306" i="6" a="1"/>
  <c r="L306" i="6"/>
  <c r="L307" i="6" a="1"/>
  <c r="L307" i="6"/>
  <c r="L308" i="6" a="1"/>
  <c r="L308" i="6"/>
  <c r="L309" i="6" a="1"/>
  <c r="L309" i="6"/>
  <c r="L310" i="6" a="1"/>
  <c r="L310" i="6"/>
  <c r="L311" i="6" a="1"/>
  <c r="L311" i="6"/>
  <c r="L312" i="6" a="1"/>
  <c r="L312" i="6"/>
  <c r="L313" i="6" a="1"/>
  <c r="L313" i="6"/>
  <c r="L314" i="6" a="1"/>
  <c r="L314" i="6"/>
  <c r="L315" i="6" a="1"/>
  <c r="L315" i="6"/>
  <c r="L316" i="6" a="1"/>
  <c r="L316" i="6"/>
  <c r="L317" i="6" a="1"/>
  <c r="L317" i="6"/>
  <c r="L318" i="6" a="1"/>
  <c r="L318" i="6"/>
  <c r="L319" i="6" a="1"/>
  <c r="L319" i="6"/>
  <c r="L320" i="6" a="1"/>
  <c r="L320" i="6"/>
  <c r="L321" i="6" a="1"/>
  <c r="L321" i="6"/>
  <c r="L322" i="6" a="1"/>
  <c r="L322" i="6"/>
  <c r="L323" i="6" a="1"/>
  <c r="L323" i="6"/>
  <c r="L324" i="6" a="1"/>
  <c r="L324" i="6"/>
  <c r="L325" i="6" a="1"/>
  <c r="L325" i="6"/>
  <c r="L326" i="6" a="1"/>
  <c r="L326" i="6"/>
  <c r="L327" i="6" a="1"/>
  <c r="L327" i="6"/>
  <c r="L328" i="6" a="1"/>
  <c r="L328" i="6"/>
  <c r="L329" i="6" a="1"/>
  <c r="L329" i="6"/>
  <c r="L330" i="6" a="1"/>
  <c r="L330" i="6"/>
  <c r="L331" i="6" a="1"/>
  <c r="L331" i="6"/>
  <c r="L332" i="6" a="1"/>
  <c r="L332" i="6"/>
  <c r="L333" i="6" a="1"/>
  <c r="L333" i="6"/>
  <c r="L334" i="6" a="1"/>
  <c r="L334" i="6"/>
  <c r="L335" i="6" a="1"/>
  <c r="L335" i="6"/>
  <c r="L336" i="6" a="1"/>
  <c r="L336" i="6"/>
  <c r="L337" i="6" a="1"/>
  <c r="L337" i="6"/>
  <c r="L338" i="6" a="1"/>
  <c r="L338" i="6"/>
  <c r="L339" i="6" a="1"/>
  <c r="L339" i="6"/>
  <c r="L340" i="6" a="1"/>
  <c r="L340" i="6"/>
  <c r="L341" i="6" a="1"/>
  <c r="L341" i="6"/>
  <c r="L342" i="6" a="1"/>
  <c r="L342" i="6"/>
  <c r="L343" i="6" a="1"/>
  <c r="L343" i="6"/>
  <c r="L344" i="6" a="1"/>
  <c r="L344" i="6"/>
  <c r="L345" i="6" a="1"/>
  <c r="L345" i="6"/>
  <c r="L346" i="6" a="1"/>
  <c r="L346" i="6"/>
  <c r="L347" i="6" a="1"/>
  <c r="L347" i="6"/>
  <c r="L348" i="6" a="1"/>
  <c r="L348" i="6"/>
  <c r="L349" i="6" a="1"/>
  <c r="L349" i="6"/>
  <c r="L350" i="6" a="1"/>
  <c r="L350" i="6"/>
  <c r="L351" i="6" a="1"/>
  <c r="L351" i="6"/>
  <c r="L352" i="6" a="1"/>
  <c r="L352" i="6"/>
  <c r="L353" i="6" a="1"/>
  <c r="L353" i="6"/>
  <c r="L354" i="6" a="1"/>
  <c r="L354" i="6"/>
  <c r="L355" i="6" a="1"/>
  <c r="L355" i="6"/>
  <c r="L356" i="6" a="1"/>
  <c r="L356" i="6"/>
  <c r="L357" i="6" a="1"/>
  <c r="L357" i="6"/>
  <c r="L358" i="6" a="1"/>
  <c r="L358" i="6"/>
  <c r="L359" i="6" a="1"/>
  <c r="L359" i="6"/>
  <c r="L360" i="6" a="1"/>
  <c r="L360" i="6"/>
  <c r="L361" i="6" a="1"/>
  <c r="L361" i="6"/>
  <c r="L362" i="6" a="1"/>
  <c r="L362" i="6"/>
  <c r="L363" i="6" a="1"/>
  <c r="L363" i="6"/>
  <c r="L364" i="6" a="1"/>
  <c r="L364" i="6"/>
  <c r="L365" i="6" a="1"/>
  <c r="L365" i="6"/>
  <c r="L366" i="6" a="1"/>
  <c r="L366" i="6"/>
  <c r="L367" i="6" a="1"/>
  <c r="L367" i="6"/>
  <c r="L368" i="6" a="1"/>
  <c r="L368" i="6"/>
  <c r="L369" i="6" a="1"/>
  <c r="L369" i="6"/>
  <c r="L370" i="6" a="1"/>
  <c r="L370" i="6"/>
  <c r="L371" i="6" a="1"/>
  <c r="L371" i="6"/>
  <c r="L372" i="6" a="1"/>
  <c r="L372" i="6"/>
  <c r="L373" i="6" a="1"/>
  <c r="L373" i="6"/>
  <c r="L374" i="6" a="1"/>
  <c r="L374" i="6"/>
  <c r="L375" i="6" a="1"/>
  <c r="L375" i="6"/>
  <c r="L376" i="6" a="1"/>
  <c r="L376" i="6"/>
  <c r="L377" i="6" a="1"/>
  <c r="L377" i="6"/>
  <c r="L378" i="6" a="1"/>
  <c r="L378" i="6"/>
  <c r="L379" i="6" a="1"/>
  <c r="L379" i="6"/>
  <c r="L380" i="6" a="1"/>
  <c r="L380" i="6"/>
  <c r="L381" i="6" a="1"/>
  <c r="L381" i="6"/>
  <c r="L382" i="6" a="1"/>
  <c r="L382" i="6"/>
  <c r="L383" i="6" a="1"/>
  <c r="L383" i="6"/>
  <c r="L384" i="6" a="1"/>
  <c r="L384" i="6"/>
  <c r="L385" i="6" a="1"/>
  <c r="L385" i="6"/>
  <c r="L386" i="6" a="1"/>
  <c r="L386" i="6"/>
  <c r="L387" i="6" a="1"/>
  <c r="L387" i="6"/>
  <c r="L388" i="6" a="1"/>
  <c r="L388" i="6"/>
  <c r="L389" i="6" a="1"/>
  <c r="L389" i="6"/>
  <c r="L390" i="6" a="1"/>
  <c r="L390" i="6"/>
  <c r="L391" i="6" a="1"/>
  <c r="L391" i="6"/>
  <c r="L392" i="6" a="1"/>
  <c r="L392" i="6"/>
  <c r="L393" i="6" a="1"/>
  <c r="L393" i="6"/>
  <c r="L394" i="6" a="1"/>
  <c r="L394" i="6"/>
  <c r="L395" i="6" a="1"/>
  <c r="L395" i="6"/>
  <c r="L396" i="6" a="1"/>
  <c r="L396" i="6"/>
  <c r="L397" i="6" a="1"/>
  <c r="L397" i="6"/>
  <c r="L398" i="6" a="1"/>
  <c r="L398" i="6"/>
  <c r="L399" i="6" a="1"/>
  <c r="L399" i="6"/>
  <c r="L400" i="6" a="1"/>
  <c r="L400" i="6"/>
  <c r="L401" i="6" a="1"/>
  <c r="L401" i="6"/>
  <c r="L402" i="6" a="1"/>
  <c r="L402" i="6"/>
  <c r="L403" i="6" a="1"/>
  <c r="L403" i="6"/>
  <c r="L404" i="6" a="1"/>
  <c r="L404" i="6"/>
  <c r="L405" i="6" a="1"/>
  <c r="L405" i="6"/>
  <c r="L406" i="6" a="1"/>
  <c r="L406" i="6"/>
  <c r="L407" i="6" a="1"/>
  <c r="L407" i="6"/>
  <c r="L408" i="6" a="1"/>
  <c r="L408" i="6"/>
  <c r="L409" i="6" a="1"/>
  <c r="L409" i="6"/>
  <c r="L410" i="6" a="1"/>
  <c r="L410" i="6"/>
  <c r="L411" i="6" a="1"/>
  <c r="L411" i="6"/>
  <c r="L412" i="6" a="1"/>
  <c r="L412" i="6"/>
  <c r="L413" i="6" a="1"/>
  <c r="L413" i="6"/>
  <c r="L414" i="6" a="1"/>
  <c r="L414" i="6"/>
  <c r="L415" i="6" a="1"/>
  <c r="L415" i="6"/>
  <c r="L416" i="6" a="1"/>
  <c r="L416" i="6"/>
  <c r="L417" i="6" a="1"/>
  <c r="L417" i="6"/>
  <c r="L418" i="6" a="1"/>
  <c r="L418" i="6"/>
  <c r="L419" i="6" a="1"/>
  <c r="L419" i="6"/>
  <c r="L420" i="6" a="1"/>
  <c r="L420" i="6"/>
  <c r="L421" i="6" a="1"/>
  <c r="L421" i="6"/>
  <c r="L422" i="6" a="1"/>
  <c r="L422" i="6"/>
  <c r="L423" i="6" a="1"/>
  <c r="L423" i="6"/>
  <c r="L424" i="6" a="1"/>
  <c r="L424" i="6"/>
  <c r="L425" i="6" a="1"/>
  <c r="L425" i="6"/>
  <c r="L426" i="6" a="1"/>
  <c r="L426" i="6"/>
  <c r="L427" i="6" a="1"/>
  <c r="L427" i="6"/>
  <c r="L428" i="6" a="1"/>
  <c r="L428" i="6"/>
  <c r="L429" i="6" a="1"/>
  <c r="L429" i="6"/>
  <c r="L430" i="6" a="1"/>
  <c r="L430" i="6"/>
  <c r="L431" i="6" a="1"/>
  <c r="L431" i="6"/>
  <c r="L432" i="6" a="1"/>
  <c r="L432" i="6"/>
  <c r="L433" i="6" a="1"/>
  <c r="L433" i="6"/>
  <c r="L434" i="6" a="1"/>
  <c r="L434" i="6"/>
  <c r="L435" i="6" a="1"/>
  <c r="L435" i="6"/>
  <c r="L436" i="6" a="1"/>
  <c r="L436" i="6"/>
  <c r="L437" i="6" a="1"/>
  <c r="L437" i="6"/>
  <c r="L438" i="6" a="1"/>
  <c r="L438" i="6"/>
  <c r="L439" i="6" a="1"/>
  <c r="L439" i="6"/>
  <c r="L440" i="6" a="1"/>
  <c r="L440" i="6"/>
  <c r="L441" i="6" a="1"/>
  <c r="L441" i="6"/>
  <c r="L442" i="6" a="1"/>
  <c r="L442" i="6"/>
  <c r="L443" i="6" a="1"/>
  <c r="L443" i="6"/>
  <c r="L444" i="6" a="1"/>
  <c r="L444" i="6"/>
  <c r="L445" i="6" a="1"/>
  <c r="L445" i="6"/>
  <c r="L446" i="6" a="1"/>
  <c r="L446" i="6"/>
  <c r="L447" i="6" a="1"/>
  <c r="L447" i="6"/>
  <c r="L448" i="6" a="1"/>
  <c r="L448" i="6"/>
  <c r="L449" i="6" a="1"/>
  <c r="L449" i="6"/>
  <c r="L450" i="6" a="1"/>
  <c r="L450" i="6"/>
  <c r="L451" i="6" a="1"/>
  <c r="L451" i="6"/>
  <c r="L452" i="6" a="1"/>
  <c r="L452" i="6"/>
  <c r="L453" i="6" a="1"/>
  <c r="L453" i="6"/>
  <c r="L454" i="6" a="1"/>
  <c r="L454" i="6"/>
  <c r="L455" i="6" a="1"/>
  <c r="L455" i="6"/>
  <c r="L456" i="6" a="1"/>
  <c r="L456" i="6"/>
  <c r="L457" i="6" a="1"/>
  <c r="L457" i="6"/>
  <c r="L458" i="6" a="1"/>
  <c r="L458" i="6"/>
  <c r="L459" i="6" a="1"/>
  <c r="L459" i="6"/>
  <c r="L460" i="6" a="1"/>
  <c r="L460" i="6"/>
  <c r="L461" i="6" a="1"/>
  <c r="L461" i="6"/>
  <c r="L462" i="6" a="1"/>
  <c r="L462" i="6"/>
  <c r="L463" i="6" a="1"/>
  <c r="L463" i="6"/>
  <c r="L464" i="6" a="1"/>
  <c r="L464" i="6"/>
  <c r="L465" i="6" a="1"/>
  <c r="L465" i="6"/>
  <c r="L466" i="6" a="1"/>
  <c r="L466" i="6"/>
  <c r="L467" i="6" a="1"/>
  <c r="L467" i="6"/>
  <c r="L468" i="6" a="1"/>
  <c r="L468" i="6"/>
  <c r="L469" i="6" a="1"/>
  <c r="L469" i="6"/>
  <c r="L470" i="6" a="1"/>
  <c r="L470" i="6"/>
  <c r="L471" i="6" a="1"/>
  <c r="L471" i="6"/>
  <c r="L472" i="6" a="1"/>
  <c r="L472" i="6"/>
  <c r="L473" i="6" a="1"/>
  <c r="L473" i="6"/>
  <c r="L474" i="6" a="1"/>
  <c r="L474" i="6"/>
  <c r="L475" i="6" a="1"/>
  <c r="L475" i="6"/>
  <c r="L476" i="6" a="1"/>
  <c r="L476" i="6"/>
  <c r="L477" i="6" a="1"/>
  <c r="L477" i="6"/>
  <c r="L478" i="6" a="1"/>
  <c r="L478" i="6"/>
  <c r="L479" i="6" a="1"/>
  <c r="L479" i="6"/>
  <c r="L480" i="6" a="1"/>
  <c r="L480" i="6"/>
  <c r="L481" i="6" a="1"/>
  <c r="L481" i="6"/>
  <c r="L482" i="6" a="1"/>
  <c r="L482" i="6"/>
  <c r="L483" i="6" a="1"/>
  <c r="L483" i="6"/>
  <c r="L484" i="6" a="1"/>
  <c r="L484" i="6"/>
  <c r="L485" i="6" a="1"/>
  <c r="L485" i="6"/>
  <c r="L486" i="6" a="1"/>
  <c r="L486" i="6"/>
  <c r="L487" i="6" a="1"/>
  <c r="L487" i="6"/>
  <c r="L488" i="6" a="1"/>
  <c r="L488" i="6"/>
  <c r="L489" i="6" a="1"/>
  <c r="L489" i="6"/>
  <c r="L490" i="6" a="1"/>
  <c r="L490" i="6"/>
  <c r="L491" i="6" a="1"/>
  <c r="L491" i="6"/>
  <c r="L492" i="6" a="1"/>
  <c r="L492" i="6"/>
  <c r="L493" i="6" a="1"/>
  <c r="L493" i="6"/>
  <c r="L494" i="6" a="1"/>
  <c r="L494" i="6"/>
  <c r="L495" i="6" a="1"/>
  <c r="L495" i="6"/>
  <c r="L496" i="6" a="1"/>
  <c r="L496" i="6"/>
  <c r="L497" i="6" a="1"/>
  <c r="L497" i="6"/>
  <c r="L498" i="6" a="1"/>
  <c r="L498" i="6"/>
  <c r="L499" i="6" a="1"/>
  <c r="L499" i="6"/>
  <c r="L500" i="6" a="1"/>
  <c r="L500" i="6"/>
  <c r="L501" i="6" a="1"/>
  <c r="L501" i="6"/>
  <c r="L502" i="6" a="1"/>
  <c r="L502" i="6"/>
  <c r="L503" i="6" a="1"/>
  <c r="L503" i="6"/>
  <c r="L504" i="6" a="1"/>
  <c r="L504" i="6"/>
  <c r="L505" i="6" a="1"/>
  <c r="L505" i="6"/>
  <c r="L506" i="6" a="1"/>
  <c r="L506" i="6"/>
  <c r="L507" i="6" a="1"/>
  <c r="L507" i="6"/>
  <c r="L508" i="6" a="1"/>
  <c r="L508" i="6"/>
  <c r="L509" i="6" a="1"/>
  <c r="L509" i="6"/>
  <c r="L510" i="6" a="1"/>
  <c r="L510" i="6"/>
  <c r="L511" i="6" a="1"/>
  <c r="L511" i="6"/>
  <c r="L512" i="6" a="1"/>
  <c r="L512" i="6"/>
  <c r="L513" i="6" a="1"/>
  <c r="L513" i="6"/>
  <c r="L514" i="6" a="1"/>
  <c r="L514" i="6"/>
  <c r="L515" i="6" a="1"/>
  <c r="L515" i="6"/>
  <c r="L516" i="6" a="1"/>
  <c r="L516" i="6"/>
  <c r="L517" i="6" a="1"/>
  <c r="L517" i="6"/>
  <c r="L518" i="6" a="1"/>
  <c r="L518" i="6"/>
  <c r="L519" i="6" a="1"/>
  <c r="L519" i="6"/>
  <c r="L520" i="6" a="1"/>
  <c r="L520" i="6"/>
  <c r="L521" i="6" a="1"/>
  <c r="L521" i="6"/>
  <c r="L522" i="6" a="1"/>
  <c r="L522" i="6"/>
  <c r="L523" i="6" a="1"/>
  <c r="L523" i="6"/>
  <c r="L524" i="6" a="1"/>
  <c r="L524" i="6"/>
  <c r="L525" i="6" a="1"/>
  <c r="L525" i="6"/>
  <c r="L526" i="6" a="1"/>
  <c r="L526" i="6"/>
  <c r="L527" i="6" a="1"/>
  <c r="L527" i="6"/>
  <c r="L528" i="6" a="1"/>
  <c r="L528" i="6"/>
  <c r="L529" i="6" a="1"/>
  <c r="L529" i="6"/>
  <c r="L530" i="6" a="1"/>
  <c r="L530" i="6"/>
  <c r="L531" i="6" a="1"/>
  <c r="L531" i="6"/>
  <c r="L532" i="6" a="1"/>
  <c r="L532" i="6"/>
  <c r="L533" i="6" a="1"/>
  <c r="L533" i="6"/>
  <c r="L534" i="6" a="1"/>
  <c r="L534" i="6"/>
  <c r="L535" i="6" a="1"/>
  <c r="L535" i="6"/>
  <c r="L536" i="6" a="1"/>
  <c r="L536" i="6"/>
  <c r="L537" i="6" a="1"/>
  <c r="L537" i="6"/>
  <c r="L538" i="6" a="1"/>
  <c r="L538" i="6"/>
  <c r="L539" i="6" a="1"/>
  <c r="L539" i="6"/>
  <c r="L540" i="6" a="1"/>
  <c r="L540" i="6"/>
  <c r="L541" i="6" a="1"/>
  <c r="L541" i="6"/>
  <c r="L542" i="6" a="1"/>
  <c r="L542" i="6"/>
  <c r="L543" i="6" a="1"/>
  <c r="L543" i="6"/>
  <c r="L544" i="6" a="1"/>
  <c r="L544" i="6"/>
  <c r="L545" i="6" a="1"/>
  <c r="L545" i="6"/>
  <c r="L546" i="6" a="1"/>
  <c r="L546" i="6"/>
  <c r="L547" i="6" a="1"/>
  <c r="L547" i="6"/>
  <c r="L548" i="6" a="1"/>
  <c r="L548" i="6"/>
  <c r="L549" i="6" a="1"/>
  <c r="L549" i="6"/>
  <c r="L550" i="6" a="1"/>
  <c r="L550" i="6"/>
  <c r="L551" i="6" a="1"/>
  <c r="L551" i="6"/>
  <c r="L552" i="6" a="1"/>
  <c r="L552" i="6"/>
  <c r="L553" i="6" a="1"/>
  <c r="L553" i="6"/>
  <c r="L554" i="6" a="1"/>
  <c r="L554" i="6"/>
  <c r="L555" i="6" a="1"/>
  <c r="L555" i="6"/>
  <c r="L556" i="6" a="1"/>
  <c r="L556" i="6"/>
  <c r="L557" i="6" a="1"/>
  <c r="L557" i="6"/>
  <c r="L558" i="6" a="1"/>
  <c r="L558" i="6"/>
  <c r="L559" i="6" a="1"/>
  <c r="L559" i="6"/>
  <c r="L560" i="6" a="1"/>
  <c r="L560" i="6"/>
  <c r="L561" i="6" a="1"/>
  <c r="L561" i="6"/>
  <c r="L562" i="6" a="1"/>
  <c r="L562" i="6"/>
  <c r="L563" i="6" a="1"/>
  <c r="L563" i="6"/>
  <c r="L564" i="6" a="1"/>
  <c r="L564" i="6"/>
  <c r="L565" i="6" a="1"/>
  <c r="L565" i="6"/>
  <c r="L566" i="6" a="1"/>
  <c r="L566" i="6"/>
  <c r="L567" i="6" a="1"/>
  <c r="L567" i="6"/>
  <c r="L568" i="6" a="1"/>
  <c r="L568" i="6"/>
  <c r="L569" i="6" a="1"/>
  <c r="L569" i="6"/>
  <c r="L570" i="6" a="1"/>
  <c r="L570" i="6"/>
  <c r="L571" i="6" a="1"/>
  <c r="L571" i="6"/>
  <c r="L572" i="6" a="1"/>
  <c r="L572" i="6"/>
  <c r="L573" i="6" a="1"/>
  <c r="L573" i="6"/>
  <c r="L574" i="6" a="1"/>
  <c r="L574" i="6"/>
  <c r="L575" i="6" a="1"/>
  <c r="L575" i="6"/>
  <c r="L576" i="6" a="1"/>
  <c r="L576" i="6"/>
  <c r="L577" i="6" a="1"/>
  <c r="L577" i="6"/>
  <c r="L578" i="6" a="1"/>
  <c r="L578" i="6"/>
  <c r="L579" i="6" a="1"/>
  <c r="L579" i="6"/>
  <c r="L580" i="6" a="1"/>
  <c r="L580" i="6"/>
  <c r="L581" i="6" a="1"/>
  <c r="L581" i="6"/>
  <c r="L582" i="6" a="1"/>
  <c r="L582" i="6"/>
  <c r="L583" i="6" a="1"/>
  <c r="L583" i="6"/>
  <c r="L584" i="6" a="1"/>
  <c r="L584" i="6"/>
  <c r="L585" i="6" a="1"/>
  <c r="L585" i="6"/>
  <c r="L586" i="6" a="1"/>
  <c r="L586" i="6"/>
  <c r="L587" i="6" a="1"/>
  <c r="L587" i="6"/>
  <c r="L588" i="6" a="1"/>
  <c r="L588" i="6"/>
  <c r="L589" i="6" a="1"/>
  <c r="L589" i="6"/>
  <c r="L590" i="6" a="1"/>
  <c r="L590" i="6"/>
  <c r="L591" i="6" a="1"/>
  <c r="L591" i="6"/>
  <c r="L592" i="6" a="1"/>
  <c r="L592" i="6"/>
  <c r="L593" i="6" a="1"/>
  <c r="L593" i="6"/>
  <c r="L594" i="6" a="1"/>
  <c r="L594" i="6"/>
  <c r="L595" i="6" a="1"/>
  <c r="L595" i="6"/>
  <c r="L596" i="6" a="1"/>
  <c r="L596" i="6"/>
  <c r="L597" i="6" a="1"/>
  <c r="L597" i="6"/>
  <c r="L598" i="6" a="1"/>
  <c r="L598" i="6"/>
  <c r="L599" i="6" a="1"/>
  <c r="L599" i="6"/>
  <c r="L600" i="6" a="1"/>
  <c r="L600" i="6"/>
  <c r="L601" i="6" a="1"/>
  <c r="L601" i="6"/>
  <c r="L602" i="6" a="1"/>
  <c r="L602" i="6"/>
  <c r="L603" i="6" a="1"/>
  <c r="L603" i="6"/>
  <c r="L604" i="6" a="1"/>
  <c r="L604" i="6"/>
  <c r="L605" i="6" a="1"/>
  <c r="L605" i="6"/>
  <c r="L606" i="6" a="1"/>
  <c r="L606" i="6"/>
  <c r="L607" i="6" a="1"/>
  <c r="L607" i="6"/>
  <c r="L608" i="6" a="1"/>
  <c r="L608" i="6"/>
  <c r="L609" i="6" a="1"/>
  <c r="L609" i="6"/>
  <c r="L610" i="6" a="1"/>
  <c r="L610" i="6"/>
  <c r="L611" i="6" a="1"/>
  <c r="L611" i="6"/>
  <c r="L612" i="6" a="1"/>
  <c r="L612" i="6"/>
  <c r="L613" i="6" a="1"/>
  <c r="L613" i="6"/>
  <c r="L614" i="6" a="1"/>
  <c r="L614" i="6"/>
  <c r="L615" i="6" a="1"/>
  <c r="L615" i="6"/>
  <c r="L616" i="6" a="1"/>
  <c r="L616" i="6"/>
  <c r="L617" i="6" a="1"/>
  <c r="L617" i="6"/>
  <c r="L618" i="6" a="1"/>
  <c r="L618" i="6"/>
  <c r="L619" i="6" a="1"/>
  <c r="L619" i="6"/>
  <c r="L620" i="6" a="1"/>
  <c r="L620" i="6"/>
  <c r="L621" i="6" a="1"/>
  <c r="L621" i="6"/>
  <c r="L622" i="6" a="1"/>
  <c r="L622" i="6"/>
  <c r="L623" i="6" a="1"/>
  <c r="L623" i="6"/>
  <c r="L624" i="6" a="1"/>
  <c r="L624" i="6"/>
  <c r="L625" i="6" a="1"/>
  <c r="L625" i="6"/>
  <c r="L626" i="6" a="1"/>
  <c r="L626" i="6"/>
  <c r="L627" i="6" a="1"/>
  <c r="L627" i="6"/>
  <c r="L628" i="6" a="1"/>
  <c r="L628" i="6"/>
  <c r="L629" i="6" a="1"/>
  <c r="L629" i="6"/>
  <c r="L630" i="6" a="1"/>
  <c r="L630" i="6"/>
  <c r="L631" i="6" a="1"/>
  <c r="L631" i="6"/>
  <c r="L632" i="6" a="1"/>
  <c r="L632" i="6"/>
  <c r="L633" i="6" a="1"/>
  <c r="L633" i="6"/>
  <c r="L634" i="6" a="1"/>
  <c r="L634" i="6"/>
  <c r="L635" i="6" a="1"/>
  <c r="L635" i="6"/>
  <c r="L636" i="6" a="1"/>
  <c r="L636" i="6"/>
  <c r="L637" i="6" a="1"/>
  <c r="L637" i="6"/>
  <c r="L638" i="6" a="1"/>
  <c r="L638" i="6"/>
  <c r="L639" i="6" a="1"/>
  <c r="L639" i="6"/>
  <c r="L640" i="6" a="1"/>
  <c r="L640" i="6"/>
  <c r="L641" i="6" a="1"/>
  <c r="L641" i="6"/>
  <c r="L642" i="6" a="1"/>
  <c r="L642" i="6"/>
  <c r="L643" i="6" a="1"/>
  <c r="L643" i="6"/>
  <c r="L644" i="6" a="1"/>
  <c r="L644" i="6"/>
  <c r="L645" i="6" a="1"/>
  <c r="L645" i="6"/>
  <c r="L646" i="6" a="1"/>
  <c r="L646" i="6"/>
  <c r="L647" i="6" a="1"/>
  <c r="L647" i="6"/>
  <c r="L648" i="6" a="1"/>
  <c r="L648" i="6"/>
  <c r="L649" i="6" a="1"/>
  <c r="L649" i="6"/>
  <c r="L650" i="6" a="1"/>
  <c r="L650" i="6"/>
  <c r="L651" i="6" a="1"/>
  <c r="L651" i="6"/>
  <c r="L652" i="6" a="1"/>
  <c r="L652" i="6"/>
  <c r="L653" i="6" a="1"/>
  <c r="L653" i="6"/>
  <c r="L654" i="6" a="1"/>
  <c r="L654" i="6"/>
  <c r="L655" i="6" a="1"/>
  <c r="L655" i="6"/>
  <c r="L656" i="6" a="1"/>
  <c r="L656" i="6"/>
  <c r="L657" i="6" a="1"/>
  <c r="L657" i="6"/>
  <c r="L658" i="6" a="1"/>
  <c r="L658" i="6"/>
  <c r="L659" i="6" a="1"/>
  <c r="L659" i="6"/>
  <c r="L660" i="6" a="1"/>
  <c r="L660" i="6"/>
  <c r="L661" i="6" a="1"/>
  <c r="L661" i="6"/>
  <c r="L662" i="6" a="1"/>
  <c r="L662" i="6"/>
  <c r="L663" i="6" a="1"/>
  <c r="L663" i="6"/>
  <c r="L664" i="6" a="1"/>
  <c r="L664" i="6"/>
  <c r="L665" i="6" a="1"/>
  <c r="L665" i="6"/>
  <c r="L666" i="6" a="1"/>
  <c r="L666" i="6"/>
  <c r="L667" i="6" a="1"/>
  <c r="L667" i="6"/>
  <c r="L668" i="6" a="1"/>
  <c r="L668" i="6"/>
  <c r="L669" i="6" a="1"/>
  <c r="L669" i="6" s="1"/>
  <c r="L670" i="6" a="1"/>
  <c r="L670" i="6"/>
  <c r="L671" i="6" a="1"/>
  <c r="L671" i="6" s="1"/>
  <c r="L672" i="6" a="1"/>
  <c r="L672" i="6" s="1"/>
  <c r="L673" i="6" a="1"/>
  <c r="L673" i="6"/>
  <c r="L674" i="6" a="1"/>
  <c r="L674" i="6" s="1"/>
  <c r="L675" i="6" a="1"/>
  <c r="L675" i="6" s="1"/>
  <c r="L676" i="6" a="1"/>
  <c r="L676" i="6"/>
  <c r="L677" i="6" a="1"/>
  <c r="L677" i="6" s="1"/>
  <c r="L678" i="6" a="1"/>
  <c r="L678" i="6" s="1"/>
  <c r="L679" i="6" a="1"/>
  <c r="L679" i="6"/>
  <c r="L680" i="6" a="1"/>
  <c r="L680" i="6" s="1"/>
  <c r="L681" i="6" a="1"/>
  <c r="L681" i="6" s="1"/>
  <c r="L682" i="6" a="1"/>
  <c r="L682" i="6"/>
  <c r="L683" i="6" a="1"/>
  <c r="L683" i="6" s="1"/>
  <c r="L684" i="6" a="1"/>
  <c r="L684" i="6" s="1"/>
  <c r="L685" i="6" a="1"/>
  <c r="L685" i="6"/>
  <c r="L686" i="6" a="1"/>
  <c r="L686" i="6" s="1"/>
  <c r="L687" i="6" a="1"/>
  <c r="L687" i="6" s="1"/>
  <c r="L688" i="6" a="1"/>
  <c r="L688" i="6"/>
  <c r="L689" i="6" a="1"/>
  <c r="L689" i="6" s="1"/>
  <c r="L690" i="6" a="1"/>
  <c r="L690" i="6" s="1"/>
  <c r="L691" i="6" a="1"/>
  <c r="L691" i="6"/>
  <c r="L692" i="6" a="1"/>
  <c r="L692" i="6" s="1"/>
  <c r="L693" i="6" a="1"/>
  <c r="L693" i="6" s="1"/>
  <c r="L694" i="6" a="1"/>
  <c r="L694" i="6"/>
  <c r="L695" i="6" a="1"/>
  <c r="L695" i="6"/>
  <c r="L696" i="6" a="1"/>
  <c r="L696" i="6" s="1"/>
  <c r="L697" i="6" a="1"/>
  <c r="L697" i="6"/>
  <c r="L698" i="6" a="1"/>
  <c r="L698" i="6"/>
  <c r="L699" i="6" a="1"/>
  <c r="L699" i="6" s="1"/>
  <c r="L700" i="6" a="1"/>
  <c r="L700" i="6"/>
  <c r="L701" i="6" a="1"/>
  <c r="L701" i="6"/>
  <c r="L702" i="6" a="1"/>
  <c r="L702" i="6" s="1"/>
  <c r="L703" i="6" a="1"/>
  <c r="L703" i="6"/>
  <c r="L704" i="6" a="1"/>
  <c r="L704" i="6"/>
  <c r="L705" i="6" a="1"/>
  <c r="L705" i="6" s="1"/>
  <c r="L706" i="6" a="1"/>
  <c r="L706" i="6"/>
  <c r="L707" i="6" a="1"/>
  <c r="L707" i="6" s="1"/>
  <c r="L708" i="6" a="1"/>
  <c r="L708" i="6" s="1"/>
  <c r="L709" i="6" a="1"/>
  <c r="L709" i="6"/>
  <c r="L710" i="6" a="1"/>
  <c r="L710" i="6" s="1"/>
  <c r="L711" i="6" a="1"/>
  <c r="L711" i="6" s="1"/>
  <c r="L712" i="6" a="1"/>
  <c r="L712" i="6"/>
  <c r="L713" i="6" a="1"/>
  <c r="L713" i="6" s="1"/>
  <c r="L714" i="6" a="1"/>
  <c r="L714" i="6" s="1"/>
  <c r="L715" i="6" a="1"/>
  <c r="L715" i="6"/>
  <c r="L716" i="6" a="1"/>
  <c r="L716" i="6" s="1"/>
  <c r="L717" i="6" a="1"/>
  <c r="L717" i="6" s="1"/>
  <c r="L718" i="6" a="1"/>
  <c r="L718" i="6"/>
  <c r="L719" i="6" a="1"/>
  <c r="L719" i="6" s="1"/>
  <c r="L720" i="6" a="1"/>
  <c r="L720" i="6" s="1"/>
  <c r="L721" i="6" a="1"/>
  <c r="L721" i="6"/>
  <c r="L722" i="6" a="1"/>
  <c r="L722" i="6" s="1"/>
  <c r="L723" i="6" a="1"/>
  <c r="L723" i="6" s="1"/>
  <c r="L724" i="6" a="1"/>
  <c r="L724" i="6"/>
  <c r="L725" i="6" a="1"/>
  <c r="L725" i="6" s="1"/>
  <c r="L726" i="6" a="1"/>
  <c r="L726" i="6" s="1"/>
  <c r="L727" i="6" a="1"/>
  <c r="L727" i="6"/>
  <c r="L728" i="6" a="1"/>
  <c r="L728" i="6" s="1"/>
  <c r="L729" i="6" a="1"/>
  <c r="L729" i="6" s="1"/>
  <c r="L730" i="6" a="1"/>
  <c r="L730" i="6"/>
  <c r="L731" i="6" a="1"/>
  <c r="L731" i="6" s="1"/>
  <c r="L732" i="6" a="1"/>
  <c r="L732" i="6" s="1"/>
  <c r="L733" i="6" a="1"/>
  <c r="L733" i="6"/>
  <c r="L734" i="6" a="1"/>
  <c r="L734" i="6" s="1"/>
  <c r="L735" i="6" a="1"/>
  <c r="L735" i="6" s="1"/>
  <c r="L736" i="6" a="1"/>
  <c r="L736" i="6"/>
  <c r="L737" i="6" a="1"/>
  <c r="L737" i="6" s="1"/>
  <c r="L738" i="6" a="1"/>
  <c r="L738" i="6" s="1"/>
  <c r="L739" i="6" a="1"/>
  <c r="L739" i="6"/>
  <c r="L740" i="6" a="1"/>
  <c r="L740" i="6" s="1"/>
  <c r="L741" i="6" a="1"/>
  <c r="L741" i="6" s="1"/>
  <c r="L742" i="6" a="1"/>
  <c r="L742" i="6"/>
  <c r="L743" i="6" a="1"/>
  <c r="L743" i="6" s="1"/>
  <c r="L744" i="6" a="1"/>
  <c r="L744" i="6" s="1"/>
  <c r="L745" i="6" a="1"/>
  <c r="L745" i="6"/>
  <c r="L746" i="6" a="1"/>
  <c r="L746" i="6" s="1"/>
  <c r="L747" i="6" a="1"/>
  <c r="L747" i="6" s="1"/>
  <c r="L748" i="6" a="1"/>
  <c r="L748" i="6"/>
  <c r="L749" i="6" a="1"/>
  <c r="L749" i="6" s="1"/>
  <c r="L750" i="6" a="1"/>
  <c r="L750" i="6" s="1"/>
  <c r="L751" i="6" a="1"/>
  <c r="L751" i="6"/>
  <c r="L752" i="6" a="1"/>
  <c r="L752" i="6" s="1"/>
  <c r="L753" i="6" a="1"/>
  <c r="L753" i="6" s="1"/>
  <c r="L754" i="6" a="1"/>
  <c r="L754" i="6"/>
  <c r="L755" i="6" a="1"/>
  <c r="L755" i="6" s="1"/>
  <c r="L756" i="6" a="1"/>
  <c r="L756" i="6" s="1"/>
  <c r="L757" i="6" a="1"/>
  <c r="L757" i="6"/>
  <c r="L758" i="6" a="1"/>
  <c r="L758" i="6" s="1"/>
  <c r="L759" i="6" a="1"/>
  <c r="L759" i="6" s="1"/>
  <c r="L760" i="6" a="1"/>
  <c r="L760" i="6"/>
  <c r="L761" i="6" a="1"/>
  <c r="L761" i="6" s="1"/>
  <c r="L762" i="6" a="1"/>
  <c r="L762" i="6" s="1"/>
  <c r="L763" i="6" a="1"/>
  <c r="L763" i="6"/>
  <c r="L764" i="6" a="1"/>
  <c r="L764" i="6" s="1"/>
  <c r="L765" i="6" a="1"/>
  <c r="L765" i="6" s="1"/>
  <c r="L766" i="6" a="1"/>
  <c r="L766" i="6"/>
  <c r="L767" i="6" a="1"/>
  <c r="L767" i="6" s="1"/>
  <c r="L768" i="6" a="1"/>
  <c r="L768" i="6"/>
  <c r="L769" i="6" a="1"/>
  <c r="L769" i="6"/>
  <c r="L770" i="6" a="1"/>
  <c r="L770" i="6" s="1"/>
  <c r="L771" i="6" a="1"/>
  <c r="L771" i="6"/>
  <c r="L772" i="6" a="1"/>
  <c r="L772" i="6"/>
  <c r="L773" i="6" a="1"/>
  <c r="L773" i="6" s="1"/>
  <c r="L774" i="6" a="1"/>
  <c r="L774" i="6"/>
  <c r="L775" i="6" a="1"/>
  <c r="L775" i="6"/>
  <c r="L776" i="6" a="1"/>
  <c r="L776" i="6" s="1"/>
  <c r="L777" i="6" a="1"/>
  <c r="L777" i="6"/>
  <c r="L778" i="6" a="1"/>
  <c r="L778" i="6"/>
  <c r="L779" i="6" a="1"/>
  <c r="L779" i="6" s="1"/>
  <c r="L780" i="6" a="1"/>
  <c r="L780" i="6"/>
  <c r="L781" i="6" a="1"/>
  <c r="L781" i="6"/>
  <c r="L782" i="6" a="1"/>
  <c r="L782" i="6" s="1"/>
  <c r="L783" i="6" a="1"/>
  <c r="L783" i="6"/>
  <c r="L784" i="6" a="1"/>
  <c r="L784" i="6"/>
  <c r="L785" i="6" a="1"/>
  <c r="L785" i="6" s="1"/>
  <c r="L786" i="6" a="1"/>
  <c r="L786" i="6"/>
  <c r="L787" i="6" a="1"/>
  <c r="L787" i="6"/>
  <c r="L788" i="6" a="1"/>
  <c r="L788" i="6" s="1"/>
  <c r="L789" i="6" a="1"/>
  <c r="L789" i="6"/>
  <c r="L790" i="6" a="1"/>
  <c r="L790" i="6"/>
  <c r="L791" i="6" a="1"/>
  <c r="L791" i="6" s="1"/>
  <c r="L792" i="6" a="1"/>
  <c r="L792" i="6"/>
  <c r="L793" i="6" a="1"/>
  <c r="L793" i="6"/>
  <c r="L794" i="6" a="1"/>
  <c r="L794" i="6" s="1"/>
  <c r="L795" i="6" a="1"/>
  <c r="L795" i="6"/>
  <c r="L796" i="6" a="1"/>
  <c r="L796" i="6"/>
  <c r="L797" i="6" a="1"/>
  <c r="L797" i="6" s="1"/>
  <c r="L798" i="6" a="1"/>
  <c r="L798" i="6"/>
  <c r="L799" i="6" a="1"/>
  <c r="L799" i="6"/>
  <c r="L800" i="6" a="1"/>
  <c r="L800" i="6" s="1"/>
  <c r="L801" i="6" a="1"/>
  <c r="L801" i="6"/>
  <c r="L802" i="6" a="1"/>
  <c r="L802" i="6"/>
  <c r="L803" i="6" a="1"/>
  <c r="L803" i="6" s="1"/>
  <c r="L804" i="6" a="1"/>
  <c r="L804" i="6"/>
  <c r="L805" i="6" a="1"/>
  <c r="L805" i="6"/>
  <c r="L806" i="6" a="1"/>
  <c r="L806" i="6" s="1"/>
  <c r="L807" i="6" a="1"/>
  <c r="L807" i="6"/>
  <c r="L808" i="6" a="1"/>
  <c r="L808" i="6"/>
  <c r="L809" i="6" a="1"/>
  <c r="L809" i="6" s="1"/>
  <c r="L810" i="6" a="1"/>
  <c r="L810" i="6"/>
  <c r="L811" i="6" a="1"/>
  <c r="L811" i="6"/>
  <c r="L812" i="6" a="1"/>
  <c r="L812" i="6" s="1"/>
  <c r="L813" i="6" a="1"/>
  <c r="L813" i="6"/>
  <c r="L814" i="6" a="1"/>
  <c r="L814" i="6"/>
  <c r="L815" i="6" a="1"/>
  <c r="L815" i="6" s="1"/>
  <c r="L816" i="6" a="1"/>
  <c r="L816" i="6"/>
  <c r="L817" i="6" a="1"/>
  <c r="L817" i="6"/>
  <c r="L818" i="6" a="1"/>
  <c r="L818" i="6" s="1"/>
  <c r="L819" i="6" a="1"/>
  <c r="L819" i="6"/>
  <c r="L820" i="6" a="1"/>
  <c r="L820" i="6"/>
  <c r="L821" i="6" a="1"/>
  <c r="L821" i="6" s="1"/>
  <c r="L822" i="6" a="1"/>
  <c r="L822" i="6"/>
  <c r="L823" i="6" a="1"/>
  <c r="L823" i="6"/>
  <c r="L824" i="6" a="1"/>
  <c r="L824" i="6" s="1"/>
  <c r="L825" i="6" a="1"/>
  <c r="L825" i="6"/>
  <c r="L826" i="6" a="1"/>
  <c r="L826" i="6"/>
  <c r="L827" i="6" a="1"/>
  <c r="L827" i="6" s="1"/>
  <c r="L828" i="6" a="1"/>
  <c r="L828" i="6"/>
  <c r="L829" i="6" a="1"/>
  <c r="L829" i="6"/>
  <c r="L830" i="6" a="1"/>
  <c r="L830" i="6" s="1"/>
  <c r="L831" i="6" a="1"/>
  <c r="L831" i="6"/>
  <c r="L832" i="6" a="1"/>
  <c r="L832" i="6"/>
  <c r="L833" i="6" a="1"/>
  <c r="L833" i="6" s="1"/>
  <c r="L834" i="6" a="1"/>
  <c r="L834" i="6"/>
  <c r="L835" i="6" a="1"/>
  <c r="L835" i="6"/>
  <c r="L836" i="6" a="1"/>
  <c r="L836" i="6" s="1"/>
  <c r="L837" i="6" a="1"/>
  <c r="L837" i="6"/>
  <c r="L838" i="6" a="1"/>
  <c r="L838" i="6"/>
  <c r="L839" i="6" a="1"/>
  <c r="L839" i="6" s="1"/>
  <c r="L840" i="6" a="1"/>
  <c r="L840" i="6"/>
  <c r="L841" i="6" a="1"/>
  <c r="L841" i="6"/>
  <c r="L842" i="6" a="1"/>
  <c r="L842" i="6" s="1"/>
  <c r="L843" i="6" a="1"/>
  <c r="L843" i="6"/>
  <c r="L844" i="6" a="1"/>
  <c r="L844" i="6"/>
  <c r="L845" i="6" a="1"/>
  <c r="L845" i="6" s="1"/>
  <c r="L846" i="6" a="1"/>
  <c r="L846" i="6"/>
  <c r="L847" i="6" a="1"/>
  <c r="L847" i="6" s="1"/>
  <c r="L848" i="6" a="1"/>
  <c r="L848" i="6" s="1"/>
  <c r="L849" i="6" a="1"/>
  <c r="L849" i="6"/>
  <c r="L850" i="6" a="1"/>
  <c r="L850" i="6" s="1"/>
  <c r="L851" i="6" a="1"/>
  <c r="L851" i="6" s="1"/>
  <c r="L852" i="6" a="1"/>
  <c r="L852" i="6" s="1"/>
  <c r="L853" i="6" a="1"/>
  <c r="L853" i="6" s="1"/>
  <c r="L854" i="6" a="1"/>
  <c r="L854" i="6" s="1"/>
  <c r="L855" i="6" a="1"/>
  <c r="L855" i="6"/>
  <c r="L856" i="6" a="1"/>
  <c r="L856" i="6" s="1"/>
  <c r="L857" i="6" a="1"/>
  <c r="L857" i="6" s="1"/>
  <c r="L858" i="6" a="1"/>
  <c r="L858" i="6"/>
  <c r="L859" i="6" a="1"/>
  <c r="L859" i="6" s="1"/>
  <c r="L860" i="6" a="1"/>
  <c r="L860" i="6" s="1"/>
  <c r="L861" i="6" a="1"/>
  <c r="L861" i="6" s="1"/>
  <c r="L862" i="6" a="1"/>
  <c r="L862" i="6" s="1"/>
  <c r="L863" i="6" a="1"/>
  <c r="L863" i="6" s="1"/>
  <c r="L864" i="6" a="1"/>
  <c r="L864" i="6"/>
  <c r="L865" i="6" a="1"/>
  <c r="L865" i="6" s="1"/>
  <c r="L866" i="6" a="1"/>
  <c r="L866" i="6" s="1"/>
  <c r="L867" i="6" a="1"/>
  <c r="L867" i="6"/>
  <c r="L868" i="6" a="1"/>
  <c r="L868" i="6" s="1"/>
  <c r="L869" i="6" a="1"/>
  <c r="L869" i="6" s="1"/>
  <c r="L870" i="6" a="1"/>
  <c r="L870" i="6" s="1"/>
  <c r="L871" i="6" a="1"/>
  <c r="L871" i="6" s="1"/>
  <c r="L872" i="6" a="1"/>
  <c r="L872" i="6" s="1"/>
  <c r="L873" i="6" a="1"/>
  <c r="L873" i="6"/>
  <c r="L874" i="6" a="1"/>
  <c r="L874" i="6" s="1"/>
  <c r="L875" i="6" a="1"/>
  <c r="L875" i="6" s="1"/>
  <c r="L876" i="6" a="1"/>
  <c r="L876" i="6"/>
  <c r="L877" i="6" a="1"/>
  <c r="L877" i="6" s="1"/>
  <c r="L878" i="6" a="1"/>
  <c r="L878" i="6" s="1"/>
  <c r="L879" i="6" a="1"/>
  <c r="L879" i="6" s="1"/>
  <c r="L880" i="6" a="1"/>
  <c r="L880" i="6" s="1"/>
  <c r="L881" i="6" a="1"/>
  <c r="L881" i="6" s="1"/>
  <c r="L882" i="6" a="1"/>
  <c r="L882" i="6"/>
  <c r="L883" i="6" a="1"/>
  <c r="L883" i="6" s="1"/>
  <c r="L884" i="6" a="1"/>
  <c r="L884" i="6" s="1"/>
  <c r="L885" i="6" a="1"/>
  <c r="L885" i="6"/>
  <c r="L886" i="6" a="1"/>
  <c r="L886" i="6" s="1"/>
  <c r="L887" i="6" a="1"/>
  <c r="L887" i="6" s="1"/>
  <c r="L888" i="6" a="1"/>
  <c r="L888" i="6" s="1"/>
  <c r="L889" i="6" a="1"/>
  <c r="L889" i="6" s="1"/>
  <c r="L890" i="6" a="1"/>
  <c r="L890" i="6" s="1"/>
  <c r="L891" i="6" a="1"/>
  <c r="L891" i="6"/>
  <c r="L892" i="6" a="1"/>
  <c r="L892" i="6" s="1"/>
  <c r="L893" i="6" a="1"/>
  <c r="L893" i="6" s="1"/>
  <c r="L894" i="6" a="1"/>
  <c r="L894" i="6"/>
  <c r="L895" i="6" a="1"/>
  <c r="L895" i="6" s="1"/>
  <c r="L896" i="6" a="1"/>
  <c r="L896" i="6" s="1"/>
  <c r="L897" i="6" a="1"/>
  <c r="L897" i="6" s="1"/>
  <c r="L898" i="6" a="1"/>
  <c r="L898" i="6" s="1"/>
  <c r="L899" i="6" a="1"/>
  <c r="L899" i="6" s="1"/>
  <c r="L900" i="6" a="1"/>
  <c r="L900" i="6"/>
  <c r="L901" i="6" a="1"/>
  <c r="L901" i="6" s="1"/>
  <c r="L902" i="6" a="1"/>
  <c r="L902" i="6" s="1"/>
  <c r="L903" i="6" a="1"/>
  <c r="L903" i="6"/>
  <c r="L904" i="6" a="1"/>
  <c r="L904" i="6" s="1"/>
  <c r="L905" i="6" a="1"/>
  <c r="L905" i="6" s="1"/>
  <c r="L906" i="6" a="1"/>
  <c r="L906" i="6" s="1"/>
  <c r="L907" i="6" a="1"/>
  <c r="L907" i="6" s="1"/>
  <c r="L908" i="6" a="1"/>
  <c r="L908" i="6" s="1"/>
  <c r="L909" i="6" a="1"/>
  <c r="L909" i="6"/>
  <c r="L910" i="6" a="1"/>
  <c r="L910" i="6" s="1"/>
  <c r="L911" i="6" a="1"/>
  <c r="L911" i="6" s="1"/>
  <c r="L912" i="6" a="1"/>
  <c r="L912" i="6"/>
  <c r="L913" i="6" a="1"/>
  <c r="L913" i="6" s="1"/>
  <c r="L914" i="6" a="1"/>
  <c r="L914" i="6" s="1"/>
  <c r="L915" i="6" a="1"/>
  <c r="L915" i="6" s="1"/>
  <c r="L916" i="6" a="1"/>
  <c r="L916" i="6" s="1"/>
  <c r="L917" i="6" a="1"/>
  <c r="L917" i="6" s="1"/>
  <c r="L918" i="6" a="1"/>
  <c r="L918" i="6"/>
  <c r="L919" i="6" a="1"/>
  <c r="L919" i="6" s="1"/>
  <c r="L920" i="6" a="1"/>
  <c r="L920" i="6" s="1"/>
  <c r="L921" i="6" a="1"/>
  <c r="L921" i="6" s="1"/>
  <c r="L922" i="6" a="1"/>
  <c r="L922" i="6" s="1"/>
  <c r="L923" i="6" a="1"/>
  <c r="L923" i="6" s="1"/>
  <c r="L924" i="6" a="1"/>
  <c r="L924" i="6" s="1"/>
  <c r="L925" i="6" a="1"/>
  <c r="L925" i="6" s="1"/>
  <c r="L926" i="6" a="1"/>
  <c r="L926" i="6" s="1"/>
  <c r="L927" i="6" a="1"/>
  <c r="L927" i="6" s="1"/>
  <c r="L928" i="6" a="1"/>
  <c r="L928" i="6" s="1"/>
  <c r="L929" i="6" a="1"/>
  <c r="L929" i="6" s="1"/>
  <c r="L930" i="6" a="1"/>
  <c r="L930" i="6" s="1"/>
  <c r="L931" i="6" a="1"/>
  <c r="L931" i="6" s="1"/>
  <c r="L932" i="6" a="1"/>
  <c r="L932" i="6" s="1"/>
  <c r="L933" i="6" a="1"/>
  <c r="L933" i="6" s="1"/>
  <c r="L934" i="6" a="1"/>
  <c r="L934" i="6" s="1"/>
  <c r="L935" i="6" a="1"/>
  <c r="L935" i="6" s="1"/>
  <c r="L936" i="6" a="1"/>
  <c r="L936" i="6" s="1"/>
  <c r="L937" i="6" a="1"/>
  <c r="L937" i="6"/>
  <c r="L938" i="6" a="1"/>
  <c r="L938" i="6" s="1"/>
  <c r="L939" i="6" a="1"/>
  <c r="L939" i="6" s="1"/>
  <c r="L940" i="6" a="1"/>
  <c r="L940" i="6"/>
  <c r="L941" i="6" a="1"/>
  <c r="L941" i="6" s="1"/>
  <c r="L942" i="6" a="1"/>
  <c r="L942" i="6" s="1"/>
  <c r="L943" i="6" a="1"/>
  <c r="L943" i="6" s="1"/>
  <c r="L944" i="6" a="1"/>
  <c r="L944" i="6" s="1"/>
  <c r="L945" i="6" a="1"/>
  <c r="L945" i="6" s="1"/>
  <c r="L946" i="6" a="1"/>
  <c r="L946" i="6" s="1"/>
  <c r="L947" i="6" a="1"/>
  <c r="L947" i="6" s="1"/>
  <c r="L948" i="6" a="1"/>
  <c r="L948" i="6" s="1"/>
  <c r="L949" i="6" a="1"/>
  <c r="L949" i="6" s="1"/>
  <c r="L950" i="6" a="1"/>
  <c r="L950" i="6" s="1"/>
  <c r="L951" i="6" a="1"/>
  <c r="L951" i="6" s="1"/>
  <c r="L952" i="6" a="1"/>
  <c r="L952" i="6" s="1"/>
  <c r="L953" i="6" a="1"/>
  <c r="L953" i="6" s="1"/>
  <c r="L954" i="6" a="1"/>
  <c r="L954" i="6" s="1"/>
  <c r="L955" i="6" a="1"/>
  <c r="L955" i="6" s="1"/>
  <c r="L956" i="6" a="1"/>
  <c r="L956" i="6" s="1"/>
  <c r="L957" i="6" a="1"/>
  <c r="L957" i="6" s="1"/>
  <c r="L958" i="6" a="1"/>
  <c r="L958" i="6" s="1"/>
  <c r="L959" i="6" a="1"/>
  <c r="L959" i="6" s="1"/>
  <c r="L4" i="8" a="1"/>
  <c r="L4" i="8"/>
  <c r="L5" i="8" a="1"/>
  <c r="L5" i="8"/>
  <c r="L6" i="8" a="1"/>
  <c r="L6" i="8"/>
  <c r="L7" i="8" a="1"/>
  <c r="L7" i="8"/>
  <c r="L8" i="8" a="1"/>
  <c r="L8" i="8"/>
  <c r="L9" i="8" a="1"/>
  <c r="L9" i="8"/>
  <c r="L10" i="8" a="1"/>
  <c r="L10" i="8"/>
  <c r="L11" i="8" a="1"/>
  <c r="L11" i="8"/>
  <c r="L12" i="8" a="1"/>
  <c r="L12" i="8"/>
  <c r="L13" i="8" a="1"/>
  <c r="L13" i="8"/>
  <c r="L14" i="8" a="1"/>
  <c r="L14" i="8"/>
  <c r="L15" i="8" a="1"/>
  <c r="L15" i="8"/>
  <c r="L16" i="8" a="1"/>
  <c r="L16" i="8"/>
  <c r="L17" i="8" a="1"/>
  <c r="L17" i="8"/>
  <c r="L18" i="8" a="1"/>
  <c r="L18" i="8"/>
  <c r="L19" i="8" a="1"/>
  <c r="L19" i="8"/>
  <c r="L20" i="8" a="1"/>
  <c r="L20" i="8"/>
  <c r="L21" i="8" a="1"/>
  <c r="L21" i="8"/>
  <c r="L22" i="8" a="1"/>
  <c r="L22" i="8"/>
  <c r="L23" i="8" a="1"/>
  <c r="L23" i="8"/>
  <c r="L24" i="8" a="1"/>
  <c r="L24" i="8"/>
  <c r="L25" i="8" a="1"/>
  <c r="L25" i="8"/>
  <c r="L26" i="8" a="1"/>
  <c r="L26" i="8"/>
  <c r="L27" i="8" a="1"/>
  <c r="L27" i="8"/>
  <c r="L28" i="8" a="1"/>
  <c r="L28" i="8"/>
  <c r="L29" i="8" a="1"/>
  <c r="L29" i="8"/>
  <c r="L30" i="8" a="1"/>
  <c r="L30" i="8"/>
  <c r="L31" i="8" a="1"/>
  <c r="L31" i="8"/>
  <c r="L32" i="8" a="1"/>
  <c r="L32" i="8"/>
  <c r="L33" i="8" a="1"/>
  <c r="L33" i="8"/>
  <c r="L34" i="8" a="1"/>
  <c r="L34" i="8"/>
  <c r="L35" i="8" a="1"/>
  <c r="L35" i="8"/>
  <c r="L36" i="8" a="1"/>
  <c r="L36" i="8"/>
  <c r="L37" i="8" a="1"/>
  <c r="L37" i="8"/>
  <c r="L38" i="8" a="1"/>
  <c r="L38" i="8"/>
  <c r="L39" i="8" a="1"/>
  <c r="L39" i="8"/>
  <c r="L40" i="8" a="1"/>
  <c r="L40" i="8"/>
  <c r="L41" i="8" a="1"/>
  <c r="L41" i="8"/>
  <c r="L42" i="8" a="1"/>
  <c r="L42" i="8"/>
  <c r="L43" i="8" a="1"/>
  <c r="L43" i="8"/>
  <c r="L44" i="8" a="1"/>
  <c r="L44" i="8"/>
  <c r="L45" i="8" a="1"/>
  <c r="L45" i="8"/>
  <c r="L46" i="8" a="1"/>
  <c r="L46" i="8"/>
  <c r="L47" i="8" a="1"/>
  <c r="L47" i="8"/>
  <c r="L48" i="8" a="1"/>
  <c r="L48" i="8"/>
  <c r="L49" i="8" a="1"/>
  <c r="L49" i="8"/>
  <c r="L50" i="8" a="1"/>
  <c r="L50" i="8"/>
  <c r="L51" i="8" a="1"/>
  <c r="L51" i="8"/>
  <c r="L52" i="8" a="1"/>
  <c r="L52" i="8"/>
  <c r="L53" i="8" a="1"/>
  <c r="L53" i="8"/>
  <c r="L54" i="8" a="1"/>
  <c r="L54" i="8"/>
  <c r="L55" i="8" a="1"/>
  <c r="L55" i="8"/>
  <c r="L56" i="8" a="1"/>
  <c r="L56" i="8"/>
  <c r="L57" i="8" a="1"/>
  <c r="L57" i="8"/>
  <c r="L58" i="8" a="1"/>
  <c r="L58" i="8"/>
  <c r="L59" i="8" a="1"/>
  <c r="L59" i="8"/>
  <c r="L60" i="8" a="1"/>
  <c r="L60" i="8"/>
  <c r="L61" i="8" a="1"/>
  <c r="L61" i="8"/>
  <c r="L62" i="8" a="1"/>
  <c r="L62" i="8"/>
  <c r="L63" i="8" a="1"/>
  <c r="L63" i="8"/>
  <c r="L64" i="8" a="1"/>
  <c r="L64" i="8"/>
  <c r="L65" i="8" a="1"/>
  <c r="L65" i="8"/>
  <c r="L66" i="8" a="1"/>
  <c r="L66" i="8"/>
  <c r="L67" i="8" a="1"/>
  <c r="L67" i="8"/>
  <c r="L68" i="8" a="1"/>
  <c r="L68" i="8"/>
  <c r="L69" i="8" a="1"/>
  <c r="L69" i="8"/>
  <c r="L70" i="8" a="1"/>
  <c r="L70" i="8"/>
  <c r="L71" i="8" a="1"/>
  <c r="L71" i="8"/>
  <c r="L72" i="8" a="1"/>
  <c r="L72" i="8"/>
  <c r="L73" i="8" a="1"/>
  <c r="L73" i="8"/>
  <c r="L74" i="8" a="1"/>
  <c r="L74" i="8"/>
  <c r="L75" i="8" a="1"/>
  <c r="L75" i="8"/>
  <c r="L76" i="8" a="1"/>
  <c r="L76" i="8"/>
  <c r="L77" i="8" a="1"/>
  <c r="L77" i="8"/>
  <c r="L78" i="8" a="1"/>
  <c r="L78" i="8"/>
  <c r="L79" i="8" a="1"/>
  <c r="L79" i="8"/>
  <c r="L80" i="8" a="1"/>
  <c r="L80" i="8"/>
  <c r="L81" i="8" a="1"/>
  <c r="L81" i="8"/>
  <c r="L82" i="8" a="1"/>
  <c r="L82" i="8"/>
  <c r="L83" i="8" a="1"/>
  <c r="L83" i="8"/>
  <c r="L84" i="8" a="1"/>
  <c r="L84" i="8"/>
  <c r="L85" i="8" a="1"/>
  <c r="L85" i="8"/>
  <c r="L86" i="8" a="1"/>
  <c r="L86" i="8"/>
  <c r="L87" i="8" a="1"/>
  <c r="L87" i="8"/>
  <c r="L88" i="8" a="1"/>
  <c r="L88" i="8"/>
  <c r="L89" i="8" a="1"/>
  <c r="L89" i="8"/>
  <c r="L90" i="8" a="1"/>
  <c r="L90" i="8"/>
  <c r="L91" i="8" a="1"/>
  <c r="L91" i="8"/>
  <c r="L92" i="8" a="1"/>
  <c r="L92" i="8"/>
  <c r="L93" i="8" a="1"/>
  <c r="L93" i="8"/>
  <c r="L94" i="8" a="1"/>
  <c r="L94" i="8"/>
  <c r="L95" i="8" a="1"/>
  <c r="L95" i="8"/>
  <c r="L96" i="8" a="1"/>
  <c r="L96" i="8"/>
  <c r="L97" i="8" a="1"/>
  <c r="L97" i="8"/>
  <c r="L98" i="8" a="1"/>
  <c r="L98" i="8"/>
  <c r="L99" i="8" a="1"/>
  <c r="L99" i="8"/>
  <c r="L100" i="8" a="1"/>
  <c r="L100" i="8"/>
  <c r="L101" i="8" a="1"/>
  <c r="L101" i="8"/>
  <c r="L102" i="8" a="1"/>
  <c r="L102" i="8"/>
  <c r="L103" i="8" a="1"/>
  <c r="L103" i="8"/>
  <c r="L104" i="8" a="1"/>
  <c r="L104" i="8"/>
  <c r="L105" i="8" a="1"/>
  <c r="L105" i="8"/>
  <c r="L106" i="8" a="1"/>
  <c r="L106" i="8"/>
  <c r="L107" i="8" a="1"/>
  <c r="L107" i="8"/>
  <c r="L108" i="8" a="1"/>
  <c r="L108" i="8"/>
  <c r="L109" i="8" a="1"/>
  <c r="L109" i="8"/>
  <c r="L110" i="8" a="1"/>
  <c r="L110" i="8"/>
  <c r="L111" i="8" a="1"/>
  <c r="L111" i="8"/>
  <c r="L112" i="8" a="1"/>
  <c r="L112" i="8"/>
  <c r="L113" i="8" a="1"/>
  <c r="L113" i="8"/>
  <c r="L114" i="8" a="1"/>
  <c r="L114" i="8"/>
  <c r="L115" i="8" a="1"/>
  <c r="L115" i="8"/>
  <c r="L116" i="8" a="1"/>
  <c r="L116" i="8"/>
  <c r="L117" i="8" a="1"/>
  <c r="L117" i="8"/>
  <c r="L118" i="8" a="1"/>
  <c r="L118" i="8"/>
  <c r="L119" i="8" a="1"/>
  <c r="L119" i="8"/>
  <c r="L120" i="8" a="1"/>
  <c r="L120" i="8"/>
  <c r="L121" i="8" a="1"/>
  <c r="L121" i="8"/>
  <c r="L122" i="8" a="1"/>
  <c r="L122" i="8"/>
  <c r="L123" i="8" a="1"/>
  <c r="L123" i="8"/>
  <c r="L124" i="8" a="1"/>
  <c r="L124" i="8"/>
  <c r="L125" i="8" a="1"/>
  <c r="L125" i="8"/>
  <c r="L126" i="8" a="1"/>
  <c r="L126" i="8"/>
  <c r="L127" i="8" a="1"/>
  <c r="L127" i="8"/>
  <c r="L128" i="8" a="1"/>
  <c r="L128" i="8"/>
  <c r="L129" i="8" a="1"/>
  <c r="L129" i="8"/>
  <c r="L130" i="8" a="1"/>
  <c r="L130" i="8"/>
  <c r="L131" i="8" a="1"/>
  <c r="L131" i="8"/>
  <c r="L132" i="8" a="1"/>
  <c r="L132" i="8"/>
  <c r="L133" i="8" a="1"/>
  <c r="L133" i="8"/>
  <c r="L134" i="8" a="1"/>
  <c r="L134" i="8"/>
  <c r="L135" i="8" a="1"/>
  <c r="L135" i="8"/>
  <c r="L136" i="8" a="1"/>
  <c r="L136" i="8"/>
  <c r="L137" i="8" a="1"/>
  <c r="L137" i="8"/>
  <c r="L138" i="8" a="1"/>
  <c r="L138" i="8"/>
  <c r="L139" i="8" a="1"/>
  <c r="L139" i="8"/>
  <c r="L140" i="8" a="1"/>
  <c r="L140" i="8"/>
  <c r="L141" i="8" a="1"/>
  <c r="L141" i="8"/>
  <c r="L142" i="8" a="1"/>
  <c r="L142" i="8"/>
  <c r="L143" i="8" a="1"/>
  <c r="L143" i="8"/>
  <c r="L144" i="8" a="1"/>
  <c r="L144" i="8"/>
  <c r="L145" i="8" a="1"/>
  <c r="L145" i="8"/>
  <c r="L146" i="8" a="1"/>
  <c r="L146" i="8"/>
  <c r="L147" i="8" a="1"/>
  <c r="L147" i="8"/>
  <c r="L148" i="8" a="1"/>
  <c r="L148" i="8"/>
  <c r="L149" i="8" a="1"/>
  <c r="L149" i="8"/>
  <c r="L150" i="8" a="1"/>
  <c r="L150" i="8"/>
  <c r="L151" i="8" a="1"/>
  <c r="L151" i="8"/>
  <c r="L152" i="8" a="1"/>
  <c r="L152" i="8"/>
  <c r="L153" i="8" a="1"/>
  <c r="L153" i="8"/>
  <c r="L154" i="8" a="1"/>
  <c r="L154" i="8"/>
  <c r="L155" i="8" a="1"/>
  <c r="L155" i="8"/>
  <c r="L156" i="8" a="1"/>
  <c r="L156" i="8"/>
  <c r="L157" i="8" a="1"/>
  <c r="L157" i="8"/>
  <c r="L158" i="8" a="1"/>
  <c r="L158" i="8"/>
  <c r="L159" i="8" a="1"/>
  <c r="L159" i="8"/>
  <c r="L160" i="8" a="1"/>
  <c r="L160" i="8"/>
  <c r="L161" i="8" a="1"/>
  <c r="L161" i="8"/>
  <c r="L162" i="8" a="1"/>
  <c r="L162" i="8"/>
  <c r="L163" i="8" a="1"/>
  <c r="L163" i="8"/>
  <c r="L164" i="8" a="1"/>
  <c r="L164" i="8"/>
  <c r="L165" i="8" a="1"/>
  <c r="L165" i="8"/>
  <c r="L166" i="8" a="1"/>
  <c r="L166" i="8"/>
  <c r="L167" i="8" a="1"/>
  <c r="L167" i="8"/>
  <c r="L168" i="8" a="1"/>
  <c r="L168" i="8"/>
  <c r="L169" i="8" a="1"/>
  <c r="L169" i="8"/>
  <c r="L170" i="8" a="1"/>
  <c r="L170" i="8"/>
  <c r="L171" i="8" a="1"/>
  <c r="L171" i="8"/>
  <c r="L172" i="8" a="1"/>
  <c r="L172" i="8"/>
  <c r="L173" i="8" a="1"/>
  <c r="L173" i="8"/>
  <c r="L174" i="8" a="1"/>
  <c r="L174" i="8"/>
  <c r="L175" i="8" a="1"/>
  <c r="L175" i="8"/>
  <c r="L176" i="8" a="1"/>
  <c r="L176" i="8"/>
  <c r="L177" i="8" a="1"/>
  <c r="L177" i="8"/>
  <c r="L178" i="8" a="1"/>
  <c r="L178" i="8"/>
  <c r="L179" i="8" a="1"/>
  <c r="L179" i="8"/>
  <c r="L180" i="8" a="1"/>
  <c r="L180" i="8"/>
  <c r="L181" i="8" a="1"/>
  <c r="L181" i="8"/>
  <c r="L182" i="8" a="1"/>
  <c r="L182" i="8"/>
  <c r="L183" i="8" a="1"/>
  <c r="L183" i="8"/>
  <c r="L184" i="8" a="1"/>
  <c r="L184" i="8"/>
  <c r="L185" i="8" a="1"/>
  <c r="L185" i="8"/>
  <c r="L186" i="8" a="1"/>
  <c r="L186" i="8"/>
  <c r="L187" i="8" a="1"/>
  <c r="L187" i="8"/>
  <c r="L188" i="8" a="1"/>
  <c r="L188" i="8"/>
  <c r="L189" i="8" a="1"/>
  <c r="L189" i="8"/>
  <c r="L190" i="8" a="1"/>
  <c r="L190" i="8"/>
  <c r="L191" i="8" a="1"/>
  <c r="L191" i="8"/>
  <c r="L192" i="8" a="1"/>
  <c r="L192" i="8"/>
  <c r="L193" i="8" a="1"/>
  <c r="L193" i="8"/>
  <c r="L194" i="8" a="1"/>
  <c r="L194" i="8"/>
  <c r="L195" i="8" a="1"/>
  <c r="L195" i="8"/>
  <c r="L196" i="8" a="1"/>
  <c r="L196" i="8"/>
  <c r="L197" i="8" a="1"/>
  <c r="L197" i="8"/>
  <c r="L198" i="8" a="1"/>
  <c r="L198" i="8"/>
  <c r="L199" i="8" a="1"/>
  <c r="L199" i="8"/>
  <c r="L200" i="8" a="1"/>
  <c r="L200" i="8"/>
  <c r="L201" i="8" a="1"/>
  <c r="L201" i="8"/>
  <c r="L202" i="8" a="1"/>
  <c r="L202" i="8"/>
  <c r="L203" i="8" a="1"/>
  <c r="L203" i="8"/>
  <c r="L204" i="8" a="1"/>
  <c r="L204" i="8"/>
  <c r="L205" i="8" a="1"/>
  <c r="L205" i="8"/>
  <c r="L206" i="8" a="1"/>
  <c r="L206" i="8"/>
  <c r="L207" i="8" a="1"/>
  <c r="L207" i="8"/>
  <c r="L208" i="8" a="1"/>
  <c r="L208" i="8"/>
  <c r="L209" i="8" a="1"/>
  <c r="L209" i="8"/>
  <c r="L210" i="8" a="1"/>
  <c r="L210" i="8"/>
  <c r="L211" i="8" a="1"/>
  <c r="L211" i="8"/>
  <c r="L212" i="8" a="1"/>
  <c r="L212" i="8"/>
  <c r="L213" i="8" a="1"/>
  <c r="L213" i="8"/>
  <c r="L214" i="8" a="1"/>
  <c r="L214" i="8"/>
  <c r="L215" i="8" a="1"/>
  <c r="L215" i="8"/>
  <c r="L216" i="8" a="1"/>
  <c r="L216" i="8"/>
  <c r="L217" i="8" a="1"/>
  <c r="L217" i="8"/>
  <c r="L218" i="8" a="1"/>
  <c r="L218" i="8"/>
  <c r="L219" i="8" a="1"/>
  <c r="L219" i="8"/>
  <c r="L220" i="8" a="1"/>
  <c r="L220" i="8"/>
  <c r="L221" i="8" a="1"/>
  <c r="L221" i="8"/>
  <c r="L222" i="8" a="1"/>
  <c r="L222" i="8"/>
  <c r="L223" i="8" a="1"/>
  <c r="L223" i="8"/>
  <c r="L224" i="8" a="1"/>
  <c r="L224" i="8"/>
  <c r="L225" i="8" a="1"/>
  <c r="L225" i="8"/>
  <c r="L226" i="8" a="1"/>
  <c r="L226" i="8"/>
  <c r="L227" i="8" a="1"/>
  <c r="L227" i="8"/>
  <c r="L228" i="8" a="1"/>
  <c r="L228" i="8"/>
  <c r="L229" i="8" a="1"/>
  <c r="L229" i="8"/>
  <c r="L230" i="8" a="1"/>
  <c r="L230" i="8"/>
  <c r="L231" i="8" a="1"/>
  <c r="L231" i="8"/>
  <c r="L232" i="8" a="1"/>
  <c r="L232" i="8"/>
  <c r="L233" i="8" a="1"/>
  <c r="L233" i="8"/>
  <c r="L234" i="8" a="1"/>
  <c r="L234" i="8"/>
  <c r="L235" i="8" a="1"/>
  <c r="L235" i="8"/>
  <c r="L236" i="8" a="1"/>
  <c r="L236" i="8"/>
  <c r="L237" i="8" a="1"/>
  <c r="L237" i="8"/>
  <c r="L238" i="8" a="1"/>
  <c r="L238" i="8"/>
  <c r="L239" i="8" a="1"/>
  <c r="L239" i="8"/>
  <c r="L240" i="8" a="1"/>
  <c r="L240" i="8"/>
  <c r="L241" i="8" a="1"/>
  <c r="L241" i="8"/>
  <c r="L242" i="8" a="1"/>
  <c r="L242" i="8"/>
  <c r="L243" i="8" a="1"/>
  <c r="L243" i="8"/>
  <c r="L244" i="8" a="1"/>
  <c r="L244" i="8"/>
  <c r="L245" i="8" a="1"/>
  <c r="L245" i="8"/>
  <c r="L246" i="8" a="1"/>
  <c r="L246" i="8"/>
  <c r="L247" i="8" a="1"/>
  <c r="L247" i="8"/>
  <c r="L248" i="8" a="1"/>
  <c r="L248" i="8"/>
  <c r="L249" i="8" a="1"/>
  <c r="L249" i="8"/>
  <c r="L250" i="8" a="1"/>
  <c r="L250" i="8"/>
  <c r="L251" i="8" a="1"/>
  <c r="L251" i="8"/>
  <c r="L252" i="8" a="1"/>
  <c r="L252" i="8"/>
  <c r="L253" i="8" a="1"/>
  <c r="L253" i="8"/>
  <c r="L254" i="8" a="1"/>
  <c r="L254" i="8"/>
  <c r="L255" i="8" a="1"/>
  <c r="L255" i="8"/>
  <c r="L256" i="8" a="1"/>
  <c r="L256" i="8"/>
  <c r="L257" i="8" a="1"/>
  <c r="L257" i="8"/>
  <c r="L258" i="8" a="1"/>
  <c r="L258" i="8"/>
  <c r="L259" i="8" a="1"/>
  <c r="L259" i="8"/>
  <c r="L260" i="8" a="1"/>
  <c r="L260" i="8"/>
  <c r="L261" i="8" a="1"/>
  <c r="L261" i="8"/>
  <c r="L262" i="8" a="1"/>
  <c r="L262" i="8"/>
  <c r="L263" i="8" a="1"/>
  <c r="L263" i="8"/>
  <c r="L264" i="8" a="1"/>
  <c r="L264" i="8"/>
  <c r="L265" i="8" a="1"/>
  <c r="L265" i="8"/>
  <c r="L266" i="8" a="1"/>
  <c r="L266" i="8"/>
  <c r="L267" i="8" a="1"/>
  <c r="L267" i="8"/>
  <c r="L268" i="8" a="1"/>
  <c r="L268" i="8"/>
  <c r="L269" i="8" a="1"/>
  <c r="L269" i="8"/>
  <c r="L270" i="8" a="1"/>
  <c r="L270" i="8"/>
  <c r="L271" i="8" a="1"/>
  <c r="L271" i="8"/>
  <c r="L272" i="8" a="1"/>
  <c r="L272" i="8"/>
  <c r="L273" i="8" a="1"/>
  <c r="L273" i="8"/>
  <c r="L274" i="8" a="1"/>
  <c r="L274" i="8"/>
  <c r="L275" i="8" a="1"/>
  <c r="L275" i="8"/>
  <c r="L276" i="8" a="1"/>
  <c r="L276" i="8"/>
  <c r="L277" i="8" a="1"/>
  <c r="L277" i="8"/>
  <c r="L278" i="8" a="1"/>
  <c r="L278" i="8"/>
  <c r="L279" i="8" a="1"/>
  <c r="L279" i="8"/>
  <c r="L280" i="8" a="1"/>
  <c r="L280" i="8"/>
  <c r="L281" i="8" a="1"/>
  <c r="L281" i="8"/>
  <c r="L282" i="8" a="1"/>
  <c r="L282" i="8"/>
  <c r="L283" i="8" a="1"/>
  <c r="L283" i="8"/>
  <c r="L284" i="8" a="1"/>
  <c r="L284" i="8"/>
  <c r="L285" i="8" a="1"/>
  <c r="L285" i="8"/>
  <c r="L286" i="8" a="1"/>
  <c r="L286" i="8"/>
  <c r="L287" i="8" a="1"/>
  <c r="L287" i="8"/>
  <c r="L288" i="8" a="1"/>
  <c r="L288" i="8"/>
  <c r="L289" i="8" a="1"/>
  <c r="L289" i="8"/>
  <c r="L290" i="8" a="1"/>
  <c r="L290" i="8"/>
  <c r="L291" i="8" a="1"/>
  <c r="L291" i="8"/>
  <c r="L292" i="8" a="1"/>
  <c r="L292" i="8"/>
  <c r="L293" i="8" a="1"/>
  <c r="L293" i="8"/>
  <c r="L294" i="8" a="1"/>
  <c r="L294" i="8"/>
  <c r="L295" i="8" a="1"/>
  <c r="L295" i="8"/>
  <c r="L296" i="8" a="1"/>
  <c r="L296" i="8"/>
  <c r="L297" i="8" a="1"/>
  <c r="L297" i="8"/>
  <c r="L298" i="8" a="1"/>
  <c r="L298" i="8"/>
  <c r="L299" i="8" a="1"/>
  <c r="L299" i="8"/>
  <c r="L300" i="8" a="1"/>
  <c r="L300" i="8"/>
  <c r="L301" i="8" a="1"/>
  <c r="L301" i="8"/>
  <c r="L302" i="8" a="1"/>
  <c r="L302" i="8"/>
  <c r="L303" i="8" a="1"/>
  <c r="L303" i="8"/>
  <c r="L304" i="8" a="1"/>
  <c r="L304" i="8"/>
  <c r="L305" i="8" a="1"/>
  <c r="L305" i="8"/>
  <c r="L306" i="8" a="1"/>
  <c r="L306" i="8"/>
  <c r="L307" i="8" a="1"/>
  <c r="L307" i="8"/>
  <c r="L308" i="8" a="1"/>
  <c r="L308" i="8"/>
  <c r="L309" i="8" a="1"/>
  <c r="L309" i="8"/>
  <c r="L310" i="8" a="1"/>
  <c r="L310" i="8"/>
  <c r="L311" i="8" a="1"/>
  <c r="L311" i="8"/>
  <c r="L312" i="8" a="1"/>
  <c r="L312" i="8"/>
  <c r="L313" i="8" a="1"/>
  <c r="L313" i="8"/>
  <c r="L314" i="8" a="1"/>
  <c r="L314" i="8"/>
  <c r="L315" i="8" a="1"/>
  <c r="L315" i="8"/>
  <c r="L316" i="8" a="1"/>
  <c r="L316" i="8"/>
  <c r="L317" i="8" a="1"/>
  <c r="L317" i="8"/>
  <c r="L318" i="8" a="1"/>
  <c r="L318" i="8"/>
  <c r="L319" i="8" a="1"/>
  <c r="L319" i="8"/>
  <c r="L320" i="8" a="1"/>
  <c r="L320" i="8"/>
  <c r="L321" i="8" a="1"/>
  <c r="L321" i="8"/>
  <c r="L322" i="8" a="1"/>
  <c r="L322" i="8"/>
  <c r="L323" i="8" a="1"/>
  <c r="L323" i="8"/>
  <c r="L324" i="8" a="1"/>
  <c r="L324" i="8"/>
  <c r="L325" i="8" a="1"/>
  <c r="L325" i="8"/>
  <c r="L326" i="8" a="1"/>
  <c r="L326" i="8"/>
  <c r="L327" i="8" a="1"/>
  <c r="L327" i="8"/>
  <c r="L328" i="8" a="1"/>
  <c r="L328" i="8"/>
  <c r="L329" i="8" a="1"/>
  <c r="L329" i="8"/>
  <c r="L330" i="8" a="1"/>
  <c r="L330" i="8"/>
  <c r="L331" i="8" a="1"/>
  <c r="L331" i="8"/>
  <c r="L332" i="8" a="1"/>
  <c r="L332" i="8"/>
  <c r="L333" i="8" a="1"/>
  <c r="L333" i="8"/>
  <c r="L334" i="8" a="1"/>
  <c r="L334" i="8"/>
  <c r="L335" i="8" a="1"/>
  <c r="L335" i="8"/>
  <c r="L336" i="8" a="1"/>
  <c r="L336" i="8"/>
  <c r="L337" i="8" a="1"/>
  <c r="L337" i="8"/>
  <c r="L338" i="8" a="1"/>
  <c r="L338" i="8"/>
  <c r="L339" i="8" a="1"/>
  <c r="L339" i="8"/>
  <c r="L340" i="8" a="1"/>
  <c r="L340" i="8"/>
  <c r="L341" i="8" a="1"/>
  <c r="L341" i="8"/>
  <c r="L342" i="8" a="1"/>
  <c r="L342" i="8"/>
  <c r="L343" i="8" a="1"/>
  <c r="L343" i="8"/>
  <c r="L344" i="8" a="1"/>
  <c r="L344" i="8"/>
  <c r="L345" i="8" a="1"/>
  <c r="L345" i="8"/>
  <c r="L346" i="8" a="1"/>
  <c r="L346" i="8"/>
  <c r="L347" i="8" a="1"/>
  <c r="L347" i="8"/>
  <c r="L348" i="8" a="1"/>
  <c r="L348" i="8"/>
  <c r="L349" i="8" a="1"/>
  <c r="L349" i="8"/>
  <c r="L350" i="8" a="1"/>
  <c r="L350" i="8"/>
  <c r="L351" i="8" a="1"/>
  <c r="L351" i="8"/>
  <c r="L352" i="8" a="1"/>
  <c r="L352" i="8"/>
  <c r="L353" i="8" a="1"/>
  <c r="L353" i="8"/>
  <c r="L354" i="8" a="1"/>
  <c r="L354" i="8"/>
  <c r="L355" i="8" a="1"/>
  <c r="L355" i="8"/>
  <c r="L356" i="8" a="1"/>
  <c r="L356" i="8"/>
  <c r="L357" i="8" a="1"/>
  <c r="L357" i="8"/>
  <c r="L358" i="8" a="1"/>
  <c r="L358" i="8"/>
  <c r="L359" i="8" a="1"/>
  <c r="L359" i="8"/>
  <c r="L360" i="8" a="1"/>
  <c r="L360" i="8"/>
  <c r="L361" i="8" a="1"/>
  <c r="L361" i="8"/>
  <c r="L362" i="8" a="1"/>
  <c r="L362" i="8"/>
  <c r="L363" i="8" a="1"/>
  <c r="L363" i="8"/>
  <c r="L364" i="8" a="1"/>
  <c r="L364" i="8"/>
  <c r="L365" i="8" a="1"/>
  <c r="L365" i="8"/>
  <c r="L366" i="8" a="1"/>
  <c r="L366" i="8"/>
  <c r="L367" i="8" a="1"/>
  <c r="L367" i="8"/>
  <c r="L368" i="8" a="1"/>
  <c r="L368" i="8"/>
  <c r="L369" i="8" a="1"/>
  <c r="L369" i="8"/>
  <c r="L370" i="8" a="1"/>
  <c r="L370" i="8"/>
  <c r="L371" i="8" a="1"/>
  <c r="L371" i="8"/>
  <c r="L372" i="8" a="1"/>
  <c r="L372" i="8"/>
  <c r="L373" i="8" a="1"/>
  <c r="L373" i="8"/>
  <c r="L374" i="8" a="1"/>
  <c r="L374" i="8"/>
  <c r="L375" i="8" a="1"/>
  <c r="L375" i="8"/>
  <c r="L376" i="8" a="1"/>
  <c r="L376" i="8"/>
  <c r="L377" i="8" a="1"/>
  <c r="L377" i="8"/>
  <c r="L378" i="8" a="1"/>
  <c r="L378" i="8"/>
  <c r="L379" i="8" a="1"/>
  <c r="L379" i="8"/>
  <c r="L380" i="8" a="1"/>
  <c r="L380" i="8"/>
  <c r="L381" i="8" a="1"/>
  <c r="L381" i="8"/>
  <c r="L382" i="8" a="1"/>
  <c r="L382" i="8"/>
  <c r="L383" i="8" a="1"/>
  <c r="L383" i="8"/>
  <c r="L384" i="8" a="1"/>
  <c r="L384" i="8"/>
  <c r="L385" i="8" a="1"/>
  <c r="L385" i="8"/>
  <c r="L386" i="8" a="1"/>
  <c r="L386" i="8"/>
  <c r="L387" i="8" a="1"/>
  <c r="L387" i="8"/>
  <c r="L388" i="8" a="1"/>
  <c r="L388" i="8"/>
  <c r="L389" i="8" a="1"/>
  <c r="L389" i="8"/>
  <c r="L390" i="8" a="1"/>
  <c r="L390" i="8"/>
  <c r="L391" i="8" a="1"/>
  <c r="L391" i="8"/>
  <c r="L392" i="8" a="1"/>
  <c r="L392" i="8"/>
  <c r="L393" i="8" a="1"/>
  <c r="L393" i="8"/>
  <c r="L394" i="8" a="1"/>
  <c r="L394" i="8"/>
  <c r="L395" i="8" a="1"/>
  <c r="L395" i="8"/>
  <c r="L396" i="8" a="1"/>
  <c r="L396" i="8"/>
  <c r="L397" i="8" a="1"/>
  <c r="L397" i="8"/>
  <c r="L398" i="8" a="1"/>
  <c r="L398" i="8"/>
  <c r="L399" i="8" a="1"/>
  <c r="L399" i="8"/>
  <c r="L400" i="8" a="1"/>
  <c r="L400" i="8"/>
  <c r="L401" i="8" a="1"/>
  <c r="L401" i="8"/>
  <c r="L402" i="8" a="1"/>
  <c r="L402" i="8"/>
  <c r="L403" i="8" a="1"/>
  <c r="L403" i="8"/>
  <c r="L404" i="8" a="1"/>
  <c r="L404" i="8"/>
  <c r="L405" i="8" a="1"/>
  <c r="L405" i="8"/>
  <c r="L406" i="8" a="1"/>
  <c r="L406" i="8"/>
  <c r="L407" i="8" a="1"/>
  <c r="L407" i="8"/>
  <c r="L408" i="8" a="1"/>
  <c r="L408" i="8"/>
  <c r="L409" i="8" a="1"/>
  <c r="L409" i="8"/>
  <c r="L410" i="8" a="1"/>
  <c r="L410" i="8"/>
  <c r="L411" i="8" a="1"/>
  <c r="L411" i="8"/>
  <c r="L412" i="8" a="1"/>
  <c r="L412" i="8"/>
  <c r="L413" i="8" a="1"/>
  <c r="L413" i="8"/>
  <c r="L414" i="8" a="1"/>
  <c r="L414" i="8"/>
  <c r="L415" i="8" a="1"/>
  <c r="L415" i="8"/>
  <c r="L416" i="8" a="1"/>
  <c r="L416" i="8"/>
  <c r="L417" i="8" a="1"/>
  <c r="L417" i="8"/>
  <c r="L418" i="8" a="1"/>
  <c r="L418" i="8"/>
  <c r="L419" i="8" a="1"/>
  <c r="L419" i="8"/>
  <c r="L420" i="8" a="1"/>
  <c r="L420" i="8"/>
  <c r="L421" i="8" a="1"/>
  <c r="L421" i="8"/>
  <c r="L422" i="8" a="1"/>
  <c r="L422" i="8"/>
  <c r="L423" i="8" a="1"/>
  <c r="L423" i="8"/>
  <c r="L424" i="8" a="1"/>
  <c r="L424" i="8"/>
  <c r="L425" i="8" a="1"/>
  <c r="L425" i="8"/>
  <c r="L426" i="8" a="1"/>
  <c r="L426" i="8"/>
  <c r="L427" i="8" a="1"/>
  <c r="L427" i="8"/>
  <c r="L428" i="8" a="1"/>
  <c r="L428" i="8"/>
  <c r="L429" i="8" a="1"/>
  <c r="L429" i="8"/>
  <c r="L430" i="8" a="1"/>
  <c r="L430" i="8"/>
  <c r="L431" i="8" a="1"/>
  <c r="L431" i="8"/>
  <c r="L432" i="8" a="1"/>
  <c r="L432" i="8"/>
  <c r="L433" i="8" a="1"/>
  <c r="L433" i="8"/>
  <c r="L434" i="8" a="1"/>
  <c r="L434" i="8"/>
  <c r="L435" i="8" a="1"/>
  <c r="L435" i="8"/>
  <c r="L436" i="8" a="1"/>
  <c r="L436" i="8"/>
  <c r="L437" i="8" a="1"/>
  <c r="L437" i="8"/>
  <c r="L438" i="8" a="1"/>
  <c r="L438" i="8"/>
  <c r="L439" i="8" a="1"/>
  <c r="L439" i="8"/>
  <c r="L440" i="8" a="1"/>
  <c r="L440" i="8"/>
  <c r="L441" i="8" a="1"/>
  <c r="L441" i="8"/>
  <c r="L442" i="8" a="1"/>
  <c r="L442" i="8"/>
  <c r="L443" i="8" a="1"/>
  <c r="L443" i="8"/>
  <c r="L444" i="8" a="1"/>
  <c r="L444" i="8"/>
  <c r="L445" i="8" a="1"/>
  <c r="L445" i="8"/>
  <c r="L446" i="8" a="1"/>
  <c r="L446" i="8"/>
  <c r="L447" i="8" a="1"/>
  <c r="L447" i="8"/>
  <c r="L448" i="8" a="1"/>
  <c r="L448" i="8"/>
  <c r="L449" i="8" a="1"/>
  <c r="L449" i="8"/>
  <c r="L450" i="8" a="1"/>
  <c r="L450" i="8"/>
  <c r="L451" i="8" a="1"/>
  <c r="L451" i="8"/>
  <c r="L452" i="8" a="1"/>
  <c r="L452" i="8"/>
  <c r="L453" i="8" a="1"/>
  <c r="L453" i="8"/>
  <c r="L454" i="8" a="1"/>
  <c r="L454" i="8"/>
  <c r="L455" i="8" a="1"/>
  <c r="L455" i="8"/>
  <c r="L456" i="8" a="1"/>
  <c r="L456" i="8"/>
  <c r="L457" i="8" a="1"/>
  <c r="L457" i="8"/>
  <c r="L458" i="8" a="1"/>
  <c r="L458" i="8"/>
  <c r="L459" i="8" a="1"/>
  <c r="L459" i="8"/>
  <c r="L460" i="8" a="1"/>
  <c r="L460" i="8"/>
  <c r="L461" i="8" a="1"/>
  <c r="L461" i="8"/>
  <c r="L462" i="8" a="1"/>
  <c r="L462" i="8"/>
  <c r="L463" i="8" a="1"/>
  <c r="L463" i="8"/>
  <c r="L464" i="8" a="1"/>
  <c r="L464" i="8"/>
  <c r="L465" i="8" a="1"/>
  <c r="L465" i="8"/>
  <c r="L466" i="8" a="1"/>
  <c r="L466" i="8"/>
  <c r="L467" i="8" a="1"/>
  <c r="L467" i="8"/>
  <c r="L468" i="8" a="1"/>
  <c r="L468" i="8"/>
  <c r="L469" i="8" a="1"/>
  <c r="L469" i="8"/>
  <c r="L470" i="8" a="1"/>
  <c r="L470" i="8"/>
  <c r="L471" i="8" a="1"/>
  <c r="L471" i="8"/>
  <c r="L472" i="8" a="1"/>
  <c r="L472" i="8"/>
  <c r="L473" i="8" a="1"/>
  <c r="L473" i="8"/>
  <c r="L474" i="8" a="1"/>
  <c r="L474" i="8"/>
  <c r="L475" i="8" a="1"/>
  <c r="L475" i="8"/>
  <c r="L476" i="8" a="1"/>
  <c r="L476" i="8"/>
  <c r="L477" i="8" a="1"/>
  <c r="L477" i="8"/>
  <c r="L478" i="8" a="1"/>
  <c r="L478" i="8"/>
  <c r="L479" i="8" a="1"/>
  <c r="L479" i="8"/>
  <c r="L480" i="8" a="1"/>
  <c r="L480" i="8"/>
  <c r="L481" i="8" a="1"/>
  <c r="L481" i="8"/>
  <c r="L482" i="8" a="1"/>
  <c r="L482" i="8"/>
  <c r="L483" i="8" a="1"/>
  <c r="L483" i="8"/>
  <c r="L484" i="8" a="1"/>
  <c r="L484" i="8"/>
  <c r="L485" i="8" a="1"/>
  <c r="L485" i="8"/>
  <c r="L486" i="8" a="1"/>
  <c r="L486" i="8"/>
  <c r="L487" i="8" a="1"/>
  <c r="L487" i="8"/>
  <c r="L488" i="8" a="1"/>
  <c r="L488" i="8"/>
  <c r="L489" i="8" a="1"/>
  <c r="L489" i="8"/>
  <c r="L490" i="8" a="1"/>
  <c r="L490" i="8"/>
  <c r="L491" i="8" a="1"/>
  <c r="L491" i="8"/>
  <c r="L492" i="8" a="1"/>
  <c r="L492" i="8"/>
  <c r="L493" i="8" a="1"/>
  <c r="L493" i="8"/>
  <c r="L494" i="8" a="1"/>
  <c r="L494" i="8"/>
  <c r="L495" i="8" a="1"/>
  <c r="L495" i="8"/>
  <c r="L496" i="8" a="1"/>
  <c r="L496" i="8"/>
  <c r="L497" i="8" a="1"/>
  <c r="L497" i="8"/>
  <c r="L498" i="8" a="1"/>
  <c r="L498" i="8"/>
  <c r="L499" i="8" a="1"/>
  <c r="L499" i="8"/>
  <c r="L500" i="8" a="1"/>
  <c r="L500" i="8"/>
  <c r="L501" i="8" a="1"/>
  <c r="L501" i="8"/>
  <c r="L502" i="8" a="1"/>
  <c r="L502" i="8"/>
  <c r="L503" i="8" a="1"/>
  <c r="L503" i="8"/>
  <c r="L504" i="8" a="1"/>
  <c r="L504" i="8"/>
  <c r="L505" i="8" a="1"/>
  <c r="L505" i="8"/>
  <c r="L506" i="8" a="1"/>
  <c r="L506" i="8"/>
  <c r="L507" i="8" a="1"/>
  <c r="L507" i="8"/>
  <c r="L508" i="8" a="1"/>
  <c r="L508" i="8"/>
  <c r="L509" i="8" a="1"/>
  <c r="L509" i="8"/>
  <c r="L510" i="8" a="1"/>
  <c r="L510" i="8"/>
  <c r="L511" i="8" a="1"/>
  <c r="L511" i="8"/>
  <c r="L512" i="8" a="1"/>
  <c r="L512" i="8"/>
  <c r="L513" i="8" a="1"/>
  <c r="L513" i="8"/>
  <c r="L514" i="8" a="1"/>
  <c r="L514" i="8"/>
  <c r="L515" i="8" a="1"/>
  <c r="L515" i="8"/>
  <c r="L516" i="8" a="1"/>
  <c r="L516" i="8"/>
  <c r="L517" i="8" a="1"/>
  <c r="L517" i="8"/>
  <c r="L518" i="8" a="1"/>
  <c r="L518" i="8"/>
  <c r="L519" i="8" a="1"/>
  <c r="L519" i="8"/>
  <c r="L520" i="8" a="1"/>
  <c r="L520" i="8"/>
  <c r="L521" i="8" a="1"/>
  <c r="L521" i="8"/>
  <c r="L522" i="8" a="1"/>
  <c r="L522" i="8"/>
  <c r="L523" i="8" a="1"/>
  <c r="L523" i="8"/>
  <c r="L524" i="8" a="1"/>
  <c r="L524" i="8"/>
  <c r="L525" i="8" a="1"/>
  <c r="L525" i="8"/>
  <c r="L526" i="8" a="1"/>
  <c r="L526" i="8"/>
  <c r="L527" i="8" a="1"/>
  <c r="L527" i="8"/>
  <c r="L528" i="8" a="1"/>
  <c r="L528" i="8"/>
  <c r="L529" i="8" a="1"/>
  <c r="L529" i="8"/>
  <c r="L530" i="8" a="1"/>
  <c r="L530" i="8"/>
  <c r="L531" i="8" a="1"/>
  <c r="L531" i="8"/>
  <c r="L532" i="8" a="1"/>
  <c r="L532" i="8"/>
  <c r="L533" i="8" a="1"/>
  <c r="L533" i="8"/>
  <c r="L534" i="8" a="1"/>
  <c r="L534" i="8"/>
  <c r="L535" i="8" a="1"/>
  <c r="L535" i="8"/>
  <c r="L536" i="8" a="1"/>
  <c r="L536" i="8"/>
  <c r="L537" i="8" a="1"/>
  <c r="L537" i="8"/>
  <c r="L538" i="8" a="1"/>
  <c r="L538" i="8"/>
  <c r="L539" i="8" a="1"/>
  <c r="L539" i="8"/>
  <c r="L540" i="8" a="1"/>
  <c r="L540" i="8"/>
  <c r="L541" i="8" a="1"/>
  <c r="L541" i="8"/>
  <c r="L542" i="8" a="1"/>
  <c r="L542" i="8"/>
  <c r="L543" i="8" a="1"/>
  <c r="L543" i="8"/>
  <c r="L544" i="8" a="1"/>
  <c r="L544" i="8"/>
  <c r="H959" i="6"/>
  <c r="H958" i="6"/>
  <c r="H957" i="6"/>
  <c r="H956" i="6"/>
  <c r="Q956" i="6"/>
  <c r="Q957" i="6"/>
  <c r="S957" i="6" s="1"/>
  <c r="Q958" i="6"/>
  <c r="Q959" i="6"/>
  <c r="R956" i="6"/>
  <c r="R957" i="6"/>
  <c r="R958" i="6"/>
  <c r="T958" i="6" s="1"/>
  <c r="R959" i="6"/>
  <c r="U956" i="6"/>
  <c r="U957" i="6"/>
  <c r="U958" i="6"/>
  <c r="U959" i="6"/>
  <c r="Q541" i="8"/>
  <c r="R541" i="8"/>
  <c r="Q542" i="8"/>
  <c r="R542" i="8"/>
  <c r="Q543" i="8"/>
  <c r="R543" i="8"/>
  <c r="Q544" i="8"/>
  <c r="R544" i="8"/>
  <c r="U541" i="8"/>
  <c r="U542" i="8"/>
  <c r="U543" i="8"/>
  <c r="U544" i="8"/>
  <c r="H952" i="6"/>
  <c r="H953" i="6"/>
  <c r="H954" i="6"/>
  <c r="H955" i="6"/>
  <c r="H946" i="6"/>
  <c r="H947" i="6"/>
  <c r="H948" i="6"/>
  <c r="H949" i="6"/>
  <c r="H950" i="6"/>
  <c r="H951" i="6"/>
  <c r="U946" i="6"/>
  <c r="U947" i="6"/>
  <c r="U948" i="6"/>
  <c r="U949" i="6"/>
  <c r="U950" i="6"/>
  <c r="U951" i="6"/>
  <c r="U952" i="6"/>
  <c r="U953" i="6"/>
  <c r="U954" i="6"/>
  <c r="U955" i="6"/>
  <c r="R946" i="6"/>
  <c r="R947" i="6"/>
  <c r="R948" i="6"/>
  <c r="R949" i="6"/>
  <c r="R950" i="6"/>
  <c r="R951" i="6"/>
  <c r="R952" i="6"/>
  <c r="R953" i="6"/>
  <c r="R954" i="6"/>
  <c r="R955" i="6"/>
  <c r="Q946" i="6"/>
  <c r="Q947" i="6"/>
  <c r="Q948" i="6"/>
  <c r="Q949" i="6"/>
  <c r="Q950" i="6"/>
  <c r="Q951" i="6"/>
  <c r="Q952" i="6"/>
  <c r="Q953" i="6"/>
  <c r="Q954" i="6"/>
  <c r="Q955" i="6"/>
  <c r="H945" i="6"/>
  <c r="H944" i="6"/>
  <c r="H943" i="6"/>
  <c r="H942" i="6"/>
  <c r="Q942" i="6"/>
  <c r="Q943" i="6"/>
  <c r="S943" i="6" s="1"/>
  <c r="Q944" i="6"/>
  <c r="Q945" i="6"/>
  <c r="R942" i="6"/>
  <c r="R943" i="6"/>
  <c r="R944" i="6"/>
  <c r="T944" i="6" s="1"/>
  <c r="R945" i="6"/>
  <c r="U942" i="6"/>
  <c r="U943" i="6"/>
  <c r="U944" i="6"/>
  <c r="U945" i="6"/>
  <c r="Q938" i="6"/>
  <c r="S938" i="6" s="1"/>
  <c r="R938" i="6"/>
  <c r="T938" i="6" s="1"/>
  <c r="Q939" i="6"/>
  <c r="S939" i="6" s="1"/>
  <c r="R939" i="6"/>
  <c r="T939" i="6" s="1"/>
  <c r="Q940" i="6"/>
  <c r="S940" i="6" s="1"/>
  <c r="R940" i="6"/>
  <c r="T940" i="6" s="1"/>
  <c r="Q941" i="6"/>
  <c r="S941" i="6" s="1"/>
  <c r="R941" i="6"/>
  <c r="T941" i="6" s="1"/>
  <c r="U4" i="6"/>
  <c r="U5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61" i="6"/>
  <c r="U62" i="6"/>
  <c r="U63" i="6"/>
  <c r="U64" i="6"/>
  <c r="U65" i="6"/>
  <c r="U66" i="6"/>
  <c r="U67" i="6"/>
  <c r="U68" i="6"/>
  <c r="U69" i="6"/>
  <c r="U70" i="6"/>
  <c r="U71" i="6"/>
  <c r="U72" i="6"/>
  <c r="U73" i="6"/>
  <c r="U74" i="6"/>
  <c r="U75" i="6"/>
  <c r="U76" i="6"/>
  <c r="U77" i="6"/>
  <c r="U78" i="6"/>
  <c r="U79" i="6"/>
  <c r="U80" i="6"/>
  <c r="U81" i="6"/>
  <c r="U82" i="6"/>
  <c r="U83" i="6"/>
  <c r="U84" i="6"/>
  <c r="U85" i="6"/>
  <c r="U86" i="6"/>
  <c r="U87" i="6"/>
  <c r="U88" i="6"/>
  <c r="U89" i="6"/>
  <c r="U90" i="6"/>
  <c r="U91" i="6"/>
  <c r="U92" i="6"/>
  <c r="U93" i="6"/>
  <c r="U94" i="6"/>
  <c r="U95" i="6"/>
  <c r="U96" i="6"/>
  <c r="U97" i="6"/>
  <c r="U98" i="6"/>
  <c r="U99" i="6"/>
  <c r="U100" i="6"/>
  <c r="U101" i="6"/>
  <c r="U102" i="6"/>
  <c r="U103" i="6"/>
  <c r="U104" i="6"/>
  <c r="U105" i="6"/>
  <c r="U106" i="6"/>
  <c r="U107" i="6"/>
  <c r="U108" i="6"/>
  <c r="U109" i="6"/>
  <c r="U110" i="6"/>
  <c r="U111" i="6"/>
  <c r="U112" i="6"/>
  <c r="U113" i="6"/>
  <c r="U114" i="6"/>
  <c r="U115" i="6"/>
  <c r="U116" i="6"/>
  <c r="U117" i="6"/>
  <c r="U118" i="6"/>
  <c r="U119" i="6"/>
  <c r="U120" i="6"/>
  <c r="U121" i="6"/>
  <c r="U122" i="6"/>
  <c r="U123" i="6"/>
  <c r="U124" i="6"/>
  <c r="U125" i="6"/>
  <c r="U126" i="6"/>
  <c r="U127" i="6"/>
  <c r="U128" i="6"/>
  <c r="U129" i="6"/>
  <c r="U130" i="6"/>
  <c r="U131" i="6"/>
  <c r="U132" i="6"/>
  <c r="U133" i="6"/>
  <c r="U134" i="6"/>
  <c r="U135" i="6"/>
  <c r="U136" i="6"/>
  <c r="U137" i="6"/>
  <c r="U138" i="6"/>
  <c r="U139" i="6"/>
  <c r="U140" i="6"/>
  <c r="U141" i="6"/>
  <c r="U142" i="6"/>
  <c r="U143" i="6"/>
  <c r="U144" i="6"/>
  <c r="U145" i="6"/>
  <c r="U146" i="6"/>
  <c r="U147" i="6"/>
  <c r="U148" i="6"/>
  <c r="U149" i="6"/>
  <c r="U150" i="6"/>
  <c r="U151" i="6"/>
  <c r="U152" i="6"/>
  <c r="U153" i="6"/>
  <c r="U154" i="6"/>
  <c r="U155" i="6"/>
  <c r="U156" i="6"/>
  <c r="U157" i="6"/>
  <c r="U158" i="6"/>
  <c r="U159" i="6"/>
  <c r="U160" i="6"/>
  <c r="U161" i="6"/>
  <c r="U162" i="6"/>
  <c r="U163" i="6"/>
  <c r="U164" i="6"/>
  <c r="U165" i="6"/>
  <c r="U166" i="6"/>
  <c r="U167" i="6"/>
  <c r="U168" i="6"/>
  <c r="U169" i="6"/>
  <c r="U170" i="6"/>
  <c r="U171" i="6"/>
  <c r="U172" i="6"/>
  <c r="U173" i="6"/>
  <c r="U174" i="6"/>
  <c r="U175" i="6"/>
  <c r="U176" i="6"/>
  <c r="U177" i="6"/>
  <c r="U178" i="6"/>
  <c r="U179" i="6"/>
  <c r="U180" i="6"/>
  <c r="U181" i="6"/>
  <c r="U182" i="6"/>
  <c r="U183" i="6"/>
  <c r="U184" i="6"/>
  <c r="U185" i="6"/>
  <c r="U186" i="6"/>
  <c r="U187" i="6"/>
  <c r="U188" i="6"/>
  <c r="U189" i="6"/>
  <c r="U190" i="6"/>
  <c r="U191" i="6"/>
  <c r="U192" i="6"/>
  <c r="U193" i="6"/>
  <c r="U194" i="6"/>
  <c r="U195" i="6"/>
  <c r="U196" i="6"/>
  <c r="U197" i="6"/>
  <c r="U198" i="6"/>
  <c r="U199" i="6"/>
  <c r="U200" i="6"/>
  <c r="U201" i="6"/>
  <c r="U202" i="6"/>
  <c r="U203" i="6"/>
  <c r="U204" i="6"/>
  <c r="U205" i="6"/>
  <c r="U206" i="6"/>
  <c r="U207" i="6"/>
  <c r="U208" i="6"/>
  <c r="U209" i="6"/>
  <c r="U210" i="6"/>
  <c r="U211" i="6"/>
  <c r="U212" i="6"/>
  <c r="U213" i="6"/>
  <c r="U214" i="6"/>
  <c r="U215" i="6"/>
  <c r="U216" i="6"/>
  <c r="U217" i="6"/>
  <c r="U218" i="6"/>
  <c r="U219" i="6"/>
  <c r="U220" i="6"/>
  <c r="U221" i="6"/>
  <c r="U222" i="6"/>
  <c r="U223" i="6"/>
  <c r="U224" i="6"/>
  <c r="U225" i="6"/>
  <c r="U226" i="6"/>
  <c r="U227" i="6"/>
  <c r="U228" i="6"/>
  <c r="U229" i="6"/>
  <c r="U230" i="6"/>
  <c r="U231" i="6"/>
  <c r="U232" i="6"/>
  <c r="U233" i="6"/>
  <c r="U234" i="6"/>
  <c r="U235" i="6"/>
  <c r="U236" i="6"/>
  <c r="U237" i="6"/>
  <c r="U238" i="6"/>
  <c r="U239" i="6"/>
  <c r="U240" i="6"/>
  <c r="U241" i="6"/>
  <c r="U242" i="6"/>
  <c r="U243" i="6"/>
  <c r="U244" i="6"/>
  <c r="U245" i="6"/>
  <c r="U246" i="6"/>
  <c r="U247" i="6"/>
  <c r="U248" i="6"/>
  <c r="U249" i="6"/>
  <c r="U250" i="6"/>
  <c r="U251" i="6"/>
  <c r="U252" i="6"/>
  <c r="U253" i="6"/>
  <c r="U254" i="6"/>
  <c r="U255" i="6"/>
  <c r="U256" i="6"/>
  <c r="U257" i="6"/>
  <c r="U258" i="6"/>
  <c r="U259" i="6"/>
  <c r="U260" i="6"/>
  <c r="U261" i="6"/>
  <c r="U262" i="6"/>
  <c r="U263" i="6"/>
  <c r="U264" i="6"/>
  <c r="U265" i="6"/>
  <c r="U266" i="6"/>
  <c r="U267" i="6"/>
  <c r="U268" i="6"/>
  <c r="U269" i="6"/>
  <c r="U270" i="6"/>
  <c r="U271" i="6"/>
  <c r="U272" i="6"/>
  <c r="U273" i="6"/>
  <c r="U274" i="6"/>
  <c r="U275" i="6"/>
  <c r="U276" i="6"/>
  <c r="U277" i="6"/>
  <c r="U278" i="6"/>
  <c r="U279" i="6"/>
  <c r="U280" i="6"/>
  <c r="U281" i="6"/>
  <c r="U282" i="6"/>
  <c r="U283" i="6"/>
  <c r="U284" i="6"/>
  <c r="U285" i="6"/>
  <c r="U286" i="6"/>
  <c r="U287" i="6"/>
  <c r="U288" i="6"/>
  <c r="U289" i="6"/>
  <c r="U290" i="6"/>
  <c r="U291" i="6"/>
  <c r="U292" i="6"/>
  <c r="U293" i="6"/>
  <c r="U294" i="6"/>
  <c r="U295" i="6"/>
  <c r="U296" i="6"/>
  <c r="U297" i="6"/>
  <c r="U298" i="6"/>
  <c r="U299" i="6"/>
  <c r="U300" i="6"/>
  <c r="U301" i="6"/>
  <c r="U302" i="6"/>
  <c r="U303" i="6"/>
  <c r="U304" i="6"/>
  <c r="U305" i="6"/>
  <c r="U306" i="6"/>
  <c r="U307" i="6"/>
  <c r="U308" i="6"/>
  <c r="U309" i="6"/>
  <c r="U310" i="6"/>
  <c r="U311" i="6"/>
  <c r="U312" i="6"/>
  <c r="U313" i="6"/>
  <c r="U314" i="6"/>
  <c r="U315" i="6"/>
  <c r="U316" i="6"/>
  <c r="U317" i="6"/>
  <c r="U318" i="6"/>
  <c r="U319" i="6"/>
  <c r="U320" i="6"/>
  <c r="U321" i="6"/>
  <c r="U322" i="6"/>
  <c r="U323" i="6"/>
  <c r="U324" i="6"/>
  <c r="U325" i="6"/>
  <c r="U326" i="6"/>
  <c r="U327" i="6"/>
  <c r="U328" i="6"/>
  <c r="U329" i="6"/>
  <c r="U330" i="6"/>
  <c r="U331" i="6"/>
  <c r="U332" i="6"/>
  <c r="U333" i="6"/>
  <c r="U334" i="6"/>
  <c r="U335" i="6"/>
  <c r="U336" i="6"/>
  <c r="U337" i="6"/>
  <c r="U338" i="6"/>
  <c r="U339" i="6"/>
  <c r="U340" i="6"/>
  <c r="U341" i="6"/>
  <c r="U342" i="6"/>
  <c r="U343" i="6"/>
  <c r="U344" i="6"/>
  <c r="U345" i="6"/>
  <c r="U346" i="6"/>
  <c r="U347" i="6"/>
  <c r="U348" i="6"/>
  <c r="U349" i="6"/>
  <c r="U350" i="6"/>
  <c r="U351" i="6"/>
  <c r="U352" i="6"/>
  <c r="U353" i="6"/>
  <c r="U354" i="6"/>
  <c r="U355" i="6"/>
  <c r="U356" i="6"/>
  <c r="U357" i="6"/>
  <c r="U358" i="6"/>
  <c r="U359" i="6"/>
  <c r="U360" i="6"/>
  <c r="U361" i="6"/>
  <c r="U362" i="6"/>
  <c r="U363" i="6"/>
  <c r="U364" i="6"/>
  <c r="U365" i="6"/>
  <c r="U366" i="6"/>
  <c r="U367" i="6"/>
  <c r="U368" i="6"/>
  <c r="U369" i="6"/>
  <c r="U370" i="6"/>
  <c r="U371" i="6"/>
  <c r="U372" i="6"/>
  <c r="U373" i="6"/>
  <c r="U374" i="6"/>
  <c r="U375" i="6"/>
  <c r="U376" i="6"/>
  <c r="U377" i="6"/>
  <c r="U378" i="6"/>
  <c r="U379" i="6"/>
  <c r="U380" i="6"/>
  <c r="U381" i="6"/>
  <c r="U382" i="6"/>
  <c r="U383" i="6"/>
  <c r="U384" i="6"/>
  <c r="U385" i="6"/>
  <c r="U386" i="6"/>
  <c r="U387" i="6"/>
  <c r="U388" i="6"/>
  <c r="U389" i="6"/>
  <c r="U390" i="6"/>
  <c r="U391" i="6"/>
  <c r="U392" i="6"/>
  <c r="U393" i="6"/>
  <c r="U394" i="6"/>
  <c r="U395" i="6"/>
  <c r="U396" i="6"/>
  <c r="U397" i="6"/>
  <c r="U398" i="6"/>
  <c r="U399" i="6"/>
  <c r="U400" i="6"/>
  <c r="U401" i="6"/>
  <c r="U402" i="6"/>
  <c r="U403" i="6"/>
  <c r="U404" i="6"/>
  <c r="U405" i="6"/>
  <c r="U406" i="6"/>
  <c r="U407" i="6"/>
  <c r="U408" i="6"/>
  <c r="U409" i="6"/>
  <c r="U410" i="6"/>
  <c r="U411" i="6"/>
  <c r="U412" i="6"/>
  <c r="U413" i="6"/>
  <c r="U414" i="6"/>
  <c r="U415" i="6"/>
  <c r="U416" i="6"/>
  <c r="U417" i="6"/>
  <c r="U418" i="6"/>
  <c r="U419" i="6"/>
  <c r="U420" i="6"/>
  <c r="U421" i="6"/>
  <c r="U422" i="6"/>
  <c r="U423" i="6"/>
  <c r="U424" i="6"/>
  <c r="U425" i="6"/>
  <c r="U426" i="6"/>
  <c r="U427" i="6"/>
  <c r="U428" i="6"/>
  <c r="U429" i="6"/>
  <c r="U430" i="6"/>
  <c r="U431" i="6"/>
  <c r="U432" i="6"/>
  <c r="U433" i="6"/>
  <c r="U434" i="6"/>
  <c r="U435" i="6"/>
  <c r="U436" i="6"/>
  <c r="U437" i="6"/>
  <c r="U438" i="6"/>
  <c r="U439" i="6"/>
  <c r="U440" i="6"/>
  <c r="U441" i="6"/>
  <c r="U442" i="6"/>
  <c r="U443" i="6"/>
  <c r="U444" i="6"/>
  <c r="U445" i="6"/>
  <c r="U446" i="6"/>
  <c r="U447" i="6"/>
  <c r="U448" i="6"/>
  <c r="U449" i="6"/>
  <c r="U450" i="6"/>
  <c r="U451" i="6"/>
  <c r="U452" i="6"/>
  <c r="U453" i="6"/>
  <c r="U454" i="6"/>
  <c r="U455" i="6"/>
  <c r="U456" i="6"/>
  <c r="U457" i="6"/>
  <c r="U458" i="6"/>
  <c r="U459" i="6"/>
  <c r="U460" i="6"/>
  <c r="U461" i="6"/>
  <c r="U462" i="6"/>
  <c r="U463" i="6"/>
  <c r="U464" i="6"/>
  <c r="U465" i="6"/>
  <c r="U466" i="6"/>
  <c r="U467" i="6"/>
  <c r="U468" i="6"/>
  <c r="U469" i="6"/>
  <c r="U470" i="6"/>
  <c r="U471" i="6"/>
  <c r="U472" i="6"/>
  <c r="U473" i="6"/>
  <c r="U474" i="6"/>
  <c r="U475" i="6"/>
  <c r="U476" i="6"/>
  <c r="U477" i="6"/>
  <c r="U478" i="6"/>
  <c r="U479" i="6"/>
  <c r="U480" i="6"/>
  <c r="U481" i="6"/>
  <c r="U482" i="6"/>
  <c r="U483" i="6"/>
  <c r="U484" i="6"/>
  <c r="U485" i="6"/>
  <c r="U486" i="6"/>
  <c r="U487" i="6"/>
  <c r="U488" i="6"/>
  <c r="U489" i="6"/>
  <c r="U490" i="6"/>
  <c r="U491" i="6"/>
  <c r="U492" i="6"/>
  <c r="U493" i="6"/>
  <c r="U494" i="6"/>
  <c r="U495" i="6"/>
  <c r="U496" i="6"/>
  <c r="U497" i="6"/>
  <c r="U498" i="6"/>
  <c r="U499" i="6"/>
  <c r="U500" i="6"/>
  <c r="U501" i="6"/>
  <c r="U502" i="6"/>
  <c r="U503" i="6"/>
  <c r="U504" i="6"/>
  <c r="U505" i="6"/>
  <c r="U506" i="6"/>
  <c r="U507" i="6"/>
  <c r="U508" i="6"/>
  <c r="U509" i="6"/>
  <c r="U510" i="6"/>
  <c r="U511" i="6"/>
  <c r="U512" i="6"/>
  <c r="U513" i="6"/>
  <c r="U514" i="6"/>
  <c r="U515" i="6"/>
  <c r="U516" i="6"/>
  <c r="U517" i="6"/>
  <c r="U518" i="6"/>
  <c r="U519" i="6"/>
  <c r="U520" i="6"/>
  <c r="U521" i="6"/>
  <c r="U522" i="6"/>
  <c r="U523" i="6"/>
  <c r="U524" i="6"/>
  <c r="U525" i="6"/>
  <c r="U526" i="6"/>
  <c r="U527" i="6"/>
  <c r="U528" i="6"/>
  <c r="U529" i="6"/>
  <c r="U530" i="6"/>
  <c r="U531" i="6"/>
  <c r="U532" i="6"/>
  <c r="U533" i="6"/>
  <c r="U534" i="6"/>
  <c r="U535" i="6"/>
  <c r="U536" i="6"/>
  <c r="U537" i="6"/>
  <c r="U538" i="6"/>
  <c r="U539" i="6"/>
  <c r="U540" i="6"/>
  <c r="U541" i="6"/>
  <c r="U542" i="6"/>
  <c r="U543" i="6"/>
  <c r="U544" i="6"/>
  <c r="U545" i="6"/>
  <c r="U546" i="6"/>
  <c r="U547" i="6"/>
  <c r="U548" i="6"/>
  <c r="U549" i="6"/>
  <c r="U550" i="6"/>
  <c r="U551" i="6"/>
  <c r="U552" i="6"/>
  <c r="U553" i="6"/>
  <c r="U554" i="6"/>
  <c r="U555" i="6"/>
  <c r="U556" i="6"/>
  <c r="U557" i="6"/>
  <c r="U558" i="6"/>
  <c r="U559" i="6"/>
  <c r="U560" i="6"/>
  <c r="U561" i="6"/>
  <c r="U562" i="6"/>
  <c r="U563" i="6"/>
  <c r="U564" i="6"/>
  <c r="U565" i="6"/>
  <c r="U566" i="6"/>
  <c r="U567" i="6"/>
  <c r="U568" i="6"/>
  <c r="U569" i="6"/>
  <c r="U570" i="6"/>
  <c r="U571" i="6"/>
  <c r="U572" i="6"/>
  <c r="U573" i="6"/>
  <c r="U574" i="6"/>
  <c r="U575" i="6"/>
  <c r="U576" i="6"/>
  <c r="U577" i="6"/>
  <c r="U578" i="6"/>
  <c r="U579" i="6"/>
  <c r="U580" i="6"/>
  <c r="U581" i="6"/>
  <c r="U582" i="6"/>
  <c r="U583" i="6"/>
  <c r="U584" i="6"/>
  <c r="U585" i="6"/>
  <c r="U586" i="6"/>
  <c r="U587" i="6"/>
  <c r="U588" i="6"/>
  <c r="U589" i="6"/>
  <c r="U590" i="6"/>
  <c r="U591" i="6"/>
  <c r="U592" i="6"/>
  <c r="U593" i="6"/>
  <c r="U594" i="6"/>
  <c r="U595" i="6"/>
  <c r="U596" i="6"/>
  <c r="U597" i="6"/>
  <c r="U598" i="6"/>
  <c r="U599" i="6"/>
  <c r="U600" i="6"/>
  <c r="U601" i="6"/>
  <c r="U602" i="6"/>
  <c r="U603" i="6"/>
  <c r="U604" i="6"/>
  <c r="U605" i="6"/>
  <c r="U606" i="6"/>
  <c r="U607" i="6"/>
  <c r="U608" i="6"/>
  <c r="U609" i="6"/>
  <c r="U610" i="6"/>
  <c r="U611" i="6"/>
  <c r="U612" i="6"/>
  <c r="U613" i="6"/>
  <c r="U614" i="6"/>
  <c r="U615" i="6"/>
  <c r="U616" i="6"/>
  <c r="U617" i="6"/>
  <c r="U618" i="6"/>
  <c r="U619" i="6"/>
  <c r="U620" i="6"/>
  <c r="U621" i="6"/>
  <c r="U622" i="6"/>
  <c r="U623" i="6"/>
  <c r="U624" i="6"/>
  <c r="U625" i="6"/>
  <c r="U626" i="6"/>
  <c r="U627" i="6"/>
  <c r="U628" i="6"/>
  <c r="U629" i="6"/>
  <c r="U630" i="6"/>
  <c r="U631" i="6"/>
  <c r="U632" i="6"/>
  <c r="U633" i="6"/>
  <c r="U634" i="6"/>
  <c r="U635" i="6"/>
  <c r="U636" i="6"/>
  <c r="U637" i="6"/>
  <c r="U638" i="6"/>
  <c r="U639" i="6"/>
  <c r="U640" i="6"/>
  <c r="U641" i="6"/>
  <c r="U642" i="6"/>
  <c r="U643" i="6"/>
  <c r="U644" i="6"/>
  <c r="U645" i="6"/>
  <c r="U646" i="6"/>
  <c r="U647" i="6"/>
  <c r="U648" i="6"/>
  <c r="U649" i="6"/>
  <c r="U650" i="6"/>
  <c r="U651" i="6"/>
  <c r="U652" i="6"/>
  <c r="U653" i="6"/>
  <c r="U654" i="6"/>
  <c r="U655" i="6"/>
  <c r="U656" i="6"/>
  <c r="U657" i="6"/>
  <c r="U658" i="6"/>
  <c r="U659" i="6"/>
  <c r="U660" i="6"/>
  <c r="U661" i="6"/>
  <c r="U662" i="6"/>
  <c r="U663" i="6"/>
  <c r="U664" i="6"/>
  <c r="U665" i="6"/>
  <c r="U666" i="6"/>
  <c r="U667" i="6"/>
  <c r="U668" i="6"/>
  <c r="U669" i="6"/>
  <c r="U670" i="6"/>
  <c r="U671" i="6"/>
  <c r="U672" i="6"/>
  <c r="U673" i="6"/>
  <c r="U674" i="6"/>
  <c r="U675" i="6"/>
  <c r="U676" i="6"/>
  <c r="U677" i="6"/>
  <c r="U678" i="6"/>
  <c r="U679" i="6"/>
  <c r="U680" i="6"/>
  <c r="U681" i="6"/>
  <c r="U682" i="6"/>
  <c r="U683" i="6"/>
  <c r="U684" i="6"/>
  <c r="U685" i="6"/>
  <c r="U686" i="6"/>
  <c r="U687" i="6"/>
  <c r="U688" i="6"/>
  <c r="U689" i="6"/>
  <c r="U690" i="6"/>
  <c r="U691" i="6"/>
  <c r="U692" i="6"/>
  <c r="U693" i="6"/>
  <c r="U694" i="6"/>
  <c r="U695" i="6"/>
  <c r="U696" i="6"/>
  <c r="U697" i="6"/>
  <c r="U698" i="6"/>
  <c r="U699" i="6"/>
  <c r="U700" i="6"/>
  <c r="U701" i="6"/>
  <c r="U702" i="6"/>
  <c r="U703" i="6"/>
  <c r="U704" i="6"/>
  <c r="U705" i="6"/>
  <c r="U706" i="6"/>
  <c r="U707" i="6"/>
  <c r="U708" i="6"/>
  <c r="U709" i="6"/>
  <c r="U710" i="6"/>
  <c r="U711" i="6"/>
  <c r="U712" i="6"/>
  <c r="U713" i="6"/>
  <c r="U714" i="6"/>
  <c r="U715" i="6"/>
  <c r="U716" i="6"/>
  <c r="U717" i="6"/>
  <c r="U718" i="6"/>
  <c r="U719" i="6"/>
  <c r="U720" i="6"/>
  <c r="U721" i="6"/>
  <c r="U722" i="6"/>
  <c r="U723" i="6"/>
  <c r="U724" i="6"/>
  <c r="U725" i="6"/>
  <c r="U726" i="6"/>
  <c r="U727" i="6"/>
  <c r="U728" i="6"/>
  <c r="U729" i="6"/>
  <c r="U730" i="6"/>
  <c r="U731" i="6"/>
  <c r="U732" i="6"/>
  <c r="U733" i="6"/>
  <c r="U734" i="6"/>
  <c r="U735" i="6"/>
  <c r="U736" i="6"/>
  <c r="U737" i="6"/>
  <c r="U738" i="6"/>
  <c r="U739" i="6"/>
  <c r="U740" i="6"/>
  <c r="U741" i="6"/>
  <c r="U742" i="6"/>
  <c r="U743" i="6"/>
  <c r="U744" i="6"/>
  <c r="U745" i="6"/>
  <c r="U746" i="6"/>
  <c r="U747" i="6"/>
  <c r="U748" i="6"/>
  <c r="U749" i="6"/>
  <c r="U750" i="6"/>
  <c r="U751" i="6"/>
  <c r="U752" i="6"/>
  <c r="U753" i="6"/>
  <c r="U754" i="6"/>
  <c r="U755" i="6"/>
  <c r="U756" i="6"/>
  <c r="U757" i="6"/>
  <c r="U758" i="6"/>
  <c r="U759" i="6"/>
  <c r="U760" i="6"/>
  <c r="U761" i="6"/>
  <c r="U762" i="6"/>
  <c r="U763" i="6"/>
  <c r="U764" i="6"/>
  <c r="U765" i="6"/>
  <c r="U766" i="6"/>
  <c r="U767" i="6"/>
  <c r="U768" i="6"/>
  <c r="U769" i="6"/>
  <c r="U770" i="6"/>
  <c r="U771" i="6"/>
  <c r="U772" i="6"/>
  <c r="U773" i="6"/>
  <c r="U774" i="6"/>
  <c r="U775" i="6"/>
  <c r="U776" i="6"/>
  <c r="U777" i="6"/>
  <c r="U778" i="6"/>
  <c r="U779" i="6"/>
  <c r="U780" i="6"/>
  <c r="U781" i="6"/>
  <c r="U782" i="6"/>
  <c r="U783" i="6"/>
  <c r="U784" i="6"/>
  <c r="U785" i="6"/>
  <c r="U786" i="6"/>
  <c r="U787" i="6"/>
  <c r="U788" i="6"/>
  <c r="U789" i="6"/>
  <c r="U790" i="6"/>
  <c r="U791" i="6"/>
  <c r="U792" i="6"/>
  <c r="U793" i="6"/>
  <c r="U794" i="6"/>
  <c r="U795" i="6"/>
  <c r="U796" i="6"/>
  <c r="U797" i="6"/>
  <c r="U798" i="6"/>
  <c r="U799" i="6"/>
  <c r="U800" i="6"/>
  <c r="U801" i="6"/>
  <c r="U802" i="6"/>
  <c r="U803" i="6"/>
  <c r="U804" i="6"/>
  <c r="U805" i="6"/>
  <c r="U806" i="6"/>
  <c r="U807" i="6"/>
  <c r="U808" i="6"/>
  <c r="U809" i="6"/>
  <c r="U810" i="6"/>
  <c r="U811" i="6"/>
  <c r="U812" i="6"/>
  <c r="U813" i="6"/>
  <c r="U814" i="6"/>
  <c r="U815" i="6"/>
  <c r="U816" i="6"/>
  <c r="U817" i="6"/>
  <c r="U818" i="6"/>
  <c r="U819" i="6"/>
  <c r="U820" i="6"/>
  <c r="U821" i="6"/>
  <c r="U822" i="6"/>
  <c r="U823" i="6"/>
  <c r="U824" i="6"/>
  <c r="U825" i="6"/>
  <c r="U826" i="6"/>
  <c r="U827" i="6"/>
  <c r="U828" i="6"/>
  <c r="U829" i="6"/>
  <c r="U830" i="6"/>
  <c r="U831" i="6"/>
  <c r="U832" i="6"/>
  <c r="U833" i="6"/>
  <c r="U834" i="6"/>
  <c r="U835" i="6"/>
  <c r="U836" i="6"/>
  <c r="U837" i="6"/>
  <c r="U838" i="6"/>
  <c r="U839" i="6"/>
  <c r="U840" i="6"/>
  <c r="U841" i="6"/>
  <c r="U842" i="6"/>
  <c r="U843" i="6"/>
  <c r="U844" i="6"/>
  <c r="U845" i="6"/>
  <c r="U846" i="6"/>
  <c r="U847" i="6"/>
  <c r="U848" i="6"/>
  <c r="U849" i="6"/>
  <c r="U850" i="6"/>
  <c r="U851" i="6"/>
  <c r="U852" i="6"/>
  <c r="U853" i="6"/>
  <c r="U854" i="6"/>
  <c r="U855" i="6"/>
  <c r="U856" i="6"/>
  <c r="U857" i="6"/>
  <c r="U858" i="6"/>
  <c r="U859" i="6"/>
  <c r="U860" i="6"/>
  <c r="U861" i="6"/>
  <c r="U862" i="6"/>
  <c r="U863" i="6"/>
  <c r="U864" i="6"/>
  <c r="U865" i="6"/>
  <c r="U866" i="6"/>
  <c r="U867" i="6"/>
  <c r="U868" i="6"/>
  <c r="U869" i="6"/>
  <c r="U870" i="6"/>
  <c r="U871" i="6"/>
  <c r="U872" i="6"/>
  <c r="U873" i="6"/>
  <c r="U874" i="6"/>
  <c r="U875" i="6"/>
  <c r="U876" i="6"/>
  <c r="U877" i="6"/>
  <c r="U878" i="6"/>
  <c r="U879" i="6"/>
  <c r="U880" i="6"/>
  <c r="U881" i="6"/>
  <c r="U882" i="6"/>
  <c r="U883" i="6"/>
  <c r="U884" i="6"/>
  <c r="U885" i="6"/>
  <c r="U886" i="6"/>
  <c r="U887" i="6"/>
  <c r="U888" i="6"/>
  <c r="U889" i="6"/>
  <c r="U890" i="6"/>
  <c r="U891" i="6"/>
  <c r="U892" i="6"/>
  <c r="U893" i="6"/>
  <c r="U894" i="6"/>
  <c r="U895" i="6"/>
  <c r="U896" i="6"/>
  <c r="U897" i="6"/>
  <c r="U898" i="6"/>
  <c r="U899" i="6"/>
  <c r="U900" i="6"/>
  <c r="U901" i="6"/>
  <c r="U902" i="6"/>
  <c r="U903" i="6"/>
  <c r="U904" i="6"/>
  <c r="U905" i="6"/>
  <c r="U906" i="6"/>
  <c r="U907" i="6"/>
  <c r="U908" i="6"/>
  <c r="U909" i="6"/>
  <c r="U910" i="6"/>
  <c r="U911" i="6"/>
  <c r="U912" i="6"/>
  <c r="U913" i="6"/>
  <c r="U914" i="6"/>
  <c r="U915" i="6"/>
  <c r="U916" i="6"/>
  <c r="U917" i="6"/>
  <c r="U918" i="6"/>
  <c r="U919" i="6"/>
  <c r="U920" i="6"/>
  <c r="U921" i="6"/>
  <c r="U922" i="6"/>
  <c r="U923" i="6"/>
  <c r="U924" i="6"/>
  <c r="U925" i="6"/>
  <c r="U926" i="6"/>
  <c r="U927" i="6"/>
  <c r="U928" i="6"/>
  <c r="U929" i="6"/>
  <c r="U930" i="6"/>
  <c r="U931" i="6"/>
  <c r="U932" i="6"/>
  <c r="U933" i="6"/>
  <c r="U934" i="6"/>
  <c r="U935" i="6"/>
  <c r="U936" i="6"/>
  <c r="U937" i="6"/>
  <c r="U938" i="6"/>
  <c r="U939" i="6"/>
  <c r="U940" i="6"/>
  <c r="U941" i="6"/>
  <c r="H937" i="6"/>
  <c r="H936" i="6"/>
  <c r="H935" i="6"/>
  <c r="H934" i="6"/>
  <c r="Q934" i="6"/>
  <c r="Q935" i="6"/>
  <c r="S935" i="6" s="1"/>
  <c r="Q936" i="6"/>
  <c r="Q937" i="6"/>
  <c r="R934" i="6"/>
  <c r="R935" i="6"/>
  <c r="R936" i="6"/>
  <c r="T936" i="6" s="1"/>
  <c r="R937" i="6"/>
  <c r="Q930" i="6"/>
  <c r="S930" i="6" s="1"/>
  <c r="Q931" i="6"/>
  <c r="S931" i="6" s="1"/>
  <c r="Q932" i="6"/>
  <c r="S932" i="6" s="1"/>
  <c r="Q933" i="6"/>
  <c r="S933" i="6" s="1"/>
  <c r="R930" i="6"/>
  <c r="T930" i="6" s="1"/>
  <c r="R931" i="6"/>
  <c r="T931" i="6" s="1"/>
  <c r="R932" i="6"/>
  <c r="T932" i="6" s="1"/>
  <c r="R933" i="6"/>
  <c r="T933" i="6" s="1"/>
  <c r="Q535" i="8"/>
  <c r="S535" i="8" s="1"/>
  <c r="R535" i="8"/>
  <c r="T535" i="8" s="1"/>
  <c r="Q536" i="8"/>
  <c r="S536" i="8" s="1"/>
  <c r="R536" i="8"/>
  <c r="T536" i="8" s="1"/>
  <c r="Q537" i="8"/>
  <c r="S537" i="8" s="1"/>
  <c r="R537" i="8"/>
  <c r="T537" i="8" s="1"/>
  <c r="Q538" i="8"/>
  <c r="R538" i="8"/>
  <c r="T538" i="8" s="1"/>
  <c r="Q539" i="8"/>
  <c r="S539" i="8" s="1"/>
  <c r="R539" i="8"/>
  <c r="T539" i="8" s="1"/>
  <c r="Q540" i="8"/>
  <c r="S540" i="8" s="1"/>
  <c r="R540" i="8"/>
  <c r="T540" i="8" s="1"/>
  <c r="S538" i="8"/>
  <c r="U537" i="8"/>
  <c r="U538" i="8"/>
  <c r="U539" i="8"/>
  <c r="U540" i="8"/>
  <c r="Q927" i="6"/>
  <c r="Q928" i="6"/>
  <c r="S928" i="6" s="1"/>
  <c r="Q929" i="6"/>
  <c r="S929" i="6" s="1"/>
  <c r="R927" i="6"/>
  <c r="T927" i="6" s="1"/>
  <c r="R928" i="6"/>
  <c r="T928" i="6" s="1"/>
  <c r="R929" i="6"/>
  <c r="T929" i="6" s="1"/>
  <c r="S927" i="6"/>
  <c r="Q925" i="6"/>
  <c r="S925" i="6" s="1"/>
  <c r="Q926" i="6"/>
  <c r="S926" i="6" s="1"/>
  <c r="R925" i="6"/>
  <c r="T925" i="6" s="1"/>
  <c r="R926" i="6"/>
  <c r="T926" i="6" s="1"/>
  <c r="Q920" i="6"/>
  <c r="S920" i="6" s="1"/>
  <c r="Q921" i="6"/>
  <c r="Q922" i="6"/>
  <c r="Q923" i="6"/>
  <c r="S923" i="6" s="1"/>
  <c r="Q924" i="6"/>
  <c r="S924" i="6" s="1"/>
  <c r="R920" i="6"/>
  <c r="T920" i="6" s="1"/>
  <c r="R921" i="6"/>
  <c r="T921" i="6" s="1"/>
  <c r="R922" i="6"/>
  <c r="T922" i="6" s="1"/>
  <c r="R923" i="6"/>
  <c r="T923" i="6" s="1"/>
  <c r="R924" i="6"/>
  <c r="T924" i="6" s="1"/>
  <c r="S921" i="6"/>
  <c r="S922" i="6"/>
  <c r="Q896" i="6"/>
  <c r="S896" i="6" s="1"/>
  <c r="Q912" i="6"/>
  <c r="S912" i="6" s="1"/>
  <c r="R912" i="6"/>
  <c r="T912" i="6" s="1"/>
  <c r="Q913" i="6"/>
  <c r="S913" i="6" s="1"/>
  <c r="R913" i="6"/>
  <c r="T913" i="6" s="1"/>
  <c r="Q914" i="6"/>
  <c r="S914" i="6" s="1"/>
  <c r="R914" i="6"/>
  <c r="T914" i="6" s="1"/>
  <c r="Q915" i="6"/>
  <c r="S915" i="6" s="1"/>
  <c r="R915" i="6"/>
  <c r="T915" i="6" s="1"/>
  <c r="Q916" i="6"/>
  <c r="S916" i="6" s="1"/>
  <c r="R916" i="6"/>
  <c r="T916" i="6" s="1"/>
  <c r="Q917" i="6"/>
  <c r="S917" i="6" s="1"/>
  <c r="R917" i="6"/>
  <c r="T917" i="6" s="1"/>
  <c r="Q918" i="6"/>
  <c r="S918" i="6" s="1"/>
  <c r="R918" i="6"/>
  <c r="Q919" i="6"/>
  <c r="S919" i="6" s="1"/>
  <c r="R919" i="6"/>
  <c r="T919" i="6" s="1"/>
  <c r="T918" i="6"/>
  <c r="Q533" i="8"/>
  <c r="S533" i="8" s="1"/>
  <c r="R533" i="8"/>
  <c r="T533" i="8" s="1"/>
  <c r="Q534" i="8"/>
  <c r="S534" i="8" s="1"/>
  <c r="R534" i="8"/>
  <c r="T534" i="8" s="1"/>
  <c r="U533" i="8"/>
  <c r="U534" i="8"/>
  <c r="U535" i="8"/>
  <c r="U536" i="8"/>
  <c r="Q521" i="8"/>
  <c r="R521" i="8"/>
  <c r="T521" i="8" s="1"/>
  <c r="Q522" i="8"/>
  <c r="S522" i="8" s="1"/>
  <c r="R522" i="8"/>
  <c r="T522" i="8" s="1"/>
  <c r="Q523" i="8"/>
  <c r="R523" i="8"/>
  <c r="T523" i="8" s="1"/>
  <c r="Q524" i="8"/>
  <c r="S524" i="8" s="1"/>
  <c r="R524" i="8"/>
  <c r="T524" i="8" s="1"/>
  <c r="Q525" i="8"/>
  <c r="S525" i="8" s="1"/>
  <c r="R525" i="8"/>
  <c r="T525" i="8" s="1"/>
  <c r="Q526" i="8"/>
  <c r="S526" i="8" s="1"/>
  <c r="R526" i="8"/>
  <c r="T526" i="8" s="1"/>
  <c r="Q527" i="8"/>
  <c r="S527" i="8" s="1"/>
  <c r="R527" i="8"/>
  <c r="T527" i="8" s="1"/>
  <c r="Q528" i="8"/>
  <c r="S528" i="8" s="1"/>
  <c r="R528" i="8"/>
  <c r="T528" i="8" s="1"/>
  <c r="Q529" i="8"/>
  <c r="S529" i="8" s="1"/>
  <c r="R529" i="8"/>
  <c r="T529" i="8" s="1"/>
  <c r="Q530" i="8"/>
  <c r="S530" i="8" s="1"/>
  <c r="R530" i="8"/>
  <c r="T530" i="8" s="1"/>
  <c r="Q531" i="8"/>
  <c r="S531" i="8" s="1"/>
  <c r="R531" i="8"/>
  <c r="T531" i="8" s="1"/>
  <c r="Q532" i="8"/>
  <c r="S532" i="8" s="1"/>
  <c r="R532" i="8"/>
  <c r="T532" i="8" s="1"/>
  <c r="S521" i="8"/>
  <c r="S523" i="8"/>
  <c r="U521" i="8"/>
  <c r="U522" i="8"/>
  <c r="U523" i="8"/>
  <c r="U524" i="8"/>
  <c r="U525" i="8"/>
  <c r="U526" i="8"/>
  <c r="U527" i="8"/>
  <c r="U528" i="8"/>
  <c r="U529" i="8"/>
  <c r="U530" i="8"/>
  <c r="U531" i="8"/>
  <c r="U532" i="8"/>
  <c r="H911" i="6"/>
  <c r="H910" i="6"/>
  <c r="H909" i="6"/>
  <c r="H908" i="6"/>
  <c r="H907" i="6"/>
  <c r="H906" i="6"/>
  <c r="Q906" i="6"/>
  <c r="Q907" i="6"/>
  <c r="Q908" i="6"/>
  <c r="Q909" i="6"/>
  <c r="Q910" i="6"/>
  <c r="Q911" i="6"/>
  <c r="R906" i="6"/>
  <c r="R907" i="6"/>
  <c r="R908" i="6"/>
  <c r="R909" i="6"/>
  <c r="R910" i="6"/>
  <c r="R911" i="6"/>
  <c r="Q501" i="8"/>
  <c r="S501" i="8" s="1"/>
  <c r="R501" i="8"/>
  <c r="T501" i="8" s="1"/>
  <c r="Q502" i="8"/>
  <c r="S502" i="8" s="1"/>
  <c r="R502" i="8"/>
  <c r="T502" i="8" s="1"/>
  <c r="Q503" i="8"/>
  <c r="S503" i="8" s="1"/>
  <c r="R503" i="8"/>
  <c r="T503" i="8" s="1"/>
  <c r="Q504" i="8"/>
  <c r="S504" i="8" s="1"/>
  <c r="R504" i="8"/>
  <c r="T504" i="8" s="1"/>
  <c r="Q505" i="8"/>
  <c r="S505" i="8" s="1"/>
  <c r="R505" i="8"/>
  <c r="T505" i="8" s="1"/>
  <c r="Q506" i="8"/>
  <c r="S506" i="8" s="1"/>
  <c r="R506" i="8"/>
  <c r="T506" i="8" s="1"/>
  <c r="Q507" i="8"/>
  <c r="S507" i="8" s="1"/>
  <c r="R507" i="8"/>
  <c r="T507" i="8" s="1"/>
  <c r="Q508" i="8"/>
  <c r="S508" i="8" s="1"/>
  <c r="R508" i="8"/>
  <c r="T508" i="8" s="1"/>
  <c r="Q509" i="8"/>
  <c r="R509" i="8"/>
  <c r="T509" i="8" s="1"/>
  <c r="Q510" i="8"/>
  <c r="S510" i="8" s="1"/>
  <c r="R510" i="8"/>
  <c r="T510" i="8" s="1"/>
  <c r="Q511" i="8"/>
  <c r="R511" i="8"/>
  <c r="T511" i="8" s="1"/>
  <c r="Q512" i="8"/>
  <c r="S512" i="8" s="1"/>
  <c r="R512" i="8"/>
  <c r="T512" i="8" s="1"/>
  <c r="Q513" i="8"/>
  <c r="S513" i="8" s="1"/>
  <c r="R513" i="8"/>
  <c r="T513" i="8" s="1"/>
  <c r="Q514" i="8"/>
  <c r="S514" i="8" s="1"/>
  <c r="R514" i="8"/>
  <c r="Q515" i="8"/>
  <c r="S515" i="8" s="1"/>
  <c r="R515" i="8"/>
  <c r="T515" i="8" s="1"/>
  <c r="Q516" i="8"/>
  <c r="S516" i="8" s="1"/>
  <c r="R516" i="8"/>
  <c r="T516" i="8" s="1"/>
  <c r="Q517" i="8"/>
  <c r="S517" i="8" s="1"/>
  <c r="R517" i="8"/>
  <c r="T517" i="8" s="1"/>
  <c r="Q518" i="8"/>
  <c r="S518" i="8" s="1"/>
  <c r="R518" i="8"/>
  <c r="T518" i="8" s="1"/>
  <c r="Q519" i="8"/>
  <c r="S519" i="8" s="1"/>
  <c r="R519" i="8"/>
  <c r="T519" i="8" s="1"/>
  <c r="Q520" i="8"/>
  <c r="S520" i="8" s="1"/>
  <c r="R520" i="8"/>
  <c r="T520" i="8" s="1"/>
  <c r="S509" i="8"/>
  <c r="S511" i="8"/>
  <c r="T514" i="8"/>
  <c r="U509" i="8"/>
  <c r="U510" i="8"/>
  <c r="U511" i="8"/>
  <c r="U512" i="8"/>
  <c r="U513" i="8"/>
  <c r="U514" i="8"/>
  <c r="U515" i="8"/>
  <c r="U516" i="8"/>
  <c r="U517" i="8"/>
  <c r="U518" i="8"/>
  <c r="U519" i="8"/>
  <c r="U520" i="8"/>
  <c r="U501" i="8"/>
  <c r="U502" i="8"/>
  <c r="U503" i="8"/>
  <c r="U504" i="8"/>
  <c r="U505" i="8"/>
  <c r="U506" i="8"/>
  <c r="U507" i="8"/>
  <c r="U508" i="8"/>
  <c r="Q904" i="6"/>
  <c r="Q496" i="8"/>
  <c r="R496" i="8"/>
  <c r="Q497" i="8"/>
  <c r="S497" i="8" s="1"/>
  <c r="R497" i="8"/>
  <c r="T497" i="8" s="1"/>
  <c r="Q498" i="8"/>
  <c r="S498" i="8" s="1"/>
  <c r="R498" i="8"/>
  <c r="T498" i="8" s="1"/>
  <c r="Q499" i="8"/>
  <c r="S499" i="8" s="1"/>
  <c r="R499" i="8"/>
  <c r="T499" i="8" s="1"/>
  <c r="Q500" i="8"/>
  <c r="S500" i="8" s="1"/>
  <c r="R500" i="8"/>
  <c r="T500" i="8" s="1"/>
  <c r="U497" i="8"/>
  <c r="U498" i="8"/>
  <c r="U499" i="8"/>
  <c r="U500" i="8"/>
  <c r="Q902" i="6"/>
  <c r="S902" i="6" s="1"/>
  <c r="Q903" i="6"/>
  <c r="S903" i="6" s="1"/>
  <c r="Q905" i="6"/>
  <c r="S905" i="6" s="1"/>
  <c r="R902" i="6"/>
  <c r="T902" i="6" s="1"/>
  <c r="R903" i="6"/>
  <c r="T903" i="6" s="1"/>
  <c r="R904" i="6"/>
  <c r="T904" i="6" s="1"/>
  <c r="R905" i="6"/>
  <c r="T905" i="6" s="1"/>
  <c r="Q898" i="6"/>
  <c r="S898" i="6" s="1"/>
  <c r="Q899" i="6"/>
  <c r="S899" i="6" s="1"/>
  <c r="Q900" i="6"/>
  <c r="S900" i="6" s="1"/>
  <c r="Q901" i="6"/>
  <c r="S901" i="6" s="1"/>
  <c r="R898" i="6"/>
  <c r="T898" i="6" s="1"/>
  <c r="R899" i="6"/>
  <c r="T899" i="6" s="1"/>
  <c r="R900" i="6"/>
  <c r="T900" i="6" s="1"/>
  <c r="R901" i="6"/>
  <c r="T901" i="6" s="1"/>
  <c r="Q897" i="6"/>
  <c r="S897" i="6" s="1"/>
  <c r="R896" i="6"/>
  <c r="R897" i="6"/>
  <c r="T897" i="6" s="1"/>
  <c r="T896" i="6"/>
  <c r="H889" i="6"/>
  <c r="H888" i="6"/>
  <c r="H887" i="6"/>
  <c r="H886" i="6"/>
  <c r="Q890" i="6"/>
  <c r="Q891" i="6"/>
  <c r="Q892" i="6"/>
  <c r="Q893" i="6"/>
  <c r="Q894" i="6"/>
  <c r="Q895" i="6"/>
  <c r="R890" i="6"/>
  <c r="R891" i="6"/>
  <c r="R892" i="6"/>
  <c r="T892" i="6" s="1"/>
  <c r="R893" i="6"/>
  <c r="T893" i="6" s="1"/>
  <c r="R894" i="6"/>
  <c r="T894" i="6" s="1"/>
  <c r="R895" i="6"/>
  <c r="S890" i="6"/>
  <c r="S891" i="6"/>
  <c r="S892" i="6"/>
  <c r="S893" i="6"/>
  <c r="S894" i="6"/>
  <c r="S895" i="6"/>
  <c r="T890" i="6"/>
  <c r="T891" i="6"/>
  <c r="T895" i="6"/>
  <c r="Q888" i="6"/>
  <c r="Q889" i="6"/>
  <c r="R888" i="6"/>
  <c r="R889" i="6"/>
  <c r="Q886" i="6"/>
  <c r="Q887" i="6"/>
  <c r="R886" i="6"/>
  <c r="R887" i="6"/>
  <c r="Q488" i="8"/>
  <c r="R488" i="8"/>
  <c r="Q489" i="8"/>
  <c r="R489" i="8"/>
  <c r="Q490" i="8"/>
  <c r="R490" i="8"/>
  <c r="Q491" i="8"/>
  <c r="R491" i="8"/>
  <c r="Q492" i="8"/>
  <c r="R492" i="8"/>
  <c r="Q493" i="8"/>
  <c r="R493" i="8"/>
  <c r="Q494" i="8"/>
  <c r="R494" i="8"/>
  <c r="Q495" i="8"/>
  <c r="R495" i="8"/>
  <c r="U496" i="8"/>
  <c r="U495" i="8"/>
  <c r="U494" i="8"/>
  <c r="U493" i="8"/>
  <c r="U492" i="8"/>
  <c r="U491" i="8"/>
  <c r="U490" i="8"/>
  <c r="U489" i="8"/>
  <c r="U488" i="8"/>
  <c r="H885" i="6"/>
  <c r="H884" i="6"/>
  <c r="H883" i="6"/>
  <c r="H882" i="6"/>
  <c r="Q882" i="6"/>
  <c r="Q883" i="6"/>
  <c r="S883" i="6" s="1"/>
  <c r="Q884" i="6"/>
  <c r="Q885" i="6"/>
  <c r="R882" i="6"/>
  <c r="R883" i="6"/>
  <c r="R884" i="6"/>
  <c r="T884" i="6" s="1"/>
  <c r="R885" i="6"/>
  <c r="Q881" i="6"/>
  <c r="R881" i="6"/>
  <c r="H881" i="6"/>
  <c r="H880" i="6"/>
  <c r="H879" i="6"/>
  <c r="Q880" i="6"/>
  <c r="R880" i="6"/>
  <c r="T880" i="6" s="1"/>
  <c r="H878" i="6"/>
  <c r="Q878" i="6"/>
  <c r="Q879" i="6"/>
  <c r="R878" i="6"/>
  <c r="T878" i="6" s="1"/>
  <c r="R879" i="6"/>
  <c r="R872" i="6"/>
  <c r="Q876" i="6"/>
  <c r="S876" i="6" s="1"/>
  <c r="Q877" i="6"/>
  <c r="S877" i="6" s="1"/>
  <c r="R876" i="6"/>
  <c r="T876" i="6" s="1"/>
  <c r="R877" i="6"/>
  <c r="T877" i="6" s="1"/>
  <c r="Q481" i="8"/>
  <c r="S481" i="8" s="1"/>
  <c r="R481" i="8"/>
  <c r="T481" i="8" s="1"/>
  <c r="Q482" i="8"/>
  <c r="R482" i="8"/>
  <c r="Q483" i="8"/>
  <c r="R483" i="8"/>
  <c r="Q484" i="8"/>
  <c r="R484" i="8"/>
  <c r="Q485" i="8"/>
  <c r="R485" i="8"/>
  <c r="Q486" i="8"/>
  <c r="R486" i="8"/>
  <c r="Q487" i="8"/>
  <c r="R487" i="8"/>
  <c r="H875" i="6"/>
  <c r="H874" i="6"/>
  <c r="H873" i="6"/>
  <c r="H872" i="6"/>
  <c r="H871" i="6"/>
  <c r="H870" i="6"/>
  <c r="Q874" i="6"/>
  <c r="R874" i="6"/>
  <c r="T874" i="6" s="1"/>
  <c r="Q875" i="6"/>
  <c r="R875" i="6"/>
  <c r="Q871" i="6"/>
  <c r="Q872" i="6"/>
  <c r="Q873" i="6"/>
  <c r="R871" i="6"/>
  <c r="R873" i="6"/>
  <c r="U487" i="8"/>
  <c r="U486" i="8"/>
  <c r="U485" i="8"/>
  <c r="U484" i="8"/>
  <c r="U483" i="8"/>
  <c r="U482" i="8"/>
  <c r="M10" i="4"/>
  <c r="N10" i="4" s="1"/>
  <c r="L10" i="4"/>
  <c r="M9" i="4"/>
  <c r="N9" i="4" s="1"/>
  <c r="L9" i="4"/>
  <c r="M8" i="4"/>
  <c r="N8" i="4" s="1"/>
  <c r="L8" i="4"/>
  <c r="L3" i="4"/>
  <c r="M3" i="4"/>
  <c r="N3" i="4" s="1"/>
  <c r="L4" i="4"/>
  <c r="M4" i="4"/>
  <c r="N4" i="4" s="1"/>
  <c r="L5" i="4"/>
  <c r="M5" i="4"/>
  <c r="N5" i="4"/>
  <c r="L6" i="4"/>
  <c r="M6" i="4"/>
  <c r="N6" i="4"/>
  <c r="L7" i="4"/>
  <c r="M7" i="4"/>
  <c r="N7" i="4"/>
  <c r="M2" i="4"/>
  <c r="N2" i="4" s="1"/>
  <c r="L2" i="4"/>
  <c r="U481" i="8"/>
  <c r="T872" i="6" l="1"/>
  <c r="T882" i="6"/>
  <c r="S878" i="6"/>
  <c r="T886" i="6"/>
  <c r="S879" i="6"/>
  <c r="S886" i="6"/>
  <c r="S889" i="6"/>
  <c r="S906" i="6"/>
  <c r="T909" i="6"/>
  <c r="T906" i="6"/>
  <c r="S909" i="6"/>
  <c r="S936" i="6"/>
  <c r="T945" i="6"/>
  <c r="T942" i="6"/>
  <c r="S959" i="6"/>
  <c r="S956" i="6"/>
  <c r="T907" i="6"/>
  <c r="S887" i="6"/>
  <c r="S945" i="6"/>
  <c r="S942" i="6"/>
  <c r="S885" i="6"/>
  <c r="S882" i="6"/>
  <c r="T887" i="6"/>
  <c r="S910" i="6"/>
  <c r="S907" i="6"/>
  <c r="T910" i="6"/>
  <c r="T883" i="6"/>
  <c r="T957" i="6"/>
  <c r="T871" i="6"/>
  <c r="S871" i="6"/>
  <c r="S937" i="6"/>
  <c r="S934" i="6"/>
  <c r="T873" i="6"/>
  <c r="T879" i="6"/>
  <c r="T885" i="6"/>
  <c r="T943" i="6"/>
  <c r="S944" i="6"/>
  <c r="S873" i="6"/>
  <c r="S874" i="6"/>
  <c r="S875" i="6"/>
  <c r="S880" i="6"/>
  <c r="T889" i="6"/>
  <c r="T937" i="6"/>
  <c r="T934" i="6"/>
  <c r="T935" i="6"/>
  <c r="T959" i="6"/>
  <c r="T956" i="6"/>
  <c r="T888" i="6"/>
  <c r="S958" i="6"/>
  <c r="S888" i="6"/>
  <c r="S908" i="6"/>
  <c r="T908" i="6"/>
  <c r="S911" i="6"/>
  <c r="T911" i="6"/>
  <c r="S872" i="6"/>
  <c r="T875" i="6"/>
  <c r="S884" i="6"/>
  <c r="S544" i="8"/>
  <c r="S543" i="8"/>
  <c r="S542" i="8"/>
  <c r="S541" i="8"/>
  <c r="T544" i="8"/>
  <c r="T543" i="8"/>
  <c r="T542" i="8"/>
  <c r="T541" i="8"/>
  <c r="S955" i="6"/>
  <c r="S954" i="6"/>
  <c r="S953" i="6"/>
  <c r="S952" i="6"/>
  <c r="S951" i="6"/>
  <c r="S950" i="6"/>
  <c r="S949" i="6"/>
  <c r="S948" i="6"/>
  <c r="S947" i="6"/>
  <c r="S946" i="6"/>
  <c r="T955" i="6"/>
  <c r="T954" i="6"/>
  <c r="T953" i="6"/>
  <c r="T952" i="6"/>
  <c r="T951" i="6"/>
  <c r="T950" i="6"/>
  <c r="T949" i="6"/>
  <c r="T948" i="6"/>
  <c r="T947" i="6"/>
  <c r="T946" i="6"/>
  <c r="S904" i="6"/>
  <c r="S488" i="8"/>
  <c r="S489" i="8"/>
  <c r="S490" i="8"/>
  <c r="S491" i="8"/>
  <c r="S492" i="8"/>
  <c r="S493" i="8"/>
  <c r="S494" i="8"/>
  <c r="S495" i="8"/>
  <c r="S496" i="8"/>
  <c r="T488" i="8"/>
  <c r="T489" i="8"/>
  <c r="T490" i="8"/>
  <c r="T491" i="8"/>
  <c r="T492" i="8"/>
  <c r="T493" i="8"/>
  <c r="T494" i="8"/>
  <c r="T495" i="8"/>
  <c r="T496" i="8"/>
  <c r="S881" i="6"/>
  <c r="T881" i="6"/>
  <c r="S484" i="8"/>
  <c r="S485" i="8"/>
  <c r="S486" i="8"/>
  <c r="S487" i="8"/>
  <c r="T484" i="8"/>
  <c r="T485" i="8"/>
  <c r="T486" i="8"/>
  <c r="T487" i="8"/>
  <c r="S482" i="8"/>
  <c r="S483" i="8"/>
  <c r="T482" i="8"/>
  <c r="T483" i="8"/>
  <c r="Q473" i="8"/>
  <c r="R473" i="8"/>
  <c r="Q474" i="8"/>
  <c r="R474" i="8"/>
  <c r="Q475" i="8"/>
  <c r="R475" i="8"/>
  <c r="Q476" i="8"/>
  <c r="R476" i="8"/>
  <c r="Q477" i="8"/>
  <c r="R477" i="8"/>
  <c r="Q478" i="8"/>
  <c r="R478" i="8"/>
  <c r="Q479" i="8"/>
  <c r="R479" i="8"/>
  <c r="Q480" i="8"/>
  <c r="R480" i="8"/>
  <c r="U480" i="8"/>
  <c r="U479" i="8"/>
  <c r="U478" i="8"/>
  <c r="U477" i="8"/>
  <c r="U476" i="8"/>
  <c r="U475" i="8"/>
  <c r="U474" i="8"/>
  <c r="U473" i="8"/>
  <c r="Q465" i="8"/>
  <c r="R465" i="8"/>
  <c r="Q466" i="8"/>
  <c r="R466" i="8"/>
  <c r="Q467" i="8"/>
  <c r="R467" i="8"/>
  <c r="Q468" i="8"/>
  <c r="R468" i="8"/>
  <c r="Q469" i="8"/>
  <c r="R469" i="8"/>
  <c r="Q470" i="8"/>
  <c r="R470" i="8"/>
  <c r="Q471" i="8"/>
  <c r="R471" i="8"/>
  <c r="Q472" i="8"/>
  <c r="R472" i="8"/>
  <c r="H868" i="6"/>
  <c r="H867" i="6"/>
  <c r="H866" i="6"/>
  <c r="Q868" i="6"/>
  <c r="S868" i="6" s="1"/>
  <c r="Q870" i="6"/>
  <c r="S870" i="6" s="1"/>
  <c r="R868" i="6"/>
  <c r="R870" i="6"/>
  <c r="T870" i="6" s="1"/>
  <c r="U472" i="8"/>
  <c r="U471" i="8"/>
  <c r="U470" i="8"/>
  <c r="U469" i="8"/>
  <c r="U468" i="8"/>
  <c r="U467" i="8"/>
  <c r="U466" i="8"/>
  <c r="U465" i="8"/>
  <c r="Q842" i="6"/>
  <c r="Q854" i="6"/>
  <c r="S854" i="6" s="1"/>
  <c r="Q852" i="6"/>
  <c r="S852" i="6" s="1"/>
  <c r="Q853" i="6"/>
  <c r="S853" i="6" s="1"/>
  <c r="Q867" i="6"/>
  <c r="R852" i="6"/>
  <c r="T852" i="6" s="1"/>
  <c r="R853" i="6"/>
  <c r="T853" i="6" s="1"/>
  <c r="R854" i="6"/>
  <c r="T854" i="6" s="1"/>
  <c r="R867" i="6"/>
  <c r="Q860" i="6"/>
  <c r="S860" i="6" s="1"/>
  <c r="Q861" i="6"/>
  <c r="S861" i="6" s="1"/>
  <c r="Q862" i="6"/>
  <c r="S862" i="6" s="1"/>
  <c r="R860" i="6"/>
  <c r="T860" i="6" s="1"/>
  <c r="R861" i="6"/>
  <c r="T861" i="6" s="1"/>
  <c r="R862" i="6"/>
  <c r="T862" i="6" s="1"/>
  <c r="Q846" i="6"/>
  <c r="S867" i="6" l="1"/>
  <c r="T867" i="6"/>
  <c r="T868" i="6"/>
  <c r="S473" i="8"/>
  <c r="S474" i="8"/>
  <c r="S475" i="8"/>
  <c r="S476" i="8"/>
  <c r="S477" i="8"/>
  <c r="S478" i="8"/>
  <c r="S479" i="8"/>
  <c r="S480" i="8"/>
  <c r="T473" i="8"/>
  <c r="T474" i="8"/>
  <c r="T475" i="8"/>
  <c r="T476" i="8"/>
  <c r="T477" i="8"/>
  <c r="T478" i="8"/>
  <c r="T479" i="8"/>
  <c r="T480" i="8"/>
  <c r="S465" i="8"/>
  <c r="S466" i="8"/>
  <c r="S467" i="8"/>
  <c r="S468" i="8"/>
  <c r="S469" i="8"/>
  <c r="S470" i="8"/>
  <c r="S471" i="8"/>
  <c r="S472" i="8"/>
  <c r="T465" i="8"/>
  <c r="T466" i="8"/>
  <c r="T467" i="8"/>
  <c r="T468" i="8"/>
  <c r="T469" i="8"/>
  <c r="T470" i="8"/>
  <c r="T471" i="8"/>
  <c r="T472" i="8"/>
  <c r="Q856" i="6"/>
  <c r="S856" i="6" s="1"/>
  <c r="R856" i="6"/>
  <c r="T856" i="6" s="1"/>
  <c r="Q855" i="6"/>
  <c r="S855" i="6" s="1"/>
  <c r="R855" i="6"/>
  <c r="T855" i="6" s="1"/>
  <c r="Q843" i="6"/>
  <c r="S843" i="6" s="1"/>
  <c r="R843" i="6"/>
  <c r="T843" i="6" s="1"/>
  <c r="R842" i="6"/>
  <c r="T842" i="6" s="1"/>
  <c r="S842" i="6"/>
  <c r="Q849" i="6"/>
  <c r="S849" i="6" s="1"/>
  <c r="R849" i="6"/>
  <c r="T849" i="6" s="1"/>
  <c r="Q850" i="6"/>
  <c r="S850" i="6" s="1"/>
  <c r="R850" i="6"/>
  <c r="T850" i="6" s="1"/>
  <c r="Q851" i="6"/>
  <c r="S851" i="6" s="1"/>
  <c r="R851" i="6"/>
  <c r="T851" i="6" s="1"/>
  <c r="Q857" i="6"/>
  <c r="S857" i="6" s="1"/>
  <c r="R857" i="6"/>
  <c r="T857" i="6" s="1"/>
  <c r="Q858" i="6"/>
  <c r="S858" i="6" s="1"/>
  <c r="R858" i="6"/>
  <c r="T858" i="6" s="1"/>
  <c r="Q847" i="6"/>
  <c r="S847" i="6" s="1"/>
  <c r="Q848" i="6"/>
  <c r="S848" i="6" s="1"/>
  <c r="Q859" i="6"/>
  <c r="S859" i="6" s="1"/>
  <c r="R847" i="6"/>
  <c r="T847" i="6" s="1"/>
  <c r="R848" i="6"/>
  <c r="T848" i="6" s="1"/>
  <c r="R859" i="6"/>
  <c r="T859" i="6" s="1"/>
  <c r="R846" i="6"/>
  <c r="T846" i="6" s="1"/>
  <c r="S846" i="6"/>
  <c r="Q844" i="6"/>
  <c r="S844" i="6" s="1"/>
  <c r="R844" i="6"/>
  <c r="T844" i="6" s="1"/>
  <c r="Q841" i="6"/>
  <c r="S841" i="6" s="1"/>
  <c r="R841" i="6"/>
  <c r="T841" i="6" s="1"/>
  <c r="Q840" i="6"/>
  <c r="S840" i="6" s="1"/>
  <c r="R840" i="6"/>
  <c r="T840" i="6" s="1"/>
  <c r="Q833" i="6"/>
  <c r="Q834" i="6"/>
  <c r="S834" i="6" s="1"/>
  <c r="Q835" i="6"/>
  <c r="Q836" i="6"/>
  <c r="S836" i="6" s="1"/>
  <c r="Q837" i="6"/>
  <c r="S837" i="6" s="1"/>
  <c r="Q838" i="6"/>
  <c r="S838" i="6" s="1"/>
  <c r="Q839" i="6"/>
  <c r="S839" i="6" s="1"/>
  <c r="Q845" i="6"/>
  <c r="S845" i="6" s="1"/>
  <c r="R833" i="6"/>
  <c r="T833" i="6" s="1"/>
  <c r="R834" i="6"/>
  <c r="T834" i="6" s="1"/>
  <c r="R835" i="6"/>
  <c r="T835" i="6" s="1"/>
  <c r="R836" i="6"/>
  <c r="T836" i="6" s="1"/>
  <c r="R837" i="6"/>
  <c r="R838" i="6"/>
  <c r="T838" i="6" s="1"/>
  <c r="R839" i="6"/>
  <c r="T839" i="6" s="1"/>
  <c r="R845" i="6"/>
  <c r="T845" i="6" s="1"/>
  <c r="S833" i="6"/>
  <c r="S835" i="6"/>
  <c r="T837" i="6"/>
  <c r="Q453" i="8"/>
  <c r="S453" i="8" s="1"/>
  <c r="R453" i="8"/>
  <c r="Q454" i="8"/>
  <c r="S454" i="8" s="1"/>
  <c r="R454" i="8"/>
  <c r="T454" i="8" s="1"/>
  <c r="Q455" i="8"/>
  <c r="S455" i="8" s="1"/>
  <c r="R455" i="8"/>
  <c r="T455" i="8" s="1"/>
  <c r="Q456" i="8"/>
  <c r="S456" i="8" s="1"/>
  <c r="R456" i="8"/>
  <c r="T456" i="8" s="1"/>
  <c r="Q457" i="8"/>
  <c r="R457" i="8"/>
  <c r="Q458" i="8"/>
  <c r="R458" i="8"/>
  <c r="Q459" i="8"/>
  <c r="R459" i="8"/>
  <c r="Q460" i="8"/>
  <c r="R460" i="8"/>
  <c r="Q461" i="8"/>
  <c r="R461" i="8"/>
  <c r="Q462" i="8"/>
  <c r="R462" i="8"/>
  <c r="Q463" i="8"/>
  <c r="R463" i="8"/>
  <c r="Q464" i="8"/>
  <c r="R464" i="8"/>
  <c r="U464" i="8"/>
  <c r="U463" i="8"/>
  <c r="U462" i="8"/>
  <c r="U461" i="8"/>
  <c r="U460" i="8"/>
  <c r="U459" i="8"/>
  <c r="U458" i="8"/>
  <c r="U457" i="8"/>
  <c r="T453" i="8"/>
  <c r="U453" i="8"/>
  <c r="U454" i="8"/>
  <c r="U455" i="8"/>
  <c r="U456" i="8"/>
  <c r="Q832" i="6"/>
  <c r="S832" i="6" s="1"/>
  <c r="R832" i="6"/>
  <c r="T832" i="6" s="1"/>
  <c r="Q831" i="6"/>
  <c r="S831" i="6" s="1"/>
  <c r="R831" i="6"/>
  <c r="T831" i="6" s="1"/>
  <c r="Q449" i="8"/>
  <c r="S449" i="8" s="1"/>
  <c r="R449" i="8"/>
  <c r="T449" i="8" s="1"/>
  <c r="Q450" i="8"/>
  <c r="S450" i="8" s="1"/>
  <c r="R450" i="8"/>
  <c r="Q451" i="8"/>
  <c r="S451" i="8" s="1"/>
  <c r="R451" i="8"/>
  <c r="T451" i="8" s="1"/>
  <c r="Q452" i="8"/>
  <c r="S452" i="8" s="1"/>
  <c r="R452" i="8"/>
  <c r="T452" i="8" s="1"/>
  <c r="U452" i="8"/>
  <c r="U451" i="8"/>
  <c r="T450" i="8"/>
  <c r="U450" i="8"/>
  <c r="U449" i="8"/>
  <c r="Q830" i="6"/>
  <c r="S830" i="6" s="1"/>
  <c r="Q829" i="6"/>
  <c r="S829" i="6" s="1"/>
  <c r="R830" i="6"/>
  <c r="T830" i="6" s="1"/>
  <c r="R829" i="6"/>
  <c r="T829" i="6" s="1"/>
  <c r="S457" i="8" l="1"/>
  <c r="S458" i="8"/>
  <c r="S459" i="8"/>
  <c r="S460" i="8"/>
  <c r="S461" i="8"/>
  <c r="S462" i="8"/>
  <c r="S463" i="8"/>
  <c r="S464" i="8"/>
  <c r="T457" i="8"/>
  <c r="T458" i="8"/>
  <c r="T459" i="8"/>
  <c r="T460" i="8"/>
  <c r="T461" i="8"/>
  <c r="T462" i="8"/>
  <c r="T463" i="8"/>
  <c r="T464" i="8"/>
  <c r="Q441" i="8"/>
  <c r="R441" i="8"/>
  <c r="T441" i="8" s="1"/>
  <c r="Q442" i="8"/>
  <c r="R442" i="8"/>
  <c r="Q443" i="8"/>
  <c r="S443" i="8" s="1"/>
  <c r="R443" i="8"/>
  <c r="T443" i="8" s="1"/>
  <c r="Q444" i="8"/>
  <c r="S444" i="8" s="1"/>
  <c r="R444" i="8"/>
  <c r="T444" i="8" s="1"/>
  <c r="Q445" i="8"/>
  <c r="S445" i="8" s="1"/>
  <c r="R445" i="8"/>
  <c r="T445" i="8" s="1"/>
  <c r="Q446" i="8"/>
  <c r="S446" i="8" s="1"/>
  <c r="R446" i="8"/>
  <c r="T446" i="8" s="1"/>
  <c r="Q447" i="8"/>
  <c r="S447" i="8" s="1"/>
  <c r="R447" i="8"/>
  <c r="T447" i="8" s="1"/>
  <c r="Q448" i="8"/>
  <c r="S448" i="8" s="1"/>
  <c r="R448" i="8"/>
  <c r="T448" i="8" s="1"/>
  <c r="S441" i="8"/>
  <c r="S442" i="8"/>
  <c r="T442" i="8"/>
  <c r="U441" i="8"/>
  <c r="U442" i="8"/>
  <c r="U443" i="8"/>
  <c r="U444" i="8"/>
  <c r="U445" i="8"/>
  <c r="U446" i="8"/>
  <c r="U447" i="8"/>
  <c r="U448" i="8"/>
  <c r="Q439" i="8"/>
  <c r="R439" i="8"/>
  <c r="Q440" i="8"/>
  <c r="R440" i="8"/>
  <c r="U440" i="8"/>
  <c r="U439" i="8"/>
  <c r="Q823" i="6"/>
  <c r="S823" i="6" s="1"/>
  <c r="Q824" i="6"/>
  <c r="S824" i="6" s="1"/>
  <c r="Q825" i="6"/>
  <c r="S825" i="6" s="1"/>
  <c r="Q826" i="6"/>
  <c r="S826" i="6" s="1"/>
  <c r="R823" i="6"/>
  <c r="T823" i="6" s="1"/>
  <c r="R824" i="6"/>
  <c r="T824" i="6" s="1"/>
  <c r="R825" i="6"/>
  <c r="T825" i="6" s="1"/>
  <c r="R826" i="6"/>
  <c r="T826" i="6" s="1"/>
  <c r="Q827" i="6"/>
  <c r="Q828" i="6"/>
  <c r="S828" i="6" s="1"/>
  <c r="R827" i="6"/>
  <c r="T827" i="6" s="1"/>
  <c r="R828" i="6"/>
  <c r="T828" i="6" s="1"/>
  <c r="Q433" i="8"/>
  <c r="R433" i="8"/>
  <c r="Q434" i="8"/>
  <c r="R434" i="8"/>
  <c r="Q435" i="8"/>
  <c r="R435" i="8"/>
  <c r="Q436" i="8"/>
  <c r="R436" i="8"/>
  <c r="Q437" i="8"/>
  <c r="R437" i="8"/>
  <c r="Q438" i="8"/>
  <c r="R438" i="8"/>
  <c r="U438" i="8"/>
  <c r="U437" i="8"/>
  <c r="U436" i="8"/>
  <c r="U435" i="8"/>
  <c r="U434" i="8"/>
  <c r="U433" i="8"/>
  <c r="Q427" i="8"/>
  <c r="S427" i="8" s="1"/>
  <c r="R427" i="8"/>
  <c r="T427" i="8" s="1"/>
  <c r="Q428" i="8"/>
  <c r="S428" i="8" s="1"/>
  <c r="R428" i="8"/>
  <c r="T428" i="8" s="1"/>
  <c r="Q429" i="8"/>
  <c r="S429" i="8" s="1"/>
  <c r="R429" i="8"/>
  <c r="T429" i="8" s="1"/>
  <c r="Q430" i="8"/>
  <c r="S430" i="8" s="1"/>
  <c r="R430" i="8"/>
  <c r="T430" i="8" s="1"/>
  <c r="Q431" i="8"/>
  <c r="S431" i="8" s="1"/>
  <c r="R431" i="8"/>
  <c r="T431" i="8" s="1"/>
  <c r="Q432" i="8"/>
  <c r="S432" i="8" s="1"/>
  <c r="R432" i="8"/>
  <c r="T432" i="8" s="1"/>
  <c r="U432" i="8"/>
  <c r="U431" i="8"/>
  <c r="U430" i="8"/>
  <c r="U429" i="8"/>
  <c r="U428" i="8"/>
  <c r="U427" i="8"/>
  <c r="Q418" i="8"/>
  <c r="R418" i="8"/>
  <c r="Q419" i="8"/>
  <c r="R419" i="8"/>
  <c r="Q420" i="8"/>
  <c r="R420" i="8"/>
  <c r="Q421" i="8"/>
  <c r="R421" i="8"/>
  <c r="Q422" i="8"/>
  <c r="R422" i="8"/>
  <c r="Q423" i="8"/>
  <c r="R423" i="8"/>
  <c r="Q424" i="8"/>
  <c r="R424" i="8"/>
  <c r="Q425" i="8"/>
  <c r="R425" i="8"/>
  <c r="Q426" i="8"/>
  <c r="R426" i="8"/>
  <c r="U426" i="8"/>
  <c r="U425" i="8"/>
  <c r="U424" i="8"/>
  <c r="U423" i="8"/>
  <c r="U422" i="8"/>
  <c r="U421" i="8"/>
  <c r="U420" i="8"/>
  <c r="U419" i="8"/>
  <c r="U418" i="8"/>
  <c r="Q416" i="8"/>
  <c r="S416" i="8" s="1"/>
  <c r="R416" i="8"/>
  <c r="T416" i="8" s="1"/>
  <c r="Q417" i="8"/>
  <c r="S417" i="8" s="1"/>
  <c r="R417" i="8"/>
  <c r="T417" i="8" s="1"/>
  <c r="U416" i="8"/>
  <c r="U417" i="8"/>
  <c r="Q407" i="8"/>
  <c r="S407" i="8" s="1"/>
  <c r="R407" i="8"/>
  <c r="T407" i="8" s="1"/>
  <c r="Q408" i="8"/>
  <c r="S408" i="8" s="1"/>
  <c r="R408" i="8"/>
  <c r="T408" i="8" s="1"/>
  <c r="Q409" i="8"/>
  <c r="S409" i="8" s="1"/>
  <c r="R409" i="8"/>
  <c r="T409" i="8" s="1"/>
  <c r="Q410" i="8"/>
  <c r="S410" i="8" s="1"/>
  <c r="R410" i="8"/>
  <c r="T410" i="8" s="1"/>
  <c r="Q411" i="8"/>
  <c r="S411" i="8" s="1"/>
  <c r="R411" i="8"/>
  <c r="T411" i="8" s="1"/>
  <c r="Q412" i="8"/>
  <c r="S412" i="8" s="1"/>
  <c r="R412" i="8"/>
  <c r="T412" i="8" s="1"/>
  <c r="Q413" i="8"/>
  <c r="S413" i="8" s="1"/>
  <c r="R413" i="8"/>
  <c r="T413" i="8" s="1"/>
  <c r="Q414" i="8"/>
  <c r="S414" i="8" s="1"/>
  <c r="R414" i="8"/>
  <c r="T414" i="8" s="1"/>
  <c r="Q415" i="8"/>
  <c r="S415" i="8" s="1"/>
  <c r="R415" i="8"/>
  <c r="T415" i="8" s="1"/>
  <c r="U407" i="8"/>
  <c r="U408" i="8"/>
  <c r="U409" i="8"/>
  <c r="U410" i="8"/>
  <c r="U411" i="8"/>
  <c r="U412" i="8"/>
  <c r="U413" i="8"/>
  <c r="U414" i="8"/>
  <c r="U415" i="8"/>
  <c r="Q395" i="8"/>
  <c r="R395" i="8"/>
  <c r="Q396" i="8"/>
  <c r="R396" i="8"/>
  <c r="Q397" i="8"/>
  <c r="R397" i="8"/>
  <c r="Q398" i="8"/>
  <c r="R398" i="8"/>
  <c r="Q399" i="8"/>
  <c r="R399" i="8"/>
  <c r="Q400" i="8"/>
  <c r="R400" i="8"/>
  <c r="Q401" i="8"/>
  <c r="R401" i="8"/>
  <c r="Q402" i="8"/>
  <c r="R402" i="8"/>
  <c r="Q403" i="8"/>
  <c r="R403" i="8"/>
  <c r="Q404" i="8"/>
  <c r="R404" i="8"/>
  <c r="Q405" i="8"/>
  <c r="R405" i="8"/>
  <c r="Q406" i="8"/>
  <c r="R406" i="8"/>
  <c r="R394" i="8"/>
  <c r="U406" i="8"/>
  <c r="U405" i="8"/>
  <c r="U404" i="8"/>
  <c r="U403" i="8"/>
  <c r="U402" i="8"/>
  <c r="U401" i="8"/>
  <c r="U400" i="8"/>
  <c r="U399" i="8"/>
  <c r="U398" i="8"/>
  <c r="U397" i="8"/>
  <c r="U396" i="8"/>
  <c r="U395" i="8"/>
  <c r="Q380" i="8"/>
  <c r="R380" i="8"/>
  <c r="Q381" i="8"/>
  <c r="R381" i="8"/>
  <c r="Q382" i="8"/>
  <c r="R382" i="8"/>
  <c r="Q383" i="8"/>
  <c r="R383" i="8"/>
  <c r="Q384" i="8"/>
  <c r="R384" i="8"/>
  <c r="Q385" i="8"/>
  <c r="R385" i="8"/>
  <c r="Q386" i="8"/>
  <c r="R386" i="8"/>
  <c r="Q387" i="8"/>
  <c r="R387" i="8"/>
  <c r="Q388" i="8"/>
  <c r="R388" i="8"/>
  <c r="Q389" i="8"/>
  <c r="R389" i="8"/>
  <c r="Q390" i="8"/>
  <c r="R390" i="8"/>
  <c r="Q391" i="8"/>
  <c r="R391" i="8"/>
  <c r="Q392" i="8"/>
  <c r="R392" i="8"/>
  <c r="Q393" i="8"/>
  <c r="R393" i="8"/>
  <c r="Q394" i="8"/>
  <c r="U394" i="8"/>
  <c r="U393" i="8"/>
  <c r="U392" i="8"/>
  <c r="U391" i="8"/>
  <c r="U390" i="8"/>
  <c r="U389" i="8"/>
  <c r="U388" i="8"/>
  <c r="U387" i="8"/>
  <c r="U386" i="8"/>
  <c r="Q379" i="8"/>
  <c r="R379" i="8"/>
  <c r="U385" i="8"/>
  <c r="U384" i="8"/>
  <c r="U383" i="8"/>
  <c r="U382" i="8"/>
  <c r="U381" i="8"/>
  <c r="U380" i="8"/>
  <c r="U379" i="8"/>
  <c r="Q822" i="6"/>
  <c r="S822" i="6" s="1"/>
  <c r="R822" i="6"/>
  <c r="T822" i="6" s="1"/>
  <c r="R372" i="8"/>
  <c r="Q372" i="8"/>
  <c r="R371" i="8"/>
  <c r="Q371" i="8"/>
  <c r="R370" i="8"/>
  <c r="Q370" i="8"/>
  <c r="R369" i="8"/>
  <c r="Q369" i="8"/>
  <c r="R368" i="8"/>
  <c r="Q368" i="8"/>
  <c r="R367" i="8"/>
  <c r="Q367" i="8"/>
  <c r="R366" i="8"/>
  <c r="Q366" i="8"/>
  <c r="R365" i="8"/>
  <c r="Q365" i="8"/>
  <c r="R364" i="8"/>
  <c r="Q364" i="8"/>
  <c r="R363" i="8"/>
  <c r="Q363" i="8"/>
  <c r="R362" i="8"/>
  <c r="Q362" i="8"/>
  <c r="R361" i="8"/>
  <c r="Q361" i="8"/>
  <c r="R360" i="8"/>
  <c r="Q360" i="8"/>
  <c r="R359" i="8"/>
  <c r="Q359" i="8"/>
  <c r="R358" i="8"/>
  <c r="Q358" i="8"/>
  <c r="R357" i="8"/>
  <c r="Q357" i="8"/>
  <c r="R378" i="8"/>
  <c r="R377" i="8"/>
  <c r="R376" i="8"/>
  <c r="R375" i="8"/>
  <c r="R374" i="8"/>
  <c r="R373" i="8"/>
  <c r="Q373" i="8"/>
  <c r="Q374" i="8"/>
  <c r="Q375" i="8"/>
  <c r="Q376" i="8"/>
  <c r="Q377" i="8"/>
  <c r="Q378" i="8"/>
  <c r="H378" i="8"/>
  <c r="H377" i="8"/>
  <c r="H376" i="8"/>
  <c r="H375" i="8"/>
  <c r="H374" i="8"/>
  <c r="H373" i="8"/>
  <c r="H372" i="8"/>
  <c r="S372" i="8" s="1"/>
  <c r="H371" i="8"/>
  <c r="U375" i="8"/>
  <c r="U376" i="8"/>
  <c r="U377" i="8"/>
  <c r="U378" i="8"/>
  <c r="U374" i="8"/>
  <c r="U373" i="8"/>
  <c r="U372" i="8"/>
  <c r="U371" i="8"/>
  <c r="H370" i="8"/>
  <c r="U370" i="8"/>
  <c r="Q818" i="6"/>
  <c r="S818" i="6" s="1"/>
  <c r="Q819" i="6"/>
  <c r="S819" i="6" s="1"/>
  <c r="Q820" i="6"/>
  <c r="Q821" i="6"/>
  <c r="S821" i="6" s="1"/>
  <c r="R818" i="6"/>
  <c r="T818" i="6" s="1"/>
  <c r="R819" i="6"/>
  <c r="T819" i="6" s="1"/>
  <c r="R820" i="6"/>
  <c r="T820" i="6" s="1"/>
  <c r="R821" i="6"/>
  <c r="T821" i="6" s="1"/>
  <c r="S820" i="6"/>
  <c r="Q817" i="6"/>
  <c r="S817" i="6" s="1"/>
  <c r="R817" i="6"/>
  <c r="T817" i="6" s="1"/>
  <c r="U369" i="8"/>
  <c r="U368" i="8"/>
  <c r="U367" i="8"/>
  <c r="U366" i="8"/>
  <c r="U365" i="8"/>
  <c r="U364" i="8"/>
  <c r="U363" i="8"/>
  <c r="U362" i="8"/>
  <c r="U361" i="8"/>
  <c r="U360" i="8"/>
  <c r="U359" i="8"/>
  <c r="U358" i="8"/>
  <c r="U357" i="8"/>
  <c r="Q343" i="8"/>
  <c r="R343" i="8"/>
  <c r="Q344" i="8"/>
  <c r="R344" i="8"/>
  <c r="Q345" i="8"/>
  <c r="R345" i="8"/>
  <c r="Q346" i="8"/>
  <c r="R346" i="8"/>
  <c r="Q347" i="8"/>
  <c r="R347" i="8"/>
  <c r="Q348" i="8"/>
  <c r="R348" i="8"/>
  <c r="Q349" i="8"/>
  <c r="R349" i="8"/>
  <c r="Q350" i="8"/>
  <c r="S350" i="8" s="1"/>
  <c r="R350" i="8"/>
  <c r="T350" i="8" s="1"/>
  <c r="Q351" i="8"/>
  <c r="S351" i="8" s="1"/>
  <c r="R351" i="8"/>
  <c r="T351" i="8" s="1"/>
  <c r="Q352" i="8"/>
  <c r="S352" i="8" s="1"/>
  <c r="R352" i="8"/>
  <c r="T352" i="8" s="1"/>
  <c r="Q353" i="8"/>
  <c r="S353" i="8" s="1"/>
  <c r="R353" i="8"/>
  <c r="T353" i="8" s="1"/>
  <c r="Q354" i="8"/>
  <c r="R354" i="8"/>
  <c r="T354" i="8" s="1"/>
  <c r="Q355" i="8"/>
  <c r="S355" i="8" s="1"/>
  <c r="R355" i="8"/>
  <c r="T355" i="8" s="1"/>
  <c r="Q356" i="8"/>
  <c r="S356" i="8" s="1"/>
  <c r="R356" i="8"/>
  <c r="T356" i="8" s="1"/>
  <c r="S354" i="8"/>
  <c r="U350" i="8"/>
  <c r="U351" i="8"/>
  <c r="U352" i="8"/>
  <c r="U353" i="8"/>
  <c r="U354" i="8"/>
  <c r="U355" i="8"/>
  <c r="U356" i="8"/>
  <c r="U349" i="8"/>
  <c r="U348" i="8"/>
  <c r="U347" i="8"/>
  <c r="U346" i="8"/>
  <c r="U345" i="8"/>
  <c r="U344" i="8"/>
  <c r="U343" i="8"/>
  <c r="S378" i="8" l="1"/>
  <c r="T371" i="8"/>
  <c r="S377" i="8"/>
  <c r="S370" i="8"/>
  <c r="T378" i="8"/>
  <c r="T370" i="8"/>
  <c r="S376" i="8"/>
  <c r="T377" i="8"/>
  <c r="T374" i="8"/>
  <c r="S375" i="8"/>
  <c r="T372" i="8"/>
  <c r="S374" i="8"/>
  <c r="S373" i="8"/>
  <c r="T373" i="8"/>
  <c r="S827" i="6"/>
  <c r="T375" i="8"/>
  <c r="S371" i="8"/>
  <c r="T376" i="8"/>
  <c r="S439" i="8"/>
  <c r="S440" i="8"/>
  <c r="T439" i="8"/>
  <c r="T440" i="8"/>
  <c r="S433" i="8"/>
  <c r="S434" i="8"/>
  <c r="S435" i="8"/>
  <c r="S436" i="8"/>
  <c r="S437" i="8"/>
  <c r="S438" i="8"/>
  <c r="T433" i="8"/>
  <c r="T434" i="8"/>
  <c r="T435" i="8"/>
  <c r="T436" i="8"/>
  <c r="T437" i="8"/>
  <c r="T438" i="8"/>
  <c r="S418" i="8"/>
  <c r="S419" i="8"/>
  <c r="S420" i="8"/>
  <c r="S421" i="8"/>
  <c r="S422" i="8"/>
  <c r="S423" i="8"/>
  <c r="S424" i="8"/>
  <c r="S425" i="8"/>
  <c r="S426" i="8"/>
  <c r="T418" i="8"/>
  <c r="T419" i="8"/>
  <c r="T420" i="8"/>
  <c r="T421" i="8"/>
  <c r="T422" i="8"/>
  <c r="T423" i="8"/>
  <c r="T424" i="8"/>
  <c r="T425" i="8"/>
  <c r="T426" i="8"/>
  <c r="S395" i="8"/>
  <c r="S396" i="8"/>
  <c r="S397" i="8"/>
  <c r="S398" i="8"/>
  <c r="S399" i="8"/>
  <c r="S400" i="8"/>
  <c r="S401" i="8"/>
  <c r="S402" i="8"/>
  <c r="S403" i="8"/>
  <c r="S404" i="8"/>
  <c r="S405" i="8"/>
  <c r="S406" i="8"/>
  <c r="T395" i="8"/>
  <c r="T396" i="8"/>
  <c r="T397" i="8"/>
  <c r="T398" i="8"/>
  <c r="T399" i="8"/>
  <c r="T400" i="8"/>
  <c r="T401" i="8"/>
  <c r="T402" i="8"/>
  <c r="T403" i="8"/>
  <c r="T404" i="8"/>
  <c r="T405" i="8"/>
  <c r="T406" i="8"/>
  <c r="S386" i="8"/>
  <c r="S387" i="8"/>
  <c r="S388" i="8"/>
  <c r="S389" i="8"/>
  <c r="S390" i="8"/>
  <c r="S391" i="8"/>
  <c r="S392" i="8"/>
  <c r="S393" i="8"/>
  <c r="S394" i="8"/>
  <c r="T386" i="8"/>
  <c r="T387" i="8"/>
  <c r="T388" i="8"/>
  <c r="T389" i="8"/>
  <c r="T390" i="8"/>
  <c r="T391" i="8"/>
  <c r="T392" i="8"/>
  <c r="T393" i="8"/>
  <c r="T394" i="8"/>
  <c r="S379" i="8"/>
  <c r="S380" i="8"/>
  <c r="S381" i="8"/>
  <c r="S382" i="8"/>
  <c r="S383" i="8"/>
  <c r="S384" i="8"/>
  <c r="S385" i="8"/>
  <c r="T379" i="8"/>
  <c r="T380" i="8"/>
  <c r="T381" i="8"/>
  <c r="T382" i="8"/>
  <c r="T383" i="8"/>
  <c r="T384" i="8"/>
  <c r="T385" i="8"/>
  <c r="S366" i="8"/>
  <c r="S367" i="8"/>
  <c r="S368" i="8"/>
  <c r="S369" i="8"/>
  <c r="T366" i="8"/>
  <c r="T367" i="8"/>
  <c r="T368" i="8"/>
  <c r="T369" i="8"/>
  <c r="S357" i="8"/>
  <c r="S358" i="8"/>
  <c r="S359" i="8"/>
  <c r="S360" i="8"/>
  <c r="S361" i="8"/>
  <c r="S362" i="8"/>
  <c r="S363" i="8"/>
  <c r="S364" i="8"/>
  <c r="S365" i="8"/>
  <c r="T357" i="8"/>
  <c r="T358" i="8"/>
  <c r="T359" i="8"/>
  <c r="T360" i="8"/>
  <c r="T361" i="8"/>
  <c r="T362" i="8"/>
  <c r="T363" i="8"/>
  <c r="T364" i="8"/>
  <c r="T365" i="8"/>
  <c r="S343" i="8"/>
  <c r="S344" i="8"/>
  <c r="S345" i="8"/>
  <c r="S346" i="8"/>
  <c r="S347" i="8"/>
  <c r="S348" i="8"/>
  <c r="S349" i="8"/>
  <c r="T343" i="8"/>
  <c r="T344" i="8"/>
  <c r="T345" i="8"/>
  <c r="T346" i="8"/>
  <c r="T347" i="8"/>
  <c r="T348" i="8"/>
  <c r="T349" i="8"/>
  <c r="R802" i="6"/>
  <c r="T802" i="6" s="1"/>
  <c r="R803" i="6"/>
  <c r="T803" i="6" s="1"/>
  <c r="R804" i="6"/>
  <c r="T804" i="6" s="1"/>
  <c r="R805" i="6"/>
  <c r="T805" i="6" s="1"/>
  <c r="R806" i="6"/>
  <c r="T806" i="6" s="1"/>
  <c r="R807" i="6"/>
  <c r="T807" i="6" s="1"/>
  <c r="R808" i="6"/>
  <c r="T808" i="6" s="1"/>
  <c r="R809" i="6"/>
  <c r="R810" i="6"/>
  <c r="R811" i="6"/>
  <c r="T811" i="6" s="1"/>
  <c r="R812" i="6"/>
  <c r="R813" i="6"/>
  <c r="R814" i="6"/>
  <c r="R815" i="6"/>
  <c r="R816" i="6"/>
  <c r="Q802" i="6"/>
  <c r="S802" i="6" s="1"/>
  <c r="Q803" i="6"/>
  <c r="S803" i="6" s="1"/>
  <c r="Q804" i="6"/>
  <c r="S804" i="6" s="1"/>
  <c r="Q805" i="6"/>
  <c r="S805" i="6" s="1"/>
  <c r="Q806" i="6"/>
  <c r="S806" i="6" s="1"/>
  <c r="Q807" i="6"/>
  <c r="S807" i="6" s="1"/>
  <c r="Q808" i="6"/>
  <c r="S808" i="6" s="1"/>
  <c r="Q809" i="6"/>
  <c r="Q810" i="6"/>
  <c r="Q811" i="6"/>
  <c r="Q812" i="6"/>
  <c r="Q813" i="6"/>
  <c r="Q814" i="6"/>
  <c r="Q815" i="6"/>
  <c r="Q816" i="6"/>
  <c r="S816" i="6" l="1"/>
  <c r="S812" i="6"/>
  <c r="S811" i="6"/>
  <c r="T815" i="6"/>
  <c r="T814" i="6"/>
  <c r="T813" i="6"/>
  <c r="T812" i="6"/>
  <c r="T810" i="6"/>
  <c r="S810" i="6"/>
  <c r="T809" i="6"/>
  <c r="S809" i="6"/>
  <c r="T816" i="6"/>
  <c r="S815" i="6"/>
  <c r="S814" i="6"/>
  <c r="S813" i="6"/>
  <c r="Q331" i="8" l="1"/>
  <c r="S331" i="8" s="1"/>
  <c r="R331" i="8"/>
  <c r="Q332" i="8"/>
  <c r="S332" i="8" s="1"/>
  <c r="R332" i="8"/>
  <c r="T332" i="8" s="1"/>
  <c r="Q333" i="8"/>
  <c r="R333" i="8"/>
  <c r="T333" i="8" s="1"/>
  <c r="Q334" i="8"/>
  <c r="S334" i="8" s="1"/>
  <c r="R334" i="8"/>
  <c r="T334" i="8" s="1"/>
  <c r="Q335" i="8"/>
  <c r="S335" i="8" s="1"/>
  <c r="R335" i="8"/>
  <c r="T335" i="8" s="1"/>
  <c r="Q336" i="8"/>
  <c r="S336" i="8" s="1"/>
  <c r="R336" i="8"/>
  <c r="Q337" i="8"/>
  <c r="R337" i="8"/>
  <c r="T337" i="8" s="1"/>
  <c r="Q338" i="8"/>
  <c r="R338" i="8"/>
  <c r="T338" i="8" s="1"/>
  <c r="Q339" i="8"/>
  <c r="R339" i="8"/>
  <c r="Q340" i="8"/>
  <c r="R340" i="8"/>
  <c r="Q341" i="8"/>
  <c r="R341" i="8"/>
  <c r="Q342" i="8"/>
  <c r="R342" i="8"/>
  <c r="U342" i="8"/>
  <c r="U341" i="8"/>
  <c r="U340" i="8"/>
  <c r="U339" i="8"/>
  <c r="Q784" i="6"/>
  <c r="S784" i="6" s="1"/>
  <c r="Q785" i="6"/>
  <c r="S785" i="6" s="1"/>
  <c r="Q786" i="6"/>
  <c r="S786" i="6" s="1"/>
  <c r="Q787" i="6"/>
  <c r="S787" i="6" s="1"/>
  <c r="Q788" i="6"/>
  <c r="S788" i="6" s="1"/>
  <c r="Q789" i="6"/>
  <c r="S789" i="6" s="1"/>
  <c r="Q790" i="6"/>
  <c r="S790" i="6" s="1"/>
  <c r="Q791" i="6"/>
  <c r="S791" i="6" s="1"/>
  <c r="Q792" i="6"/>
  <c r="S792" i="6" s="1"/>
  <c r="Q795" i="6"/>
  <c r="S795" i="6" s="1"/>
  <c r="Q796" i="6"/>
  <c r="S796" i="6" s="1"/>
  <c r="Q797" i="6"/>
  <c r="S797" i="6" s="1"/>
  <c r="Q798" i="6"/>
  <c r="S798" i="6" s="1"/>
  <c r="Q793" i="6"/>
  <c r="S793" i="6" s="1"/>
  <c r="Q794" i="6"/>
  <c r="S794" i="6" s="1"/>
  <c r="Q799" i="6"/>
  <c r="Q800" i="6"/>
  <c r="S800" i="6" s="1"/>
  <c r="Q801" i="6"/>
  <c r="S801" i="6" s="1"/>
  <c r="R784" i="6"/>
  <c r="T784" i="6" s="1"/>
  <c r="R785" i="6"/>
  <c r="T785" i="6" s="1"/>
  <c r="R786" i="6"/>
  <c r="T786" i="6" s="1"/>
  <c r="R787" i="6"/>
  <c r="T787" i="6" s="1"/>
  <c r="R788" i="6"/>
  <c r="T788" i="6" s="1"/>
  <c r="R789" i="6"/>
  <c r="R790" i="6"/>
  <c r="T790" i="6" s="1"/>
  <c r="R791" i="6"/>
  <c r="T791" i="6" s="1"/>
  <c r="R792" i="6"/>
  <c r="R795" i="6"/>
  <c r="T795" i="6" s="1"/>
  <c r="R796" i="6"/>
  <c r="T796" i="6" s="1"/>
  <c r="R797" i="6"/>
  <c r="T797" i="6" s="1"/>
  <c r="R798" i="6"/>
  <c r="T798" i="6" s="1"/>
  <c r="R793" i="6"/>
  <c r="T793" i="6" s="1"/>
  <c r="R794" i="6"/>
  <c r="T794" i="6" s="1"/>
  <c r="R799" i="6"/>
  <c r="T799" i="6" s="1"/>
  <c r="R800" i="6"/>
  <c r="T800" i="6" s="1"/>
  <c r="R801" i="6"/>
  <c r="T801" i="6" s="1"/>
  <c r="S799" i="6"/>
  <c r="T789" i="6"/>
  <c r="T792" i="6"/>
  <c r="Q325" i="8"/>
  <c r="S325" i="8" s="1"/>
  <c r="R325" i="8"/>
  <c r="T325" i="8" s="1"/>
  <c r="Q326" i="8"/>
  <c r="S326" i="8" s="1"/>
  <c r="R326" i="8"/>
  <c r="T326" i="8" s="1"/>
  <c r="Q327" i="8"/>
  <c r="S327" i="8" s="1"/>
  <c r="R327" i="8"/>
  <c r="T327" i="8" s="1"/>
  <c r="Q328" i="8"/>
  <c r="S328" i="8" s="1"/>
  <c r="R328" i="8"/>
  <c r="T328" i="8" s="1"/>
  <c r="Q329" i="8"/>
  <c r="S329" i="8" s="1"/>
  <c r="R329" i="8"/>
  <c r="T329" i="8" s="1"/>
  <c r="Q330" i="8"/>
  <c r="S330" i="8" s="1"/>
  <c r="R330" i="8"/>
  <c r="T330" i="8" s="1"/>
  <c r="S333" i="8"/>
  <c r="S337" i="8"/>
  <c r="S338" i="8"/>
  <c r="T331" i="8"/>
  <c r="T336" i="8"/>
  <c r="U325" i="8"/>
  <c r="U326" i="8"/>
  <c r="U327" i="8"/>
  <c r="U328" i="8"/>
  <c r="U329" i="8"/>
  <c r="U330" i="8"/>
  <c r="U331" i="8"/>
  <c r="U332" i="8"/>
  <c r="U333" i="8"/>
  <c r="U334" i="8"/>
  <c r="U335" i="8"/>
  <c r="U336" i="8"/>
  <c r="U337" i="8"/>
  <c r="U338" i="8"/>
  <c r="Q307" i="8"/>
  <c r="R307" i="8"/>
  <c r="Q308" i="8"/>
  <c r="R308" i="8"/>
  <c r="Q309" i="8"/>
  <c r="S309" i="8" s="1"/>
  <c r="R309" i="8"/>
  <c r="T309" i="8" s="1"/>
  <c r="Q310" i="8"/>
  <c r="S310" i="8" s="1"/>
  <c r="R310" i="8"/>
  <c r="T310" i="8" s="1"/>
  <c r="Q311" i="8"/>
  <c r="S311" i="8" s="1"/>
  <c r="R311" i="8"/>
  <c r="T311" i="8" s="1"/>
  <c r="Q312" i="8"/>
  <c r="S312" i="8" s="1"/>
  <c r="R312" i="8"/>
  <c r="T312" i="8" s="1"/>
  <c r="Q313" i="8"/>
  <c r="S313" i="8" s="1"/>
  <c r="R313" i="8"/>
  <c r="T313" i="8" s="1"/>
  <c r="Q314" i="8"/>
  <c r="S314" i="8" s="1"/>
  <c r="R314" i="8"/>
  <c r="T314" i="8" s="1"/>
  <c r="Q315" i="8"/>
  <c r="S315" i="8" s="1"/>
  <c r="R315" i="8"/>
  <c r="T315" i="8" s="1"/>
  <c r="Q316" i="8"/>
  <c r="S316" i="8" s="1"/>
  <c r="R316" i="8"/>
  <c r="T316" i="8" s="1"/>
  <c r="Q317" i="8"/>
  <c r="S317" i="8" s="1"/>
  <c r="R317" i="8"/>
  <c r="T317" i="8" s="1"/>
  <c r="Q318" i="8"/>
  <c r="S318" i="8" s="1"/>
  <c r="R318" i="8"/>
  <c r="T318" i="8" s="1"/>
  <c r="Q319" i="8"/>
  <c r="S319" i="8" s="1"/>
  <c r="R319" i="8"/>
  <c r="T319" i="8" s="1"/>
  <c r="Q320" i="8"/>
  <c r="S320" i="8" s="1"/>
  <c r="R320" i="8"/>
  <c r="T320" i="8" s="1"/>
  <c r="Q321" i="8"/>
  <c r="S321" i="8" s="1"/>
  <c r="R321" i="8"/>
  <c r="T321" i="8" s="1"/>
  <c r="Q322" i="8"/>
  <c r="S322" i="8" s="1"/>
  <c r="R322" i="8"/>
  <c r="T322" i="8" s="1"/>
  <c r="Q323" i="8"/>
  <c r="S323" i="8" s="1"/>
  <c r="R323" i="8"/>
  <c r="T323" i="8" s="1"/>
  <c r="Q324" i="8"/>
  <c r="S324" i="8" s="1"/>
  <c r="R324" i="8"/>
  <c r="T324" i="8" s="1"/>
  <c r="U322" i="8"/>
  <c r="U323" i="8"/>
  <c r="U324" i="8"/>
  <c r="U309" i="8"/>
  <c r="U310" i="8"/>
  <c r="U311" i="8"/>
  <c r="U312" i="8"/>
  <c r="U313" i="8"/>
  <c r="U314" i="8"/>
  <c r="U315" i="8"/>
  <c r="U316" i="8"/>
  <c r="U317" i="8"/>
  <c r="U318" i="8"/>
  <c r="U319" i="8"/>
  <c r="U320" i="8"/>
  <c r="U321" i="8"/>
  <c r="R268" i="8"/>
  <c r="T268" i="8" s="1"/>
  <c r="R269" i="8"/>
  <c r="T269" i="8" s="1"/>
  <c r="R270" i="8"/>
  <c r="T270" i="8" s="1"/>
  <c r="R271" i="8"/>
  <c r="T271" i="8" s="1"/>
  <c r="R272" i="8"/>
  <c r="T272" i="8" s="1"/>
  <c r="R273" i="8"/>
  <c r="T273" i="8" s="1"/>
  <c r="R274" i="8"/>
  <c r="T274" i="8" s="1"/>
  <c r="R275" i="8"/>
  <c r="T275" i="8" s="1"/>
  <c r="R276" i="8"/>
  <c r="T276" i="8" s="1"/>
  <c r="R277" i="8"/>
  <c r="T277" i="8" s="1"/>
  <c r="R278" i="8"/>
  <c r="T278" i="8" s="1"/>
  <c r="R279" i="8"/>
  <c r="T279" i="8" s="1"/>
  <c r="R280" i="8"/>
  <c r="T280" i="8" s="1"/>
  <c r="R281" i="8"/>
  <c r="T281" i="8" s="1"/>
  <c r="R282" i="8"/>
  <c r="T282" i="8" s="1"/>
  <c r="R283" i="8"/>
  <c r="T283" i="8" s="1"/>
  <c r="R284" i="8"/>
  <c r="T284" i="8" s="1"/>
  <c r="R285" i="8"/>
  <c r="T285" i="8" s="1"/>
  <c r="R286" i="8"/>
  <c r="R287" i="8"/>
  <c r="R288" i="8"/>
  <c r="R289" i="8"/>
  <c r="Q268" i="8"/>
  <c r="S268" i="8" s="1"/>
  <c r="Q269" i="8"/>
  <c r="S269" i="8" s="1"/>
  <c r="Q270" i="8"/>
  <c r="S270" i="8" s="1"/>
  <c r="Q271" i="8"/>
  <c r="S271" i="8" s="1"/>
  <c r="Q272" i="8"/>
  <c r="S272" i="8" s="1"/>
  <c r="Q273" i="8"/>
  <c r="S273" i="8" s="1"/>
  <c r="Q274" i="8"/>
  <c r="S274" i="8" s="1"/>
  <c r="Q275" i="8"/>
  <c r="S275" i="8" s="1"/>
  <c r="Q276" i="8"/>
  <c r="S276" i="8" s="1"/>
  <c r="Q277" i="8"/>
  <c r="S277" i="8" s="1"/>
  <c r="Q278" i="8"/>
  <c r="S278" i="8" s="1"/>
  <c r="Q279" i="8"/>
  <c r="S279" i="8" s="1"/>
  <c r="Q280" i="8"/>
  <c r="S280" i="8" s="1"/>
  <c r="Q281" i="8"/>
  <c r="S281" i="8" s="1"/>
  <c r="Q282" i="8"/>
  <c r="S282" i="8" s="1"/>
  <c r="Q283" i="8"/>
  <c r="S283" i="8" s="1"/>
  <c r="Q284" i="8"/>
  <c r="S284" i="8" s="1"/>
  <c r="Q285" i="8"/>
  <c r="S285" i="8" s="1"/>
  <c r="Q286" i="8"/>
  <c r="Q287" i="8"/>
  <c r="Q288" i="8"/>
  <c r="Q289" i="8"/>
  <c r="Q290" i="8"/>
  <c r="U285" i="8"/>
  <c r="U284" i="8"/>
  <c r="U282" i="8"/>
  <c r="U281" i="8"/>
  <c r="U279" i="8"/>
  <c r="U278" i="8"/>
  <c r="U276" i="8"/>
  <c r="U275" i="8"/>
  <c r="U273" i="8"/>
  <c r="U272" i="8"/>
  <c r="U270" i="8"/>
  <c r="U269" i="8"/>
  <c r="U280" i="8"/>
  <c r="U283" i="8"/>
  <c r="U277" i="8"/>
  <c r="U274" i="8"/>
  <c r="U271" i="8"/>
  <c r="U268" i="8"/>
  <c r="S339" i="8" l="1"/>
  <c r="S340" i="8"/>
  <c r="S341" i="8"/>
  <c r="S342" i="8"/>
  <c r="T339" i="8"/>
  <c r="T340" i="8"/>
  <c r="T341" i="8"/>
  <c r="T342" i="8"/>
  <c r="H764" i="6"/>
  <c r="H765" i="6"/>
  <c r="H766" i="6"/>
  <c r="H758" i="6"/>
  <c r="H759" i="6"/>
  <c r="H760" i="6"/>
  <c r="H761" i="6"/>
  <c r="H762" i="6"/>
  <c r="H763" i="6"/>
  <c r="R759" i="6"/>
  <c r="R760" i="6"/>
  <c r="R761" i="6"/>
  <c r="R762" i="6"/>
  <c r="R763" i="6"/>
  <c r="R764" i="6"/>
  <c r="R765" i="6"/>
  <c r="R766" i="6"/>
  <c r="R767" i="6"/>
  <c r="T767" i="6" s="1"/>
  <c r="R768" i="6"/>
  <c r="T768" i="6" s="1"/>
  <c r="R769" i="6"/>
  <c r="T769" i="6" s="1"/>
  <c r="R770" i="6"/>
  <c r="T770" i="6" s="1"/>
  <c r="R771" i="6"/>
  <c r="T771" i="6" s="1"/>
  <c r="R772" i="6"/>
  <c r="R773" i="6"/>
  <c r="R774" i="6"/>
  <c r="R775" i="6"/>
  <c r="R776" i="6"/>
  <c r="R777" i="6"/>
  <c r="R778" i="6"/>
  <c r="R779" i="6"/>
  <c r="R780" i="6"/>
  <c r="R781" i="6"/>
  <c r="R782" i="6"/>
  <c r="R783" i="6"/>
  <c r="Q759" i="6"/>
  <c r="Q760" i="6"/>
  <c r="Q761" i="6"/>
  <c r="Q762" i="6"/>
  <c r="Q763" i="6"/>
  <c r="Q764" i="6"/>
  <c r="S764" i="6" s="1"/>
  <c r="Q765" i="6"/>
  <c r="S765" i="6" s="1"/>
  <c r="Q766" i="6"/>
  <c r="S766" i="6" s="1"/>
  <c r="Q767" i="6"/>
  <c r="S767" i="6" s="1"/>
  <c r="Q768" i="6"/>
  <c r="S768" i="6" s="1"/>
  <c r="Q769" i="6"/>
  <c r="S769" i="6" s="1"/>
  <c r="Q770" i="6"/>
  <c r="S770" i="6" s="1"/>
  <c r="Q771" i="6"/>
  <c r="S771" i="6" s="1"/>
  <c r="Q772" i="6"/>
  <c r="Q773" i="6"/>
  <c r="Q774" i="6"/>
  <c r="Q775" i="6"/>
  <c r="Q776" i="6"/>
  <c r="Q777" i="6"/>
  <c r="Q778" i="6"/>
  <c r="Q779" i="6"/>
  <c r="Q780" i="6"/>
  <c r="Q781" i="6"/>
  <c r="Q782" i="6"/>
  <c r="Q783" i="6"/>
  <c r="Q262" i="8"/>
  <c r="R262" i="8"/>
  <c r="Q263" i="8"/>
  <c r="R263" i="8"/>
  <c r="Q264" i="8"/>
  <c r="R264" i="8"/>
  <c r="Q265" i="8"/>
  <c r="R265" i="8"/>
  <c r="Q266" i="8"/>
  <c r="R266" i="8"/>
  <c r="Q267" i="8"/>
  <c r="S267" i="8" s="1"/>
  <c r="R267" i="8"/>
  <c r="T267" i="8" s="1"/>
  <c r="T286" i="8"/>
  <c r="T287" i="8"/>
  <c r="S288" i="8"/>
  <c r="T288" i="8"/>
  <c r="S289" i="8"/>
  <c r="S290" i="8"/>
  <c r="R290" i="8"/>
  <c r="T290" i="8" s="1"/>
  <c r="Q291" i="8"/>
  <c r="S291" i="8" s="1"/>
  <c r="R291" i="8"/>
  <c r="T291" i="8" s="1"/>
  <c r="Q292" i="8"/>
  <c r="S292" i="8" s="1"/>
  <c r="R292" i="8"/>
  <c r="T292" i="8" s="1"/>
  <c r="Q293" i="8"/>
  <c r="S293" i="8" s="1"/>
  <c r="R293" i="8"/>
  <c r="T293" i="8" s="1"/>
  <c r="Q294" i="8"/>
  <c r="S294" i="8" s="1"/>
  <c r="R294" i="8"/>
  <c r="T294" i="8" s="1"/>
  <c r="Q295" i="8"/>
  <c r="S295" i="8" s="1"/>
  <c r="R295" i="8"/>
  <c r="T295" i="8" s="1"/>
  <c r="Q296" i="8"/>
  <c r="S296" i="8" s="1"/>
  <c r="R296" i="8"/>
  <c r="T296" i="8" s="1"/>
  <c r="Q297" i="8"/>
  <c r="S297" i="8" s="1"/>
  <c r="R297" i="8"/>
  <c r="T297" i="8" s="1"/>
  <c r="Q298" i="8"/>
  <c r="S298" i="8" s="1"/>
  <c r="R298" i="8"/>
  <c r="T298" i="8" s="1"/>
  <c r="Q299" i="8"/>
  <c r="S299" i="8" s="1"/>
  <c r="R299" i="8"/>
  <c r="T299" i="8" s="1"/>
  <c r="Q300" i="8"/>
  <c r="S300" i="8" s="1"/>
  <c r="R300" i="8"/>
  <c r="T300" i="8" s="1"/>
  <c r="Q301" i="8"/>
  <c r="S301" i="8" s="1"/>
  <c r="R301" i="8"/>
  <c r="T301" i="8" s="1"/>
  <c r="Q302" i="8"/>
  <c r="S302" i="8" s="1"/>
  <c r="R302" i="8"/>
  <c r="T302" i="8" s="1"/>
  <c r="Q303" i="8"/>
  <c r="S303" i="8" s="1"/>
  <c r="R303" i="8"/>
  <c r="T303" i="8" s="1"/>
  <c r="Q304" i="8"/>
  <c r="S304" i="8" s="1"/>
  <c r="R304" i="8"/>
  <c r="T304" i="8" s="1"/>
  <c r="Q306" i="8"/>
  <c r="S306" i="8" s="1"/>
  <c r="R306" i="8"/>
  <c r="T306" i="8" s="1"/>
  <c r="Q305" i="8"/>
  <c r="S305" i="8" s="1"/>
  <c r="R305" i="8"/>
  <c r="T305" i="8" s="1"/>
  <c r="T307" i="8"/>
  <c r="S308" i="8"/>
  <c r="T308" i="8"/>
  <c r="U286" i="8"/>
  <c r="U287" i="8"/>
  <c r="U288" i="8"/>
  <c r="U289" i="8"/>
  <c r="U290" i="8"/>
  <c r="U291" i="8"/>
  <c r="U292" i="8"/>
  <c r="U293" i="8"/>
  <c r="U294" i="8"/>
  <c r="U295" i="8"/>
  <c r="U296" i="8"/>
  <c r="U297" i="8"/>
  <c r="U298" i="8"/>
  <c r="U299" i="8"/>
  <c r="U300" i="8"/>
  <c r="U301" i="8"/>
  <c r="U302" i="8"/>
  <c r="U303" i="8"/>
  <c r="U304" i="8"/>
  <c r="U306" i="8"/>
  <c r="U305" i="8"/>
  <c r="U307" i="8"/>
  <c r="U308" i="8"/>
  <c r="T289" i="8"/>
  <c r="S286" i="8"/>
  <c r="S287" i="8"/>
  <c r="S307" i="8"/>
  <c r="U267" i="8"/>
  <c r="S763" i="6" l="1"/>
  <c r="T763" i="6"/>
  <c r="T764" i="6"/>
  <c r="T759" i="6"/>
  <c r="S759" i="6"/>
  <c r="S760" i="6"/>
  <c r="T760" i="6"/>
  <c r="T766" i="6"/>
  <c r="T765" i="6"/>
  <c r="S780" i="6"/>
  <c r="S779" i="6"/>
  <c r="S776" i="6"/>
  <c r="S772" i="6"/>
  <c r="T783" i="6"/>
  <c r="T776" i="6"/>
  <c r="T775" i="6"/>
  <c r="T772" i="6"/>
  <c r="S778" i="6"/>
  <c r="S762" i="6"/>
  <c r="T782" i="6"/>
  <c r="T774" i="6"/>
  <c r="S777" i="6"/>
  <c r="S761" i="6"/>
  <c r="T781" i="6"/>
  <c r="T773" i="6"/>
  <c r="T780" i="6"/>
  <c r="S783" i="6"/>
  <c r="S775" i="6"/>
  <c r="T779" i="6"/>
  <c r="S782" i="6"/>
  <c r="S774" i="6"/>
  <c r="T778" i="6"/>
  <c r="T762" i="6"/>
  <c r="S781" i="6"/>
  <c r="S773" i="6"/>
  <c r="T777" i="6"/>
  <c r="T761" i="6"/>
  <c r="Q246" i="8"/>
  <c r="Q247" i="8"/>
  <c r="Q248" i="8"/>
  <c r="S248" i="8" s="1"/>
  <c r="Q249" i="8"/>
  <c r="S249" i="8" s="1"/>
  <c r="Q250" i="8"/>
  <c r="S250" i="8" s="1"/>
  <c r="Q251" i="8"/>
  <c r="S251" i="8" s="1"/>
  <c r="Q252" i="8"/>
  <c r="Q253" i="8"/>
  <c r="S253" i="8" s="1"/>
  <c r="Q254" i="8"/>
  <c r="S254" i="8" s="1"/>
  <c r="Q255" i="8"/>
  <c r="S255" i="8" s="1"/>
  <c r="Q256" i="8"/>
  <c r="S256" i="8" s="1"/>
  <c r="Q257" i="8"/>
  <c r="S257" i="8" s="1"/>
  <c r="Q258" i="8"/>
  <c r="S258" i="8" s="1"/>
  <c r="Q259" i="8"/>
  <c r="S259" i="8" s="1"/>
  <c r="Q260" i="8"/>
  <c r="S260" i="8" s="1"/>
  <c r="Q261" i="8"/>
  <c r="S261" i="8" s="1"/>
  <c r="R246" i="8"/>
  <c r="R247" i="8"/>
  <c r="R248" i="8"/>
  <c r="R249" i="8"/>
  <c r="T249" i="8" s="1"/>
  <c r="R250" i="8"/>
  <c r="T250" i="8" s="1"/>
  <c r="R251" i="8"/>
  <c r="T251" i="8" s="1"/>
  <c r="R252" i="8"/>
  <c r="R253" i="8"/>
  <c r="T253" i="8" s="1"/>
  <c r="R254" i="8"/>
  <c r="T254" i="8" s="1"/>
  <c r="R255" i="8"/>
  <c r="T255" i="8" s="1"/>
  <c r="R256" i="8"/>
  <c r="T256" i="8" s="1"/>
  <c r="R257" i="8"/>
  <c r="T257" i="8" s="1"/>
  <c r="R258" i="8"/>
  <c r="T258" i="8" s="1"/>
  <c r="R259" i="8"/>
  <c r="T259" i="8" s="1"/>
  <c r="R260" i="8"/>
  <c r="T260" i="8" s="1"/>
  <c r="R261" i="8"/>
  <c r="T261" i="8" s="1"/>
  <c r="U248" i="8"/>
  <c r="U249" i="8"/>
  <c r="U250" i="8"/>
  <c r="U251" i="8"/>
  <c r="U252" i="8"/>
  <c r="U253" i="8"/>
  <c r="U254" i="8"/>
  <c r="U255" i="8"/>
  <c r="U256" i="8"/>
  <c r="U257" i="8"/>
  <c r="U258" i="8"/>
  <c r="U259" i="8"/>
  <c r="U260" i="8"/>
  <c r="U261" i="8"/>
  <c r="U262" i="8"/>
  <c r="U263" i="8"/>
  <c r="U264" i="8"/>
  <c r="U265" i="8"/>
  <c r="U266" i="8"/>
  <c r="T248" i="8"/>
  <c r="T252" i="8"/>
  <c r="T262" i="8"/>
  <c r="T263" i="8"/>
  <c r="T264" i="8"/>
  <c r="T265" i="8"/>
  <c r="T266" i="8"/>
  <c r="S252" i="8"/>
  <c r="S262" i="8"/>
  <c r="S263" i="8"/>
  <c r="S264" i="8"/>
  <c r="S265" i="8"/>
  <c r="S266" i="8"/>
  <c r="Q234" i="8" l="1"/>
  <c r="R234" i="8"/>
  <c r="Q235" i="8"/>
  <c r="R235" i="8"/>
  <c r="Q236" i="8"/>
  <c r="R236" i="8"/>
  <c r="Q237" i="8"/>
  <c r="S237" i="8" s="1"/>
  <c r="R237" i="8"/>
  <c r="T237" i="8" s="1"/>
  <c r="Q238" i="8"/>
  <c r="S238" i="8" s="1"/>
  <c r="R238" i="8"/>
  <c r="T238" i="8" s="1"/>
  <c r="Q239" i="8"/>
  <c r="S239" i="8" s="1"/>
  <c r="R239" i="8"/>
  <c r="T239" i="8" s="1"/>
  <c r="Q240" i="8"/>
  <c r="S240" i="8" s="1"/>
  <c r="R240" i="8"/>
  <c r="T240" i="8" s="1"/>
  <c r="Q241" i="8"/>
  <c r="S241" i="8" s="1"/>
  <c r="R241" i="8"/>
  <c r="T241" i="8" s="1"/>
  <c r="Q242" i="8"/>
  <c r="S242" i="8" s="1"/>
  <c r="R242" i="8"/>
  <c r="T242" i="8" s="1"/>
  <c r="Q243" i="8"/>
  <c r="S243" i="8" s="1"/>
  <c r="R243" i="8"/>
  <c r="T243" i="8" s="1"/>
  <c r="Q244" i="8"/>
  <c r="S244" i="8" s="1"/>
  <c r="R244" i="8"/>
  <c r="T244" i="8" s="1"/>
  <c r="Q245" i="8"/>
  <c r="S245" i="8" s="1"/>
  <c r="R245" i="8"/>
  <c r="T245" i="8" s="1"/>
  <c r="S246" i="8"/>
  <c r="S247" i="8"/>
  <c r="T246" i="8"/>
  <c r="T247" i="8"/>
  <c r="U237" i="8"/>
  <c r="U238" i="8"/>
  <c r="U239" i="8"/>
  <c r="U240" i="8"/>
  <c r="U241" i="8"/>
  <c r="U242" i="8"/>
  <c r="U243" i="8"/>
  <c r="U244" i="8"/>
  <c r="U245" i="8"/>
  <c r="U246" i="8"/>
  <c r="U247" i="8"/>
  <c r="Q753" i="6"/>
  <c r="R753" i="6"/>
  <c r="H752" i="6"/>
  <c r="H755" i="6"/>
  <c r="H754" i="6"/>
  <c r="H753" i="6"/>
  <c r="H756" i="6"/>
  <c r="H757" i="6"/>
  <c r="Q752" i="6"/>
  <c r="Q756" i="6"/>
  <c r="Q757" i="6"/>
  <c r="Q758" i="6"/>
  <c r="S758" i="6" s="1"/>
  <c r="R752" i="6"/>
  <c r="R756" i="6"/>
  <c r="R757" i="6"/>
  <c r="R758" i="6"/>
  <c r="T758" i="6" s="1"/>
  <c r="T757" i="6" l="1"/>
  <c r="S757" i="6"/>
  <c r="T756" i="6"/>
  <c r="S756" i="6"/>
  <c r="T752" i="6"/>
  <c r="S752" i="6"/>
  <c r="T753" i="6"/>
  <c r="S753" i="6"/>
  <c r="R214" i="8"/>
  <c r="T214" i="8" s="1"/>
  <c r="R215" i="8"/>
  <c r="T215" i="8" s="1"/>
  <c r="R216" i="8"/>
  <c r="T216" i="8" s="1"/>
  <c r="R217" i="8"/>
  <c r="T217" i="8" s="1"/>
  <c r="R218" i="8"/>
  <c r="T218" i="8" s="1"/>
  <c r="R219" i="8"/>
  <c r="T219" i="8" s="1"/>
  <c r="R220" i="8"/>
  <c r="T220" i="8" s="1"/>
  <c r="R221" i="8"/>
  <c r="T221" i="8" s="1"/>
  <c r="R222" i="8"/>
  <c r="T222" i="8" s="1"/>
  <c r="R223" i="8"/>
  <c r="T223" i="8" s="1"/>
  <c r="R224" i="8"/>
  <c r="T224" i="8" s="1"/>
  <c r="R225" i="8"/>
  <c r="T225" i="8" s="1"/>
  <c r="R226" i="8"/>
  <c r="T226" i="8" s="1"/>
  <c r="R227" i="8"/>
  <c r="T227" i="8" s="1"/>
  <c r="R228" i="8"/>
  <c r="T228" i="8" s="1"/>
  <c r="R229" i="8"/>
  <c r="T229" i="8" s="1"/>
  <c r="R230" i="8"/>
  <c r="T230" i="8" s="1"/>
  <c r="R231" i="8"/>
  <c r="T231" i="8" s="1"/>
  <c r="R232" i="8"/>
  <c r="T232" i="8" s="1"/>
  <c r="R233" i="8"/>
  <c r="T233" i="8" s="1"/>
  <c r="Q214" i="8"/>
  <c r="S214" i="8" s="1"/>
  <c r="Q215" i="8"/>
  <c r="S215" i="8" s="1"/>
  <c r="Q216" i="8"/>
  <c r="S216" i="8" s="1"/>
  <c r="Q217" i="8"/>
  <c r="S217" i="8" s="1"/>
  <c r="Q218" i="8"/>
  <c r="S218" i="8" s="1"/>
  <c r="Q219" i="8"/>
  <c r="S219" i="8" s="1"/>
  <c r="Q220" i="8"/>
  <c r="S220" i="8" s="1"/>
  <c r="Q221" i="8"/>
  <c r="S221" i="8" s="1"/>
  <c r="Q222" i="8"/>
  <c r="S222" i="8" s="1"/>
  <c r="Q223" i="8"/>
  <c r="S223" i="8" s="1"/>
  <c r="Q224" i="8"/>
  <c r="S224" i="8" s="1"/>
  <c r="Q225" i="8"/>
  <c r="S225" i="8" s="1"/>
  <c r="Q226" i="8"/>
  <c r="S226" i="8" s="1"/>
  <c r="Q227" i="8"/>
  <c r="S227" i="8" s="1"/>
  <c r="Q228" i="8"/>
  <c r="S228" i="8" s="1"/>
  <c r="Q229" i="8"/>
  <c r="S229" i="8" s="1"/>
  <c r="Q230" i="8"/>
  <c r="S230" i="8" s="1"/>
  <c r="Q231" i="8"/>
  <c r="S231" i="8" s="1"/>
  <c r="Q232" i="8"/>
  <c r="S232" i="8" s="1"/>
  <c r="Q233" i="8"/>
  <c r="S233" i="8" s="1"/>
  <c r="S234" i="8"/>
  <c r="S235" i="8"/>
  <c r="S236" i="8"/>
  <c r="T234" i="8"/>
  <c r="T235" i="8"/>
  <c r="T236" i="8"/>
  <c r="U214" i="8"/>
  <c r="U215" i="8"/>
  <c r="U216" i="8"/>
  <c r="U217" i="8"/>
  <c r="U218" i="8"/>
  <c r="U219" i="8"/>
  <c r="U220" i="8"/>
  <c r="U221" i="8"/>
  <c r="U222" i="8"/>
  <c r="U223" i="8"/>
  <c r="U224" i="8"/>
  <c r="U225" i="8"/>
  <c r="U226" i="8"/>
  <c r="U227" i="8"/>
  <c r="U228" i="8"/>
  <c r="U229" i="8"/>
  <c r="U230" i="8"/>
  <c r="U231" i="8"/>
  <c r="U232" i="8"/>
  <c r="U233" i="8"/>
  <c r="U234" i="8"/>
  <c r="U235" i="8"/>
  <c r="U236" i="8"/>
  <c r="Q192" i="8"/>
  <c r="R213" i="8" l="1"/>
  <c r="T213" i="8" s="1"/>
  <c r="R212" i="8"/>
  <c r="T212" i="8" s="1"/>
  <c r="R211" i="8"/>
  <c r="T211" i="8" s="1"/>
  <c r="R210" i="8"/>
  <c r="T210" i="8" s="1"/>
  <c r="R209" i="8"/>
  <c r="T209" i="8" s="1"/>
  <c r="R208" i="8"/>
  <c r="T208" i="8" s="1"/>
  <c r="R207" i="8"/>
  <c r="T207" i="8" s="1"/>
  <c r="R206" i="8"/>
  <c r="T206" i="8" s="1"/>
  <c r="R205" i="8"/>
  <c r="T205" i="8" s="1"/>
  <c r="R204" i="8"/>
  <c r="T204" i="8" s="1"/>
  <c r="R203" i="8"/>
  <c r="T203" i="8" s="1"/>
  <c r="R202" i="8"/>
  <c r="T202" i="8" s="1"/>
  <c r="R194" i="8"/>
  <c r="Q213" i="8"/>
  <c r="S213" i="8" s="1"/>
  <c r="Q212" i="8"/>
  <c r="S212" i="8" s="1"/>
  <c r="Q211" i="8"/>
  <c r="S211" i="8" s="1"/>
  <c r="Q210" i="8"/>
  <c r="S210" i="8" s="1"/>
  <c r="Q209" i="8"/>
  <c r="S209" i="8" s="1"/>
  <c r="Q208" i="8"/>
  <c r="S208" i="8" s="1"/>
  <c r="Q207" i="8"/>
  <c r="S207" i="8" s="1"/>
  <c r="Q206" i="8"/>
  <c r="S206" i="8" s="1"/>
  <c r="Q205" i="8"/>
  <c r="S205" i="8" s="1"/>
  <c r="Q204" i="8"/>
  <c r="S204" i="8" s="1"/>
  <c r="Q203" i="8"/>
  <c r="S203" i="8" s="1"/>
  <c r="Q202" i="8"/>
  <c r="S202" i="8" s="1"/>
  <c r="U209" i="8"/>
  <c r="U210" i="8"/>
  <c r="U211" i="8"/>
  <c r="U212" i="8"/>
  <c r="U213" i="8"/>
  <c r="U202" i="8"/>
  <c r="U203" i="8"/>
  <c r="U204" i="8"/>
  <c r="U205" i="8"/>
  <c r="U206" i="8"/>
  <c r="U207" i="8"/>
  <c r="U208" i="8"/>
  <c r="H741" i="6"/>
  <c r="H744" i="6"/>
  <c r="H745" i="6"/>
  <c r="H746" i="6"/>
  <c r="H747" i="6"/>
  <c r="H748" i="6"/>
  <c r="H749" i="6"/>
  <c r="H750" i="6"/>
  <c r="H751" i="6"/>
  <c r="R746" i="6"/>
  <c r="R747" i="6"/>
  <c r="R748" i="6"/>
  <c r="T748" i="6" s="1"/>
  <c r="R749" i="6"/>
  <c r="R750" i="6"/>
  <c r="R751" i="6"/>
  <c r="R741" i="6"/>
  <c r="R742" i="6"/>
  <c r="R743" i="6"/>
  <c r="R754" i="6"/>
  <c r="R755" i="6"/>
  <c r="Q746" i="6"/>
  <c r="Q747" i="6"/>
  <c r="Q748" i="6"/>
  <c r="Q749" i="6"/>
  <c r="Q750" i="6"/>
  <c r="Q751" i="6"/>
  <c r="Q741" i="6"/>
  <c r="Q742" i="6"/>
  <c r="Q743" i="6"/>
  <c r="Q754" i="6"/>
  <c r="Q755" i="6"/>
  <c r="H742" i="6"/>
  <c r="H743" i="6"/>
  <c r="S747" i="6" l="1"/>
  <c r="S746" i="6"/>
  <c r="T747" i="6"/>
  <c r="T749" i="6"/>
  <c r="S751" i="6"/>
  <c r="S749" i="6"/>
  <c r="T741" i="6"/>
  <c r="S741" i="6"/>
  <c r="S748" i="6"/>
  <c r="T751" i="6"/>
  <c r="T746" i="6"/>
  <c r="T750" i="6"/>
  <c r="S750" i="6"/>
  <c r="S755" i="6"/>
  <c r="S754" i="6"/>
  <c r="S743" i="6"/>
  <c r="S742" i="6"/>
  <c r="T755" i="6"/>
  <c r="T754" i="6"/>
  <c r="T743" i="6"/>
  <c r="T742" i="6"/>
  <c r="R183" i="8"/>
  <c r="R184" i="8"/>
  <c r="R185" i="8"/>
  <c r="R186" i="8"/>
  <c r="R187" i="8"/>
  <c r="R188" i="8"/>
  <c r="T188" i="8" s="1"/>
  <c r="R189" i="8"/>
  <c r="T189" i="8" s="1"/>
  <c r="R190" i="8"/>
  <c r="T190" i="8" s="1"/>
  <c r="R191" i="8"/>
  <c r="T191" i="8" s="1"/>
  <c r="R192" i="8"/>
  <c r="T192" i="8" s="1"/>
  <c r="R193" i="8"/>
  <c r="T193" i="8" s="1"/>
  <c r="T194" i="8"/>
  <c r="R195" i="8"/>
  <c r="T195" i="8" s="1"/>
  <c r="R196" i="8"/>
  <c r="T196" i="8" s="1"/>
  <c r="R197" i="8"/>
  <c r="T197" i="8" s="1"/>
  <c r="R198" i="8"/>
  <c r="T198" i="8" s="1"/>
  <c r="R199" i="8"/>
  <c r="R200" i="8"/>
  <c r="T200" i="8" s="1"/>
  <c r="R201" i="8"/>
  <c r="T201" i="8" s="1"/>
  <c r="Q183" i="8"/>
  <c r="Q184" i="8"/>
  <c r="Q185" i="8"/>
  <c r="Q186" i="8"/>
  <c r="Q187" i="8"/>
  <c r="Q188" i="8"/>
  <c r="S188" i="8" s="1"/>
  <c r="Q189" i="8"/>
  <c r="S189" i="8" s="1"/>
  <c r="Q190" i="8"/>
  <c r="S190" i="8" s="1"/>
  <c r="Q191" i="8"/>
  <c r="S191" i="8" s="1"/>
  <c r="S192" i="8"/>
  <c r="Q193" i="8"/>
  <c r="S193" i="8" s="1"/>
  <c r="Q194" i="8"/>
  <c r="S194" i="8" s="1"/>
  <c r="Q195" i="8"/>
  <c r="S195" i="8" s="1"/>
  <c r="Q196" i="8"/>
  <c r="S196" i="8" s="1"/>
  <c r="Q197" i="8"/>
  <c r="S197" i="8" s="1"/>
  <c r="Q198" i="8"/>
  <c r="S198" i="8" s="1"/>
  <c r="Q199" i="8"/>
  <c r="S199" i="8" s="1"/>
  <c r="Q200" i="8"/>
  <c r="S200" i="8" s="1"/>
  <c r="Q201" i="8"/>
  <c r="S201" i="8" s="1"/>
  <c r="U188" i="8"/>
  <c r="U189" i="8"/>
  <c r="U190" i="8"/>
  <c r="U191" i="8"/>
  <c r="U192" i="8"/>
  <c r="U193" i="8"/>
  <c r="U194" i="8"/>
  <c r="U195" i="8"/>
  <c r="U196" i="8"/>
  <c r="U197" i="8"/>
  <c r="U198" i="8"/>
  <c r="U199" i="8"/>
  <c r="U200" i="8"/>
  <c r="U201" i="8"/>
  <c r="T199" i="8"/>
  <c r="R170" i="8" l="1"/>
  <c r="T170" i="8" s="1"/>
  <c r="R171" i="8"/>
  <c r="R172" i="8"/>
  <c r="T172" i="8" s="1"/>
  <c r="R173" i="8"/>
  <c r="T173" i="8" s="1"/>
  <c r="R174" i="8"/>
  <c r="T174" i="8" s="1"/>
  <c r="R175" i="8"/>
  <c r="T175" i="8" s="1"/>
  <c r="R176" i="8"/>
  <c r="T176" i="8" s="1"/>
  <c r="R177" i="8"/>
  <c r="T177" i="8" s="1"/>
  <c r="R178" i="8"/>
  <c r="T178" i="8" s="1"/>
  <c r="R179" i="8"/>
  <c r="R180" i="8"/>
  <c r="T180" i="8" s="1"/>
  <c r="R181" i="8"/>
  <c r="T181" i="8" s="1"/>
  <c r="R182" i="8"/>
  <c r="T182" i="8" s="1"/>
  <c r="Q169" i="8"/>
  <c r="S169" i="8" s="1"/>
  <c r="Q170" i="8"/>
  <c r="S170" i="8" s="1"/>
  <c r="Q171" i="8"/>
  <c r="S171" i="8" s="1"/>
  <c r="Q172" i="8"/>
  <c r="S172" i="8" s="1"/>
  <c r="Q173" i="8"/>
  <c r="S173" i="8" s="1"/>
  <c r="Q174" i="8"/>
  <c r="Q175" i="8"/>
  <c r="S175" i="8" s="1"/>
  <c r="Q176" i="8"/>
  <c r="S176" i="8" s="1"/>
  <c r="Q177" i="8"/>
  <c r="S177" i="8" s="1"/>
  <c r="Q178" i="8"/>
  <c r="S178" i="8" s="1"/>
  <c r="Q179" i="8"/>
  <c r="S179" i="8" s="1"/>
  <c r="Q180" i="8"/>
  <c r="S180" i="8" s="1"/>
  <c r="Q181" i="8"/>
  <c r="Q182" i="8"/>
  <c r="S182" i="8" s="1"/>
  <c r="S174" i="8"/>
  <c r="S181" i="8"/>
  <c r="S183" i="8"/>
  <c r="S184" i="8"/>
  <c r="S185" i="8"/>
  <c r="S186" i="8"/>
  <c r="S187" i="8"/>
  <c r="T171" i="8"/>
  <c r="T179" i="8"/>
  <c r="T183" i="8"/>
  <c r="T184" i="8"/>
  <c r="T185" i="8"/>
  <c r="T186" i="8"/>
  <c r="T187" i="8"/>
  <c r="U170" i="8"/>
  <c r="U171" i="8"/>
  <c r="U172" i="8"/>
  <c r="U173" i="8"/>
  <c r="U174" i="8"/>
  <c r="U175" i="8"/>
  <c r="U176" i="8"/>
  <c r="U177" i="8"/>
  <c r="U178" i="8"/>
  <c r="U179" i="8"/>
  <c r="U180" i="8"/>
  <c r="U181" i="8"/>
  <c r="U182" i="8"/>
  <c r="U183" i="8"/>
  <c r="U184" i="8"/>
  <c r="U185" i="8"/>
  <c r="U186" i="8"/>
  <c r="U187" i="8"/>
  <c r="S156" i="8"/>
  <c r="Q149" i="8"/>
  <c r="S149" i="8" s="1"/>
  <c r="R149" i="8"/>
  <c r="T149" i="8" s="1"/>
  <c r="Q150" i="8"/>
  <c r="S150" i="8" s="1"/>
  <c r="R150" i="8"/>
  <c r="T150" i="8" s="1"/>
  <c r="Q151" i="8"/>
  <c r="R151" i="8"/>
  <c r="T151" i="8" s="1"/>
  <c r="Q152" i="8"/>
  <c r="S152" i="8" s="1"/>
  <c r="R152" i="8"/>
  <c r="T152" i="8" s="1"/>
  <c r="Q153" i="8"/>
  <c r="S153" i="8" s="1"/>
  <c r="R153" i="8"/>
  <c r="T153" i="8" s="1"/>
  <c r="Q154" i="8"/>
  <c r="S154" i="8" s="1"/>
  <c r="R154" i="8"/>
  <c r="T154" i="8" s="1"/>
  <c r="Q155" i="8"/>
  <c r="S155" i="8" s="1"/>
  <c r="R155" i="8"/>
  <c r="T155" i="8" s="1"/>
  <c r="Q156" i="8"/>
  <c r="R156" i="8"/>
  <c r="T156" i="8" s="1"/>
  <c r="Q157" i="8"/>
  <c r="S157" i="8" s="1"/>
  <c r="R157" i="8"/>
  <c r="T157" i="8" s="1"/>
  <c r="Q158" i="8"/>
  <c r="S158" i="8" s="1"/>
  <c r="R158" i="8"/>
  <c r="T158" i="8" s="1"/>
  <c r="Q159" i="8"/>
  <c r="S159" i="8" s="1"/>
  <c r="R159" i="8"/>
  <c r="T159" i="8" s="1"/>
  <c r="Q160" i="8"/>
  <c r="S160" i="8" s="1"/>
  <c r="R160" i="8"/>
  <c r="T160" i="8" s="1"/>
  <c r="Q161" i="8"/>
  <c r="S161" i="8" s="1"/>
  <c r="R161" i="8"/>
  <c r="T161" i="8" s="1"/>
  <c r="Q162" i="8"/>
  <c r="S162" i="8" s="1"/>
  <c r="R162" i="8"/>
  <c r="T162" i="8" s="1"/>
  <c r="Q163" i="8"/>
  <c r="S163" i="8" s="1"/>
  <c r="R163" i="8"/>
  <c r="T163" i="8" s="1"/>
  <c r="Q164" i="8"/>
  <c r="S164" i="8" s="1"/>
  <c r="R164" i="8"/>
  <c r="T164" i="8" s="1"/>
  <c r="Q165" i="8"/>
  <c r="S165" i="8" s="1"/>
  <c r="R165" i="8"/>
  <c r="T165" i="8" s="1"/>
  <c r="Q166" i="8"/>
  <c r="S166" i="8" s="1"/>
  <c r="R166" i="8"/>
  <c r="T166" i="8" s="1"/>
  <c r="Q167" i="8"/>
  <c r="S167" i="8" s="1"/>
  <c r="R167" i="8"/>
  <c r="T167" i="8" s="1"/>
  <c r="Q168" i="8"/>
  <c r="S168" i="8" s="1"/>
  <c r="R168" i="8"/>
  <c r="T168" i="8" s="1"/>
  <c r="R169" i="8"/>
  <c r="T169" i="8" s="1"/>
  <c r="U154" i="8"/>
  <c r="U155" i="8"/>
  <c r="U156" i="8"/>
  <c r="U157" i="8"/>
  <c r="U158" i="8"/>
  <c r="U159" i="8"/>
  <c r="U160" i="8"/>
  <c r="U161" i="8"/>
  <c r="U162" i="8"/>
  <c r="U163" i="8"/>
  <c r="U164" i="8"/>
  <c r="U165" i="8"/>
  <c r="U166" i="8"/>
  <c r="U167" i="8"/>
  <c r="U168" i="8"/>
  <c r="U169" i="8"/>
  <c r="Q134" i="8"/>
  <c r="S134" i="8" s="1"/>
  <c r="R134" i="8"/>
  <c r="T134" i="8" s="1"/>
  <c r="Q135" i="8"/>
  <c r="S135" i="8" s="1"/>
  <c r="R135" i="8"/>
  <c r="T135" i="8" s="1"/>
  <c r="Q136" i="8"/>
  <c r="S136" i="8" s="1"/>
  <c r="R136" i="8"/>
  <c r="T136" i="8" s="1"/>
  <c r="Q137" i="8"/>
  <c r="S137" i="8" s="1"/>
  <c r="R137" i="8"/>
  <c r="T137" i="8" s="1"/>
  <c r="Q138" i="8"/>
  <c r="S138" i="8" s="1"/>
  <c r="R138" i="8"/>
  <c r="T138" i="8" s="1"/>
  <c r="Q139" i="8"/>
  <c r="S139" i="8" s="1"/>
  <c r="R139" i="8"/>
  <c r="T139" i="8" s="1"/>
  <c r="Q140" i="8"/>
  <c r="S140" i="8" s="1"/>
  <c r="R140" i="8"/>
  <c r="T140" i="8" s="1"/>
  <c r="Q141" i="8"/>
  <c r="S141" i="8" s="1"/>
  <c r="R141" i="8"/>
  <c r="T141" i="8" s="1"/>
  <c r="Q142" i="8"/>
  <c r="S142" i="8" s="1"/>
  <c r="R142" i="8"/>
  <c r="T142" i="8" s="1"/>
  <c r="Q143" i="8"/>
  <c r="S143" i="8" s="1"/>
  <c r="R143" i="8"/>
  <c r="T143" i="8" s="1"/>
  <c r="Q144" i="8"/>
  <c r="S144" i="8" s="1"/>
  <c r="R144" i="8"/>
  <c r="T144" i="8" s="1"/>
  <c r="Q145" i="8"/>
  <c r="S145" i="8" s="1"/>
  <c r="R145" i="8"/>
  <c r="T145" i="8" s="1"/>
  <c r="Q146" i="8"/>
  <c r="S146" i="8" s="1"/>
  <c r="R146" i="8"/>
  <c r="T146" i="8" s="1"/>
  <c r="Q147" i="8"/>
  <c r="S147" i="8" s="1"/>
  <c r="R147" i="8"/>
  <c r="T147" i="8" s="1"/>
  <c r="Q148" i="8"/>
  <c r="S148" i="8" s="1"/>
  <c r="R148" i="8"/>
  <c r="T148" i="8" s="1"/>
  <c r="S151" i="8"/>
  <c r="U136" i="8"/>
  <c r="U137" i="8"/>
  <c r="U138" i="8"/>
  <c r="U139" i="8"/>
  <c r="U140" i="8"/>
  <c r="U141" i="8"/>
  <c r="U142" i="8"/>
  <c r="U143" i="8"/>
  <c r="U144" i="8"/>
  <c r="U145" i="8"/>
  <c r="U146" i="8"/>
  <c r="U147" i="8"/>
  <c r="U148" i="8"/>
  <c r="U149" i="8"/>
  <c r="U150" i="8"/>
  <c r="U151" i="8"/>
  <c r="U152" i="8"/>
  <c r="U153" i="8"/>
  <c r="H740" i="6"/>
  <c r="H739" i="6"/>
  <c r="H738" i="6"/>
  <c r="H737" i="6"/>
  <c r="R102" i="8"/>
  <c r="T102" i="8" s="1"/>
  <c r="Q102" i="8"/>
  <c r="S102" i="8" s="1"/>
  <c r="Q103" i="8"/>
  <c r="S103" i="8" s="1"/>
  <c r="R103" i="8"/>
  <c r="T103" i="8" s="1"/>
  <c r="Q104" i="8"/>
  <c r="S104" i="8" s="1"/>
  <c r="R104" i="8"/>
  <c r="T104" i="8" s="1"/>
  <c r="Q105" i="8"/>
  <c r="S105" i="8" s="1"/>
  <c r="R105" i="8"/>
  <c r="T105" i="8" s="1"/>
  <c r="Q106" i="8"/>
  <c r="S106" i="8" s="1"/>
  <c r="R106" i="8"/>
  <c r="T106" i="8" s="1"/>
  <c r="Q107" i="8"/>
  <c r="S107" i="8" s="1"/>
  <c r="R107" i="8"/>
  <c r="T107" i="8" s="1"/>
  <c r="Q108" i="8"/>
  <c r="S108" i="8" s="1"/>
  <c r="R108" i="8"/>
  <c r="T108" i="8" s="1"/>
  <c r="Q109" i="8"/>
  <c r="S109" i="8" s="1"/>
  <c r="R109" i="8"/>
  <c r="T109" i="8" s="1"/>
  <c r="U104" i="8"/>
  <c r="U105" i="8"/>
  <c r="U106" i="8"/>
  <c r="U108" i="8"/>
  <c r="U102" i="8"/>
  <c r="U103" i="8"/>
  <c r="U107" i="8"/>
  <c r="U109" i="8"/>
  <c r="Q666" i="6"/>
  <c r="Q737" i="6"/>
  <c r="Q738" i="6"/>
  <c r="Q739" i="6"/>
  <c r="Q740" i="6"/>
  <c r="Q744" i="6"/>
  <c r="S744" i="6" s="1"/>
  <c r="Q745" i="6"/>
  <c r="S745" i="6" s="1"/>
  <c r="R737" i="6"/>
  <c r="R738" i="6"/>
  <c r="R739" i="6"/>
  <c r="R740" i="6"/>
  <c r="R744" i="6"/>
  <c r="T744" i="6" s="1"/>
  <c r="R745" i="6"/>
  <c r="T745" i="6" s="1"/>
  <c r="H736" i="6"/>
  <c r="H735" i="6"/>
  <c r="H734" i="6"/>
  <c r="H733" i="6"/>
  <c r="Q120" i="8"/>
  <c r="S120" i="8" s="1"/>
  <c r="R120" i="8"/>
  <c r="T120" i="8" s="1"/>
  <c r="Q121" i="8"/>
  <c r="S121" i="8" s="1"/>
  <c r="R121" i="8"/>
  <c r="T121" i="8" s="1"/>
  <c r="Q122" i="8"/>
  <c r="R122" i="8"/>
  <c r="T122" i="8" s="1"/>
  <c r="Q123" i="8"/>
  <c r="S123" i="8" s="1"/>
  <c r="R123" i="8"/>
  <c r="T123" i="8" s="1"/>
  <c r="Q124" i="8"/>
  <c r="S124" i="8" s="1"/>
  <c r="R124" i="8"/>
  <c r="T124" i="8" s="1"/>
  <c r="Q125" i="8"/>
  <c r="S125" i="8" s="1"/>
  <c r="R125" i="8"/>
  <c r="T125" i="8" s="1"/>
  <c r="Q126" i="8"/>
  <c r="S126" i="8" s="1"/>
  <c r="R126" i="8"/>
  <c r="T126" i="8" s="1"/>
  <c r="Q127" i="8"/>
  <c r="S127" i="8" s="1"/>
  <c r="R127" i="8"/>
  <c r="T127" i="8" s="1"/>
  <c r="Q128" i="8"/>
  <c r="S128" i="8" s="1"/>
  <c r="R128" i="8"/>
  <c r="T128" i="8" s="1"/>
  <c r="Q129" i="8"/>
  <c r="S129" i="8" s="1"/>
  <c r="R129" i="8"/>
  <c r="T129" i="8" s="1"/>
  <c r="Q130" i="8"/>
  <c r="S130" i="8" s="1"/>
  <c r="R130" i="8"/>
  <c r="T130" i="8" s="1"/>
  <c r="Q131" i="8"/>
  <c r="S131" i="8" s="1"/>
  <c r="R131" i="8"/>
  <c r="T131" i="8" s="1"/>
  <c r="Q132" i="8"/>
  <c r="S132" i="8" s="1"/>
  <c r="R132" i="8"/>
  <c r="T132" i="8" s="1"/>
  <c r="Q133" i="8"/>
  <c r="S133" i="8" s="1"/>
  <c r="R133" i="8"/>
  <c r="T133" i="8" s="1"/>
  <c r="S122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R110" i="8"/>
  <c r="T110" i="8" s="1"/>
  <c r="R111" i="8"/>
  <c r="T111" i="8" s="1"/>
  <c r="R112" i="8"/>
  <c r="T112" i="8" s="1"/>
  <c r="R113" i="8"/>
  <c r="T113" i="8" s="1"/>
  <c r="R114" i="8"/>
  <c r="T114" i="8" s="1"/>
  <c r="R115" i="8"/>
  <c r="T115" i="8" s="1"/>
  <c r="R116" i="8"/>
  <c r="T116" i="8" s="1"/>
  <c r="R117" i="8"/>
  <c r="T117" i="8" s="1"/>
  <c r="R118" i="8"/>
  <c r="T118" i="8" s="1"/>
  <c r="R119" i="8"/>
  <c r="T119" i="8" s="1"/>
  <c r="Q110" i="8"/>
  <c r="S110" i="8" s="1"/>
  <c r="Q111" i="8"/>
  <c r="S111" i="8" s="1"/>
  <c r="Q112" i="8"/>
  <c r="S112" i="8" s="1"/>
  <c r="Q113" i="8"/>
  <c r="S113" i="8" s="1"/>
  <c r="Q114" i="8"/>
  <c r="S114" i="8" s="1"/>
  <c r="Q115" i="8"/>
  <c r="S115" i="8" s="1"/>
  <c r="Q116" i="8"/>
  <c r="S116" i="8" s="1"/>
  <c r="Q117" i="8"/>
  <c r="S117" i="8" s="1"/>
  <c r="Q118" i="8"/>
  <c r="S118" i="8" s="1"/>
  <c r="Q119" i="8"/>
  <c r="S119" i="8" s="1"/>
  <c r="U118" i="8"/>
  <c r="U119" i="8"/>
  <c r="U112" i="8"/>
  <c r="U113" i="8"/>
  <c r="U114" i="8"/>
  <c r="U115" i="8"/>
  <c r="U116" i="8"/>
  <c r="U117" i="8"/>
  <c r="U110" i="8"/>
  <c r="U111" i="8"/>
  <c r="Q105" i="6"/>
  <c r="H46" i="6"/>
  <c r="R91" i="8"/>
  <c r="T91" i="8" s="1"/>
  <c r="R92" i="8"/>
  <c r="T92" i="8" s="1"/>
  <c r="R93" i="8"/>
  <c r="T93" i="8" s="1"/>
  <c r="R94" i="8"/>
  <c r="T94" i="8" s="1"/>
  <c r="R95" i="8"/>
  <c r="T95" i="8" s="1"/>
  <c r="R96" i="8"/>
  <c r="T96" i="8" s="1"/>
  <c r="R97" i="8"/>
  <c r="T97" i="8" s="1"/>
  <c r="R98" i="8"/>
  <c r="T98" i="8" s="1"/>
  <c r="R99" i="8"/>
  <c r="T99" i="8" s="1"/>
  <c r="R100" i="8"/>
  <c r="T100" i="8" s="1"/>
  <c r="R101" i="8"/>
  <c r="T101" i="8" s="1"/>
  <c r="Q91" i="8"/>
  <c r="S91" i="8" s="1"/>
  <c r="Q92" i="8"/>
  <c r="S92" i="8" s="1"/>
  <c r="Q93" i="8"/>
  <c r="S93" i="8" s="1"/>
  <c r="Q94" i="8"/>
  <c r="S94" i="8" s="1"/>
  <c r="Q95" i="8"/>
  <c r="S95" i="8" s="1"/>
  <c r="Q96" i="8"/>
  <c r="S96" i="8" s="1"/>
  <c r="Q97" i="8"/>
  <c r="S97" i="8" s="1"/>
  <c r="Q98" i="8"/>
  <c r="S98" i="8" s="1"/>
  <c r="Q99" i="8"/>
  <c r="S99" i="8" s="1"/>
  <c r="Q100" i="8"/>
  <c r="S100" i="8" s="1"/>
  <c r="Q101" i="8"/>
  <c r="S101" i="8" s="1"/>
  <c r="U94" i="8"/>
  <c r="U95" i="8"/>
  <c r="U96" i="8"/>
  <c r="U97" i="8"/>
  <c r="U98" i="8"/>
  <c r="U99" i="8"/>
  <c r="U100" i="8"/>
  <c r="U101" i="8"/>
  <c r="Q82" i="8"/>
  <c r="S82" i="8" s="1"/>
  <c r="R73" i="8"/>
  <c r="R74" i="8"/>
  <c r="R75" i="8"/>
  <c r="R76" i="8"/>
  <c r="R77" i="8"/>
  <c r="R78" i="8"/>
  <c r="T78" i="8" s="1"/>
  <c r="R79" i="8"/>
  <c r="T79" i="8" s="1"/>
  <c r="R80" i="8"/>
  <c r="T80" i="8" s="1"/>
  <c r="R81" i="8"/>
  <c r="T81" i="8" s="1"/>
  <c r="R82" i="8"/>
  <c r="T82" i="8" s="1"/>
  <c r="R83" i="8"/>
  <c r="T83" i="8" s="1"/>
  <c r="R84" i="8"/>
  <c r="T84" i="8" s="1"/>
  <c r="R85" i="8"/>
  <c r="T85" i="8" s="1"/>
  <c r="R86" i="8"/>
  <c r="T86" i="8" s="1"/>
  <c r="R87" i="8"/>
  <c r="T87" i="8" s="1"/>
  <c r="R88" i="8"/>
  <c r="T88" i="8" s="1"/>
  <c r="R89" i="8"/>
  <c r="T89" i="8" s="1"/>
  <c r="R90" i="8"/>
  <c r="T90" i="8" s="1"/>
  <c r="Q73" i="8"/>
  <c r="Q74" i="8"/>
  <c r="Q75" i="8"/>
  <c r="Q76" i="8"/>
  <c r="Q77" i="8"/>
  <c r="Q78" i="8"/>
  <c r="S78" i="8" s="1"/>
  <c r="Q79" i="8"/>
  <c r="S79" i="8" s="1"/>
  <c r="Q80" i="8"/>
  <c r="S80" i="8" s="1"/>
  <c r="Q81" i="8"/>
  <c r="S81" i="8" s="1"/>
  <c r="Q83" i="8"/>
  <c r="S83" i="8" s="1"/>
  <c r="Q84" i="8"/>
  <c r="S84" i="8" s="1"/>
  <c r="Q85" i="8"/>
  <c r="S85" i="8" s="1"/>
  <c r="Q86" i="8"/>
  <c r="S86" i="8" s="1"/>
  <c r="Q87" i="8"/>
  <c r="S87" i="8" s="1"/>
  <c r="Q88" i="8"/>
  <c r="S88" i="8" s="1"/>
  <c r="Q89" i="8"/>
  <c r="S89" i="8" s="1"/>
  <c r="Q90" i="8"/>
  <c r="S90" i="8" s="1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R588" i="6"/>
  <c r="R587" i="6"/>
  <c r="R586" i="6"/>
  <c r="R585" i="6"/>
  <c r="R584" i="6"/>
  <c r="Q584" i="6"/>
  <c r="Q588" i="6"/>
  <c r="Q587" i="6"/>
  <c r="Q586" i="6"/>
  <c r="Q585" i="6"/>
  <c r="U66" i="8"/>
  <c r="R66" i="8"/>
  <c r="T66" i="8" s="1"/>
  <c r="R67" i="8"/>
  <c r="R68" i="8"/>
  <c r="R69" i="8"/>
  <c r="R70" i="8"/>
  <c r="R71" i="8"/>
  <c r="R72" i="8"/>
  <c r="R65" i="8"/>
  <c r="Q66" i="8"/>
  <c r="S66" i="8" s="1"/>
  <c r="H708" i="6"/>
  <c r="H693" i="6"/>
  <c r="H678" i="6"/>
  <c r="H717" i="6"/>
  <c r="H702" i="6"/>
  <c r="H687" i="6"/>
  <c r="H714" i="6"/>
  <c r="H699" i="6"/>
  <c r="H684" i="6"/>
  <c r="H713" i="6"/>
  <c r="H698" i="6"/>
  <c r="H683" i="6"/>
  <c r="C7" i="9"/>
  <c r="C8" i="9"/>
  <c r="C9" i="9"/>
  <c r="C10" i="9"/>
  <c r="C11" i="9"/>
  <c r="H2" i="9"/>
  <c r="H3" i="9"/>
  <c r="H4" i="9"/>
  <c r="H5" i="9"/>
  <c r="H6" i="9"/>
  <c r="H7" i="9"/>
  <c r="H8" i="9"/>
  <c r="T737" i="6" l="1"/>
  <c r="S737" i="6"/>
  <c r="S739" i="6"/>
  <c r="S738" i="6"/>
  <c r="T738" i="6"/>
  <c r="T740" i="6"/>
  <c r="T739" i="6"/>
  <c r="S740" i="6"/>
  <c r="H727" i="6"/>
  <c r="H726" i="6"/>
  <c r="H725" i="6"/>
  <c r="H709" i="6"/>
  <c r="H694" i="6"/>
  <c r="H679" i="6"/>
  <c r="H707" i="6"/>
  <c r="H692" i="6"/>
  <c r="H677" i="6"/>
  <c r="H712" i="6"/>
  <c r="H697" i="6"/>
  <c r="H682" i="6"/>
  <c r="H719" i="6"/>
  <c r="H704" i="6"/>
  <c r="H689" i="6"/>
  <c r="H721" i="6"/>
  <c r="H706" i="6"/>
  <c r="H691" i="6"/>
  <c r="H718" i="6"/>
  <c r="H703" i="6"/>
  <c r="H688" i="6"/>
  <c r="H722" i="6"/>
  <c r="H723" i="6"/>
  <c r="H724" i="6"/>
  <c r="H680" i="6"/>
  <c r="H695" i="6"/>
  <c r="H710" i="6"/>
  <c r="H681" i="6"/>
  <c r="H696" i="6"/>
  <c r="H711" i="6"/>
  <c r="H686" i="6"/>
  <c r="H701" i="6"/>
  <c r="H716" i="6"/>
  <c r="H729" i="6"/>
  <c r="H730" i="6"/>
  <c r="H731" i="6"/>
  <c r="H728" i="6"/>
  <c r="H732" i="6"/>
  <c r="Q688" i="6"/>
  <c r="Q703" i="6"/>
  <c r="S703" i="6" s="1"/>
  <c r="Q718" i="6"/>
  <c r="Q691" i="6"/>
  <c r="S691" i="6" s="1"/>
  <c r="Q706" i="6"/>
  <c r="Q721" i="6"/>
  <c r="Q689" i="6"/>
  <c r="Q704" i="6"/>
  <c r="S704" i="6" s="1"/>
  <c r="Q719" i="6"/>
  <c r="Q682" i="6"/>
  <c r="S682" i="6" s="1"/>
  <c r="Q697" i="6"/>
  <c r="Q712" i="6"/>
  <c r="Q677" i="6"/>
  <c r="Q692" i="6"/>
  <c r="Q707" i="6"/>
  <c r="Q679" i="6"/>
  <c r="S679" i="6" s="1"/>
  <c r="Q694" i="6"/>
  <c r="Q709" i="6"/>
  <c r="Q725" i="6"/>
  <c r="Q726" i="6"/>
  <c r="S726" i="6" s="1"/>
  <c r="Q727" i="6"/>
  <c r="Q683" i="6"/>
  <c r="S683" i="6" s="1"/>
  <c r="Q698" i="6"/>
  <c r="S698" i="6" s="1"/>
  <c r="Q713" i="6"/>
  <c r="S713" i="6" s="1"/>
  <c r="Q684" i="6"/>
  <c r="S684" i="6" s="1"/>
  <c r="Q699" i="6"/>
  <c r="S699" i="6" s="1"/>
  <c r="Q714" i="6"/>
  <c r="S714" i="6" s="1"/>
  <c r="Q687" i="6"/>
  <c r="S687" i="6" s="1"/>
  <c r="Q702" i="6"/>
  <c r="S702" i="6" s="1"/>
  <c r="Q717" i="6"/>
  <c r="S717" i="6" s="1"/>
  <c r="Q678" i="6"/>
  <c r="S678" i="6" s="1"/>
  <c r="Q693" i="6"/>
  <c r="S693" i="6" s="1"/>
  <c r="Q708" i="6"/>
  <c r="S708" i="6" s="1"/>
  <c r="Q722" i="6"/>
  <c r="Q723" i="6"/>
  <c r="Q724" i="6"/>
  <c r="Q680" i="6"/>
  <c r="Q695" i="6"/>
  <c r="Q710" i="6"/>
  <c r="S710" i="6" s="1"/>
  <c r="Q681" i="6"/>
  <c r="Q696" i="6"/>
  <c r="Q711" i="6"/>
  <c r="Q686" i="6"/>
  <c r="Q701" i="6"/>
  <c r="Q716" i="6"/>
  <c r="Q729" i="6"/>
  <c r="Q730" i="6"/>
  <c r="S730" i="6" s="1"/>
  <c r="Q731" i="6"/>
  <c r="Q728" i="6"/>
  <c r="Q732" i="6"/>
  <c r="S732" i="6" s="1"/>
  <c r="Q733" i="6"/>
  <c r="Q734" i="6"/>
  <c r="Q735" i="6"/>
  <c r="Q736" i="6"/>
  <c r="S736" i="6" s="1"/>
  <c r="R688" i="6"/>
  <c r="R703" i="6"/>
  <c r="R718" i="6"/>
  <c r="R691" i="6"/>
  <c r="R706" i="6"/>
  <c r="T706" i="6" s="1"/>
  <c r="R721" i="6"/>
  <c r="R689" i="6"/>
  <c r="R704" i="6"/>
  <c r="R719" i="6"/>
  <c r="R682" i="6"/>
  <c r="R697" i="6"/>
  <c r="R712" i="6"/>
  <c r="R677" i="6"/>
  <c r="T677" i="6" s="1"/>
  <c r="R692" i="6"/>
  <c r="R707" i="6"/>
  <c r="R679" i="6"/>
  <c r="R694" i="6"/>
  <c r="R709" i="6"/>
  <c r="R725" i="6"/>
  <c r="R726" i="6"/>
  <c r="R727" i="6"/>
  <c r="T727" i="6" s="1"/>
  <c r="R683" i="6"/>
  <c r="T683" i="6" s="1"/>
  <c r="R698" i="6"/>
  <c r="T698" i="6" s="1"/>
  <c r="R713" i="6"/>
  <c r="T713" i="6" s="1"/>
  <c r="R684" i="6"/>
  <c r="T684" i="6" s="1"/>
  <c r="R699" i="6"/>
  <c r="T699" i="6" s="1"/>
  <c r="R714" i="6"/>
  <c r="T714" i="6" s="1"/>
  <c r="R687" i="6"/>
  <c r="T687" i="6" s="1"/>
  <c r="R702" i="6"/>
  <c r="T702" i="6" s="1"/>
  <c r="R717" i="6"/>
  <c r="T717" i="6" s="1"/>
  <c r="R678" i="6"/>
  <c r="T678" i="6" s="1"/>
  <c r="R693" i="6"/>
  <c r="T693" i="6" s="1"/>
  <c r="R708" i="6"/>
  <c r="T708" i="6" s="1"/>
  <c r="R722" i="6"/>
  <c r="R723" i="6"/>
  <c r="T723" i="6" s="1"/>
  <c r="R724" i="6"/>
  <c r="R680" i="6"/>
  <c r="T680" i="6" s="1"/>
  <c r="R695" i="6"/>
  <c r="T695" i="6" s="1"/>
  <c r="R710" i="6"/>
  <c r="T710" i="6" s="1"/>
  <c r="R681" i="6"/>
  <c r="T681" i="6" s="1"/>
  <c r="R696" i="6"/>
  <c r="R711" i="6"/>
  <c r="R686" i="6"/>
  <c r="T686" i="6" s="1"/>
  <c r="R701" i="6"/>
  <c r="R716" i="6"/>
  <c r="T716" i="6" s="1"/>
  <c r="R729" i="6"/>
  <c r="T729" i="6" s="1"/>
  <c r="R730" i="6"/>
  <c r="T730" i="6" s="1"/>
  <c r="R731" i="6"/>
  <c r="T731" i="6" s="1"/>
  <c r="R728" i="6"/>
  <c r="R732" i="6"/>
  <c r="T732" i="6" s="1"/>
  <c r="R733" i="6"/>
  <c r="T733" i="6" s="1"/>
  <c r="R734" i="6"/>
  <c r="R735" i="6"/>
  <c r="T735" i="6" s="1"/>
  <c r="R736" i="6"/>
  <c r="T736" i="6" s="1"/>
  <c r="H720" i="6"/>
  <c r="H705" i="6"/>
  <c r="H690" i="6"/>
  <c r="E11" i="9"/>
  <c r="D7" i="9"/>
  <c r="D11" i="9"/>
  <c r="E7" i="9"/>
  <c r="D10" i="9"/>
  <c r="D8" i="9"/>
  <c r="E10" i="9"/>
  <c r="E9" i="9"/>
  <c r="E8" i="9"/>
  <c r="D9" i="9"/>
  <c r="S712" i="6" l="1"/>
  <c r="S731" i="6"/>
  <c r="S681" i="6"/>
  <c r="S727" i="6"/>
  <c r="S677" i="6"/>
  <c r="S729" i="6"/>
  <c r="S695" i="6"/>
  <c r="S725" i="6"/>
  <c r="S697" i="6"/>
  <c r="S718" i="6"/>
  <c r="T726" i="6"/>
  <c r="T712" i="6"/>
  <c r="T691" i="6"/>
  <c r="T725" i="6"/>
  <c r="T697" i="6"/>
  <c r="T718" i="6"/>
  <c r="S728" i="6"/>
  <c r="S694" i="6"/>
  <c r="S707" i="6"/>
  <c r="S689" i="6"/>
  <c r="T707" i="6"/>
  <c r="T689" i="6"/>
  <c r="S688" i="6"/>
  <c r="T679" i="6"/>
  <c r="S711" i="6"/>
  <c r="S722" i="6"/>
  <c r="S696" i="6"/>
  <c r="S706" i="6"/>
  <c r="T711" i="6"/>
  <c r="T722" i="6"/>
  <c r="T682" i="6"/>
  <c r="T703" i="6"/>
  <c r="S719" i="6"/>
  <c r="T692" i="6"/>
  <c r="T721" i="6"/>
  <c r="T734" i="6"/>
  <c r="T701" i="6"/>
  <c r="T724" i="6"/>
  <c r="S692" i="6"/>
  <c r="S721" i="6"/>
  <c r="S734" i="6"/>
  <c r="S701" i="6"/>
  <c r="S724" i="6"/>
  <c r="T728" i="6"/>
  <c r="T696" i="6"/>
  <c r="T694" i="6"/>
  <c r="T688" i="6"/>
  <c r="S733" i="6"/>
  <c r="S686" i="6"/>
  <c r="S723" i="6"/>
  <c r="S735" i="6"/>
  <c r="S716" i="6"/>
  <c r="S680" i="6"/>
  <c r="S709" i="6"/>
  <c r="T709" i="6"/>
  <c r="T704" i="6"/>
  <c r="T719" i="6"/>
  <c r="Q46" i="8"/>
  <c r="R46" i="8"/>
  <c r="R50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T28" i="8" s="1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7" i="8"/>
  <c r="R48" i="8"/>
  <c r="R49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Q72" i="8"/>
  <c r="U72" i="8"/>
  <c r="U73" i="8"/>
  <c r="U74" i="8"/>
  <c r="U75" i="8"/>
  <c r="U76" i="8"/>
  <c r="U77" i="8"/>
  <c r="T72" i="8"/>
  <c r="S74" i="8"/>
  <c r="S77" i="8"/>
  <c r="Q25" i="8"/>
  <c r="Q26" i="8"/>
  <c r="Q27" i="8"/>
  <c r="Q28" i="8"/>
  <c r="Q29" i="8"/>
  <c r="Q24" i="8"/>
  <c r="U27" i="8"/>
  <c r="U25" i="8"/>
  <c r="U26" i="8"/>
  <c r="U28" i="8"/>
  <c r="U24" i="8"/>
  <c r="U29" i="8"/>
  <c r="Q18" i="8"/>
  <c r="Q19" i="8"/>
  <c r="Q20" i="8"/>
  <c r="Q21" i="8"/>
  <c r="Q22" i="8"/>
  <c r="Q23" i="8"/>
  <c r="Q30" i="8"/>
  <c r="Q31" i="8"/>
  <c r="Q32" i="8"/>
  <c r="Q33" i="8"/>
  <c r="Q34" i="8"/>
  <c r="Q35" i="8"/>
  <c r="Q36" i="8"/>
  <c r="S36" i="8" s="1"/>
  <c r="Q37" i="8"/>
  <c r="Q38" i="8"/>
  <c r="Q39" i="8"/>
  <c r="Q40" i="8"/>
  <c r="Q41" i="8"/>
  <c r="Q42" i="8"/>
  <c r="Q43" i="8"/>
  <c r="Q44" i="8"/>
  <c r="Q45" i="8"/>
  <c r="Q47" i="8"/>
  <c r="Q48" i="8"/>
  <c r="Q49" i="8"/>
  <c r="Q50" i="8"/>
  <c r="Q51" i="8"/>
  <c r="Q52" i="8"/>
  <c r="Q53" i="8"/>
  <c r="Q54" i="8"/>
  <c r="Q55" i="8"/>
  <c r="Q56" i="8"/>
  <c r="Q57" i="8"/>
  <c r="Q58" i="8"/>
  <c r="Q59" i="8"/>
  <c r="Q60" i="8"/>
  <c r="Q61" i="8"/>
  <c r="Q62" i="8"/>
  <c r="Q63" i="8"/>
  <c r="Q64" i="8"/>
  <c r="Q65" i="8"/>
  <c r="Q67" i="8"/>
  <c r="Q68" i="8"/>
  <c r="S68" i="8" s="1"/>
  <c r="Q69" i="8"/>
  <c r="Q70" i="8"/>
  <c r="Q71" i="8"/>
  <c r="Q17" i="8"/>
  <c r="Q16" i="8"/>
  <c r="Q4" i="8"/>
  <c r="R4" i="8"/>
  <c r="U4" i="8"/>
  <c r="Q5" i="8"/>
  <c r="U5" i="8"/>
  <c r="Q6" i="8"/>
  <c r="U6" i="8"/>
  <c r="Q7" i="8"/>
  <c r="U7" i="8"/>
  <c r="Q8" i="8"/>
  <c r="U8" i="8"/>
  <c r="Q9" i="8"/>
  <c r="U9" i="8"/>
  <c r="Q10" i="8"/>
  <c r="U10" i="8"/>
  <c r="Q11" i="8"/>
  <c r="U11" i="8"/>
  <c r="Q12" i="8"/>
  <c r="U12" i="8"/>
  <c r="Q13" i="8"/>
  <c r="U13" i="8"/>
  <c r="Q14" i="8"/>
  <c r="U14" i="8"/>
  <c r="Q15" i="8"/>
  <c r="U15" i="8"/>
  <c r="U16" i="8"/>
  <c r="U17" i="8"/>
  <c r="U18" i="8"/>
  <c r="U19" i="8"/>
  <c r="U20" i="8"/>
  <c r="U21" i="8"/>
  <c r="U22" i="8"/>
  <c r="U23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7" i="8"/>
  <c r="U68" i="8"/>
  <c r="U69" i="8"/>
  <c r="U70" i="8"/>
  <c r="U71" i="8"/>
  <c r="H589" i="6"/>
  <c r="S34" i="8" l="1"/>
  <c r="T75" i="8"/>
  <c r="S75" i="8"/>
  <c r="T77" i="8"/>
  <c r="T76" i="8"/>
  <c r="T73" i="8"/>
  <c r="S76" i="8"/>
  <c r="S73" i="8"/>
  <c r="S72" i="8"/>
  <c r="T25" i="8"/>
  <c r="T74" i="8"/>
  <c r="S42" i="8"/>
  <c r="T12" i="8"/>
  <c r="S25" i="8"/>
  <c r="T27" i="8"/>
  <c r="S27" i="8"/>
  <c r="T26" i="8"/>
  <c r="S26" i="8"/>
  <c r="T39" i="8"/>
  <c r="T8" i="8"/>
  <c r="T4" i="8"/>
  <c r="S11" i="8"/>
  <c r="S9" i="8"/>
  <c r="S7" i="8"/>
  <c r="S55" i="8"/>
  <c r="S28" i="8"/>
  <c r="T22" i="8"/>
  <c r="S45" i="8"/>
  <c r="S23" i="8"/>
  <c r="T29" i="8"/>
  <c r="S49" i="8"/>
  <c r="T24" i="8"/>
  <c r="T43" i="8"/>
  <c r="S24" i="8"/>
  <c r="T30" i="8"/>
  <c r="T58" i="8"/>
  <c r="T45" i="8"/>
  <c r="S21" i="8"/>
  <c r="S57" i="8"/>
  <c r="S40" i="8"/>
  <c r="S47" i="8"/>
  <c r="S29" i="8"/>
  <c r="S31" i="8"/>
  <c r="T56" i="8"/>
  <c r="S39" i="8"/>
  <c r="S65" i="8"/>
  <c r="T33" i="8"/>
  <c r="T48" i="8"/>
  <c r="T17" i="8"/>
  <c r="T70" i="8"/>
  <c r="S51" i="8"/>
  <c r="S43" i="8"/>
  <c r="S41" i="8"/>
  <c r="T35" i="8"/>
  <c r="T31" i="8"/>
  <c r="T21" i="8"/>
  <c r="T7" i="8"/>
  <c r="T50" i="8"/>
  <c r="S13" i="8"/>
  <c r="T54" i="8"/>
  <c r="T46" i="8"/>
  <c r="S58" i="8"/>
  <c r="S56" i="8"/>
  <c r="S50" i="8"/>
  <c r="S48" i="8"/>
  <c r="S46" i="8"/>
  <c r="S71" i="8"/>
  <c r="S69" i="8"/>
  <c r="S67" i="8"/>
  <c r="T61" i="8"/>
  <c r="T59" i="8"/>
  <c r="S32" i="8"/>
  <c r="S30" i="8"/>
  <c r="S16" i="8"/>
  <c r="S8" i="8"/>
  <c r="S6" i="8"/>
  <c r="S63" i="8"/>
  <c r="S61" i="8"/>
  <c r="T10" i="8"/>
  <c r="S59" i="8"/>
  <c r="T53" i="8"/>
  <c r="T51" i="8"/>
  <c r="S22" i="8"/>
  <c r="S20" i="8"/>
  <c r="S18" i="8"/>
  <c r="T16" i="8"/>
  <c r="S5" i="8"/>
  <c r="T68" i="8"/>
  <c r="T62" i="8"/>
  <c r="S53" i="8"/>
  <c r="T47" i="8"/>
  <c r="T41" i="8"/>
  <c r="S37" i="8"/>
  <c r="S14" i="8"/>
  <c r="T71" i="8"/>
  <c r="T44" i="8"/>
  <c r="S35" i="8"/>
  <c r="S33" i="8"/>
  <c r="S12" i="8"/>
  <c r="S10" i="8"/>
  <c r="S60" i="8"/>
  <c r="T65" i="8"/>
  <c r="S44" i="8"/>
  <c r="T38" i="8"/>
  <c r="T36" i="8"/>
  <c r="S19" i="8"/>
  <c r="T15" i="8"/>
  <c r="T13" i="8"/>
  <c r="S54" i="8"/>
  <c r="S52" i="8"/>
  <c r="S38" i="8"/>
  <c r="T32" i="8"/>
  <c r="T19" i="8"/>
  <c r="S17" i="8"/>
  <c r="S15" i="8"/>
  <c r="T5" i="8"/>
  <c r="S70" i="8"/>
  <c r="T63" i="8"/>
  <c r="T60" i="8"/>
  <c r="T49" i="8"/>
  <c r="T34" i="8"/>
  <c r="T23" i="8"/>
  <c r="T14" i="8"/>
  <c r="T69" i="8"/>
  <c r="S64" i="8"/>
  <c r="T57" i="8"/>
  <c r="T52" i="8"/>
  <c r="T42" i="8"/>
  <c r="T37" i="8"/>
  <c r="T20" i="8"/>
  <c r="T11" i="8"/>
  <c r="T6" i="8"/>
  <c r="T67" i="8"/>
  <c r="T64" i="8"/>
  <c r="T55" i="8"/>
  <c r="T40" i="8"/>
  <c r="T18" i="8"/>
  <c r="T9" i="8"/>
  <c r="S4" i="8"/>
  <c r="S62" i="8"/>
  <c r="Q661" i="6" l="1"/>
  <c r="H665" i="6"/>
  <c r="H674" i="6"/>
  <c r="H664" i="6"/>
  <c r="H663" i="6"/>
  <c r="H672" i="6"/>
  <c r="H673" i="6"/>
  <c r="H662" i="6"/>
  <c r="H661" i="6"/>
  <c r="S661" i="6" s="1"/>
  <c r="H671" i="6"/>
  <c r="H676" i="6"/>
  <c r="H670" i="6"/>
  <c r="H669" i="6"/>
  <c r="H668" i="6"/>
  <c r="H675" i="6"/>
  <c r="H667" i="6"/>
  <c r="H666" i="6"/>
  <c r="S666" i="6" s="1"/>
  <c r="R666" i="6"/>
  <c r="Q667" i="6"/>
  <c r="R667" i="6"/>
  <c r="Q675" i="6"/>
  <c r="R675" i="6"/>
  <c r="Q668" i="6"/>
  <c r="R668" i="6"/>
  <c r="Q669" i="6"/>
  <c r="S669" i="6" s="1"/>
  <c r="R669" i="6"/>
  <c r="Q670" i="6"/>
  <c r="R670" i="6"/>
  <c r="Q676" i="6"/>
  <c r="S676" i="6" s="1"/>
  <c r="R676" i="6"/>
  <c r="Q671" i="6"/>
  <c r="S671" i="6" s="1"/>
  <c r="R671" i="6"/>
  <c r="T671" i="6" s="1"/>
  <c r="R661" i="6"/>
  <c r="T661" i="6" s="1"/>
  <c r="Q662" i="6"/>
  <c r="R662" i="6"/>
  <c r="Q673" i="6"/>
  <c r="R673" i="6"/>
  <c r="Q672" i="6"/>
  <c r="R672" i="6"/>
  <c r="Q663" i="6"/>
  <c r="S663" i="6" s="1"/>
  <c r="R663" i="6"/>
  <c r="Q664" i="6"/>
  <c r="R664" i="6"/>
  <c r="Q674" i="6"/>
  <c r="R674" i="6"/>
  <c r="Q665" i="6"/>
  <c r="S665" i="6" s="1"/>
  <c r="R665" i="6"/>
  <c r="T665" i="6" s="1"/>
  <c r="H660" i="6"/>
  <c r="H659" i="6"/>
  <c r="H658" i="6"/>
  <c r="H657" i="6"/>
  <c r="H650" i="6"/>
  <c r="H649" i="6"/>
  <c r="H648" i="6"/>
  <c r="H647" i="6"/>
  <c r="H646" i="6"/>
  <c r="H645" i="6"/>
  <c r="H644" i="6"/>
  <c r="H643" i="6"/>
  <c r="H642" i="6"/>
  <c r="H641" i="6"/>
  <c r="H651" i="6"/>
  <c r="H656" i="6"/>
  <c r="H655" i="6"/>
  <c r="H654" i="6"/>
  <c r="H653" i="6"/>
  <c r="H652" i="6"/>
  <c r="H685" i="6"/>
  <c r="H700" i="6"/>
  <c r="H715" i="6"/>
  <c r="Q654" i="6"/>
  <c r="Q655" i="6"/>
  <c r="S655" i="6" s="1"/>
  <c r="Q656" i="6"/>
  <c r="Q651" i="6"/>
  <c r="Q641" i="6"/>
  <c r="Q642" i="6"/>
  <c r="Q643" i="6"/>
  <c r="Q644" i="6"/>
  <c r="Q645" i="6"/>
  <c r="Q646" i="6"/>
  <c r="S646" i="6" s="1"/>
  <c r="Q647" i="6"/>
  <c r="Q648" i="6"/>
  <c r="Q649" i="6"/>
  <c r="Q650" i="6"/>
  <c r="Q652" i="6"/>
  <c r="Q657" i="6"/>
  <c r="Q658" i="6"/>
  <c r="Q659" i="6"/>
  <c r="Q660" i="6"/>
  <c r="Q685" i="6"/>
  <c r="Q700" i="6"/>
  <c r="Q715" i="6"/>
  <c r="Q690" i="6"/>
  <c r="S690" i="6" s="1"/>
  <c r="Q705" i="6"/>
  <c r="S705" i="6" s="1"/>
  <c r="Q720" i="6"/>
  <c r="S720" i="6" s="1"/>
  <c r="R654" i="6"/>
  <c r="R655" i="6"/>
  <c r="T655" i="6" s="1"/>
  <c r="R656" i="6"/>
  <c r="R651" i="6"/>
  <c r="R641" i="6"/>
  <c r="R642" i="6"/>
  <c r="R643" i="6"/>
  <c r="R644" i="6"/>
  <c r="R645" i="6"/>
  <c r="R646" i="6"/>
  <c r="R647" i="6"/>
  <c r="R648" i="6"/>
  <c r="R649" i="6"/>
  <c r="R650" i="6"/>
  <c r="R652" i="6"/>
  <c r="R657" i="6"/>
  <c r="R658" i="6"/>
  <c r="R659" i="6"/>
  <c r="T659" i="6" s="1"/>
  <c r="R660" i="6"/>
  <c r="T660" i="6" s="1"/>
  <c r="R685" i="6"/>
  <c r="R700" i="6"/>
  <c r="R715" i="6"/>
  <c r="R690" i="6"/>
  <c r="T690" i="6" s="1"/>
  <c r="R705" i="6"/>
  <c r="T705" i="6" s="1"/>
  <c r="R720" i="6"/>
  <c r="T720" i="6" s="1"/>
  <c r="R653" i="6"/>
  <c r="Q653" i="6"/>
  <c r="R638" i="6"/>
  <c r="Q638" i="6"/>
  <c r="H638" i="6"/>
  <c r="R637" i="6"/>
  <c r="Q637" i="6"/>
  <c r="H637" i="6"/>
  <c r="R636" i="6"/>
  <c r="Q636" i="6"/>
  <c r="H636" i="6"/>
  <c r="R635" i="6"/>
  <c r="Q635" i="6"/>
  <c r="H635" i="6"/>
  <c r="R634" i="6"/>
  <c r="Q634" i="6"/>
  <c r="H634" i="6"/>
  <c r="R633" i="6"/>
  <c r="Q633" i="6"/>
  <c r="H633" i="6"/>
  <c r="R632" i="6"/>
  <c r="Q632" i="6"/>
  <c r="H632" i="6"/>
  <c r="R631" i="6"/>
  <c r="Q631" i="6"/>
  <c r="H631" i="6"/>
  <c r="R640" i="6"/>
  <c r="Q640" i="6"/>
  <c r="H640" i="6"/>
  <c r="R639" i="6"/>
  <c r="Q639" i="6"/>
  <c r="H639" i="6"/>
  <c r="R630" i="6"/>
  <c r="Q630" i="6"/>
  <c r="H630" i="6"/>
  <c r="R629" i="6"/>
  <c r="Q629" i="6"/>
  <c r="H629" i="6"/>
  <c r="R628" i="6"/>
  <c r="Q628" i="6"/>
  <c r="H628" i="6"/>
  <c r="R624" i="6"/>
  <c r="Q624" i="6"/>
  <c r="H624" i="6"/>
  <c r="R623" i="6"/>
  <c r="Q623" i="6"/>
  <c r="H623" i="6"/>
  <c r="R622" i="6"/>
  <c r="Q622" i="6"/>
  <c r="H622" i="6"/>
  <c r="R627" i="6"/>
  <c r="Q627" i="6"/>
  <c r="H627" i="6"/>
  <c r="R626" i="6"/>
  <c r="Q626" i="6"/>
  <c r="H626" i="6"/>
  <c r="R625" i="6"/>
  <c r="Q625" i="6"/>
  <c r="H625" i="6"/>
  <c r="R615" i="6"/>
  <c r="Q615" i="6"/>
  <c r="H615" i="6"/>
  <c r="R610" i="6"/>
  <c r="Q610" i="6"/>
  <c r="H610" i="6"/>
  <c r="R605" i="6"/>
  <c r="Q605" i="6"/>
  <c r="H605" i="6"/>
  <c r="R614" i="6"/>
  <c r="Q614" i="6"/>
  <c r="H614" i="6"/>
  <c r="R609" i="6"/>
  <c r="Q609" i="6"/>
  <c r="H609" i="6"/>
  <c r="R604" i="6"/>
  <c r="Q604" i="6"/>
  <c r="H604" i="6"/>
  <c r="R613" i="6"/>
  <c r="Q613" i="6"/>
  <c r="H613" i="6"/>
  <c r="R608" i="6"/>
  <c r="Q608" i="6"/>
  <c r="H608" i="6"/>
  <c r="R603" i="6"/>
  <c r="Q603" i="6"/>
  <c r="H603" i="6"/>
  <c r="R612" i="6"/>
  <c r="Q612" i="6"/>
  <c r="H612" i="6"/>
  <c r="R607" i="6"/>
  <c r="Q607" i="6"/>
  <c r="H607" i="6"/>
  <c r="R602" i="6"/>
  <c r="Q602" i="6"/>
  <c r="H602" i="6"/>
  <c r="R611" i="6"/>
  <c r="Q611" i="6"/>
  <c r="H611" i="6"/>
  <c r="R606" i="6"/>
  <c r="Q606" i="6"/>
  <c r="H606" i="6"/>
  <c r="R601" i="6"/>
  <c r="Q601" i="6"/>
  <c r="H601" i="6"/>
  <c r="R866" i="6"/>
  <c r="Q866" i="6"/>
  <c r="R621" i="6"/>
  <c r="Q621" i="6"/>
  <c r="H621" i="6"/>
  <c r="R620" i="6"/>
  <c r="Q620" i="6"/>
  <c r="H620" i="6"/>
  <c r="R619" i="6"/>
  <c r="Q619" i="6"/>
  <c r="H619" i="6"/>
  <c r="R618" i="6"/>
  <c r="Q618" i="6"/>
  <c r="H618" i="6"/>
  <c r="R617" i="6"/>
  <c r="Q617" i="6"/>
  <c r="H617" i="6"/>
  <c r="R616" i="6"/>
  <c r="Q616" i="6"/>
  <c r="H616" i="6"/>
  <c r="R865" i="6"/>
  <c r="Q865" i="6"/>
  <c r="H865" i="6"/>
  <c r="H588" i="6"/>
  <c r="H587" i="6"/>
  <c r="H586" i="6"/>
  <c r="H585" i="6"/>
  <c r="H584" i="6"/>
  <c r="R600" i="6"/>
  <c r="Q600" i="6"/>
  <c r="H600" i="6"/>
  <c r="R599" i="6"/>
  <c r="Q599" i="6"/>
  <c r="H599" i="6"/>
  <c r="R598" i="6"/>
  <c r="Q598" i="6"/>
  <c r="H598" i="6"/>
  <c r="R597" i="6"/>
  <c r="Q597" i="6"/>
  <c r="H597" i="6"/>
  <c r="R596" i="6"/>
  <c r="Q596" i="6"/>
  <c r="H596" i="6"/>
  <c r="R595" i="6"/>
  <c r="Q595" i="6"/>
  <c r="H595" i="6"/>
  <c r="R594" i="6"/>
  <c r="Q594" i="6"/>
  <c r="H594" i="6"/>
  <c r="R593" i="6"/>
  <c r="Q593" i="6"/>
  <c r="H593" i="6"/>
  <c r="R592" i="6"/>
  <c r="Q592" i="6"/>
  <c r="H592" i="6"/>
  <c r="R591" i="6"/>
  <c r="Q591" i="6"/>
  <c r="H591" i="6"/>
  <c r="R590" i="6"/>
  <c r="Q590" i="6"/>
  <c r="H590" i="6"/>
  <c r="R589" i="6"/>
  <c r="Q589" i="6"/>
  <c r="R568" i="6"/>
  <c r="Q568" i="6"/>
  <c r="H568" i="6"/>
  <c r="R563" i="6"/>
  <c r="Q563" i="6"/>
  <c r="H563" i="6"/>
  <c r="R558" i="6"/>
  <c r="Q558" i="6"/>
  <c r="H558" i="6"/>
  <c r="R567" i="6"/>
  <c r="Q567" i="6"/>
  <c r="H567" i="6"/>
  <c r="R562" i="6"/>
  <c r="Q562" i="6"/>
  <c r="H562" i="6"/>
  <c r="R557" i="6"/>
  <c r="Q557" i="6"/>
  <c r="H557" i="6"/>
  <c r="R566" i="6"/>
  <c r="Q566" i="6"/>
  <c r="H566" i="6"/>
  <c r="R561" i="6"/>
  <c r="Q561" i="6"/>
  <c r="H561" i="6"/>
  <c r="R556" i="6"/>
  <c r="Q556" i="6"/>
  <c r="H556" i="6"/>
  <c r="R565" i="6"/>
  <c r="Q565" i="6"/>
  <c r="H565" i="6"/>
  <c r="R560" i="6"/>
  <c r="Q560" i="6"/>
  <c r="H560" i="6"/>
  <c r="R555" i="6"/>
  <c r="Q555" i="6"/>
  <c r="H555" i="6"/>
  <c r="R564" i="6"/>
  <c r="Q564" i="6"/>
  <c r="H564" i="6"/>
  <c r="R559" i="6"/>
  <c r="Q559" i="6"/>
  <c r="H559" i="6"/>
  <c r="R554" i="6"/>
  <c r="Q554" i="6"/>
  <c r="H554" i="6"/>
  <c r="R864" i="6"/>
  <c r="Q864" i="6"/>
  <c r="R583" i="6"/>
  <c r="Q583" i="6"/>
  <c r="H583" i="6"/>
  <c r="R578" i="6"/>
  <c r="Q578" i="6"/>
  <c r="H578" i="6"/>
  <c r="R573" i="6"/>
  <c r="Q573" i="6"/>
  <c r="H573" i="6"/>
  <c r="R582" i="6"/>
  <c r="Q582" i="6"/>
  <c r="H582" i="6"/>
  <c r="R577" i="6"/>
  <c r="Q577" i="6"/>
  <c r="H577" i="6"/>
  <c r="R572" i="6"/>
  <c r="Q572" i="6"/>
  <c r="H572" i="6"/>
  <c r="R581" i="6"/>
  <c r="Q581" i="6"/>
  <c r="H581" i="6"/>
  <c r="R576" i="6"/>
  <c r="Q576" i="6"/>
  <c r="H576" i="6"/>
  <c r="R571" i="6"/>
  <c r="Q571" i="6"/>
  <c r="H571" i="6"/>
  <c r="R580" i="6"/>
  <c r="Q580" i="6"/>
  <c r="H580" i="6"/>
  <c r="R575" i="6"/>
  <c r="Q575" i="6"/>
  <c r="H575" i="6"/>
  <c r="R570" i="6"/>
  <c r="Q570" i="6"/>
  <c r="H570" i="6"/>
  <c r="R579" i="6"/>
  <c r="Q579" i="6"/>
  <c r="H579" i="6"/>
  <c r="R574" i="6"/>
  <c r="Q574" i="6"/>
  <c r="H574" i="6"/>
  <c r="R569" i="6"/>
  <c r="Q569" i="6"/>
  <c r="H569" i="6"/>
  <c r="R553" i="6"/>
  <c r="Q553" i="6"/>
  <c r="H553" i="6"/>
  <c r="R552" i="6"/>
  <c r="Q552" i="6"/>
  <c r="H552" i="6"/>
  <c r="R551" i="6"/>
  <c r="Q551" i="6"/>
  <c r="H551" i="6"/>
  <c r="R550" i="6"/>
  <c r="Q550" i="6"/>
  <c r="H550" i="6"/>
  <c r="R549" i="6"/>
  <c r="Q549" i="6"/>
  <c r="H549" i="6"/>
  <c r="R548" i="6"/>
  <c r="Q548" i="6"/>
  <c r="H548" i="6"/>
  <c r="R547" i="6"/>
  <c r="Q547" i="6"/>
  <c r="H547" i="6"/>
  <c r="R546" i="6"/>
  <c r="Q546" i="6"/>
  <c r="H546" i="6"/>
  <c r="R545" i="6"/>
  <c r="Q545" i="6"/>
  <c r="H545" i="6"/>
  <c r="R510" i="6"/>
  <c r="Q510" i="6"/>
  <c r="H510" i="6"/>
  <c r="R520" i="6"/>
  <c r="Q520" i="6"/>
  <c r="H520" i="6"/>
  <c r="R509" i="6"/>
  <c r="Q509" i="6"/>
  <c r="H509" i="6"/>
  <c r="R508" i="6"/>
  <c r="Q508" i="6"/>
  <c r="H508" i="6"/>
  <c r="R519" i="6"/>
  <c r="Q519" i="6"/>
  <c r="H519" i="6"/>
  <c r="R523" i="6"/>
  <c r="Q523" i="6"/>
  <c r="H523" i="6"/>
  <c r="R518" i="6"/>
  <c r="Q518" i="6"/>
  <c r="H518" i="6"/>
  <c r="R517" i="6"/>
  <c r="Q517" i="6"/>
  <c r="H517" i="6"/>
  <c r="R516" i="6"/>
  <c r="Q516" i="6"/>
  <c r="H516" i="6"/>
  <c r="R522" i="6"/>
  <c r="Q522" i="6"/>
  <c r="H522" i="6"/>
  <c r="R515" i="6"/>
  <c r="Q515" i="6"/>
  <c r="H515" i="6"/>
  <c r="R514" i="6"/>
  <c r="Q514" i="6"/>
  <c r="H514" i="6"/>
  <c r="R513" i="6"/>
  <c r="Q513" i="6"/>
  <c r="H513" i="6"/>
  <c r="R521" i="6"/>
  <c r="Q521" i="6"/>
  <c r="H521" i="6"/>
  <c r="R512" i="6"/>
  <c r="Q512" i="6"/>
  <c r="H512" i="6"/>
  <c r="R511" i="6"/>
  <c r="Q511" i="6"/>
  <c r="H511" i="6"/>
  <c r="R544" i="6"/>
  <c r="Q544" i="6"/>
  <c r="H544" i="6"/>
  <c r="R543" i="6"/>
  <c r="Q543" i="6"/>
  <c r="H543" i="6"/>
  <c r="R542" i="6"/>
  <c r="Q542" i="6"/>
  <c r="H542" i="6"/>
  <c r="R541" i="6"/>
  <c r="Q541" i="6"/>
  <c r="H541" i="6"/>
  <c r="R540" i="6"/>
  <c r="Q540" i="6"/>
  <c r="H540" i="6"/>
  <c r="R539" i="6"/>
  <c r="Q539" i="6"/>
  <c r="H539" i="6"/>
  <c r="R538" i="6"/>
  <c r="Q538" i="6"/>
  <c r="H538" i="6"/>
  <c r="R530" i="6"/>
  <c r="Q530" i="6"/>
  <c r="H530" i="6"/>
  <c r="R529" i="6"/>
  <c r="Q529" i="6"/>
  <c r="H529" i="6"/>
  <c r="R528" i="6"/>
  <c r="Q528" i="6"/>
  <c r="H528" i="6"/>
  <c r="R527" i="6"/>
  <c r="Q527" i="6"/>
  <c r="H527" i="6"/>
  <c r="R526" i="6"/>
  <c r="Q526" i="6"/>
  <c r="H526" i="6"/>
  <c r="R525" i="6"/>
  <c r="Q525" i="6"/>
  <c r="H525" i="6"/>
  <c r="R524" i="6"/>
  <c r="Q524" i="6"/>
  <c r="H524" i="6"/>
  <c r="R537" i="6"/>
  <c r="Q537" i="6"/>
  <c r="H537" i="6"/>
  <c r="R536" i="6"/>
  <c r="Q536" i="6"/>
  <c r="H536" i="6"/>
  <c r="R535" i="6"/>
  <c r="Q535" i="6"/>
  <c r="H535" i="6"/>
  <c r="R534" i="6"/>
  <c r="Q534" i="6"/>
  <c r="H534" i="6"/>
  <c r="R533" i="6"/>
  <c r="Q533" i="6"/>
  <c r="H533" i="6"/>
  <c r="R532" i="6"/>
  <c r="Q532" i="6"/>
  <c r="H532" i="6"/>
  <c r="R531" i="6"/>
  <c r="Q531" i="6"/>
  <c r="H531" i="6"/>
  <c r="R507" i="6"/>
  <c r="Q507" i="6"/>
  <c r="H507" i="6"/>
  <c r="R506" i="6"/>
  <c r="Q506" i="6"/>
  <c r="H506" i="6"/>
  <c r="R505" i="6"/>
  <c r="Q505" i="6"/>
  <c r="H505" i="6"/>
  <c r="R504" i="6"/>
  <c r="Q504" i="6"/>
  <c r="H504" i="6"/>
  <c r="R503" i="6"/>
  <c r="Q503" i="6"/>
  <c r="H503" i="6"/>
  <c r="R502" i="6"/>
  <c r="Q502" i="6"/>
  <c r="H502" i="6"/>
  <c r="R501" i="6"/>
  <c r="Q501" i="6"/>
  <c r="H501" i="6"/>
  <c r="R500" i="6"/>
  <c r="Q500" i="6"/>
  <c r="H500" i="6"/>
  <c r="R499" i="6"/>
  <c r="Q499" i="6"/>
  <c r="H499" i="6"/>
  <c r="R498" i="6"/>
  <c r="Q498" i="6"/>
  <c r="H498" i="6"/>
  <c r="R497" i="6"/>
  <c r="Q497" i="6"/>
  <c r="H497" i="6"/>
  <c r="R496" i="6"/>
  <c r="Q496" i="6"/>
  <c r="H496" i="6"/>
  <c r="R495" i="6"/>
  <c r="Q495" i="6"/>
  <c r="H495" i="6"/>
  <c r="R494" i="6"/>
  <c r="Q494" i="6"/>
  <c r="H494" i="6"/>
  <c r="R493" i="6"/>
  <c r="Q493" i="6"/>
  <c r="H493" i="6"/>
  <c r="R492" i="6"/>
  <c r="Q492" i="6"/>
  <c r="H492" i="6"/>
  <c r="R491" i="6"/>
  <c r="Q491" i="6"/>
  <c r="H491" i="6"/>
  <c r="R490" i="6"/>
  <c r="Q490" i="6"/>
  <c r="H490" i="6"/>
  <c r="R489" i="6"/>
  <c r="Q489" i="6"/>
  <c r="H489" i="6"/>
  <c r="R488" i="6"/>
  <c r="Q488" i="6"/>
  <c r="H488" i="6"/>
  <c r="R487" i="6"/>
  <c r="Q487" i="6"/>
  <c r="H487" i="6"/>
  <c r="R486" i="6"/>
  <c r="Q486" i="6"/>
  <c r="H486" i="6"/>
  <c r="R485" i="6"/>
  <c r="Q485" i="6"/>
  <c r="H485" i="6"/>
  <c r="R483" i="6"/>
  <c r="Q483" i="6"/>
  <c r="H483" i="6"/>
  <c r="R481" i="6"/>
  <c r="Q481" i="6"/>
  <c r="H481" i="6"/>
  <c r="R484" i="6"/>
  <c r="Q484" i="6"/>
  <c r="H484" i="6"/>
  <c r="R482" i="6"/>
  <c r="Q482" i="6"/>
  <c r="H482" i="6"/>
  <c r="R480" i="6"/>
  <c r="Q480" i="6"/>
  <c r="H480" i="6"/>
  <c r="R479" i="6"/>
  <c r="Q479" i="6"/>
  <c r="H479" i="6"/>
  <c r="R472" i="6"/>
  <c r="Q472" i="6"/>
  <c r="H472" i="6"/>
  <c r="R465" i="6"/>
  <c r="Q465" i="6"/>
  <c r="H465" i="6"/>
  <c r="R478" i="6"/>
  <c r="Q478" i="6"/>
  <c r="H478" i="6"/>
  <c r="R471" i="6"/>
  <c r="Q471" i="6"/>
  <c r="H471" i="6"/>
  <c r="R464" i="6"/>
  <c r="Q464" i="6"/>
  <c r="H464" i="6"/>
  <c r="R477" i="6"/>
  <c r="Q477" i="6"/>
  <c r="H477" i="6"/>
  <c r="R470" i="6"/>
  <c r="Q470" i="6"/>
  <c r="H470" i="6"/>
  <c r="R463" i="6"/>
  <c r="Q463" i="6"/>
  <c r="H463" i="6"/>
  <c r="R476" i="6"/>
  <c r="Q476" i="6"/>
  <c r="H476" i="6"/>
  <c r="R469" i="6"/>
  <c r="Q469" i="6"/>
  <c r="H469" i="6"/>
  <c r="R462" i="6"/>
  <c r="Q462" i="6"/>
  <c r="H462" i="6"/>
  <c r="R475" i="6"/>
  <c r="Q475" i="6"/>
  <c r="H475" i="6"/>
  <c r="R468" i="6"/>
  <c r="Q468" i="6"/>
  <c r="H468" i="6"/>
  <c r="R461" i="6"/>
  <c r="Q461" i="6"/>
  <c r="H461" i="6"/>
  <c r="R474" i="6"/>
  <c r="Q474" i="6"/>
  <c r="H474" i="6"/>
  <c r="R467" i="6"/>
  <c r="Q467" i="6"/>
  <c r="H467" i="6"/>
  <c r="R460" i="6"/>
  <c r="Q460" i="6"/>
  <c r="H460" i="6"/>
  <c r="R473" i="6"/>
  <c r="Q473" i="6"/>
  <c r="H473" i="6"/>
  <c r="R466" i="6"/>
  <c r="Q466" i="6"/>
  <c r="H466" i="6"/>
  <c r="R459" i="6"/>
  <c r="Q459" i="6"/>
  <c r="H459" i="6"/>
  <c r="R458" i="6"/>
  <c r="Q458" i="6"/>
  <c r="H458" i="6"/>
  <c r="R455" i="6"/>
  <c r="Q455" i="6"/>
  <c r="H455" i="6"/>
  <c r="R452" i="6"/>
  <c r="Q452" i="6"/>
  <c r="H452" i="6"/>
  <c r="R457" i="6"/>
  <c r="Q457" i="6"/>
  <c r="H457" i="6"/>
  <c r="R454" i="6"/>
  <c r="Q454" i="6"/>
  <c r="H454" i="6"/>
  <c r="R451" i="6"/>
  <c r="Q451" i="6"/>
  <c r="H451" i="6"/>
  <c r="R456" i="6"/>
  <c r="Q456" i="6"/>
  <c r="H456" i="6"/>
  <c r="R453" i="6"/>
  <c r="Q453" i="6"/>
  <c r="H453" i="6"/>
  <c r="R450" i="6"/>
  <c r="Q450" i="6"/>
  <c r="H450" i="6"/>
  <c r="R863" i="6"/>
  <c r="Q863" i="6"/>
  <c r="S863" i="6" s="1"/>
  <c r="R446" i="6"/>
  <c r="Q446" i="6"/>
  <c r="H446" i="6"/>
  <c r="R445" i="6"/>
  <c r="Q445" i="6"/>
  <c r="H445" i="6"/>
  <c r="R444" i="6"/>
  <c r="Q444" i="6"/>
  <c r="H444" i="6"/>
  <c r="R449" i="6"/>
  <c r="Q449" i="6"/>
  <c r="H449" i="6"/>
  <c r="R448" i="6"/>
  <c r="Q448" i="6"/>
  <c r="H448" i="6"/>
  <c r="R447" i="6"/>
  <c r="Q447" i="6"/>
  <c r="H447" i="6"/>
  <c r="R437" i="6"/>
  <c r="Q437" i="6"/>
  <c r="H437" i="6"/>
  <c r="R436" i="6"/>
  <c r="Q436" i="6"/>
  <c r="H436" i="6"/>
  <c r="R435" i="6"/>
  <c r="Q435" i="6"/>
  <c r="H435" i="6"/>
  <c r="R440" i="6"/>
  <c r="Q440" i="6"/>
  <c r="H440" i="6"/>
  <c r="R439" i="6"/>
  <c r="Q439" i="6"/>
  <c r="H439" i="6"/>
  <c r="R438" i="6"/>
  <c r="Q438" i="6"/>
  <c r="H438" i="6"/>
  <c r="R443" i="6"/>
  <c r="Q443" i="6"/>
  <c r="H443" i="6"/>
  <c r="R442" i="6"/>
  <c r="Q442" i="6"/>
  <c r="H442" i="6"/>
  <c r="R441" i="6"/>
  <c r="Q441" i="6"/>
  <c r="H441" i="6"/>
  <c r="R434" i="6"/>
  <c r="Q434" i="6"/>
  <c r="H434" i="6"/>
  <c r="R433" i="6"/>
  <c r="Q433" i="6"/>
  <c r="H433" i="6"/>
  <c r="R432" i="6"/>
  <c r="Q432" i="6"/>
  <c r="H432" i="6"/>
  <c r="R431" i="6"/>
  <c r="Q431" i="6"/>
  <c r="H431" i="6"/>
  <c r="R430" i="6"/>
  <c r="Q430" i="6"/>
  <c r="H430" i="6"/>
  <c r="R429" i="6"/>
  <c r="Q429" i="6"/>
  <c r="H429" i="6"/>
  <c r="R428" i="6"/>
  <c r="Q428" i="6"/>
  <c r="H428" i="6"/>
  <c r="R427" i="6"/>
  <c r="Q427" i="6"/>
  <c r="H427" i="6"/>
  <c r="R426" i="6"/>
  <c r="Q426" i="6"/>
  <c r="H426" i="6"/>
  <c r="R425" i="6"/>
  <c r="Q425" i="6"/>
  <c r="H425" i="6"/>
  <c r="R424" i="6"/>
  <c r="Q424" i="6"/>
  <c r="H424" i="6"/>
  <c r="R423" i="6"/>
  <c r="Q423" i="6"/>
  <c r="H423" i="6"/>
  <c r="R422" i="6"/>
  <c r="Q422" i="6"/>
  <c r="H422" i="6"/>
  <c r="R421" i="6"/>
  <c r="Q421" i="6"/>
  <c r="H421" i="6"/>
  <c r="R420" i="6"/>
  <c r="Q420" i="6"/>
  <c r="H420" i="6"/>
  <c r="R419" i="6"/>
  <c r="Q419" i="6"/>
  <c r="H419" i="6"/>
  <c r="R418" i="6"/>
  <c r="Q418" i="6"/>
  <c r="H418" i="6"/>
  <c r="R417" i="6"/>
  <c r="Q417" i="6"/>
  <c r="H417" i="6"/>
  <c r="R416" i="6"/>
  <c r="Q416" i="6"/>
  <c r="H416" i="6"/>
  <c r="R415" i="6"/>
  <c r="Q415" i="6"/>
  <c r="H415" i="6"/>
  <c r="R414" i="6"/>
  <c r="Q414" i="6"/>
  <c r="H414" i="6"/>
  <c r="R413" i="6"/>
  <c r="Q413" i="6"/>
  <c r="H413" i="6"/>
  <c r="R412" i="6"/>
  <c r="Q412" i="6"/>
  <c r="H412" i="6"/>
  <c r="R407" i="6"/>
  <c r="Q407" i="6"/>
  <c r="H407" i="6"/>
  <c r="R411" i="6"/>
  <c r="Q411" i="6"/>
  <c r="H411" i="6"/>
  <c r="R406" i="6"/>
  <c r="Q406" i="6"/>
  <c r="H406" i="6"/>
  <c r="R405" i="6"/>
  <c r="Q405" i="6"/>
  <c r="H405" i="6"/>
  <c r="R404" i="6"/>
  <c r="Q404" i="6"/>
  <c r="H404" i="6"/>
  <c r="R410" i="6"/>
  <c r="Q410" i="6"/>
  <c r="H410" i="6"/>
  <c r="R403" i="6"/>
  <c r="Q403" i="6"/>
  <c r="H403" i="6"/>
  <c r="R402" i="6"/>
  <c r="Q402" i="6"/>
  <c r="H402" i="6"/>
  <c r="R401" i="6"/>
  <c r="Q401" i="6"/>
  <c r="H401" i="6"/>
  <c r="R409" i="6"/>
  <c r="Q409" i="6"/>
  <c r="H409" i="6"/>
  <c r="R400" i="6"/>
  <c r="Q400" i="6"/>
  <c r="H400" i="6"/>
  <c r="R399" i="6"/>
  <c r="Q399" i="6"/>
  <c r="H399" i="6"/>
  <c r="R398" i="6"/>
  <c r="Q398" i="6"/>
  <c r="H398" i="6"/>
  <c r="R408" i="6"/>
  <c r="Q408" i="6"/>
  <c r="H408" i="6"/>
  <c r="R397" i="6"/>
  <c r="Q397" i="6"/>
  <c r="H397" i="6"/>
  <c r="R396" i="6"/>
  <c r="Q396" i="6"/>
  <c r="H396" i="6"/>
  <c r="R392" i="6"/>
  <c r="Q392" i="6"/>
  <c r="H392" i="6"/>
  <c r="R395" i="6"/>
  <c r="Q395" i="6"/>
  <c r="H395" i="6"/>
  <c r="R391" i="6"/>
  <c r="Q391" i="6"/>
  <c r="H391" i="6"/>
  <c r="R394" i="6"/>
  <c r="Q394" i="6"/>
  <c r="H394" i="6"/>
  <c r="R390" i="6"/>
  <c r="Q390" i="6"/>
  <c r="H390" i="6"/>
  <c r="R393" i="6"/>
  <c r="Q393" i="6"/>
  <c r="H393" i="6"/>
  <c r="R389" i="6"/>
  <c r="Q389" i="6"/>
  <c r="H389" i="6"/>
  <c r="R388" i="6"/>
  <c r="Q388" i="6"/>
  <c r="H388" i="6"/>
  <c r="R387" i="6"/>
  <c r="Q387" i="6"/>
  <c r="H387" i="6"/>
  <c r="R386" i="6"/>
  <c r="Q386" i="6"/>
  <c r="H386" i="6"/>
  <c r="R385" i="6"/>
  <c r="Q385" i="6"/>
  <c r="H385" i="6"/>
  <c r="R384" i="6"/>
  <c r="Q384" i="6"/>
  <c r="H384" i="6"/>
  <c r="R383" i="6"/>
  <c r="Q383" i="6"/>
  <c r="H383" i="6"/>
  <c r="R382" i="6"/>
  <c r="Q382" i="6"/>
  <c r="H382" i="6"/>
  <c r="R381" i="6"/>
  <c r="Q381" i="6"/>
  <c r="H381" i="6"/>
  <c r="R380" i="6"/>
  <c r="Q380" i="6"/>
  <c r="H380" i="6"/>
  <c r="R379" i="6"/>
  <c r="Q379" i="6"/>
  <c r="H379" i="6"/>
  <c r="R378" i="6"/>
  <c r="Q378" i="6"/>
  <c r="H378" i="6"/>
  <c r="R377" i="6"/>
  <c r="Q377" i="6"/>
  <c r="H377" i="6"/>
  <c r="R376" i="6"/>
  <c r="Q376" i="6"/>
  <c r="H376" i="6"/>
  <c r="R362" i="6"/>
  <c r="Q362" i="6"/>
  <c r="H362" i="6"/>
  <c r="R375" i="6"/>
  <c r="Q375" i="6"/>
  <c r="H375" i="6"/>
  <c r="R364" i="6"/>
  <c r="Q364" i="6"/>
  <c r="H364" i="6"/>
  <c r="R361" i="6"/>
  <c r="Q361" i="6"/>
  <c r="H361" i="6"/>
  <c r="R363" i="6"/>
  <c r="Q363" i="6"/>
  <c r="H363" i="6"/>
  <c r="R360" i="6"/>
  <c r="Q360" i="6"/>
  <c r="H360" i="6"/>
  <c r="R371" i="6"/>
  <c r="Q371" i="6"/>
  <c r="H371" i="6"/>
  <c r="R370" i="6"/>
  <c r="Q370" i="6"/>
  <c r="H370" i="6"/>
  <c r="R369" i="6"/>
  <c r="Q369" i="6"/>
  <c r="H369" i="6"/>
  <c r="R368" i="6"/>
  <c r="Q368" i="6"/>
  <c r="H368" i="6"/>
  <c r="R367" i="6"/>
  <c r="Q367" i="6"/>
  <c r="H367" i="6"/>
  <c r="R366" i="6"/>
  <c r="Q366" i="6"/>
  <c r="H366" i="6"/>
  <c r="R365" i="6"/>
  <c r="Q365" i="6"/>
  <c r="H365" i="6"/>
  <c r="R374" i="6"/>
  <c r="Q374" i="6"/>
  <c r="H374" i="6"/>
  <c r="R373" i="6"/>
  <c r="Q373" i="6"/>
  <c r="H373" i="6"/>
  <c r="R372" i="6"/>
  <c r="Q372" i="6"/>
  <c r="H372" i="6"/>
  <c r="R356" i="6"/>
  <c r="Q356" i="6"/>
  <c r="H356" i="6"/>
  <c r="R359" i="6"/>
  <c r="Q359" i="6"/>
  <c r="H359" i="6"/>
  <c r="R355" i="6"/>
  <c r="Q355" i="6"/>
  <c r="H355" i="6"/>
  <c r="R358" i="6"/>
  <c r="Q358" i="6"/>
  <c r="H358" i="6"/>
  <c r="R354" i="6"/>
  <c r="Q354" i="6"/>
  <c r="H354" i="6"/>
  <c r="R357" i="6"/>
  <c r="Q357" i="6"/>
  <c r="H357" i="6"/>
  <c r="R353" i="6"/>
  <c r="Q353" i="6"/>
  <c r="H353" i="6"/>
  <c r="R346" i="6"/>
  <c r="Q346" i="6"/>
  <c r="H346" i="6"/>
  <c r="R352" i="6"/>
  <c r="Q352" i="6"/>
  <c r="H352" i="6"/>
  <c r="R351" i="6"/>
  <c r="Q351" i="6"/>
  <c r="H351" i="6"/>
  <c r="R345" i="6"/>
  <c r="Q345" i="6"/>
  <c r="H345" i="6"/>
  <c r="R350" i="6"/>
  <c r="Q350" i="6"/>
  <c r="H350" i="6"/>
  <c r="R349" i="6"/>
  <c r="Q349" i="6"/>
  <c r="H349" i="6"/>
  <c r="R344" i="6"/>
  <c r="Q344" i="6"/>
  <c r="H344" i="6"/>
  <c r="R348" i="6"/>
  <c r="Q348" i="6"/>
  <c r="H348" i="6"/>
  <c r="R347" i="6"/>
  <c r="Q347" i="6"/>
  <c r="H347" i="6"/>
  <c r="R343" i="6"/>
  <c r="Q343" i="6"/>
  <c r="H343" i="6"/>
  <c r="R339" i="6"/>
  <c r="Q339" i="6"/>
  <c r="H339" i="6"/>
  <c r="R342" i="6"/>
  <c r="Q342" i="6"/>
  <c r="H342" i="6"/>
  <c r="R341" i="6"/>
  <c r="Q341" i="6"/>
  <c r="H341" i="6"/>
  <c r="R340" i="6"/>
  <c r="Q340" i="6"/>
  <c r="H340" i="6"/>
  <c r="R333" i="6"/>
  <c r="Q333" i="6"/>
  <c r="H333" i="6"/>
  <c r="R332" i="6"/>
  <c r="Q332" i="6"/>
  <c r="H332" i="6"/>
  <c r="R331" i="6"/>
  <c r="Q331" i="6"/>
  <c r="H331" i="6"/>
  <c r="R326" i="6"/>
  <c r="Q326" i="6"/>
  <c r="H326" i="6"/>
  <c r="R329" i="6"/>
  <c r="Q329" i="6"/>
  <c r="H329" i="6"/>
  <c r="R325" i="6"/>
  <c r="Q325" i="6"/>
  <c r="H325" i="6"/>
  <c r="R328" i="6"/>
  <c r="Q328" i="6"/>
  <c r="H328" i="6"/>
  <c r="R327" i="6"/>
  <c r="Q327" i="6"/>
  <c r="H327" i="6"/>
  <c r="R337" i="6"/>
  <c r="Q337" i="6"/>
  <c r="H337" i="6"/>
  <c r="R336" i="6"/>
  <c r="Q336" i="6"/>
  <c r="H336" i="6"/>
  <c r="R335" i="6"/>
  <c r="Q335" i="6"/>
  <c r="H335" i="6"/>
  <c r="R330" i="6"/>
  <c r="Q330" i="6"/>
  <c r="H330" i="6"/>
  <c r="R338" i="6"/>
  <c r="Q338" i="6"/>
  <c r="H338" i="6"/>
  <c r="R334" i="6"/>
  <c r="Q334" i="6"/>
  <c r="H334" i="6"/>
  <c r="R316" i="6"/>
  <c r="Q316" i="6"/>
  <c r="H316" i="6"/>
  <c r="R315" i="6"/>
  <c r="Q315" i="6"/>
  <c r="H315" i="6"/>
  <c r="R308" i="6"/>
  <c r="Q308" i="6"/>
  <c r="H308" i="6"/>
  <c r="R309" i="6"/>
  <c r="Q309" i="6"/>
  <c r="H309" i="6"/>
  <c r="R307" i="6"/>
  <c r="Q307" i="6"/>
  <c r="H307" i="6"/>
  <c r="R306" i="6"/>
  <c r="Q306" i="6"/>
  <c r="H306" i="6"/>
  <c r="R312" i="6"/>
  <c r="Q312" i="6"/>
  <c r="H312" i="6"/>
  <c r="R314" i="6"/>
  <c r="Q314" i="6"/>
  <c r="H314" i="6"/>
  <c r="R311" i="6"/>
  <c r="Q311" i="6"/>
  <c r="H311" i="6"/>
  <c r="R305" i="6"/>
  <c r="Q305" i="6"/>
  <c r="H305" i="6"/>
  <c r="R313" i="6"/>
  <c r="Q313" i="6"/>
  <c r="H313" i="6"/>
  <c r="R319" i="6"/>
  <c r="Q319" i="6"/>
  <c r="H319" i="6"/>
  <c r="R318" i="6"/>
  <c r="Q318" i="6"/>
  <c r="H318" i="6"/>
  <c r="R310" i="6"/>
  <c r="Q310" i="6"/>
  <c r="H310" i="6"/>
  <c r="R320" i="6"/>
  <c r="Q320" i="6"/>
  <c r="H320" i="6"/>
  <c r="R317" i="6"/>
  <c r="Q317" i="6"/>
  <c r="H317" i="6"/>
  <c r="R304" i="6"/>
  <c r="Q304" i="6"/>
  <c r="H304" i="6"/>
  <c r="R300" i="6"/>
  <c r="Q300" i="6"/>
  <c r="H300" i="6"/>
  <c r="R299" i="6"/>
  <c r="Q299" i="6"/>
  <c r="H299" i="6"/>
  <c r="R303" i="6"/>
  <c r="Q303" i="6"/>
  <c r="H303" i="6"/>
  <c r="R298" i="6"/>
  <c r="Q298" i="6"/>
  <c r="H298" i="6"/>
  <c r="R297" i="6"/>
  <c r="Q297" i="6"/>
  <c r="H297" i="6"/>
  <c r="R296" i="6"/>
  <c r="Q296" i="6"/>
  <c r="H296" i="6"/>
  <c r="R295" i="6"/>
  <c r="Q295" i="6"/>
  <c r="H295" i="6"/>
  <c r="R294" i="6"/>
  <c r="Q294" i="6"/>
  <c r="H294" i="6"/>
  <c r="R293" i="6"/>
  <c r="Q293" i="6"/>
  <c r="H293" i="6"/>
  <c r="R302" i="6"/>
  <c r="Q302" i="6"/>
  <c r="H302" i="6"/>
  <c r="R301" i="6"/>
  <c r="Q301" i="6"/>
  <c r="H301" i="6"/>
  <c r="R292" i="6"/>
  <c r="Q292" i="6"/>
  <c r="H292" i="6"/>
  <c r="R291" i="6"/>
  <c r="Q291" i="6"/>
  <c r="H291" i="6"/>
  <c r="R324" i="6"/>
  <c r="Q324" i="6"/>
  <c r="H324" i="6"/>
  <c r="R322" i="6"/>
  <c r="Q322" i="6"/>
  <c r="H322" i="6"/>
  <c r="R323" i="6"/>
  <c r="Q323" i="6"/>
  <c r="H323" i="6"/>
  <c r="R321" i="6"/>
  <c r="Q321" i="6"/>
  <c r="H321" i="6"/>
  <c r="R288" i="6"/>
  <c r="Q288" i="6"/>
  <c r="H288" i="6"/>
  <c r="R287" i="6"/>
  <c r="Q287" i="6"/>
  <c r="H287" i="6"/>
  <c r="R286" i="6"/>
  <c r="Q286" i="6"/>
  <c r="H286" i="6"/>
  <c r="R285" i="6"/>
  <c r="Q285" i="6"/>
  <c r="H285" i="6"/>
  <c r="R284" i="6"/>
  <c r="Q284" i="6"/>
  <c r="H284" i="6"/>
  <c r="R283" i="6"/>
  <c r="Q283" i="6"/>
  <c r="H283" i="6"/>
  <c r="R282" i="6"/>
  <c r="Q282" i="6"/>
  <c r="H282" i="6"/>
  <c r="R275" i="6"/>
  <c r="Q275" i="6"/>
  <c r="H275" i="6"/>
  <c r="R290" i="6"/>
  <c r="Q290" i="6"/>
  <c r="H290" i="6"/>
  <c r="R274" i="6"/>
  <c r="Q274" i="6"/>
  <c r="H274" i="6"/>
  <c r="R289" i="6"/>
  <c r="Q289" i="6"/>
  <c r="H289" i="6"/>
  <c r="R279" i="6"/>
  <c r="Q279" i="6"/>
  <c r="H279" i="6"/>
  <c r="R278" i="6"/>
  <c r="Q278" i="6"/>
  <c r="H278" i="6"/>
  <c r="R277" i="6"/>
  <c r="Q277" i="6"/>
  <c r="H277" i="6"/>
  <c r="R276" i="6"/>
  <c r="Q276" i="6"/>
  <c r="H276" i="6"/>
  <c r="R281" i="6"/>
  <c r="Q281" i="6"/>
  <c r="H281" i="6"/>
  <c r="R280" i="6"/>
  <c r="Q280" i="6"/>
  <c r="H280" i="6"/>
  <c r="R265" i="6"/>
  <c r="Q265" i="6"/>
  <c r="H265" i="6"/>
  <c r="R267" i="6"/>
  <c r="Q267" i="6"/>
  <c r="H267" i="6"/>
  <c r="R264" i="6"/>
  <c r="Q264" i="6"/>
  <c r="H264" i="6"/>
  <c r="R266" i="6"/>
  <c r="Q266" i="6"/>
  <c r="H266" i="6"/>
  <c r="R268" i="6"/>
  <c r="T268" i="6" s="1"/>
  <c r="Q268" i="6"/>
  <c r="S268" i="6" s="1"/>
  <c r="R272" i="6"/>
  <c r="T272" i="6" s="1"/>
  <c r="Q272" i="6"/>
  <c r="S272" i="6" s="1"/>
  <c r="R270" i="6"/>
  <c r="T270" i="6" s="1"/>
  <c r="Q270" i="6"/>
  <c r="S270" i="6" s="1"/>
  <c r="R269" i="6"/>
  <c r="T269" i="6" s="1"/>
  <c r="Q269" i="6"/>
  <c r="S269" i="6" s="1"/>
  <c r="R273" i="6"/>
  <c r="T273" i="6" s="1"/>
  <c r="Q273" i="6"/>
  <c r="S273" i="6" s="1"/>
  <c r="R271" i="6"/>
  <c r="T271" i="6" s="1"/>
  <c r="Q271" i="6"/>
  <c r="S271" i="6" s="1"/>
  <c r="R243" i="6"/>
  <c r="Q243" i="6"/>
  <c r="H243" i="6"/>
  <c r="R242" i="6"/>
  <c r="Q242" i="6"/>
  <c r="H242" i="6"/>
  <c r="R241" i="6"/>
  <c r="Q241" i="6"/>
  <c r="H241" i="6"/>
  <c r="R240" i="6"/>
  <c r="Q240" i="6"/>
  <c r="H240" i="6"/>
  <c r="R239" i="6"/>
  <c r="Q239" i="6"/>
  <c r="H239" i="6"/>
  <c r="R238" i="6"/>
  <c r="Q238" i="6"/>
  <c r="H238" i="6"/>
  <c r="R237" i="6"/>
  <c r="Q237" i="6"/>
  <c r="H237" i="6"/>
  <c r="R255" i="6"/>
  <c r="Q255" i="6"/>
  <c r="H255" i="6"/>
  <c r="R254" i="6"/>
  <c r="Q254" i="6"/>
  <c r="H254" i="6"/>
  <c r="R253" i="6"/>
  <c r="Q253" i="6"/>
  <c r="H253" i="6"/>
  <c r="R252" i="6"/>
  <c r="Q252" i="6"/>
  <c r="H252" i="6"/>
  <c r="R251" i="6"/>
  <c r="Q251" i="6"/>
  <c r="H251" i="6"/>
  <c r="R250" i="6"/>
  <c r="Q250" i="6"/>
  <c r="H250" i="6"/>
  <c r="R249" i="6"/>
  <c r="Q249" i="6"/>
  <c r="H249" i="6"/>
  <c r="R263" i="6"/>
  <c r="Q263" i="6"/>
  <c r="H263" i="6"/>
  <c r="R262" i="6"/>
  <c r="Q262" i="6"/>
  <c r="H262" i="6"/>
  <c r="R261" i="6"/>
  <c r="Q261" i="6"/>
  <c r="H261" i="6"/>
  <c r="R260" i="6"/>
  <c r="Q260" i="6"/>
  <c r="H260" i="6"/>
  <c r="R259" i="6"/>
  <c r="Q259" i="6"/>
  <c r="H259" i="6"/>
  <c r="R258" i="6"/>
  <c r="Q258" i="6"/>
  <c r="H258" i="6"/>
  <c r="R257" i="6"/>
  <c r="Q257" i="6"/>
  <c r="H257" i="6"/>
  <c r="R256" i="6"/>
  <c r="Q256" i="6"/>
  <c r="H256" i="6"/>
  <c r="R244" i="6"/>
  <c r="Q244" i="6"/>
  <c r="H244" i="6"/>
  <c r="R246" i="6"/>
  <c r="Q246" i="6"/>
  <c r="H246" i="6"/>
  <c r="R247" i="6"/>
  <c r="Q247" i="6"/>
  <c r="H247" i="6"/>
  <c r="R245" i="6"/>
  <c r="Q245" i="6"/>
  <c r="H245" i="6"/>
  <c r="R248" i="6"/>
  <c r="Q248" i="6"/>
  <c r="H248" i="6"/>
  <c r="R235" i="6"/>
  <c r="Q235" i="6"/>
  <c r="H235" i="6"/>
  <c r="R236" i="6"/>
  <c r="Q236" i="6"/>
  <c r="H236" i="6"/>
  <c r="R232" i="6"/>
  <c r="Q232" i="6"/>
  <c r="H232" i="6"/>
  <c r="R231" i="6"/>
  <c r="Q231" i="6"/>
  <c r="H231" i="6"/>
  <c r="R234" i="6"/>
  <c r="Q234" i="6"/>
  <c r="H234" i="6"/>
  <c r="R233" i="6"/>
  <c r="Q233" i="6"/>
  <c r="H233" i="6"/>
  <c r="R229" i="6"/>
  <c r="Q229" i="6"/>
  <c r="H229" i="6"/>
  <c r="R228" i="6"/>
  <c r="Q228" i="6"/>
  <c r="H228" i="6"/>
  <c r="R230" i="6"/>
  <c r="Q230" i="6"/>
  <c r="H230" i="6"/>
  <c r="R227" i="6"/>
  <c r="Q227" i="6"/>
  <c r="H227" i="6"/>
  <c r="R226" i="6"/>
  <c r="Q226" i="6"/>
  <c r="H226" i="6"/>
  <c r="R224" i="6"/>
  <c r="Q224" i="6"/>
  <c r="H224" i="6"/>
  <c r="R225" i="6"/>
  <c r="Q225" i="6"/>
  <c r="H225" i="6"/>
  <c r="R219" i="6"/>
  <c r="Q219" i="6"/>
  <c r="H219" i="6"/>
  <c r="R218" i="6"/>
  <c r="Q218" i="6"/>
  <c r="H218" i="6"/>
  <c r="R223" i="6"/>
  <c r="Q223" i="6"/>
  <c r="H223" i="6"/>
  <c r="R220" i="6"/>
  <c r="Q220" i="6"/>
  <c r="H220" i="6"/>
  <c r="R217" i="6"/>
  <c r="Q217" i="6"/>
  <c r="H217" i="6"/>
  <c r="R222" i="6"/>
  <c r="Q222" i="6"/>
  <c r="H222" i="6"/>
  <c r="R221" i="6"/>
  <c r="Q221" i="6"/>
  <c r="H221" i="6"/>
  <c r="R216" i="6"/>
  <c r="Q216" i="6"/>
  <c r="H216" i="6"/>
  <c r="R215" i="6"/>
  <c r="Q215" i="6"/>
  <c r="H215" i="6"/>
  <c r="R214" i="6"/>
  <c r="Q214" i="6"/>
  <c r="H214" i="6"/>
  <c r="R213" i="6"/>
  <c r="Q213" i="6"/>
  <c r="H213" i="6"/>
  <c r="R212" i="6"/>
  <c r="Q212" i="6"/>
  <c r="H212" i="6"/>
  <c r="R211" i="6"/>
  <c r="Q211" i="6"/>
  <c r="H211" i="6"/>
  <c r="R210" i="6"/>
  <c r="Q210" i="6"/>
  <c r="H210" i="6"/>
  <c r="R209" i="6"/>
  <c r="Q209" i="6"/>
  <c r="H209" i="6"/>
  <c r="R208" i="6"/>
  <c r="Q208" i="6"/>
  <c r="H208" i="6"/>
  <c r="R207" i="6"/>
  <c r="Q207" i="6"/>
  <c r="H207" i="6"/>
  <c r="R206" i="6"/>
  <c r="Q206" i="6"/>
  <c r="H206" i="6"/>
  <c r="R205" i="6"/>
  <c r="Q205" i="6"/>
  <c r="H205" i="6"/>
  <c r="R204" i="6"/>
  <c r="Q204" i="6"/>
  <c r="H204" i="6"/>
  <c r="R203" i="6"/>
  <c r="Q203" i="6"/>
  <c r="H203" i="6"/>
  <c r="R202" i="6"/>
  <c r="Q202" i="6"/>
  <c r="H202" i="6"/>
  <c r="R201" i="6"/>
  <c r="Q201" i="6"/>
  <c r="H201" i="6"/>
  <c r="R200" i="6"/>
  <c r="Q200" i="6"/>
  <c r="H200" i="6"/>
  <c r="R199" i="6"/>
  <c r="Q199" i="6"/>
  <c r="H199" i="6"/>
  <c r="R198" i="6"/>
  <c r="Q198" i="6"/>
  <c r="H198" i="6"/>
  <c r="R197" i="6"/>
  <c r="Q197" i="6"/>
  <c r="H197" i="6"/>
  <c r="R194" i="6"/>
  <c r="Q194" i="6"/>
  <c r="H194" i="6"/>
  <c r="R193" i="6"/>
  <c r="Q193" i="6"/>
  <c r="H193" i="6"/>
  <c r="R196" i="6"/>
  <c r="Q196" i="6"/>
  <c r="H196" i="6"/>
  <c r="R192" i="6"/>
  <c r="Q192" i="6"/>
  <c r="H192" i="6"/>
  <c r="R195" i="6"/>
  <c r="Q195" i="6"/>
  <c r="H195" i="6"/>
  <c r="R191" i="6"/>
  <c r="Q191" i="6"/>
  <c r="H191" i="6"/>
  <c r="R188" i="6"/>
  <c r="Q188" i="6"/>
  <c r="H188" i="6"/>
  <c r="R187" i="6"/>
  <c r="Q187" i="6"/>
  <c r="H187" i="6"/>
  <c r="R190" i="6"/>
  <c r="Q190" i="6"/>
  <c r="H190" i="6"/>
  <c r="R186" i="6"/>
  <c r="Q186" i="6"/>
  <c r="H186" i="6"/>
  <c r="R189" i="6"/>
  <c r="Q189" i="6"/>
  <c r="H189" i="6"/>
  <c r="R185" i="6"/>
  <c r="Q185" i="6"/>
  <c r="H185" i="6"/>
  <c r="R176" i="6"/>
  <c r="Q176" i="6"/>
  <c r="H176" i="6"/>
  <c r="R180" i="6"/>
  <c r="Q180" i="6"/>
  <c r="H180" i="6"/>
  <c r="R179" i="6"/>
  <c r="Q179" i="6"/>
  <c r="H179" i="6"/>
  <c r="R183" i="6"/>
  <c r="Q183" i="6"/>
  <c r="H183" i="6"/>
  <c r="R184" i="6"/>
  <c r="Q184" i="6"/>
  <c r="H184" i="6"/>
  <c r="R177" i="6"/>
  <c r="Q177" i="6"/>
  <c r="H177" i="6"/>
  <c r="R181" i="6"/>
  <c r="Q181" i="6"/>
  <c r="H181" i="6"/>
  <c r="R178" i="6"/>
  <c r="Q178" i="6"/>
  <c r="H178" i="6"/>
  <c r="R182" i="6"/>
  <c r="Q182" i="6"/>
  <c r="H182" i="6"/>
  <c r="R173" i="6"/>
  <c r="Q173" i="6"/>
  <c r="H173" i="6"/>
  <c r="R172" i="6"/>
  <c r="Q172" i="6"/>
  <c r="H172" i="6"/>
  <c r="R175" i="6"/>
  <c r="Q175" i="6"/>
  <c r="H175" i="6"/>
  <c r="R171" i="6"/>
  <c r="Q171" i="6"/>
  <c r="H171" i="6"/>
  <c r="R174" i="6"/>
  <c r="Q174" i="6"/>
  <c r="H174" i="6"/>
  <c r="R170" i="6"/>
  <c r="Q170" i="6"/>
  <c r="H170" i="6"/>
  <c r="R155" i="6"/>
  <c r="Q155" i="6"/>
  <c r="H155" i="6"/>
  <c r="R169" i="6"/>
  <c r="Q169" i="6"/>
  <c r="H169" i="6"/>
  <c r="R154" i="6"/>
  <c r="Q154" i="6"/>
  <c r="H154" i="6"/>
  <c r="R168" i="6"/>
  <c r="Q168" i="6"/>
  <c r="H168" i="6"/>
  <c r="R159" i="6"/>
  <c r="Q159" i="6"/>
  <c r="H159" i="6"/>
  <c r="R158" i="6"/>
  <c r="Q158" i="6"/>
  <c r="H158" i="6"/>
  <c r="R157" i="6"/>
  <c r="Q157" i="6"/>
  <c r="H157" i="6"/>
  <c r="R156" i="6"/>
  <c r="Q156" i="6"/>
  <c r="H156" i="6"/>
  <c r="R167" i="6"/>
  <c r="Q167" i="6"/>
  <c r="H167" i="6"/>
  <c r="R166" i="6"/>
  <c r="Q166" i="6"/>
  <c r="H166" i="6"/>
  <c r="R165" i="6"/>
  <c r="Q165" i="6"/>
  <c r="H165" i="6"/>
  <c r="R164" i="6"/>
  <c r="Q164" i="6"/>
  <c r="H164" i="6"/>
  <c r="R163" i="6"/>
  <c r="Q163" i="6"/>
  <c r="H163" i="6"/>
  <c r="R162" i="6"/>
  <c r="Q162" i="6"/>
  <c r="H162" i="6"/>
  <c r="R161" i="6"/>
  <c r="Q161" i="6"/>
  <c r="H161" i="6"/>
  <c r="R160" i="6"/>
  <c r="Q160" i="6"/>
  <c r="H160" i="6"/>
  <c r="R146" i="6"/>
  <c r="Q146" i="6"/>
  <c r="H146" i="6"/>
  <c r="R142" i="6"/>
  <c r="Q142" i="6"/>
  <c r="H142" i="6"/>
  <c r="R145" i="6"/>
  <c r="Q145" i="6"/>
  <c r="H145" i="6"/>
  <c r="R141" i="6"/>
  <c r="Q141" i="6"/>
  <c r="H141" i="6"/>
  <c r="R140" i="6"/>
  <c r="Q140" i="6"/>
  <c r="H140" i="6"/>
  <c r="R139" i="6"/>
  <c r="Q139" i="6"/>
  <c r="H139" i="6"/>
  <c r="R138" i="6"/>
  <c r="Q138" i="6"/>
  <c r="H138" i="6"/>
  <c r="R144" i="6"/>
  <c r="Q144" i="6"/>
  <c r="H144" i="6"/>
  <c r="R149" i="6"/>
  <c r="Q149" i="6"/>
  <c r="H149" i="6"/>
  <c r="R143" i="6"/>
  <c r="Q143" i="6"/>
  <c r="H143" i="6"/>
  <c r="R148" i="6"/>
  <c r="Q148" i="6"/>
  <c r="H148" i="6"/>
  <c r="R153" i="6"/>
  <c r="Q153" i="6"/>
  <c r="H153" i="6"/>
  <c r="R152" i="6"/>
  <c r="Q152" i="6"/>
  <c r="H152" i="6"/>
  <c r="R151" i="6"/>
  <c r="Q151" i="6"/>
  <c r="H151" i="6"/>
  <c r="R147" i="6"/>
  <c r="Q147" i="6"/>
  <c r="H147" i="6"/>
  <c r="R150" i="6"/>
  <c r="Q150" i="6"/>
  <c r="H150" i="6"/>
  <c r="R130" i="6"/>
  <c r="Q130" i="6"/>
  <c r="H130" i="6"/>
  <c r="R129" i="6"/>
  <c r="Q129" i="6"/>
  <c r="H129" i="6"/>
  <c r="R131" i="6"/>
  <c r="Q131" i="6"/>
  <c r="H131" i="6"/>
  <c r="R122" i="6"/>
  <c r="Q122" i="6"/>
  <c r="H122" i="6"/>
  <c r="R128" i="6"/>
  <c r="Q128" i="6"/>
  <c r="H128" i="6"/>
  <c r="R126" i="6"/>
  <c r="Q126" i="6"/>
  <c r="H126" i="6"/>
  <c r="R121" i="6"/>
  <c r="Q121" i="6"/>
  <c r="H121" i="6"/>
  <c r="R120" i="6"/>
  <c r="Q120" i="6"/>
  <c r="H120" i="6"/>
  <c r="R127" i="6"/>
  <c r="Q127" i="6"/>
  <c r="H127" i="6"/>
  <c r="R125" i="6"/>
  <c r="Q125" i="6"/>
  <c r="H125" i="6"/>
  <c r="R124" i="6"/>
  <c r="Q124" i="6"/>
  <c r="H124" i="6"/>
  <c r="R123" i="6"/>
  <c r="Q123" i="6"/>
  <c r="H123" i="6"/>
  <c r="R135" i="6"/>
  <c r="Q135" i="6"/>
  <c r="H135" i="6"/>
  <c r="R134" i="6"/>
  <c r="Q134" i="6"/>
  <c r="H134" i="6"/>
  <c r="R137" i="6"/>
  <c r="Q137" i="6"/>
  <c r="H137" i="6"/>
  <c r="R133" i="6"/>
  <c r="Q133" i="6"/>
  <c r="H133" i="6"/>
  <c r="R136" i="6"/>
  <c r="Q136" i="6"/>
  <c r="H136" i="6"/>
  <c r="R132" i="6"/>
  <c r="Q132" i="6"/>
  <c r="H132" i="6"/>
  <c r="R119" i="6"/>
  <c r="Q119" i="6"/>
  <c r="H119" i="6"/>
  <c r="R118" i="6"/>
  <c r="Q118" i="6"/>
  <c r="H118" i="6"/>
  <c r="R114" i="6"/>
  <c r="Q114" i="6"/>
  <c r="H114" i="6"/>
  <c r="R117" i="6"/>
  <c r="Q117" i="6"/>
  <c r="H117" i="6"/>
  <c r="R113" i="6"/>
  <c r="Q113" i="6"/>
  <c r="H113" i="6"/>
  <c r="R116" i="6"/>
  <c r="Q116" i="6"/>
  <c r="H116" i="6"/>
  <c r="R112" i="6"/>
  <c r="Q112" i="6"/>
  <c r="H112" i="6"/>
  <c r="R115" i="6"/>
  <c r="Q115" i="6"/>
  <c r="H115" i="6"/>
  <c r="R111" i="6"/>
  <c r="Q111" i="6"/>
  <c r="H111" i="6"/>
  <c r="R110" i="6"/>
  <c r="Q110" i="6"/>
  <c r="H110" i="6"/>
  <c r="R109" i="6"/>
  <c r="Q109" i="6"/>
  <c r="H109" i="6"/>
  <c r="R108" i="6"/>
  <c r="Q108" i="6"/>
  <c r="H108" i="6"/>
  <c r="R101" i="6"/>
  <c r="Q101" i="6"/>
  <c r="H101" i="6"/>
  <c r="R107" i="6"/>
  <c r="Q107" i="6"/>
  <c r="H107" i="6"/>
  <c r="R106" i="6"/>
  <c r="Q106" i="6"/>
  <c r="H106" i="6"/>
  <c r="R104" i="6"/>
  <c r="Q104" i="6"/>
  <c r="H104" i="6"/>
  <c r="R103" i="6"/>
  <c r="Q103" i="6"/>
  <c r="H103" i="6"/>
  <c r="R100" i="6"/>
  <c r="Q100" i="6"/>
  <c r="H100" i="6"/>
  <c r="R102" i="6"/>
  <c r="Q102" i="6"/>
  <c r="H102" i="6"/>
  <c r="R105" i="6"/>
  <c r="H105" i="6"/>
  <c r="R97" i="6"/>
  <c r="Q97" i="6"/>
  <c r="H97" i="6"/>
  <c r="R95" i="6"/>
  <c r="Q95" i="6"/>
  <c r="H95" i="6"/>
  <c r="R94" i="6"/>
  <c r="Q94" i="6"/>
  <c r="H94" i="6"/>
  <c r="R96" i="6"/>
  <c r="Q96" i="6"/>
  <c r="H96" i="6"/>
  <c r="R99" i="6"/>
  <c r="Q99" i="6"/>
  <c r="H99" i="6"/>
  <c r="R98" i="6"/>
  <c r="Q98" i="6"/>
  <c r="H98" i="6"/>
  <c r="R869" i="6"/>
  <c r="Q869" i="6"/>
  <c r="H869" i="6"/>
  <c r="R92" i="6"/>
  <c r="Q92" i="6"/>
  <c r="H92" i="6"/>
  <c r="R93" i="6"/>
  <c r="Q93" i="6"/>
  <c r="H93" i="6"/>
  <c r="R91" i="6"/>
  <c r="Q91" i="6"/>
  <c r="H91" i="6"/>
  <c r="R86" i="6"/>
  <c r="Q86" i="6"/>
  <c r="R85" i="6"/>
  <c r="Q85" i="6"/>
  <c r="R90" i="6"/>
  <c r="Q90" i="6"/>
  <c r="H90" i="6"/>
  <c r="R89" i="6"/>
  <c r="Q89" i="6"/>
  <c r="H89" i="6"/>
  <c r="R88" i="6"/>
  <c r="Q88" i="6"/>
  <c r="H88" i="6"/>
  <c r="R87" i="6"/>
  <c r="Q87" i="6"/>
  <c r="H87" i="6"/>
  <c r="R84" i="6"/>
  <c r="Q84" i="6"/>
  <c r="H84" i="6"/>
  <c r="R83" i="6"/>
  <c r="Q83" i="6"/>
  <c r="H83" i="6"/>
  <c r="R82" i="6"/>
  <c r="Q82" i="6"/>
  <c r="H82" i="6"/>
  <c r="R81" i="6"/>
  <c r="T81" i="6" s="1"/>
  <c r="Q81" i="6"/>
  <c r="S81" i="6" s="1"/>
  <c r="R74" i="6"/>
  <c r="Q74" i="6"/>
  <c r="H74" i="6"/>
  <c r="R69" i="6"/>
  <c r="Q69" i="6"/>
  <c r="H69" i="6"/>
  <c r="R73" i="6"/>
  <c r="Q73" i="6"/>
  <c r="H73" i="6"/>
  <c r="R68" i="6"/>
  <c r="Q68" i="6"/>
  <c r="H68" i="6"/>
  <c r="R72" i="6"/>
  <c r="Q72" i="6"/>
  <c r="H72" i="6"/>
  <c r="R67" i="6"/>
  <c r="Q67" i="6"/>
  <c r="H67" i="6"/>
  <c r="R71" i="6"/>
  <c r="T71" i="6" s="1"/>
  <c r="Q71" i="6"/>
  <c r="S71" i="6" s="1"/>
  <c r="R66" i="6"/>
  <c r="T66" i="6" s="1"/>
  <c r="Q66" i="6"/>
  <c r="S66" i="6" s="1"/>
  <c r="R70" i="6"/>
  <c r="T70" i="6" s="1"/>
  <c r="Q70" i="6"/>
  <c r="S70" i="6" s="1"/>
  <c r="R65" i="6"/>
  <c r="T65" i="6" s="1"/>
  <c r="Q65" i="6"/>
  <c r="S65" i="6" s="1"/>
  <c r="R6" i="6"/>
  <c r="Q6" i="6"/>
  <c r="H6" i="6"/>
  <c r="R9" i="6"/>
  <c r="Q9" i="6"/>
  <c r="H9" i="6"/>
  <c r="R11" i="6"/>
  <c r="Q11" i="6"/>
  <c r="H11" i="6"/>
  <c r="X10" i="6"/>
  <c r="R10" i="6"/>
  <c r="Q10" i="6"/>
  <c r="H10" i="6"/>
  <c r="R5" i="6"/>
  <c r="Q5" i="6"/>
  <c r="H5" i="6"/>
  <c r="X4" i="6"/>
  <c r="R4" i="6"/>
  <c r="Q4" i="6"/>
  <c r="H4" i="6"/>
  <c r="R8" i="6"/>
  <c r="Q8" i="6"/>
  <c r="H8" i="6"/>
  <c r="X7" i="6"/>
  <c r="R7" i="6"/>
  <c r="Q7" i="6"/>
  <c r="H7" i="6"/>
  <c r="R33" i="6"/>
  <c r="T33" i="6" s="1"/>
  <c r="Q33" i="6"/>
  <c r="S33" i="6" s="1"/>
  <c r="R32" i="6"/>
  <c r="T32" i="6" s="1"/>
  <c r="Q32" i="6"/>
  <c r="S32" i="6" s="1"/>
  <c r="R31" i="6"/>
  <c r="T31" i="6" s="1"/>
  <c r="Q31" i="6"/>
  <c r="S31" i="6" s="1"/>
  <c r="R30" i="6"/>
  <c r="T30" i="6" s="1"/>
  <c r="Q30" i="6"/>
  <c r="S30" i="6" s="1"/>
  <c r="R29" i="6"/>
  <c r="T29" i="6" s="1"/>
  <c r="Q29" i="6"/>
  <c r="S29" i="6" s="1"/>
  <c r="R28" i="6"/>
  <c r="T28" i="6" s="1"/>
  <c r="Q28" i="6"/>
  <c r="S28" i="6" s="1"/>
  <c r="R27" i="6"/>
  <c r="T27" i="6" s="1"/>
  <c r="Q27" i="6"/>
  <c r="S27" i="6" s="1"/>
  <c r="R26" i="6"/>
  <c r="T26" i="6" s="1"/>
  <c r="Q26" i="6"/>
  <c r="S26" i="6" s="1"/>
  <c r="R25" i="6"/>
  <c r="T25" i="6" s="1"/>
  <c r="Q25" i="6"/>
  <c r="S25" i="6" s="1"/>
  <c r="R24" i="6"/>
  <c r="T24" i="6" s="1"/>
  <c r="Q24" i="6"/>
  <c r="S24" i="6" s="1"/>
  <c r="R23" i="6"/>
  <c r="T23" i="6" s="1"/>
  <c r="Q23" i="6"/>
  <c r="S23" i="6" s="1"/>
  <c r="R22" i="6"/>
  <c r="T22" i="6" s="1"/>
  <c r="Q22" i="6"/>
  <c r="S22" i="6" s="1"/>
  <c r="R21" i="6"/>
  <c r="T21" i="6" s="1"/>
  <c r="Q21" i="6"/>
  <c r="S21" i="6" s="1"/>
  <c r="R20" i="6"/>
  <c r="T20" i="6" s="1"/>
  <c r="Q20" i="6"/>
  <c r="S20" i="6" s="1"/>
  <c r="R19" i="6"/>
  <c r="T19" i="6" s="1"/>
  <c r="Q19" i="6"/>
  <c r="S19" i="6" s="1"/>
  <c r="R18" i="6"/>
  <c r="T18" i="6" s="1"/>
  <c r="Q18" i="6"/>
  <c r="S18" i="6" s="1"/>
  <c r="R14" i="6"/>
  <c r="Q14" i="6"/>
  <c r="H14" i="6"/>
  <c r="R17" i="6"/>
  <c r="Q17" i="6"/>
  <c r="H17" i="6"/>
  <c r="R13" i="6"/>
  <c r="Q13" i="6"/>
  <c r="H13" i="6"/>
  <c r="R16" i="6"/>
  <c r="Q16" i="6"/>
  <c r="H16" i="6"/>
  <c r="R12" i="6"/>
  <c r="Q12" i="6"/>
  <c r="H12" i="6"/>
  <c r="R15" i="6"/>
  <c r="Q15" i="6"/>
  <c r="H15" i="6"/>
  <c r="R35" i="6"/>
  <c r="Q35" i="6"/>
  <c r="H35" i="6"/>
  <c r="R34" i="6"/>
  <c r="Q34" i="6"/>
  <c r="H34" i="6"/>
  <c r="R41" i="6"/>
  <c r="Q41" i="6"/>
  <c r="H41" i="6"/>
  <c r="R40" i="6"/>
  <c r="Q40" i="6"/>
  <c r="H40" i="6"/>
  <c r="R43" i="6"/>
  <c r="T43" i="6" s="1"/>
  <c r="Q43" i="6"/>
  <c r="S43" i="6" s="1"/>
  <c r="R42" i="6"/>
  <c r="T42" i="6" s="1"/>
  <c r="Q42" i="6"/>
  <c r="S42" i="6" s="1"/>
  <c r="R39" i="6"/>
  <c r="Q39" i="6"/>
  <c r="H39" i="6"/>
  <c r="R38" i="6"/>
  <c r="Q38" i="6"/>
  <c r="H38" i="6"/>
  <c r="R37" i="6"/>
  <c r="Q37" i="6"/>
  <c r="H37" i="6"/>
  <c r="R36" i="6"/>
  <c r="Q36" i="6"/>
  <c r="H36" i="6"/>
  <c r="R45" i="6"/>
  <c r="Q45" i="6"/>
  <c r="H45" i="6"/>
  <c r="R44" i="6"/>
  <c r="Q44" i="6"/>
  <c r="H44" i="6"/>
  <c r="R51" i="6"/>
  <c r="Q51" i="6"/>
  <c r="H51" i="6"/>
  <c r="R50" i="6"/>
  <c r="Q50" i="6"/>
  <c r="H50" i="6"/>
  <c r="R49" i="6"/>
  <c r="Q49" i="6"/>
  <c r="H49" i="6"/>
  <c r="R48" i="6"/>
  <c r="Q48" i="6"/>
  <c r="H48" i="6"/>
  <c r="R47" i="6"/>
  <c r="Q47" i="6"/>
  <c r="H47" i="6"/>
  <c r="R46" i="6"/>
  <c r="Q46" i="6"/>
  <c r="R52" i="6"/>
  <c r="Q52" i="6"/>
  <c r="H52" i="6"/>
  <c r="R64" i="6"/>
  <c r="Q64" i="6"/>
  <c r="H64" i="6"/>
  <c r="R63" i="6"/>
  <c r="T63" i="6" s="1"/>
  <c r="Q63" i="6"/>
  <c r="S63" i="6" s="1"/>
  <c r="R62" i="6"/>
  <c r="Q62" i="6"/>
  <c r="H62" i="6"/>
  <c r="R61" i="6"/>
  <c r="T61" i="6" s="1"/>
  <c r="Q61" i="6"/>
  <c r="S61" i="6" s="1"/>
  <c r="R60" i="6"/>
  <c r="Q60" i="6"/>
  <c r="H60" i="6"/>
  <c r="R59" i="6"/>
  <c r="T59" i="6" s="1"/>
  <c r="Q59" i="6"/>
  <c r="S59" i="6" s="1"/>
  <c r="R58" i="6"/>
  <c r="Q58" i="6"/>
  <c r="H58" i="6"/>
  <c r="R57" i="6"/>
  <c r="T57" i="6" s="1"/>
  <c r="Q57" i="6"/>
  <c r="S57" i="6" s="1"/>
  <c r="R56" i="6"/>
  <c r="Q56" i="6"/>
  <c r="H56" i="6"/>
  <c r="R55" i="6"/>
  <c r="T55" i="6" s="1"/>
  <c r="Q55" i="6"/>
  <c r="S55" i="6" s="1"/>
  <c r="R54" i="6"/>
  <c r="Q54" i="6"/>
  <c r="H54" i="6"/>
  <c r="R53" i="6"/>
  <c r="T53" i="6" s="1"/>
  <c r="Q53" i="6"/>
  <c r="S53" i="6" s="1"/>
  <c r="R80" i="6"/>
  <c r="Q80" i="6"/>
  <c r="H80" i="6"/>
  <c r="R79" i="6"/>
  <c r="Q79" i="6"/>
  <c r="H79" i="6"/>
  <c r="R78" i="6"/>
  <c r="Q78" i="6"/>
  <c r="H78" i="6"/>
  <c r="R77" i="6"/>
  <c r="Q77" i="6"/>
  <c r="H77" i="6"/>
  <c r="R76" i="6"/>
  <c r="Q76" i="6"/>
  <c r="H76" i="6"/>
  <c r="R75" i="6"/>
  <c r="Q75" i="6"/>
  <c r="H75" i="6"/>
  <c r="S674" i="6" l="1"/>
  <c r="S657" i="6"/>
  <c r="S658" i="6"/>
  <c r="S644" i="6"/>
  <c r="S653" i="6"/>
  <c r="T674" i="6"/>
  <c r="T676" i="6"/>
  <c r="T658" i="6"/>
  <c r="S659" i="6"/>
  <c r="T672" i="6"/>
  <c r="T668" i="6"/>
  <c r="S672" i="6"/>
  <c r="T666" i="6"/>
  <c r="T68" i="6"/>
  <c r="S652" i="6"/>
  <c r="S643" i="6"/>
  <c r="T647" i="6"/>
  <c r="T656" i="6"/>
  <c r="S647" i="6"/>
  <c r="S656" i="6"/>
  <c r="T664" i="6"/>
  <c r="T670" i="6"/>
  <c r="S700" i="6"/>
  <c r="S715" i="6"/>
  <c r="T715" i="6"/>
  <c r="T648" i="6"/>
  <c r="T651" i="6"/>
  <c r="S648" i="6"/>
  <c r="S685" i="6"/>
  <c r="S649" i="6"/>
  <c r="S641" i="6"/>
  <c r="T642" i="6"/>
  <c r="T650" i="6"/>
  <c r="T662" i="6"/>
  <c r="T654" i="6"/>
  <c r="T645" i="6"/>
  <c r="S670" i="6"/>
  <c r="S654" i="6"/>
  <c r="T646" i="6"/>
  <c r="T60" i="6"/>
  <c r="T92" i="6"/>
  <c r="T98" i="6"/>
  <c r="T96" i="6"/>
  <c r="T95" i="6"/>
  <c r="T108" i="6"/>
  <c r="T110" i="6"/>
  <c r="T115" i="6"/>
  <c r="T116" i="6"/>
  <c r="T134" i="6"/>
  <c r="T123" i="6"/>
  <c r="T125" i="6"/>
  <c r="T120" i="6"/>
  <c r="T153" i="6"/>
  <c r="T139" i="6"/>
  <c r="T160" i="6"/>
  <c r="T162" i="6"/>
  <c r="T156" i="6"/>
  <c r="T158" i="6"/>
  <c r="T170" i="6"/>
  <c r="T171" i="6"/>
  <c r="T181" i="6"/>
  <c r="T184" i="6"/>
  <c r="T189" i="6"/>
  <c r="T190" i="6"/>
  <c r="T195" i="6"/>
  <c r="T194" i="6"/>
  <c r="T200" i="6"/>
  <c r="T204" i="6"/>
  <c r="T208" i="6"/>
  <c r="T212" i="6"/>
  <c r="T216" i="6"/>
  <c r="T220" i="6"/>
  <c r="T225" i="6"/>
  <c r="T230" i="6"/>
  <c r="T234" i="6"/>
  <c r="T235" i="6"/>
  <c r="T246" i="6"/>
  <c r="T258" i="6"/>
  <c r="T262" i="6"/>
  <c r="T251" i="6"/>
  <c r="T255" i="6"/>
  <c r="T240" i="6"/>
  <c r="S662" i="6"/>
  <c r="T669" i="6"/>
  <c r="S675" i="6"/>
  <c r="S664" i="6"/>
  <c r="S668" i="6"/>
  <c r="T663" i="6"/>
  <c r="T667" i="6"/>
  <c r="T590" i="6"/>
  <c r="T594" i="6"/>
  <c r="T598" i="6"/>
  <c r="T585" i="6"/>
  <c r="T865" i="6"/>
  <c r="T619" i="6"/>
  <c r="T601" i="6"/>
  <c r="T607" i="6"/>
  <c r="T613" i="6"/>
  <c r="T605" i="6"/>
  <c r="T626" i="6"/>
  <c r="T624" i="6"/>
  <c r="T633" i="6"/>
  <c r="T637" i="6"/>
  <c r="T700" i="6"/>
  <c r="S667" i="6"/>
  <c r="S645" i="6"/>
  <c r="S650" i="6"/>
  <c r="S642" i="6"/>
  <c r="T641" i="6"/>
  <c r="T649" i="6"/>
  <c r="S651" i="6"/>
  <c r="T652" i="6"/>
  <c r="T643" i="6"/>
  <c r="T657" i="6"/>
  <c r="T56" i="6"/>
  <c r="S660" i="6"/>
  <c r="T644" i="6"/>
  <c r="S673" i="6"/>
  <c r="S76" i="6"/>
  <c r="S80" i="6"/>
  <c r="T675" i="6"/>
  <c r="T84" i="6"/>
  <c r="T88" i="6"/>
  <c r="T90" i="6"/>
  <c r="T265" i="6"/>
  <c r="T277" i="6"/>
  <c r="T274" i="6"/>
  <c r="T283" i="6"/>
  <c r="T287" i="6"/>
  <c r="T322" i="6"/>
  <c r="T301" i="6"/>
  <c r="T295" i="6"/>
  <c r="T303" i="6"/>
  <c r="T310" i="6"/>
  <c r="T305" i="6"/>
  <c r="T306" i="6"/>
  <c r="T315" i="6"/>
  <c r="T348" i="6"/>
  <c r="T349" i="6"/>
  <c r="T356" i="6"/>
  <c r="T365" i="6"/>
  <c r="T369" i="6"/>
  <c r="T363" i="6"/>
  <c r="T362" i="6"/>
  <c r="T379" i="6"/>
  <c r="T383" i="6"/>
  <c r="T387" i="6"/>
  <c r="T390" i="6"/>
  <c r="T392" i="6"/>
  <c r="T398" i="6"/>
  <c r="T401" i="6"/>
  <c r="T404" i="6"/>
  <c r="T407" i="6"/>
  <c r="T415" i="6"/>
  <c r="T419" i="6"/>
  <c r="T423" i="6"/>
  <c r="T427" i="6"/>
  <c r="T431" i="6"/>
  <c r="T441" i="6"/>
  <c r="T439" i="6"/>
  <c r="T437" i="6"/>
  <c r="T444" i="6"/>
  <c r="T450" i="6"/>
  <c r="T454" i="6"/>
  <c r="T458" i="6"/>
  <c r="T460" i="6"/>
  <c r="T468" i="6"/>
  <c r="T476" i="6"/>
  <c r="T464" i="6"/>
  <c r="T472" i="6"/>
  <c r="T484" i="6"/>
  <c r="T486" i="6"/>
  <c r="T490" i="6"/>
  <c r="T494" i="6"/>
  <c r="T498" i="6"/>
  <c r="T502" i="6"/>
  <c r="T506" i="6"/>
  <c r="T533" i="6"/>
  <c r="T537" i="6"/>
  <c r="T527" i="6"/>
  <c r="T538" i="6"/>
  <c r="T542" i="6"/>
  <c r="T512" i="6"/>
  <c r="T515" i="6"/>
  <c r="T518" i="6"/>
  <c r="T509" i="6"/>
  <c r="T546" i="6"/>
  <c r="T550" i="6"/>
  <c r="T569" i="6"/>
  <c r="T575" i="6"/>
  <c r="T581" i="6"/>
  <c r="T573" i="6"/>
  <c r="T554" i="6"/>
  <c r="T560" i="6"/>
  <c r="T566" i="6"/>
  <c r="T558" i="6"/>
  <c r="T653" i="6"/>
  <c r="T685" i="6"/>
  <c r="T673" i="6"/>
  <c r="T639" i="6"/>
  <c r="S75" i="6"/>
  <c r="T75" i="6"/>
  <c r="T76" i="6"/>
  <c r="S77" i="6"/>
  <c r="T77" i="6"/>
  <c r="S78" i="6"/>
  <c r="T78" i="6"/>
  <c r="S79" i="6"/>
  <c r="T79" i="6"/>
  <c r="T80" i="6"/>
  <c r="S54" i="6"/>
  <c r="T54" i="6"/>
  <c r="S56" i="6"/>
  <c r="S58" i="6"/>
  <c r="T58" i="6"/>
  <c r="S60" i="6"/>
  <c r="S62" i="6"/>
  <c r="T62" i="6"/>
  <c r="S64" i="6"/>
  <c r="T64" i="6"/>
  <c r="S52" i="6"/>
  <c r="T52" i="6"/>
  <c r="S46" i="6"/>
  <c r="T46" i="6"/>
  <c r="S47" i="6"/>
  <c r="T47" i="6"/>
  <c r="S48" i="6"/>
  <c r="T48" i="6"/>
  <c r="S49" i="6"/>
  <c r="T49" i="6"/>
  <c r="S50" i="6"/>
  <c r="T50" i="6"/>
  <c r="S51" i="6"/>
  <c r="T51" i="6"/>
  <c r="S44" i="6"/>
  <c r="T44" i="6"/>
  <c r="S45" i="6"/>
  <c r="T45" i="6"/>
  <c r="S34" i="6"/>
  <c r="T34" i="6"/>
  <c r="S35" i="6"/>
  <c r="T35" i="6"/>
  <c r="S15" i="6"/>
  <c r="T15" i="6"/>
  <c r="S12" i="6"/>
  <c r="T12" i="6"/>
  <c r="S16" i="6"/>
  <c r="T16" i="6"/>
  <c r="S13" i="6"/>
  <c r="T13" i="6"/>
  <c r="S17" i="6"/>
  <c r="T17" i="6"/>
  <c r="S14" i="6"/>
  <c r="T14" i="6"/>
  <c r="S7" i="6"/>
  <c r="T7" i="6"/>
  <c r="S8" i="6"/>
  <c r="T8" i="6"/>
  <c r="S4" i="6"/>
  <c r="T4" i="6"/>
  <c r="S5" i="6"/>
  <c r="T5" i="6"/>
  <c r="S10" i="6"/>
  <c r="T10" i="6"/>
  <c r="S11" i="6"/>
  <c r="T11" i="6"/>
  <c r="S9" i="6"/>
  <c r="T9" i="6"/>
  <c r="S6" i="6"/>
  <c r="T6" i="6"/>
  <c r="S67" i="6"/>
  <c r="T67" i="6"/>
  <c r="S72" i="6"/>
  <c r="T72" i="6"/>
  <c r="S68" i="6"/>
  <c r="S73" i="6"/>
  <c r="T73" i="6"/>
  <c r="S69" i="6"/>
  <c r="T69" i="6"/>
  <c r="S74" i="6"/>
  <c r="T74" i="6"/>
  <c r="S82" i="6"/>
  <c r="T82" i="6"/>
  <c r="S83" i="6"/>
  <c r="S84" i="6"/>
  <c r="S87" i="6"/>
  <c r="T87" i="6"/>
  <c r="S88" i="6"/>
  <c r="S89" i="6"/>
  <c r="T89" i="6"/>
  <c r="S90" i="6"/>
  <c r="S91" i="6"/>
  <c r="T91" i="6"/>
  <c r="S93" i="6"/>
  <c r="T93" i="6"/>
  <c r="S92" i="6"/>
  <c r="S869" i="6"/>
  <c r="T869" i="6"/>
  <c r="S98" i="6"/>
  <c r="S99" i="6"/>
  <c r="T99" i="6"/>
  <c r="S96" i="6"/>
  <c r="S94" i="6"/>
  <c r="T94" i="6"/>
  <c r="S95" i="6"/>
  <c r="S97" i="6"/>
  <c r="T97" i="6"/>
  <c r="S105" i="6"/>
  <c r="T105" i="6"/>
  <c r="S102" i="6"/>
  <c r="T102" i="6"/>
  <c r="S100" i="6"/>
  <c r="T100" i="6"/>
  <c r="S103" i="6"/>
  <c r="T103" i="6"/>
  <c r="S104" i="6"/>
  <c r="T104" i="6"/>
  <c r="S106" i="6"/>
  <c r="T106" i="6"/>
  <c r="S107" i="6"/>
  <c r="T107" i="6"/>
  <c r="S101" i="6"/>
  <c r="T101" i="6"/>
  <c r="S108" i="6"/>
  <c r="S109" i="6"/>
  <c r="T109" i="6"/>
  <c r="S110" i="6"/>
  <c r="S111" i="6"/>
  <c r="T111" i="6"/>
  <c r="S115" i="6"/>
  <c r="S112" i="6"/>
  <c r="T112" i="6"/>
  <c r="S116" i="6"/>
  <c r="S113" i="6"/>
  <c r="T113" i="6"/>
  <c r="S117" i="6"/>
  <c r="T117" i="6"/>
  <c r="S114" i="6"/>
  <c r="T114" i="6"/>
  <c r="S118" i="6"/>
  <c r="T118" i="6"/>
  <c r="S119" i="6"/>
  <c r="T119" i="6"/>
  <c r="S132" i="6"/>
  <c r="T132" i="6"/>
  <c r="S136" i="6"/>
  <c r="T136" i="6"/>
  <c r="S133" i="6"/>
  <c r="T133" i="6"/>
  <c r="S137" i="6"/>
  <c r="T137" i="6"/>
  <c r="S134" i="6"/>
  <c r="S135" i="6"/>
  <c r="T135" i="6"/>
  <c r="S123" i="6"/>
  <c r="S124" i="6"/>
  <c r="T124" i="6"/>
  <c r="S125" i="6"/>
  <c r="S127" i="6"/>
  <c r="T127" i="6"/>
  <c r="S120" i="6"/>
  <c r="S121" i="6"/>
  <c r="T121" i="6"/>
  <c r="S126" i="6"/>
  <c r="T126" i="6"/>
  <c r="S128" i="6"/>
  <c r="T128" i="6"/>
  <c r="S122" i="6"/>
  <c r="T122" i="6"/>
  <c r="S131" i="6"/>
  <c r="T131" i="6"/>
  <c r="S129" i="6"/>
  <c r="T129" i="6"/>
  <c r="S130" i="6"/>
  <c r="T130" i="6"/>
  <c r="S150" i="6"/>
  <c r="T150" i="6"/>
  <c r="S147" i="6"/>
  <c r="T147" i="6"/>
  <c r="S151" i="6"/>
  <c r="T151" i="6"/>
  <c r="S152" i="6"/>
  <c r="T152" i="6"/>
  <c r="S153" i="6"/>
  <c r="S148" i="6"/>
  <c r="T148" i="6"/>
  <c r="S143" i="6"/>
  <c r="T143" i="6"/>
  <c r="S149" i="6"/>
  <c r="T149" i="6"/>
  <c r="S144" i="6"/>
  <c r="T144" i="6"/>
  <c r="S138" i="6"/>
  <c r="T138" i="6"/>
  <c r="S140" i="6"/>
  <c r="T140" i="6"/>
  <c r="T141" i="6"/>
  <c r="S145" i="6"/>
  <c r="T145" i="6"/>
  <c r="S142" i="6"/>
  <c r="T142" i="6"/>
  <c r="S146" i="6"/>
  <c r="T146" i="6"/>
  <c r="S160" i="6"/>
  <c r="S161" i="6"/>
  <c r="T161" i="6"/>
  <c r="S163" i="6"/>
  <c r="T163" i="6"/>
  <c r="T164" i="6"/>
  <c r="S165" i="6"/>
  <c r="T165" i="6"/>
  <c r="S166" i="6"/>
  <c r="T166" i="6"/>
  <c r="S167" i="6"/>
  <c r="T167" i="6"/>
  <c r="S156" i="6"/>
  <c r="S157" i="6"/>
  <c r="T157" i="6"/>
  <c r="S159" i="6"/>
  <c r="T159" i="6"/>
  <c r="T168" i="6"/>
  <c r="S154" i="6"/>
  <c r="T154" i="6"/>
  <c r="S169" i="6"/>
  <c r="T169" i="6"/>
  <c r="S155" i="6"/>
  <c r="T155" i="6"/>
  <c r="S170" i="6"/>
  <c r="S174" i="6"/>
  <c r="T174" i="6"/>
  <c r="S175" i="6"/>
  <c r="T175" i="6"/>
  <c r="T172" i="6"/>
  <c r="S173" i="6"/>
  <c r="T173" i="6"/>
  <c r="S182" i="6"/>
  <c r="T182" i="6"/>
  <c r="S178" i="6"/>
  <c r="T178" i="6"/>
  <c r="S181" i="6"/>
  <c r="S177" i="6"/>
  <c r="T177" i="6"/>
  <c r="S183" i="6"/>
  <c r="T183" i="6"/>
  <c r="T179" i="6"/>
  <c r="S180" i="6"/>
  <c r="T180" i="6"/>
  <c r="S176" i="6"/>
  <c r="T176" i="6"/>
  <c r="S185" i="6"/>
  <c r="T185" i="6"/>
  <c r="S189" i="6"/>
  <c r="S186" i="6"/>
  <c r="T186" i="6"/>
  <c r="S187" i="6"/>
  <c r="T187" i="6"/>
  <c r="S188" i="6"/>
  <c r="T188" i="6"/>
  <c r="S191" i="6"/>
  <c r="T191" i="6"/>
  <c r="S192" i="6"/>
  <c r="T192" i="6"/>
  <c r="S196" i="6"/>
  <c r="T196" i="6"/>
  <c r="S193" i="6"/>
  <c r="T193" i="6"/>
  <c r="S194" i="6"/>
  <c r="S197" i="6"/>
  <c r="T197" i="6"/>
  <c r="S198" i="6"/>
  <c r="T198" i="6"/>
  <c r="S199" i="6"/>
  <c r="T199" i="6"/>
  <c r="S200" i="6"/>
  <c r="S201" i="6"/>
  <c r="T201" i="6"/>
  <c r="S202" i="6"/>
  <c r="T202" i="6"/>
  <c r="S203" i="6"/>
  <c r="T203" i="6"/>
  <c r="S204" i="6"/>
  <c r="S205" i="6"/>
  <c r="T205" i="6"/>
  <c r="S206" i="6"/>
  <c r="T206" i="6"/>
  <c r="S207" i="6"/>
  <c r="T207" i="6"/>
  <c r="S208" i="6"/>
  <c r="S209" i="6"/>
  <c r="T209" i="6"/>
  <c r="S210" i="6"/>
  <c r="T210" i="6"/>
  <c r="S211" i="6"/>
  <c r="T211" i="6"/>
  <c r="S213" i="6"/>
  <c r="T213" i="6"/>
  <c r="S214" i="6"/>
  <c r="T214" i="6"/>
  <c r="S215" i="6"/>
  <c r="T215" i="6"/>
  <c r="S221" i="6"/>
  <c r="T221" i="6"/>
  <c r="S222" i="6"/>
  <c r="T222" i="6"/>
  <c r="S217" i="6"/>
  <c r="T217" i="6"/>
  <c r="S223" i="6"/>
  <c r="T223" i="6"/>
  <c r="S218" i="6"/>
  <c r="T218" i="6"/>
  <c r="S219" i="6"/>
  <c r="T219" i="6"/>
  <c r="S225" i="6"/>
  <c r="S224" i="6"/>
  <c r="T224" i="6"/>
  <c r="S226" i="6"/>
  <c r="T226" i="6"/>
  <c r="S227" i="6"/>
  <c r="T227" i="6"/>
  <c r="S230" i="6"/>
  <c r="S228" i="6"/>
  <c r="T228" i="6"/>
  <c r="S229" i="6"/>
  <c r="T229" i="6"/>
  <c r="S233" i="6"/>
  <c r="T233" i="6"/>
  <c r="S234" i="6"/>
  <c r="S231" i="6"/>
  <c r="T231" i="6"/>
  <c r="S232" i="6"/>
  <c r="T232" i="6"/>
  <c r="S236" i="6"/>
  <c r="T236" i="6"/>
  <c r="S235" i="6"/>
  <c r="S248" i="6"/>
  <c r="T248" i="6"/>
  <c r="S245" i="6"/>
  <c r="T245" i="6"/>
  <c r="S247" i="6"/>
  <c r="T247" i="6"/>
  <c r="S246" i="6"/>
  <c r="S244" i="6"/>
  <c r="T244" i="6"/>
  <c r="S256" i="6"/>
  <c r="T256" i="6"/>
  <c r="S257" i="6"/>
  <c r="T257" i="6"/>
  <c r="S259" i="6"/>
  <c r="T259" i="6"/>
  <c r="S260" i="6"/>
  <c r="T260" i="6"/>
  <c r="S261" i="6"/>
  <c r="T261" i="6"/>
  <c r="S263" i="6"/>
  <c r="T263" i="6"/>
  <c r="S249" i="6"/>
  <c r="T249" i="6"/>
  <c r="S250" i="6"/>
  <c r="T250" i="6"/>
  <c r="S252" i="6"/>
  <c r="T252" i="6"/>
  <c r="S253" i="6"/>
  <c r="T253" i="6"/>
  <c r="S254" i="6"/>
  <c r="T254" i="6"/>
  <c r="S255" i="6"/>
  <c r="S237" i="6"/>
  <c r="T237" i="6"/>
  <c r="S238" i="6"/>
  <c r="T238" i="6"/>
  <c r="S239" i="6"/>
  <c r="T239" i="6"/>
  <c r="S240" i="6"/>
  <c r="S241" i="6"/>
  <c r="T241" i="6"/>
  <c r="S242" i="6"/>
  <c r="T242" i="6"/>
  <c r="S243" i="6"/>
  <c r="T243" i="6"/>
  <c r="S266" i="6"/>
  <c r="T266" i="6"/>
  <c r="S264" i="6"/>
  <c r="T264" i="6"/>
  <c r="S267" i="6"/>
  <c r="T267" i="6"/>
  <c r="S265" i="6"/>
  <c r="S280" i="6"/>
  <c r="T280" i="6"/>
  <c r="S281" i="6"/>
  <c r="T281" i="6"/>
  <c r="S276" i="6"/>
  <c r="T276" i="6"/>
  <c r="S278" i="6"/>
  <c r="T278" i="6"/>
  <c r="S279" i="6"/>
  <c r="T279" i="6"/>
  <c r="S289" i="6"/>
  <c r="T289" i="6"/>
  <c r="S290" i="6"/>
  <c r="T290" i="6"/>
  <c r="S275" i="6"/>
  <c r="T275" i="6"/>
  <c r="S282" i="6"/>
  <c r="T282" i="6"/>
  <c r="S284" i="6"/>
  <c r="T284" i="6"/>
  <c r="S285" i="6"/>
  <c r="T285" i="6"/>
  <c r="S286" i="6"/>
  <c r="T286" i="6"/>
  <c r="S287" i="6"/>
  <c r="S288" i="6"/>
  <c r="T288" i="6"/>
  <c r="S321" i="6"/>
  <c r="T321" i="6"/>
  <c r="S323" i="6"/>
  <c r="T323" i="6"/>
  <c r="S322" i="6"/>
  <c r="S324" i="6"/>
  <c r="T324" i="6"/>
  <c r="S291" i="6"/>
  <c r="T291" i="6"/>
  <c r="S292" i="6"/>
  <c r="T292" i="6"/>
  <c r="S301" i="6"/>
  <c r="S302" i="6"/>
  <c r="T302" i="6"/>
  <c r="S293" i="6"/>
  <c r="T293" i="6"/>
  <c r="S294" i="6"/>
  <c r="T294" i="6"/>
  <c r="S295" i="6"/>
  <c r="S296" i="6"/>
  <c r="T296" i="6"/>
  <c r="S297" i="6"/>
  <c r="T297" i="6"/>
  <c r="S298" i="6"/>
  <c r="T298" i="6"/>
  <c r="S303" i="6"/>
  <c r="S299" i="6"/>
  <c r="T299" i="6"/>
  <c r="S300" i="6"/>
  <c r="T300" i="6"/>
  <c r="S304" i="6"/>
  <c r="T304" i="6"/>
  <c r="S317" i="6"/>
  <c r="T317" i="6"/>
  <c r="S320" i="6"/>
  <c r="T320" i="6"/>
  <c r="S310" i="6"/>
  <c r="S318" i="6"/>
  <c r="S319" i="6"/>
  <c r="T319" i="6"/>
  <c r="S313" i="6"/>
  <c r="T313" i="6"/>
  <c r="S305" i="6"/>
  <c r="S311" i="6"/>
  <c r="S314" i="6"/>
  <c r="T314" i="6"/>
  <c r="S312" i="6"/>
  <c r="T312" i="6"/>
  <c r="S306" i="6"/>
  <c r="S307" i="6"/>
  <c r="T307" i="6"/>
  <c r="S309" i="6"/>
  <c r="T309" i="6"/>
  <c r="S308" i="6"/>
  <c r="T308" i="6"/>
  <c r="S316" i="6"/>
  <c r="T316" i="6"/>
  <c r="S334" i="6"/>
  <c r="T334" i="6"/>
  <c r="S338" i="6"/>
  <c r="T338" i="6"/>
  <c r="S330" i="6"/>
  <c r="T330" i="6"/>
  <c r="S335" i="6"/>
  <c r="S336" i="6"/>
  <c r="T336" i="6"/>
  <c r="S337" i="6"/>
  <c r="T337" i="6"/>
  <c r="S327" i="6"/>
  <c r="T327" i="6"/>
  <c r="S328" i="6"/>
  <c r="S325" i="6"/>
  <c r="T325" i="6"/>
  <c r="S329" i="6"/>
  <c r="T329" i="6"/>
  <c r="T326" i="6"/>
  <c r="S331" i="6"/>
  <c r="T331" i="6"/>
  <c r="S332" i="6"/>
  <c r="T332" i="6"/>
  <c r="S333" i="6"/>
  <c r="T333" i="6"/>
  <c r="S340" i="6"/>
  <c r="T340" i="6"/>
  <c r="S341" i="6"/>
  <c r="T341" i="6"/>
  <c r="S342" i="6"/>
  <c r="T342" i="6"/>
  <c r="S339" i="6"/>
  <c r="T339" i="6"/>
  <c r="S343" i="6"/>
  <c r="T343" i="6"/>
  <c r="S348" i="6"/>
  <c r="S344" i="6"/>
  <c r="T344" i="6"/>
  <c r="S345" i="6"/>
  <c r="T345" i="6"/>
  <c r="S351" i="6"/>
  <c r="T351" i="6"/>
  <c r="T352" i="6"/>
  <c r="T346" i="6"/>
  <c r="S353" i="6"/>
  <c r="T353" i="6"/>
  <c r="S357" i="6"/>
  <c r="T357" i="6"/>
  <c r="T354" i="6"/>
  <c r="S358" i="6"/>
  <c r="T358" i="6"/>
  <c r="S355" i="6"/>
  <c r="T355" i="6"/>
  <c r="S359" i="6"/>
  <c r="T359" i="6"/>
  <c r="S356" i="6"/>
  <c r="S373" i="6"/>
  <c r="T373" i="6"/>
  <c r="S374" i="6"/>
  <c r="T374" i="6"/>
  <c r="S367" i="6"/>
  <c r="T367" i="6"/>
  <c r="S368" i="6"/>
  <c r="T368" i="6"/>
  <c r="S371" i="6"/>
  <c r="T371" i="6"/>
  <c r="S360" i="6"/>
  <c r="T360" i="6"/>
  <c r="S361" i="6"/>
  <c r="T361" i="6"/>
  <c r="S364" i="6"/>
  <c r="T364" i="6"/>
  <c r="S375" i="6"/>
  <c r="T375" i="6"/>
  <c r="S376" i="6"/>
  <c r="T376" i="6"/>
  <c r="S377" i="6"/>
  <c r="T377" i="6"/>
  <c r="S378" i="6"/>
  <c r="T378" i="6"/>
  <c r="S380" i="6"/>
  <c r="T380" i="6"/>
  <c r="S381" i="6"/>
  <c r="T381" i="6"/>
  <c r="S382" i="6"/>
  <c r="T382" i="6"/>
  <c r="S383" i="6"/>
  <c r="S384" i="6"/>
  <c r="T384" i="6"/>
  <c r="S385" i="6"/>
  <c r="T385" i="6"/>
  <c r="S386" i="6"/>
  <c r="T386" i="6"/>
  <c r="S388" i="6"/>
  <c r="T388" i="6"/>
  <c r="S389" i="6"/>
  <c r="T389" i="6"/>
  <c r="S393" i="6"/>
  <c r="T393" i="6"/>
  <c r="S394" i="6"/>
  <c r="T394" i="6"/>
  <c r="S391" i="6"/>
  <c r="T391" i="6"/>
  <c r="S395" i="6"/>
  <c r="T395" i="6"/>
  <c r="S396" i="6"/>
  <c r="T396" i="6"/>
  <c r="S397" i="6"/>
  <c r="T397" i="6"/>
  <c r="S408" i="6"/>
  <c r="T408" i="6"/>
  <c r="S398" i="6"/>
  <c r="S399" i="6"/>
  <c r="T399" i="6"/>
  <c r="S400" i="6"/>
  <c r="T400" i="6"/>
  <c r="S409" i="6"/>
  <c r="T409" i="6"/>
  <c r="S401" i="6"/>
  <c r="S402" i="6"/>
  <c r="T402" i="6"/>
  <c r="S403" i="6"/>
  <c r="T403" i="6"/>
  <c r="S410" i="6"/>
  <c r="T410" i="6"/>
  <c r="S405" i="6"/>
  <c r="T405" i="6"/>
  <c r="S406" i="6"/>
  <c r="T406" i="6"/>
  <c r="S411" i="6"/>
  <c r="T411" i="6"/>
  <c r="S412" i="6"/>
  <c r="T412" i="6"/>
  <c r="S413" i="6"/>
  <c r="T413" i="6"/>
  <c r="S414" i="6"/>
  <c r="T414" i="6"/>
  <c r="S415" i="6"/>
  <c r="S416" i="6"/>
  <c r="T416" i="6"/>
  <c r="S417" i="6"/>
  <c r="T417" i="6"/>
  <c r="S418" i="6"/>
  <c r="T418" i="6"/>
  <c r="S420" i="6"/>
  <c r="T420" i="6"/>
  <c r="S421" i="6"/>
  <c r="T421" i="6"/>
  <c r="S422" i="6"/>
  <c r="T422" i="6"/>
  <c r="S423" i="6"/>
  <c r="S424" i="6"/>
  <c r="T424" i="6"/>
  <c r="S425" i="6"/>
  <c r="T425" i="6"/>
  <c r="S426" i="6"/>
  <c r="T426" i="6"/>
  <c r="S428" i="6"/>
  <c r="T428" i="6"/>
  <c r="S429" i="6"/>
  <c r="T429" i="6"/>
  <c r="S430" i="6"/>
  <c r="T430" i="6"/>
  <c r="S431" i="6"/>
  <c r="S432" i="6"/>
  <c r="T432" i="6"/>
  <c r="S433" i="6"/>
  <c r="T433" i="6"/>
  <c r="S434" i="6"/>
  <c r="T434" i="6"/>
  <c r="S442" i="6"/>
  <c r="T442" i="6"/>
  <c r="S443" i="6"/>
  <c r="T443" i="6"/>
  <c r="S438" i="6"/>
  <c r="T438" i="6"/>
  <c r="S439" i="6"/>
  <c r="S440" i="6"/>
  <c r="T440" i="6"/>
  <c r="S435" i="6"/>
  <c r="T435" i="6"/>
  <c r="S436" i="6"/>
  <c r="T436" i="6"/>
  <c r="S447" i="6"/>
  <c r="T447" i="6"/>
  <c r="S448" i="6"/>
  <c r="T448" i="6"/>
  <c r="S449" i="6"/>
  <c r="T449" i="6"/>
  <c r="S444" i="6"/>
  <c r="S445" i="6"/>
  <c r="T445" i="6"/>
  <c r="S446" i="6"/>
  <c r="T446" i="6"/>
  <c r="T863" i="6"/>
  <c r="S453" i="6"/>
  <c r="T453" i="6"/>
  <c r="S456" i="6"/>
  <c r="T456" i="6"/>
  <c r="S451" i="6"/>
  <c r="T451" i="6"/>
  <c r="S454" i="6"/>
  <c r="S457" i="6"/>
  <c r="T457" i="6"/>
  <c r="S452" i="6"/>
  <c r="T452" i="6"/>
  <c r="S455" i="6"/>
  <c r="T455" i="6"/>
  <c r="S459" i="6"/>
  <c r="T459" i="6"/>
  <c r="S466" i="6"/>
  <c r="T466" i="6"/>
  <c r="S473" i="6"/>
  <c r="T473" i="6"/>
  <c r="S460" i="6"/>
  <c r="S467" i="6"/>
  <c r="T467" i="6"/>
  <c r="S474" i="6"/>
  <c r="T474" i="6"/>
  <c r="S461" i="6"/>
  <c r="T461" i="6"/>
  <c r="S475" i="6"/>
  <c r="T475" i="6"/>
  <c r="S462" i="6"/>
  <c r="T462" i="6"/>
  <c r="S469" i="6"/>
  <c r="T469" i="6"/>
  <c r="S476" i="6"/>
  <c r="S463" i="6"/>
  <c r="T463" i="6"/>
  <c r="S470" i="6"/>
  <c r="T470" i="6"/>
  <c r="S477" i="6"/>
  <c r="T477" i="6"/>
  <c r="S471" i="6"/>
  <c r="T471" i="6"/>
  <c r="S478" i="6"/>
  <c r="T478" i="6"/>
  <c r="S465" i="6"/>
  <c r="T465" i="6"/>
  <c r="S472" i="6"/>
  <c r="S479" i="6"/>
  <c r="T479" i="6"/>
  <c r="S480" i="6"/>
  <c r="T480" i="6"/>
  <c r="S482" i="6"/>
  <c r="T482" i="6"/>
  <c r="S481" i="6"/>
  <c r="T481" i="6"/>
  <c r="S483" i="6"/>
  <c r="T483" i="6"/>
  <c r="S485" i="6"/>
  <c r="T485" i="6"/>
  <c r="S486" i="6"/>
  <c r="S487" i="6"/>
  <c r="T487" i="6"/>
  <c r="S488" i="6"/>
  <c r="T488" i="6"/>
  <c r="S489" i="6"/>
  <c r="T489" i="6"/>
  <c r="S491" i="6"/>
  <c r="T491" i="6"/>
  <c r="S492" i="6"/>
  <c r="T492" i="6"/>
  <c r="S493" i="6"/>
  <c r="T493" i="6"/>
  <c r="S494" i="6"/>
  <c r="S495" i="6"/>
  <c r="T495" i="6"/>
  <c r="S496" i="6"/>
  <c r="T496" i="6"/>
  <c r="S497" i="6"/>
  <c r="T497" i="6"/>
  <c r="S499" i="6"/>
  <c r="T499" i="6"/>
  <c r="S500" i="6"/>
  <c r="T500" i="6"/>
  <c r="S501" i="6"/>
  <c r="T501" i="6"/>
  <c r="S502" i="6"/>
  <c r="S503" i="6"/>
  <c r="T503" i="6"/>
  <c r="S504" i="6"/>
  <c r="T504" i="6"/>
  <c r="S505" i="6"/>
  <c r="T505" i="6"/>
  <c r="S507" i="6"/>
  <c r="T507" i="6"/>
  <c r="S531" i="6"/>
  <c r="T531" i="6"/>
  <c r="S532" i="6"/>
  <c r="T532" i="6"/>
  <c r="S533" i="6"/>
  <c r="S534" i="6"/>
  <c r="T534" i="6"/>
  <c r="S535" i="6"/>
  <c r="T535" i="6"/>
  <c r="S536" i="6"/>
  <c r="T536" i="6"/>
  <c r="S524" i="6"/>
  <c r="T524" i="6"/>
  <c r="S525" i="6"/>
  <c r="T525" i="6"/>
  <c r="S526" i="6"/>
  <c r="T526" i="6"/>
  <c r="S527" i="6"/>
  <c r="S528" i="6"/>
  <c r="T528" i="6"/>
  <c r="S529" i="6"/>
  <c r="T529" i="6"/>
  <c r="S530" i="6"/>
  <c r="T530" i="6"/>
  <c r="S539" i="6"/>
  <c r="T539" i="6"/>
  <c r="S540" i="6"/>
  <c r="T540" i="6"/>
  <c r="S541" i="6"/>
  <c r="T541" i="6"/>
  <c r="S542" i="6"/>
  <c r="S543" i="6"/>
  <c r="T543" i="6"/>
  <c r="S544" i="6"/>
  <c r="T544" i="6"/>
  <c r="S511" i="6"/>
  <c r="T511" i="6"/>
  <c r="S521" i="6"/>
  <c r="T521" i="6"/>
  <c r="S513" i="6"/>
  <c r="T513" i="6"/>
  <c r="S514" i="6"/>
  <c r="T514" i="6"/>
  <c r="S515" i="6"/>
  <c r="S522" i="6"/>
  <c r="T522" i="6"/>
  <c r="S516" i="6"/>
  <c r="T516" i="6"/>
  <c r="S517" i="6"/>
  <c r="T517" i="6"/>
  <c r="S523" i="6"/>
  <c r="T523" i="6"/>
  <c r="S519" i="6"/>
  <c r="T519" i="6"/>
  <c r="S508" i="6"/>
  <c r="T508" i="6"/>
  <c r="S509" i="6"/>
  <c r="S520" i="6"/>
  <c r="T520" i="6"/>
  <c r="S510" i="6"/>
  <c r="T510" i="6"/>
  <c r="S545" i="6"/>
  <c r="T545" i="6"/>
  <c r="S547" i="6"/>
  <c r="T547" i="6"/>
  <c r="S548" i="6"/>
  <c r="T548" i="6"/>
  <c r="S549" i="6"/>
  <c r="T549" i="6"/>
  <c r="S550" i="6"/>
  <c r="S551" i="6"/>
  <c r="T551" i="6"/>
  <c r="S552" i="6"/>
  <c r="T552" i="6"/>
  <c r="S553" i="6"/>
  <c r="T553" i="6"/>
  <c r="S574" i="6"/>
  <c r="T574" i="6"/>
  <c r="S579" i="6"/>
  <c r="T579" i="6"/>
  <c r="S570" i="6"/>
  <c r="T570" i="6"/>
  <c r="S575" i="6"/>
  <c r="S580" i="6"/>
  <c r="T580" i="6"/>
  <c r="S571" i="6"/>
  <c r="T571" i="6"/>
  <c r="S576" i="6"/>
  <c r="T576" i="6"/>
  <c r="S572" i="6"/>
  <c r="T572" i="6"/>
  <c r="S577" i="6"/>
  <c r="T577" i="6"/>
  <c r="S582" i="6"/>
  <c r="T582" i="6"/>
  <c r="S573" i="6"/>
  <c r="S578" i="6"/>
  <c r="T578" i="6"/>
  <c r="S583" i="6"/>
  <c r="T583" i="6"/>
  <c r="S864" i="6"/>
  <c r="T864" i="6"/>
  <c r="S559" i="6"/>
  <c r="T559" i="6"/>
  <c r="S564" i="6"/>
  <c r="T564" i="6"/>
  <c r="S555" i="6"/>
  <c r="T555" i="6"/>
  <c r="S560" i="6"/>
  <c r="S565" i="6"/>
  <c r="T565" i="6"/>
  <c r="S556" i="6"/>
  <c r="T556" i="6"/>
  <c r="S561" i="6"/>
  <c r="T561" i="6"/>
  <c r="S557" i="6"/>
  <c r="T557" i="6"/>
  <c r="S562" i="6"/>
  <c r="T562" i="6"/>
  <c r="S567" i="6"/>
  <c r="T567" i="6"/>
  <c r="S558" i="6"/>
  <c r="S563" i="6"/>
  <c r="T563" i="6"/>
  <c r="S568" i="6"/>
  <c r="T568" i="6"/>
  <c r="S589" i="6"/>
  <c r="T589" i="6"/>
  <c r="S591" i="6"/>
  <c r="T591" i="6"/>
  <c r="S592" i="6"/>
  <c r="T592" i="6"/>
  <c r="S593" i="6"/>
  <c r="T593" i="6"/>
  <c r="S595" i="6"/>
  <c r="T595" i="6"/>
  <c r="S596" i="6"/>
  <c r="T596" i="6"/>
  <c r="S597" i="6"/>
  <c r="T597" i="6"/>
  <c r="S599" i="6"/>
  <c r="T599" i="6"/>
  <c r="S600" i="6"/>
  <c r="T600" i="6"/>
  <c r="S584" i="6"/>
  <c r="T584" i="6"/>
  <c r="S585" i="6"/>
  <c r="S586" i="6"/>
  <c r="T586" i="6"/>
  <c r="S587" i="6"/>
  <c r="T587" i="6"/>
  <c r="S588" i="6"/>
  <c r="T588" i="6"/>
  <c r="S616" i="6"/>
  <c r="T616" i="6"/>
  <c r="S617" i="6"/>
  <c r="T617" i="6"/>
  <c r="S618" i="6"/>
  <c r="T618" i="6"/>
  <c r="S620" i="6"/>
  <c r="T620" i="6"/>
  <c r="S621" i="6"/>
  <c r="T621" i="6"/>
  <c r="S866" i="6"/>
  <c r="T866" i="6"/>
  <c r="S606" i="6"/>
  <c r="T606" i="6"/>
  <c r="S611" i="6"/>
  <c r="T611" i="6"/>
  <c r="S602" i="6"/>
  <c r="T602" i="6"/>
  <c r="S607" i="6"/>
  <c r="S612" i="6"/>
  <c r="T612" i="6"/>
  <c r="S603" i="6"/>
  <c r="T603" i="6"/>
  <c r="S608" i="6"/>
  <c r="T608" i="6"/>
  <c r="S604" i="6"/>
  <c r="T604" i="6"/>
  <c r="S609" i="6"/>
  <c r="T609" i="6"/>
  <c r="S614" i="6"/>
  <c r="T614" i="6"/>
  <c r="S610" i="6"/>
  <c r="T610" i="6"/>
  <c r="S615" i="6"/>
  <c r="T615" i="6"/>
  <c r="S625" i="6"/>
  <c r="T625" i="6"/>
  <c r="S627" i="6"/>
  <c r="T627" i="6"/>
  <c r="S622" i="6"/>
  <c r="T622" i="6"/>
  <c r="S623" i="6"/>
  <c r="T623" i="6"/>
  <c r="S624" i="6"/>
  <c r="S628" i="6"/>
  <c r="T628" i="6"/>
  <c r="S629" i="6"/>
  <c r="T629" i="6"/>
  <c r="S630" i="6"/>
  <c r="T630" i="6"/>
  <c r="S640" i="6"/>
  <c r="T640" i="6"/>
  <c r="S631" i="6"/>
  <c r="T631" i="6"/>
  <c r="S632" i="6"/>
  <c r="T632" i="6"/>
  <c r="S634" i="6"/>
  <c r="T634" i="6"/>
  <c r="S635" i="6"/>
  <c r="T635" i="6"/>
  <c r="S636" i="6"/>
  <c r="T636" i="6"/>
  <c r="S638" i="6"/>
  <c r="T638" i="6"/>
  <c r="S139" i="6"/>
  <c r="S162" i="6"/>
  <c r="S158" i="6"/>
  <c r="S171" i="6"/>
  <c r="S184" i="6"/>
  <c r="S190" i="6"/>
  <c r="S220" i="6"/>
  <c r="S251" i="6"/>
  <c r="S283" i="6"/>
  <c r="S141" i="6"/>
  <c r="S164" i="6"/>
  <c r="S168" i="6"/>
  <c r="S172" i="6"/>
  <c r="S179" i="6"/>
  <c r="S212" i="6"/>
  <c r="S258" i="6"/>
  <c r="S277" i="6"/>
  <c r="S195" i="6"/>
  <c r="S216" i="6"/>
  <c r="S262" i="6"/>
  <c r="S274" i="6"/>
  <c r="S315" i="6"/>
  <c r="T83" i="6"/>
  <c r="S372" i="6"/>
  <c r="S365" i="6"/>
  <c r="S370" i="6"/>
  <c r="S363" i="6"/>
  <c r="S379" i="6"/>
  <c r="S407" i="6"/>
  <c r="T311" i="6"/>
  <c r="S350" i="6"/>
  <c r="S352" i="6"/>
  <c r="T372" i="6"/>
  <c r="T370" i="6"/>
  <c r="S390" i="6"/>
  <c r="S427" i="6"/>
  <c r="S437" i="6"/>
  <c r="S458" i="6"/>
  <c r="S464" i="6"/>
  <c r="S490" i="6"/>
  <c r="S506" i="6"/>
  <c r="S538" i="6"/>
  <c r="S518" i="6"/>
  <c r="S569" i="6"/>
  <c r="S554" i="6"/>
  <c r="S590" i="6"/>
  <c r="S865" i="6"/>
  <c r="S613" i="6"/>
  <c r="S639" i="6"/>
  <c r="T318" i="6"/>
  <c r="T350" i="6"/>
  <c r="S594" i="6"/>
  <c r="S619" i="6"/>
  <c r="S605" i="6"/>
  <c r="S633" i="6"/>
  <c r="S347" i="6"/>
  <c r="S349" i="6"/>
  <c r="S366" i="6"/>
  <c r="S369" i="6"/>
  <c r="S362" i="6"/>
  <c r="S392" i="6"/>
  <c r="T328" i="6"/>
  <c r="S326" i="6"/>
  <c r="T347" i="6"/>
  <c r="T366" i="6"/>
  <c r="S404" i="6"/>
  <c r="S419" i="6"/>
  <c r="S441" i="6"/>
  <c r="S450" i="6"/>
  <c r="S468" i="6"/>
  <c r="S484" i="6"/>
  <c r="S498" i="6"/>
  <c r="S537" i="6"/>
  <c r="S512" i="6"/>
  <c r="S546" i="6"/>
  <c r="S581" i="6"/>
  <c r="S566" i="6"/>
  <c r="S598" i="6"/>
  <c r="S601" i="6"/>
  <c r="S626" i="6"/>
  <c r="S637" i="6"/>
  <c r="T335" i="6"/>
  <c r="S346" i="6"/>
  <c r="S354" i="6"/>
  <c r="S387" i="6"/>
  <c r="X64" i="6" l="1"/>
  <c r="X62" i="6"/>
  <c r="X54" i="6"/>
  <c r="X58" i="6"/>
  <c r="X56" i="6"/>
  <c r="X60" i="6"/>
  <c r="H117" i="1"/>
  <c r="H116" i="1"/>
  <c r="H115" i="1"/>
  <c r="H114" i="1"/>
  <c r="Q114" i="1"/>
  <c r="H113" i="1"/>
  <c r="H112" i="1"/>
  <c r="O112" i="1"/>
  <c r="Q112" i="1"/>
  <c r="O113" i="1"/>
  <c r="Q113" i="1"/>
  <c r="O114" i="1"/>
  <c r="O115" i="1"/>
  <c r="O116" i="1"/>
  <c r="O117" i="1"/>
  <c r="Q117" i="1"/>
  <c r="P112" i="1"/>
  <c r="R112" i="1"/>
  <c r="P113" i="1"/>
  <c r="P114" i="1"/>
  <c r="P115" i="1"/>
  <c r="R115" i="1"/>
  <c r="P116" i="1"/>
  <c r="R116" i="1"/>
  <c r="P117" i="1"/>
  <c r="Q115" i="1"/>
  <c r="Q116" i="1"/>
  <c r="R113" i="1"/>
  <c r="R117" i="1"/>
  <c r="S112" i="1"/>
  <c r="S113" i="1"/>
  <c r="S114" i="1"/>
  <c r="S115" i="1"/>
  <c r="S116" i="1"/>
  <c r="S117" i="1"/>
  <c r="H109" i="1"/>
  <c r="H110" i="1"/>
  <c r="H111" i="1"/>
  <c r="O109" i="1"/>
  <c r="O110" i="1"/>
  <c r="Q110" i="1"/>
  <c r="O111" i="1"/>
  <c r="P109" i="1"/>
  <c r="R109" i="1"/>
  <c r="P110" i="1"/>
  <c r="R110" i="1"/>
  <c r="P111" i="1"/>
  <c r="R111" i="1"/>
  <c r="S109" i="1"/>
  <c r="S110" i="1"/>
  <c r="S111" i="1"/>
  <c r="R114" i="1"/>
  <c r="Q111" i="1"/>
  <c r="Q109" i="1"/>
  <c r="H102" i="1"/>
  <c r="H104" i="1"/>
  <c r="H103" i="1"/>
  <c r="H105" i="1"/>
  <c r="H106" i="1"/>
  <c r="H107" i="1"/>
  <c r="H108" i="1"/>
  <c r="O102" i="1"/>
  <c r="O104" i="1"/>
  <c r="O103" i="1"/>
  <c r="O105" i="1"/>
  <c r="Q105" i="1"/>
  <c r="O106" i="1"/>
  <c r="O107" i="1"/>
  <c r="O108" i="1"/>
  <c r="P102" i="1"/>
  <c r="P104" i="1"/>
  <c r="P103" i="1"/>
  <c r="R103" i="1"/>
  <c r="P105" i="1"/>
  <c r="R105" i="1"/>
  <c r="P106" i="1"/>
  <c r="R106" i="1"/>
  <c r="P107" i="1"/>
  <c r="P108" i="1"/>
  <c r="R108" i="1"/>
  <c r="S102" i="1"/>
  <c r="S104" i="1"/>
  <c r="S103" i="1"/>
  <c r="S105" i="1"/>
  <c r="S106" i="1"/>
  <c r="S107" i="1"/>
  <c r="S108" i="1"/>
  <c r="S81" i="1"/>
  <c r="P81" i="1"/>
  <c r="O81" i="1"/>
  <c r="H81" i="1"/>
  <c r="S80" i="1"/>
  <c r="P80" i="1"/>
  <c r="O80" i="1"/>
  <c r="H80" i="1"/>
  <c r="S79" i="1"/>
  <c r="P79" i="1"/>
  <c r="O79" i="1"/>
  <c r="H79" i="1"/>
  <c r="S78" i="1"/>
  <c r="P78" i="1"/>
  <c r="O78" i="1"/>
  <c r="H78" i="1"/>
  <c r="H101" i="1"/>
  <c r="H100" i="1"/>
  <c r="H99" i="1"/>
  <c r="H98" i="1"/>
  <c r="S86" i="1"/>
  <c r="P86" i="1"/>
  <c r="O86" i="1"/>
  <c r="H86" i="1"/>
  <c r="S87" i="1"/>
  <c r="P87" i="1"/>
  <c r="O87" i="1"/>
  <c r="H87" i="1"/>
  <c r="S88" i="1"/>
  <c r="P88" i="1"/>
  <c r="O88" i="1"/>
  <c r="H88" i="1"/>
  <c r="S89" i="1"/>
  <c r="P89" i="1"/>
  <c r="O89" i="1"/>
  <c r="H89" i="1"/>
  <c r="S98" i="1"/>
  <c r="P98" i="1"/>
  <c r="O98" i="1"/>
  <c r="S99" i="1"/>
  <c r="P99" i="1"/>
  <c r="O99" i="1"/>
  <c r="P97" i="1"/>
  <c r="S97" i="1"/>
  <c r="P92" i="1"/>
  <c r="S92" i="1"/>
  <c r="O97" i="1"/>
  <c r="O92" i="1"/>
  <c r="O93" i="1"/>
  <c r="S95" i="1"/>
  <c r="P95" i="1"/>
  <c r="O95" i="1"/>
  <c r="H95" i="1"/>
  <c r="S96" i="1"/>
  <c r="P96" i="1"/>
  <c r="O96" i="1"/>
  <c r="H96" i="1"/>
  <c r="S90" i="1"/>
  <c r="P90" i="1"/>
  <c r="O90" i="1"/>
  <c r="H90" i="1"/>
  <c r="S91" i="1"/>
  <c r="P91" i="1"/>
  <c r="O91" i="1"/>
  <c r="H91" i="1"/>
  <c r="H97" i="1"/>
  <c r="S93" i="1"/>
  <c r="P93" i="1"/>
  <c r="H92" i="1"/>
  <c r="S100" i="1"/>
  <c r="P100" i="1"/>
  <c r="O100" i="1"/>
  <c r="H93" i="1"/>
  <c r="S94" i="1"/>
  <c r="S101" i="1"/>
  <c r="P94" i="1"/>
  <c r="P101" i="1"/>
  <c r="O94" i="1"/>
  <c r="O101" i="1"/>
  <c r="H94" i="1"/>
  <c r="S77" i="1"/>
  <c r="P77" i="1"/>
  <c r="O77" i="1"/>
  <c r="H77" i="1"/>
  <c r="H76" i="1"/>
  <c r="O76" i="1"/>
  <c r="P76" i="1"/>
  <c r="S76" i="1"/>
  <c r="O75" i="1"/>
  <c r="P75" i="1"/>
  <c r="S75" i="1"/>
  <c r="H75" i="1"/>
  <c r="H74" i="1"/>
  <c r="O74" i="1"/>
  <c r="P74" i="1"/>
  <c r="S74" i="1"/>
  <c r="S73" i="1"/>
  <c r="P73" i="1"/>
  <c r="O73" i="1"/>
  <c r="H73" i="1"/>
  <c r="H72" i="1"/>
  <c r="O72" i="1"/>
  <c r="P72" i="1"/>
  <c r="S72" i="1"/>
  <c r="H4" i="1"/>
  <c r="H5" i="1"/>
  <c r="H6" i="1"/>
  <c r="H7" i="1"/>
  <c r="H8" i="1"/>
  <c r="H9" i="1"/>
  <c r="H10" i="1"/>
  <c r="H11" i="1"/>
  <c r="H62" i="1"/>
  <c r="H12" i="1"/>
  <c r="H63" i="1"/>
  <c r="H13" i="1"/>
  <c r="H64" i="1"/>
  <c r="H17" i="1"/>
  <c r="H23" i="1"/>
  <c r="H18" i="1"/>
  <c r="H19" i="1"/>
  <c r="H20" i="1"/>
  <c r="H21" i="1"/>
  <c r="H22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9" i="1"/>
  <c r="H41" i="1"/>
  <c r="H43" i="1"/>
  <c r="H38" i="1"/>
  <c r="H40" i="1"/>
  <c r="H42" i="1"/>
  <c r="H44" i="1"/>
  <c r="H45" i="1"/>
  <c r="H46" i="1"/>
  <c r="H47" i="1"/>
  <c r="H48" i="1"/>
  <c r="H14" i="1"/>
  <c r="H65" i="1"/>
  <c r="H15" i="1"/>
  <c r="H66" i="1"/>
  <c r="H16" i="1"/>
  <c r="H67" i="1"/>
  <c r="H60" i="1"/>
  <c r="H61" i="1"/>
  <c r="H49" i="1"/>
  <c r="H50" i="1"/>
  <c r="H51" i="1"/>
  <c r="H52" i="1"/>
  <c r="H53" i="1"/>
  <c r="H54" i="1"/>
  <c r="H55" i="1"/>
  <c r="H56" i="1"/>
  <c r="H57" i="1"/>
  <c r="H58" i="1"/>
  <c r="H59" i="1"/>
  <c r="H68" i="1"/>
  <c r="H69" i="1"/>
  <c r="H70" i="1"/>
  <c r="H71" i="1"/>
  <c r="O4" i="1"/>
  <c r="O5" i="1"/>
  <c r="O6" i="1"/>
  <c r="O7" i="1"/>
  <c r="O8" i="1"/>
  <c r="O9" i="1"/>
  <c r="O10" i="1"/>
  <c r="O11" i="1"/>
  <c r="O62" i="1"/>
  <c r="O12" i="1"/>
  <c r="O63" i="1"/>
  <c r="O13" i="1"/>
  <c r="O64" i="1"/>
  <c r="O17" i="1"/>
  <c r="O23" i="1"/>
  <c r="O18" i="1"/>
  <c r="O19" i="1"/>
  <c r="O20" i="1"/>
  <c r="O21" i="1"/>
  <c r="O22" i="1"/>
  <c r="O24" i="1"/>
  <c r="O25" i="1"/>
  <c r="Q25" i="1"/>
  <c r="O26" i="1"/>
  <c r="O27" i="1"/>
  <c r="O28" i="1"/>
  <c r="O29" i="1"/>
  <c r="O30" i="1"/>
  <c r="O31" i="1"/>
  <c r="O32" i="1"/>
  <c r="O33" i="1"/>
  <c r="O34" i="1"/>
  <c r="O35" i="1"/>
  <c r="O36" i="1"/>
  <c r="O37" i="1"/>
  <c r="O39" i="1"/>
  <c r="O41" i="1"/>
  <c r="O43" i="1"/>
  <c r="O38" i="1"/>
  <c r="Q38" i="1"/>
  <c r="O40" i="1"/>
  <c r="O42" i="1"/>
  <c r="O44" i="1"/>
  <c r="O45" i="1"/>
  <c r="O46" i="1"/>
  <c r="O47" i="1"/>
  <c r="O48" i="1"/>
  <c r="O14" i="1"/>
  <c r="O65" i="1"/>
  <c r="O15" i="1"/>
  <c r="O66" i="1"/>
  <c r="O16" i="1"/>
  <c r="O67" i="1"/>
  <c r="O60" i="1"/>
  <c r="O61" i="1"/>
  <c r="Q61" i="1"/>
  <c r="O49" i="1"/>
  <c r="O50" i="1"/>
  <c r="O51" i="1"/>
  <c r="O52" i="1"/>
  <c r="O53" i="1"/>
  <c r="O54" i="1"/>
  <c r="O55" i="1"/>
  <c r="O56" i="1"/>
  <c r="O57" i="1"/>
  <c r="O58" i="1"/>
  <c r="O59" i="1"/>
  <c r="O68" i="1"/>
  <c r="O69" i="1"/>
  <c r="O70" i="1"/>
  <c r="O71" i="1"/>
  <c r="P4" i="1"/>
  <c r="P5" i="1"/>
  <c r="P6" i="1"/>
  <c r="P7" i="1"/>
  <c r="P8" i="1"/>
  <c r="P9" i="1"/>
  <c r="R9" i="1"/>
  <c r="P10" i="1"/>
  <c r="P11" i="1"/>
  <c r="P62" i="1"/>
  <c r="P12" i="1"/>
  <c r="R12" i="1"/>
  <c r="P63" i="1"/>
  <c r="P13" i="1"/>
  <c r="R13" i="1"/>
  <c r="P64" i="1"/>
  <c r="P17" i="1"/>
  <c r="P23" i="1"/>
  <c r="P18" i="1"/>
  <c r="P19" i="1"/>
  <c r="P20" i="1"/>
  <c r="P21" i="1"/>
  <c r="P22" i="1"/>
  <c r="P24" i="1"/>
  <c r="P25" i="1"/>
  <c r="R25" i="1"/>
  <c r="P26" i="1"/>
  <c r="P27" i="1"/>
  <c r="P28" i="1"/>
  <c r="P29" i="1"/>
  <c r="R29" i="1"/>
  <c r="P30" i="1"/>
  <c r="P31" i="1"/>
  <c r="P32" i="1"/>
  <c r="P33" i="1"/>
  <c r="P34" i="1"/>
  <c r="P35" i="1"/>
  <c r="P36" i="1"/>
  <c r="P37" i="1"/>
  <c r="P39" i="1"/>
  <c r="P41" i="1"/>
  <c r="P43" i="1"/>
  <c r="P38" i="1"/>
  <c r="R38" i="1"/>
  <c r="P40" i="1"/>
  <c r="P42" i="1"/>
  <c r="P44" i="1"/>
  <c r="P45" i="1"/>
  <c r="R45" i="1"/>
  <c r="P46" i="1"/>
  <c r="P47" i="1"/>
  <c r="P48" i="1"/>
  <c r="P14" i="1"/>
  <c r="P65" i="1"/>
  <c r="P15" i="1"/>
  <c r="P66" i="1"/>
  <c r="P16" i="1"/>
  <c r="P67" i="1"/>
  <c r="P60" i="1"/>
  <c r="P61" i="1"/>
  <c r="R61" i="1"/>
  <c r="P49" i="1"/>
  <c r="P50" i="1"/>
  <c r="P51" i="1"/>
  <c r="P52" i="1"/>
  <c r="R52" i="1"/>
  <c r="P53" i="1"/>
  <c r="P54" i="1"/>
  <c r="P55" i="1"/>
  <c r="P56" i="1"/>
  <c r="P57" i="1"/>
  <c r="P58" i="1"/>
  <c r="P59" i="1"/>
  <c r="P68" i="1"/>
  <c r="P69" i="1"/>
  <c r="P70" i="1"/>
  <c r="P71" i="1"/>
  <c r="S4" i="1"/>
  <c r="S5" i="1"/>
  <c r="S6" i="1"/>
  <c r="S7" i="1"/>
  <c r="S8" i="1"/>
  <c r="S9" i="1"/>
  <c r="S10" i="1"/>
  <c r="S11" i="1"/>
  <c r="S62" i="1"/>
  <c r="S12" i="1"/>
  <c r="S63" i="1"/>
  <c r="S13" i="1"/>
  <c r="S64" i="1"/>
  <c r="S17" i="1"/>
  <c r="S23" i="1"/>
  <c r="S18" i="1"/>
  <c r="S19" i="1"/>
  <c r="S20" i="1"/>
  <c r="S21" i="1"/>
  <c r="S22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9" i="1"/>
  <c r="S41" i="1"/>
  <c r="S43" i="1"/>
  <c r="S38" i="1"/>
  <c r="S40" i="1"/>
  <c r="S42" i="1"/>
  <c r="S44" i="1"/>
  <c r="S45" i="1"/>
  <c r="S46" i="1"/>
  <c r="S47" i="1"/>
  <c r="S48" i="1"/>
  <c r="S14" i="1"/>
  <c r="S65" i="1"/>
  <c r="S15" i="1"/>
  <c r="S66" i="1"/>
  <c r="S16" i="1"/>
  <c r="S67" i="1"/>
  <c r="S60" i="1"/>
  <c r="S61" i="1"/>
  <c r="S49" i="1"/>
  <c r="S50" i="1"/>
  <c r="S51" i="1"/>
  <c r="S52" i="1"/>
  <c r="S53" i="1"/>
  <c r="S54" i="1"/>
  <c r="S55" i="1"/>
  <c r="S56" i="1"/>
  <c r="S57" i="1"/>
  <c r="S58" i="1"/>
  <c r="S59" i="1"/>
  <c r="S68" i="1"/>
  <c r="S69" i="1"/>
  <c r="S70" i="1"/>
  <c r="S71" i="1"/>
  <c r="Q108" i="1"/>
  <c r="Q103" i="1"/>
  <c r="Q102" i="1"/>
  <c r="Q106" i="1"/>
  <c r="R104" i="1"/>
  <c r="R76" i="1"/>
  <c r="Q76" i="1"/>
  <c r="R102" i="1"/>
  <c r="Q107" i="1"/>
  <c r="Q104" i="1"/>
  <c r="Q100" i="1"/>
  <c r="R107" i="1"/>
  <c r="R100" i="1"/>
  <c r="Q77" i="1"/>
  <c r="Q9" i="1"/>
  <c r="Q96" i="1"/>
  <c r="Q78" i="1"/>
  <c r="R78" i="1"/>
  <c r="Q79" i="1"/>
  <c r="R79" i="1"/>
  <c r="Q80" i="1"/>
  <c r="R80" i="1"/>
  <c r="Q81" i="1"/>
  <c r="R81" i="1"/>
  <c r="Q101" i="1"/>
  <c r="R101" i="1"/>
  <c r="R93" i="1"/>
  <c r="Q91" i="1"/>
  <c r="R91" i="1"/>
  <c r="Q90" i="1"/>
  <c r="Q95" i="1"/>
  <c r="R95" i="1"/>
  <c r="Q93" i="1"/>
  <c r="Q92" i="1"/>
  <c r="Q97" i="1"/>
  <c r="R97" i="1"/>
  <c r="R98" i="1"/>
  <c r="Q89" i="1"/>
  <c r="R89" i="1"/>
  <c r="Q88" i="1"/>
  <c r="R88" i="1"/>
  <c r="Q87" i="1"/>
  <c r="R87" i="1"/>
  <c r="Q86" i="1"/>
  <c r="R86" i="1"/>
  <c r="R90" i="1"/>
  <c r="R92" i="1"/>
  <c r="Q99" i="1"/>
  <c r="R77" i="1"/>
  <c r="R96" i="1"/>
  <c r="R99" i="1"/>
  <c r="Q98" i="1"/>
  <c r="R94" i="1"/>
  <c r="R22" i="1"/>
  <c r="R7" i="1"/>
  <c r="Q94" i="1"/>
  <c r="R41" i="1"/>
  <c r="R68" i="1"/>
  <c r="R5" i="1"/>
  <c r="R20" i="1"/>
  <c r="R37" i="1"/>
  <c r="R56" i="1"/>
  <c r="R14" i="1"/>
  <c r="R33" i="1"/>
  <c r="R17" i="1"/>
  <c r="R16" i="1"/>
  <c r="R30" i="1"/>
  <c r="Q56" i="1"/>
  <c r="Q14" i="1"/>
  <c r="Q33" i="1"/>
  <c r="Q17" i="1"/>
  <c r="R60" i="1"/>
  <c r="R43" i="1"/>
  <c r="R24" i="1"/>
  <c r="R8" i="1"/>
  <c r="R74" i="1"/>
  <c r="Q74" i="1"/>
  <c r="R59" i="1"/>
  <c r="R31" i="1"/>
  <c r="Q57" i="1"/>
  <c r="Q34" i="1"/>
  <c r="R54" i="1"/>
  <c r="R47" i="1"/>
  <c r="R50" i="1"/>
  <c r="R42" i="1"/>
  <c r="R11" i="1"/>
  <c r="R15" i="1"/>
  <c r="R35" i="1"/>
  <c r="R27" i="1"/>
  <c r="R18" i="1"/>
  <c r="Q68" i="1"/>
  <c r="Q52" i="1"/>
  <c r="Q16" i="1"/>
  <c r="Q45" i="1"/>
  <c r="Q37" i="1"/>
  <c r="Q29" i="1"/>
  <c r="Q20" i="1"/>
  <c r="Q12" i="1"/>
  <c r="Q5" i="1"/>
  <c r="R70" i="1"/>
  <c r="Q69" i="1"/>
  <c r="Q53" i="1"/>
  <c r="Q67" i="1"/>
  <c r="Q46" i="1"/>
  <c r="Q39" i="1"/>
  <c r="Q30" i="1"/>
  <c r="Q21" i="1"/>
  <c r="Q63" i="1"/>
  <c r="Q6" i="1"/>
  <c r="Q49" i="1"/>
  <c r="Q65" i="1"/>
  <c r="Q40" i="1"/>
  <c r="Q26" i="1"/>
  <c r="Q23" i="1"/>
  <c r="Q10" i="1"/>
  <c r="R58" i="1"/>
  <c r="Q73" i="1"/>
  <c r="R73" i="1"/>
  <c r="R53" i="1"/>
  <c r="R75" i="1"/>
  <c r="R46" i="1"/>
  <c r="R63" i="1"/>
  <c r="R69" i="1"/>
  <c r="R57" i="1"/>
  <c r="R49" i="1"/>
  <c r="R67" i="1"/>
  <c r="R65" i="1"/>
  <c r="R40" i="1"/>
  <c r="R39" i="1"/>
  <c r="R34" i="1"/>
  <c r="R26" i="1"/>
  <c r="R21" i="1"/>
  <c r="R23" i="1"/>
  <c r="R10" i="1"/>
  <c r="R6" i="1"/>
  <c r="R71" i="1"/>
  <c r="R55" i="1"/>
  <c r="R51" i="1"/>
  <c r="R66" i="1"/>
  <c r="R48" i="1"/>
  <c r="R44" i="1"/>
  <c r="R36" i="1"/>
  <c r="R32" i="1"/>
  <c r="R28" i="1"/>
  <c r="R19" i="1"/>
  <c r="R64" i="1"/>
  <c r="R62" i="1"/>
  <c r="R4" i="1"/>
  <c r="Q75" i="1"/>
  <c r="R72" i="1"/>
  <c r="Q71" i="1"/>
  <c r="Q59" i="1"/>
  <c r="Q55" i="1"/>
  <c r="Q51" i="1"/>
  <c r="Q60" i="1"/>
  <c r="Q66" i="1"/>
  <c r="Q48" i="1"/>
  <c r="Q44" i="1"/>
  <c r="Q43" i="1"/>
  <c r="Q36" i="1"/>
  <c r="Q32" i="1"/>
  <c r="Q28" i="1"/>
  <c r="Q24" i="1"/>
  <c r="Q19" i="1"/>
  <c r="Q64" i="1"/>
  <c r="Q62" i="1"/>
  <c r="Q8" i="1"/>
  <c r="Q4" i="1"/>
  <c r="Q72" i="1"/>
  <c r="Q70" i="1"/>
  <c r="Q58" i="1"/>
  <c r="Q54" i="1"/>
  <c r="Q50" i="1"/>
  <c r="Q15" i="1"/>
  <c r="Q47" i="1"/>
  <c r="Q42" i="1"/>
  <c r="Q41" i="1"/>
  <c r="Q35" i="1"/>
  <c r="Q31" i="1"/>
  <c r="Q27" i="1"/>
  <c r="Q22" i="1"/>
  <c r="Q18" i="1"/>
  <c r="Q13" i="1"/>
  <c r="Q11" i="1"/>
  <c r="Q7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<sst xmlns="http://schemas.openxmlformats.org/spreadsheetml/2006/main" count="7166" uniqueCount="1101">
  <si>
    <t>Sparkle PIVOT Sample CFU plating data recording sheet. Manually enter your data in columns marked with a ⭐ (optional: †) and the other columns should auto-calculate appropriately. The data are sortable, and can be filtered using the dropdowns in each column.</t>
  </si>
  <si>
    <t>⭐</t>
  </si>
  <si>
    <t>†</t>
  </si>
  <si>
    <t>Batch</t>
  </si>
  <si>
    <t>Sample Description</t>
  </si>
  <si>
    <t>Code No.</t>
  </si>
  <si>
    <t>Logs</t>
  </si>
  <si>
    <t>No. Reps</t>
  </si>
  <si>
    <t>Extra</t>
  </si>
  <si>
    <t>grams</t>
  </si>
  <si>
    <t>mL</t>
  </si>
  <si>
    <t>Who</t>
  </si>
  <si>
    <t>Date</t>
  </si>
  <si>
    <t>Best DF</t>
  </si>
  <si>
    <t>R1</t>
  </si>
  <si>
    <t>R2</t>
  </si>
  <si>
    <t>R3</t>
  </si>
  <si>
    <t>CFU/mL</t>
  </si>
  <si>
    <t>SD CFU/mL</t>
  </si>
  <si>
    <t>CFU/g</t>
  </si>
  <si>
    <t>SD CFU/g</t>
  </si>
  <si>
    <t>CV</t>
  </si>
  <si>
    <t>Remark/AW</t>
  </si>
  <si>
    <t>21GA0143</t>
  </si>
  <si>
    <t>55 *C 10% MS</t>
  </si>
  <si>
    <t>K11</t>
  </si>
  <si>
    <t>4, 5</t>
  </si>
  <si>
    <t>Crossover</t>
  </si>
  <si>
    <t>CL</t>
  </si>
  <si>
    <t>plated &gt;2 hours after dissolving</t>
  </si>
  <si>
    <t>JS</t>
  </si>
  <si>
    <t>Cliff watched Jacob plate</t>
  </si>
  <si>
    <t>SP1 10% MS</t>
  </si>
  <si>
    <t>K12</t>
  </si>
  <si>
    <t>22GA0078</t>
  </si>
  <si>
    <t>Vector 1:1 MD/PO4/Sucrose 10% MS T1</t>
  </si>
  <si>
    <t>S1</t>
  </si>
  <si>
    <t>5, 6</t>
  </si>
  <si>
    <t>Vector 1:1 MD/PO4/Sucrose 2% CaCl2 T2</t>
  </si>
  <si>
    <t>S2</t>
  </si>
  <si>
    <t>22GA0079</t>
  </si>
  <si>
    <t xml:space="preserve">Vector 1:1 MD/PO4/Sucrose 10% MS </t>
  </si>
  <si>
    <t>S3</t>
  </si>
  <si>
    <t>Vector 1:1 MD/PO4/Sucrose 2% CaCl2 T4</t>
  </si>
  <si>
    <t>S4</t>
  </si>
  <si>
    <t>22GA0084</t>
  </si>
  <si>
    <t>D60 10% MS</t>
  </si>
  <si>
    <t>T1</t>
  </si>
  <si>
    <t>Aw</t>
  </si>
  <si>
    <t>D60 2.5% CaCl2</t>
  </si>
  <si>
    <t>T2</t>
  </si>
  <si>
    <t>22GA0086</t>
  </si>
  <si>
    <t>D60 10% PVA-Talc 10% MS</t>
  </si>
  <si>
    <t>T3</t>
  </si>
  <si>
    <t>D60 10% PVA-Talc 2.5% CaCl2</t>
  </si>
  <si>
    <t>T4</t>
  </si>
  <si>
    <t>22GA0094</t>
  </si>
  <si>
    <t>D60 17% sodium sulfate coating 10% MS</t>
  </si>
  <si>
    <t>T5</t>
  </si>
  <si>
    <t>D60 17% sodium sulfate coating 2.5% CaCl2</t>
  </si>
  <si>
    <t>T6</t>
  </si>
  <si>
    <t>21GA0141</t>
  </si>
  <si>
    <t>55 *C Tube</t>
  </si>
  <si>
    <t>K1</t>
  </si>
  <si>
    <t>SP1 Tube</t>
  </si>
  <si>
    <t>K2</t>
  </si>
  <si>
    <t>21GA0142</t>
  </si>
  <si>
    <t>K5</t>
  </si>
  <si>
    <t>Jacob independently plated</t>
  </si>
  <si>
    <t>K6</t>
  </si>
  <si>
    <t>K10</t>
  </si>
  <si>
    <t>K9</t>
  </si>
  <si>
    <t xml:space="preserve">4, 5 </t>
  </si>
  <si>
    <t>22GA0057</t>
  </si>
  <si>
    <t>10% MS</t>
  </si>
  <si>
    <t>2% CaCl2</t>
  </si>
  <si>
    <t>R4</t>
  </si>
  <si>
    <t>22GA0070</t>
  </si>
  <si>
    <t>R7</t>
  </si>
  <si>
    <t>R8</t>
  </si>
  <si>
    <t>22GA0136</t>
  </si>
  <si>
    <t>50% partial spray; Mylar w/o dessicant</t>
  </si>
  <si>
    <t>W3</t>
  </si>
  <si>
    <t>22GA0137</t>
  </si>
  <si>
    <t>W4</t>
  </si>
  <si>
    <t>FDL-096-T09</t>
  </si>
  <si>
    <t>6, 7</t>
  </si>
  <si>
    <t>AW</t>
  </si>
  <si>
    <t>FDL-096-T10</t>
  </si>
  <si>
    <t>FDL-096-T11</t>
  </si>
  <si>
    <t>FDL-096-T12</t>
  </si>
  <si>
    <t>P053-22-Y019</t>
  </si>
  <si>
    <t>Broth</t>
  </si>
  <si>
    <t>7,8</t>
  </si>
  <si>
    <t>Z005</t>
  </si>
  <si>
    <t>Broth, no shaking</t>
  </si>
  <si>
    <t>22GA00100 10% MS</t>
  </si>
  <si>
    <t>U5</t>
  </si>
  <si>
    <t>KH</t>
  </si>
  <si>
    <t>AW - 0.275</t>
  </si>
  <si>
    <t>22GA00100 2.5% CaCl2</t>
  </si>
  <si>
    <t>U6</t>
  </si>
  <si>
    <t>AW - 0.348</t>
  </si>
  <si>
    <t>22GA00100 no des</t>
  </si>
  <si>
    <t>U4</t>
  </si>
  <si>
    <t>AW - 0.117</t>
  </si>
  <si>
    <t>22GA00101 10% MS</t>
  </si>
  <si>
    <t>U2</t>
  </si>
  <si>
    <t>AW - 0.097</t>
  </si>
  <si>
    <t>22GA00101 2.5% CaCl2</t>
  </si>
  <si>
    <t>U3</t>
  </si>
  <si>
    <t>AW - 0.166</t>
  </si>
  <si>
    <t>22GA00101 no des</t>
  </si>
  <si>
    <t>U1</t>
  </si>
  <si>
    <t>AW - 0.364</t>
  </si>
  <si>
    <t>22GA00105 10% MS</t>
  </si>
  <si>
    <t>U7</t>
  </si>
  <si>
    <t>22GA00105 2.5% CaCl2</t>
  </si>
  <si>
    <t>22GA00105 no des</t>
  </si>
  <si>
    <t>22GA00106 10% MS</t>
  </si>
  <si>
    <t>U9</t>
  </si>
  <si>
    <t>22GA00106 2.5% CaCl2</t>
  </si>
  <si>
    <t>U10</t>
  </si>
  <si>
    <t>22GA0040 10% MS</t>
  </si>
  <si>
    <t>Q5</t>
  </si>
  <si>
    <t>22GA0040 2.5% CaCl2</t>
  </si>
  <si>
    <t>Q6</t>
  </si>
  <si>
    <t>22GA0084 10% MS</t>
  </si>
  <si>
    <t>AW - 0.328</t>
  </si>
  <si>
    <t>22GA0084 2% CaCl2</t>
  </si>
  <si>
    <t>AW - 0.286</t>
  </si>
  <si>
    <t>22GA0086 10% MS</t>
  </si>
  <si>
    <t>22GA0086 2% CaCl2</t>
  </si>
  <si>
    <t>22GA0094 10% MS</t>
  </si>
  <si>
    <t>22GA0094 2% CaCl2</t>
  </si>
  <si>
    <t>Y019 no stir</t>
  </si>
  <si>
    <t>7, 8</t>
  </si>
  <si>
    <t>Y019 stir</t>
  </si>
  <si>
    <t>Y020</t>
  </si>
  <si>
    <t>Y021</t>
  </si>
  <si>
    <t>55 *C/30 min mylar</t>
  </si>
  <si>
    <t>SP1 mylar</t>
  </si>
  <si>
    <t>55C/30 min</t>
  </si>
  <si>
    <t>4,5</t>
  </si>
  <si>
    <t>SP1</t>
  </si>
  <si>
    <t>2nd count from biohazard, estimate</t>
  </si>
  <si>
    <t>2nd count, 30C</t>
  </si>
  <si>
    <t>21GA0244</t>
  </si>
  <si>
    <t>10%MS</t>
  </si>
  <si>
    <t>Anyi oversaw plating</t>
  </si>
  <si>
    <t>22GA0003</t>
  </si>
  <si>
    <t>plated from same well</t>
  </si>
  <si>
    <t>2.5% CaCl2</t>
  </si>
  <si>
    <t>Katie crossed over on plating step</t>
  </si>
  <si>
    <t>Anyi crossed over on plating step</t>
  </si>
  <si>
    <t xml:space="preserve">22GA0003 </t>
  </si>
  <si>
    <t>Crossover on serial dilution with KH</t>
  </si>
  <si>
    <t>Crossover on serial dilution with JS</t>
  </si>
  <si>
    <t>22GA0015</t>
  </si>
  <si>
    <t>P5</t>
  </si>
  <si>
    <t>Diluent expt</t>
  </si>
  <si>
    <t>Water diluent</t>
  </si>
  <si>
    <t>PBS diluent</t>
  </si>
  <si>
    <t>22GA0016</t>
  </si>
  <si>
    <t>P7</t>
  </si>
  <si>
    <t>22GA0101</t>
  </si>
  <si>
    <t>full x-over</t>
  </si>
  <si>
    <t>incubated at 28 *C</t>
  </si>
  <si>
    <t>No dessicant mylar</t>
  </si>
  <si>
    <t>22GA0105</t>
  </si>
  <si>
    <t>EC</t>
  </si>
  <si>
    <t>On-seed Description</t>
  </si>
  <si>
    <t>Is T0? (Y/N)</t>
  </si>
  <si>
    <t>T0 (date)</t>
  </si>
  <si>
    <t>Water Activity</t>
  </si>
  <si>
    <t>Redo</t>
  </si>
  <si>
    <t>22GA0100</t>
  </si>
  <si>
    <t>independent</t>
  </si>
  <si>
    <t>Rel. to CL</t>
  </si>
  <si>
    <t>22GA0106</t>
  </si>
  <si>
    <t>Need to re-plate, no growth at 10^5</t>
  </si>
  <si>
    <t>10% MS 25 *C</t>
  </si>
  <si>
    <t>2.5% CaCl2 25 *C</t>
  </si>
  <si>
    <t>T13</t>
  </si>
  <si>
    <t>FD</t>
  </si>
  <si>
    <t>5,6,7</t>
  </si>
  <si>
    <t>T14</t>
  </si>
  <si>
    <t>T15</t>
  </si>
  <si>
    <t>T16</t>
  </si>
  <si>
    <t>T17</t>
  </si>
  <si>
    <t>T18</t>
  </si>
  <si>
    <t>T19</t>
  </si>
  <si>
    <t>T20</t>
  </si>
  <si>
    <t>FDL-097EF-T19</t>
  </si>
  <si>
    <t>5, 6, 7</t>
  </si>
  <si>
    <t>22PT0929-1</t>
  </si>
  <si>
    <t>22PT0929-2</t>
  </si>
  <si>
    <t>P080-22-Y013</t>
  </si>
  <si>
    <t>Cedar Rapids Klebsiella G2</t>
  </si>
  <si>
    <t>CR seed vial</t>
  </si>
  <si>
    <t>3, 4, 5, 6</t>
  </si>
  <si>
    <t>No contam. on TSA, PDA</t>
  </si>
  <si>
    <t>Cedar Rapids Kosakonia G2</t>
  </si>
  <si>
    <t>FDL-094B-T10</t>
  </si>
  <si>
    <t>21C</t>
  </si>
  <si>
    <t>3, 4</t>
  </si>
  <si>
    <t>Y</t>
  </si>
  <si>
    <t>Re-Plated Samples</t>
  </si>
  <si>
    <t>FDL-094B-T11</t>
  </si>
  <si>
    <t>FDL-094B-T13</t>
  </si>
  <si>
    <t>FDL-094B-T14</t>
  </si>
  <si>
    <t>FDL-094B-T15</t>
  </si>
  <si>
    <t>FDL-094B-T16</t>
  </si>
  <si>
    <t>FDL-098-T29</t>
  </si>
  <si>
    <t>Pivot FD</t>
  </si>
  <si>
    <t>6,7</t>
  </si>
  <si>
    <t>FDL-092B-T10</t>
  </si>
  <si>
    <t>2, 4, 6</t>
  </si>
  <si>
    <t>FDL-092B-T11</t>
  </si>
  <si>
    <t>FDL-092B-T12</t>
  </si>
  <si>
    <t>FDL-092B-T9</t>
  </si>
  <si>
    <t>FDL-095A-T5</t>
  </si>
  <si>
    <t>FDL-095A-T8</t>
  </si>
  <si>
    <t xml:space="preserve">10% MS </t>
  </si>
  <si>
    <t>FDL-086-7</t>
  </si>
  <si>
    <t>Contaminated</t>
  </si>
  <si>
    <t>FDL-090C-T09</t>
  </si>
  <si>
    <t>FDL-095A-T08</t>
  </si>
  <si>
    <t>FDL-095-T05</t>
  </si>
  <si>
    <t>too low - replate</t>
  </si>
  <si>
    <t>FDL-92B-T12</t>
  </si>
  <si>
    <t>FDL-94A-T02</t>
  </si>
  <si>
    <t>P080-22-Y025</t>
  </si>
  <si>
    <t>pH = 6.97</t>
  </si>
  <si>
    <t>A</t>
  </si>
  <si>
    <t xml:space="preserve">AW plated and EC counted </t>
  </si>
  <si>
    <t>D</t>
  </si>
  <si>
    <t>EF</t>
  </si>
  <si>
    <t>Streptomyces Unfiltered</t>
  </si>
  <si>
    <t>Streptomyces Filtered</t>
  </si>
  <si>
    <t>95C-T20</t>
  </si>
  <si>
    <t>94B-T16</t>
  </si>
  <si>
    <t>25C</t>
  </si>
  <si>
    <t>1, 2</t>
  </si>
  <si>
    <t>94B-T10</t>
  </si>
  <si>
    <t>92A-T5</t>
  </si>
  <si>
    <t>2, 3</t>
  </si>
  <si>
    <t>94B-T11</t>
  </si>
  <si>
    <t>92A-T1</t>
  </si>
  <si>
    <t>92A-T4</t>
  </si>
  <si>
    <t>94B-T14</t>
  </si>
  <si>
    <t>92B-T9</t>
  </si>
  <si>
    <t>94B-T13</t>
  </si>
  <si>
    <t>0, 1</t>
  </si>
  <si>
    <t>94B-T15</t>
  </si>
  <si>
    <t>92A-T2</t>
  </si>
  <si>
    <t>94A-T2</t>
  </si>
  <si>
    <t>92A-T7</t>
  </si>
  <si>
    <t>90D-T14</t>
  </si>
  <si>
    <t>FD Milling</t>
  </si>
  <si>
    <t>T7</t>
  </si>
  <si>
    <t>3, 4, 5</t>
  </si>
  <si>
    <t>95A-T5</t>
  </si>
  <si>
    <t>95A-T8</t>
  </si>
  <si>
    <t>92B-T10</t>
  </si>
  <si>
    <t>92B-T11</t>
  </si>
  <si>
    <t>92B-T12</t>
  </si>
  <si>
    <t>Y033</t>
  </si>
  <si>
    <t>40h</t>
  </si>
  <si>
    <t>Y034</t>
  </si>
  <si>
    <t>Y035</t>
  </si>
  <si>
    <t>Y036</t>
  </si>
  <si>
    <t>48h</t>
  </si>
  <si>
    <t>95D-T27</t>
  </si>
  <si>
    <t>95D-T28</t>
  </si>
  <si>
    <t>95D-T31</t>
  </si>
  <si>
    <t>97A-T2</t>
  </si>
  <si>
    <t>97A-T4</t>
  </si>
  <si>
    <t>97B-T9</t>
  </si>
  <si>
    <t>97C-T17</t>
  </si>
  <si>
    <t>97A-T6</t>
  </si>
  <si>
    <t>97A-T7</t>
  </si>
  <si>
    <t>95C-T22</t>
  </si>
  <si>
    <t>95C-T19</t>
  </si>
  <si>
    <t>97B-T13</t>
  </si>
  <si>
    <t>95C-T17</t>
  </si>
  <si>
    <t>95C-T21</t>
  </si>
  <si>
    <t>95C-T18</t>
  </si>
  <si>
    <t>97D-T18</t>
  </si>
  <si>
    <t>2%CaCl2, 21C</t>
  </si>
  <si>
    <t>2, 4 ,6</t>
  </si>
  <si>
    <t>97EF-T19</t>
  </si>
  <si>
    <t>98B-T13</t>
  </si>
  <si>
    <t>98B-T14</t>
  </si>
  <si>
    <t>98B-T15</t>
  </si>
  <si>
    <t>98B-T16</t>
  </si>
  <si>
    <t>99A</t>
  </si>
  <si>
    <t>No DS, 21C</t>
  </si>
  <si>
    <t>No DS</t>
  </si>
  <si>
    <t>Y041</t>
  </si>
  <si>
    <t>Y042</t>
  </si>
  <si>
    <t>Y043</t>
  </si>
  <si>
    <t>Y044</t>
  </si>
  <si>
    <t>Re-plated with new pipettes, buffer, and incubator</t>
  </si>
  <si>
    <t>Y041 (B)</t>
  </si>
  <si>
    <t>Re-plated Ben's samples with new pipettes, buffer, and incubator</t>
  </si>
  <si>
    <t>Y042 (B)</t>
  </si>
  <si>
    <t>Y043 (B)</t>
  </si>
  <si>
    <t>Y044 (B)</t>
  </si>
  <si>
    <t xml:space="preserve">25C FD </t>
  </si>
  <si>
    <t>0, 1, 2</t>
  </si>
  <si>
    <t>86-3</t>
  </si>
  <si>
    <t>1, 2, 3</t>
  </si>
  <si>
    <t>86-7</t>
  </si>
  <si>
    <t>2, 3, 4</t>
  </si>
  <si>
    <t>90D-T13</t>
  </si>
  <si>
    <t>90C-T9</t>
  </si>
  <si>
    <t>90C-T10</t>
  </si>
  <si>
    <t>4C FD</t>
  </si>
  <si>
    <t>4, 5, 6</t>
  </si>
  <si>
    <t>21C FD</t>
  </si>
  <si>
    <t>94B-T9</t>
  </si>
  <si>
    <t>IFF09152022-2</t>
  </si>
  <si>
    <t>T1, Pellet As is</t>
  </si>
  <si>
    <t>IFF09152022-3</t>
  </si>
  <si>
    <t>IFF10202022-1</t>
  </si>
  <si>
    <t>IFF10202022-2</t>
  </si>
  <si>
    <t>T4, Bulked Powder</t>
  </si>
  <si>
    <t>Bulked Powder</t>
  </si>
  <si>
    <t>4,5,6</t>
  </si>
  <si>
    <t xml:space="preserve">Pellet As is </t>
  </si>
  <si>
    <t>0, 2</t>
  </si>
  <si>
    <t>Rep 1 TSA, Rep 2 YPD, goopy at 10^0</t>
  </si>
  <si>
    <t>2, 4</t>
  </si>
  <si>
    <t>Rep 1 TSA, Rep 2 YPD</t>
  </si>
  <si>
    <t>FDL-092B-T09</t>
  </si>
  <si>
    <t>mylar no DS + 21 C</t>
  </si>
  <si>
    <t>2% CaCl2, 21C (10/6)</t>
  </si>
  <si>
    <t>2 shiny, goopy colonies</t>
  </si>
  <si>
    <t>98A-T3</t>
  </si>
  <si>
    <t>21C FD (10/6)</t>
  </si>
  <si>
    <t>98A-T5</t>
  </si>
  <si>
    <t>98A-T6</t>
  </si>
  <si>
    <t>98A-T7</t>
  </si>
  <si>
    <t>98A-T1</t>
  </si>
  <si>
    <t>98A-T2</t>
  </si>
  <si>
    <t>4 shiny, goopy colonies at 10^5</t>
  </si>
  <si>
    <t>1 shiny goopy colony</t>
  </si>
  <si>
    <t>98C-T21</t>
  </si>
  <si>
    <t>98C-T22</t>
  </si>
  <si>
    <t>98C-T23</t>
  </si>
  <si>
    <t>7 shiny, goopy colonies at 10^5</t>
  </si>
  <si>
    <t>No DS, 21C (10/6)</t>
  </si>
  <si>
    <t>3 shiny, goopy colonies</t>
  </si>
  <si>
    <t>4C FD (10/6)</t>
  </si>
  <si>
    <t>6 wrinkly colonies at 10^6</t>
  </si>
  <si>
    <t>2 shiny, goopy colonies at 10^6</t>
  </si>
  <si>
    <t>21C FD (9/12)</t>
  </si>
  <si>
    <t>replating at 10^3 and 10^4</t>
  </si>
  <si>
    <t>1 wrinkly colony</t>
  </si>
  <si>
    <t>11 wrinkly and 2 goopy colonies at 10^6</t>
  </si>
  <si>
    <t>25C FD (9/12)</t>
  </si>
  <si>
    <t>2 goopy colonies</t>
  </si>
  <si>
    <t>26 goopy colonies at 10^3 and 6 goopy colonies at 10^4</t>
  </si>
  <si>
    <t>1 goopy colony at 10^3</t>
  </si>
  <si>
    <t xml:space="preserve">1 goopy colony </t>
  </si>
  <si>
    <t>5 goopy colonies</t>
  </si>
  <si>
    <t>4C FD (9/12)</t>
  </si>
  <si>
    <t>97A-T3</t>
  </si>
  <si>
    <t>2 goopy colonies at 10^5</t>
  </si>
  <si>
    <t>1 goopy colony at 10^6</t>
  </si>
  <si>
    <t>1 goopy colony at 10^6 and 10^7</t>
  </si>
  <si>
    <t>150A-T2</t>
  </si>
  <si>
    <t xml:space="preserve">Bulked </t>
  </si>
  <si>
    <t>Please re-plate this sample</t>
  </si>
  <si>
    <t>150A-T3</t>
  </si>
  <si>
    <t>150A-T4</t>
  </si>
  <si>
    <t>22GA0040</t>
  </si>
  <si>
    <t>10% MS 25C</t>
  </si>
  <si>
    <t>2%CaCl2 25C</t>
  </si>
  <si>
    <t>Water Activity= 0.207, please re-plate this sample</t>
  </si>
  <si>
    <t>Water Activity= 0.153</t>
  </si>
  <si>
    <t>Water Activity= 0.268</t>
  </si>
  <si>
    <t>Water Activity= 0.265</t>
  </si>
  <si>
    <t>Water Activity= 0.221</t>
  </si>
  <si>
    <t>Water Activity= 0.257</t>
  </si>
  <si>
    <t>Water Activity= 0.246</t>
  </si>
  <si>
    <t>54C</t>
  </si>
  <si>
    <t>No DS 21C</t>
  </si>
  <si>
    <t>FDL-105B-T05</t>
  </si>
  <si>
    <t>FDL-105B-T06</t>
  </si>
  <si>
    <t>FDL-105B-T07</t>
  </si>
  <si>
    <t>FDL-105B-T09</t>
  </si>
  <si>
    <t>FDL-105B-T10</t>
  </si>
  <si>
    <t>FDL-105B-T11</t>
  </si>
  <si>
    <t>FDL-105B-T12</t>
  </si>
  <si>
    <t>Water Activity= 0.337</t>
  </si>
  <si>
    <t>Water Activity= 0.381</t>
  </si>
  <si>
    <t>Water Activity= 0.405</t>
  </si>
  <si>
    <t>Water Activity= 0.334</t>
  </si>
  <si>
    <t>Water Activity= 0.367</t>
  </si>
  <si>
    <t>Water Activity= 0.368</t>
  </si>
  <si>
    <t>Water Activity= 0.343</t>
  </si>
  <si>
    <t>IFF09152022-2 T1</t>
  </si>
  <si>
    <t>Water Activity= 0.272</t>
  </si>
  <si>
    <t>IFF09152022-2 T2</t>
  </si>
  <si>
    <t>Water Activity= 0.186</t>
  </si>
  <si>
    <t>IFF09152022-2 T4</t>
  </si>
  <si>
    <t>Water Activity= 0.279</t>
  </si>
  <si>
    <t>IFF09152022-3 T1</t>
  </si>
  <si>
    <t>Water Activity= 0.238</t>
  </si>
  <si>
    <t>IFF09152022-3 T2</t>
  </si>
  <si>
    <t>Water Activity= 0.165</t>
  </si>
  <si>
    <t>IFF09152022-3 T4</t>
  </si>
  <si>
    <t>Water Activity= 0.278</t>
  </si>
  <si>
    <t>IFF10202022-1 T1</t>
  </si>
  <si>
    <t>IFF10202022-1 T2</t>
  </si>
  <si>
    <t>Water Activity= 0.305</t>
  </si>
  <si>
    <t>IFF10202022-1 T4</t>
  </si>
  <si>
    <t>Water Activity= 0.319</t>
  </si>
  <si>
    <t>IFF10202022-2 T1</t>
  </si>
  <si>
    <t>Water Activity= 0.330</t>
  </si>
  <si>
    <t>IFF10202022-2 T2</t>
  </si>
  <si>
    <t>Water Activity= 0.271</t>
  </si>
  <si>
    <t>IFF10202022-2 T4</t>
  </si>
  <si>
    <t>Water Activity= 0.307</t>
  </si>
  <si>
    <t>IFF09152022-2 T3</t>
  </si>
  <si>
    <t>4C</t>
  </si>
  <si>
    <t>IFF09152022-3 T3</t>
  </si>
  <si>
    <t>IFF10202022-1 T3</t>
  </si>
  <si>
    <t>IFF10202022-2 T3</t>
  </si>
  <si>
    <t>FDL-150A-T02</t>
  </si>
  <si>
    <t>IFF09152022-1-T01</t>
  </si>
  <si>
    <t>IFF09152022</t>
  </si>
  <si>
    <t>Sample 1, KLUB PVT40</t>
  </si>
  <si>
    <t>Sample 2, KOKO PVT70</t>
  </si>
  <si>
    <t>FDL-105C-T13</t>
  </si>
  <si>
    <t>FDL-105C-T14</t>
  </si>
  <si>
    <t>FDL-105C-T15</t>
  </si>
  <si>
    <t>FDL-105C-T16</t>
  </si>
  <si>
    <t>FDL-105C-T17</t>
  </si>
  <si>
    <t>FDL-105C-T18</t>
  </si>
  <si>
    <t>FDL-105D-T19</t>
  </si>
  <si>
    <t>FDL-105D-T20</t>
  </si>
  <si>
    <t>FDL-105D-T21</t>
  </si>
  <si>
    <t>FDL-105A-T2</t>
  </si>
  <si>
    <t xml:space="preserve">21C, Bulked Pwder </t>
  </si>
  <si>
    <t>FDL-105A-T3</t>
  </si>
  <si>
    <t>FDL-105A-T4</t>
  </si>
  <si>
    <t>Water Activity= 0.255</t>
  </si>
  <si>
    <t>21C, Milled Powder</t>
  </si>
  <si>
    <t>Water Activity= 0.222</t>
  </si>
  <si>
    <t>Water Activity= 0.267</t>
  </si>
  <si>
    <t>21C, Pellet As Is</t>
  </si>
  <si>
    <t>Water Activity= 0.216</t>
  </si>
  <si>
    <t>Water Activity= 0.259</t>
  </si>
  <si>
    <t>Water Activity= 0.168</t>
  </si>
  <si>
    <t>4C, Bulked Powder</t>
  </si>
  <si>
    <t>4C, Pellet As Is</t>
  </si>
  <si>
    <t>FDL-105A-T02</t>
  </si>
  <si>
    <t>Seed treatment bio. rep. A</t>
  </si>
  <si>
    <t>FDL-105A-T03</t>
  </si>
  <si>
    <t>FDL-105A-T04</t>
  </si>
  <si>
    <t>Seed treatment bio. rep. B</t>
  </si>
  <si>
    <t>Seed treatment bio. rep. C</t>
  </si>
  <si>
    <t>The 10^0 was skipped and not plated, accidentally</t>
  </si>
  <si>
    <t>FDL-105B-T5</t>
  </si>
  <si>
    <t>FDL-105B-T6</t>
  </si>
  <si>
    <t>FDL-105B-T7</t>
  </si>
  <si>
    <t>FDL-105B-T9</t>
  </si>
  <si>
    <t>105EF-T22</t>
  </si>
  <si>
    <t>105EF-T23</t>
  </si>
  <si>
    <t>105EF-T24</t>
  </si>
  <si>
    <t>105EF-T25</t>
  </si>
  <si>
    <t>105EF-T26</t>
  </si>
  <si>
    <t>105EF-T27</t>
  </si>
  <si>
    <t>105EF-T29</t>
  </si>
  <si>
    <t>105G-T30</t>
  </si>
  <si>
    <t>105G-T31</t>
  </si>
  <si>
    <t>105G-T32</t>
  </si>
  <si>
    <t>105G-T33</t>
  </si>
  <si>
    <t>FDL-105EF-T22</t>
  </si>
  <si>
    <t>Bulked Powder, 21C</t>
  </si>
  <si>
    <t>Water Activity= 0.297</t>
  </si>
  <si>
    <t>FDL-105EF-T23</t>
  </si>
  <si>
    <t>Water Activity= 0.289</t>
  </si>
  <si>
    <t>FDL-105EF-T24</t>
  </si>
  <si>
    <t>Water Activity= 0.290</t>
  </si>
  <si>
    <t>FDL-105EF-T25</t>
  </si>
  <si>
    <t>Water Activity=0.237</t>
  </si>
  <si>
    <t>FDL-105EF-T26</t>
  </si>
  <si>
    <t>Water Activity= 0.310</t>
  </si>
  <si>
    <t>FDL-105EF-T27</t>
  </si>
  <si>
    <t>Water Activity= 0.291</t>
  </si>
  <si>
    <t>FDL-105EF-T29</t>
  </si>
  <si>
    <t>Water Activity= 0.394</t>
  </si>
  <si>
    <t>FDL-105G-T30</t>
  </si>
  <si>
    <t>Water Activity= 0.270</t>
  </si>
  <si>
    <t>FDL-105G-T31</t>
  </si>
  <si>
    <t>Water Activity= 0.261</t>
  </si>
  <si>
    <t>FDL-105G-T32</t>
  </si>
  <si>
    <t>Water Activity=0.239</t>
  </si>
  <si>
    <t>FDL-105G-T33</t>
  </si>
  <si>
    <t>Water Activity= 0.184</t>
  </si>
  <si>
    <t>Water Activity= 0.308</t>
  </si>
  <si>
    <t>Water Activity= 0.254</t>
  </si>
  <si>
    <t>IFF9152022-2 T1</t>
  </si>
  <si>
    <t>Water Activity= 0.213</t>
  </si>
  <si>
    <t>IFF9152022-2 T2</t>
  </si>
  <si>
    <t>Water Activity= 0.155</t>
  </si>
  <si>
    <t>IFF9152022-2 T4</t>
  </si>
  <si>
    <t>IFF9152022-3 T1</t>
  </si>
  <si>
    <t>Water Activity= 0.185</t>
  </si>
  <si>
    <t>IFF9152022-3 T2</t>
  </si>
  <si>
    <t>Water Activity= 0.116</t>
  </si>
  <si>
    <t>IFF9152022-3 T4</t>
  </si>
  <si>
    <t>Water Activity= 0.204</t>
  </si>
  <si>
    <t>Water Activity= 0.344</t>
  </si>
  <si>
    <t>Water Activity= 0.287</t>
  </si>
  <si>
    <t>IFF9152022-2 T3</t>
  </si>
  <si>
    <t>IFF9152022-3 T3</t>
  </si>
  <si>
    <t>Water Activity= 0.299</t>
  </si>
  <si>
    <t>Water Activity= 0.318</t>
  </si>
  <si>
    <t>Water Activity= 0.350</t>
  </si>
  <si>
    <t>Water Activity= 0.309</t>
  </si>
  <si>
    <t>Water Activity= 0.306</t>
  </si>
  <si>
    <t>Bulked Powder, 4C</t>
  </si>
  <si>
    <t>Pellet As is, 4C</t>
  </si>
  <si>
    <t>Milled Powder, 21C</t>
  </si>
  <si>
    <t>Water Activity= 0.200</t>
  </si>
  <si>
    <t>Water Activity= 0.292</t>
  </si>
  <si>
    <t>Water Activity= 0.217</t>
  </si>
  <si>
    <t>Water Activity= 0.260</t>
  </si>
  <si>
    <t>Water Activity= 0.219</t>
  </si>
  <si>
    <t>FDL-150B-T10</t>
  </si>
  <si>
    <t>AW/ EC</t>
  </si>
  <si>
    <t>FDL-150B-T11</t>
  </si>
  <si>
    <t>FDL-105D-T19-W4</t>
  </si>
  <si>
    <t xml:space="preserve">Extender </t>
  </si>
  <si>
    <t>FDL-105D-T20-W4</t>
  </si>
  <si>
    <t>FDL-105C-T14-W4</t>
  </si>
  <si>
    <t>FDL-105C-T11-W4</t>
  </si>
  <si>
    <t>FDL-105B-T10-W4</t>
  </si>
  <si>
    <t>FDL-105H-T35</t>
  </si>
  <si>
    <t>SP-SDS</t>
  </si>
  <si>
    <t>FDL-105H-T37</t>
  </si>
  <si>
    <t>FDL-107A-T1</t>
  </si>
  <si>
    <t>FDL-107A-T2</t>
  </si>
  <si>
    <t>FDL-107B-T4</t>
  </si>
  <si>
    <t>FDL-107B-T5</t>
  </si>
  <si>
    <t>FDL-107C-T08</t>
  </si>
  <si>
    <t>FDL-107C-T09</t>
  </si>
  <si>
    <t>FDL-107D-T12</t>
  </si>
  <si>
    <t>FDL-107D-T13</t>
  </si>
  <si>
    <t>FDL-107D-T14</t>
  </si>
  <si>
    <t>FDL-107B-T6</t>
  </si>
  <si>
    <t>1,2</t>
  </si>
  <si>
    <t>Water Activity= 0.264</t>
  </si>
  <si>
    <t>Water Activity= 0.227</t>
  </si>
  <si>
    <t>Water Activity= 0.190</t>
  </si>
  <si>
    <t>Water Activity= 0.194</t>
  </si>
  <si>
    <t>Pellet As is, 21C</t>
  </si>
  <si>
    <t>Water Activity= 0.250</t>
  </si>
  <si>
    <t>Water Activity= 0.142</t>
  </si>
  <si>
    <t xml:space="preserve">Pellet As Is </t>
  </si>
  <si>
    <t>FDL-107H-T19</t>
  </si>
  <si>
    <t>FDL-107IJ-T22</t>
  </si>
  <si>
    <t>FDL-107K-T30</t>
  </si>
  <si>
    <t>FDL-107EF-T15</t>
  </si>
  <si>
    <t>FDL-107EF-T16</t>
  </si>
  <si>
    <t>FDL-107LM-T25</t>
  </si>
  <si>
    <t>FDL-107LM-T26</t>
  </si>
  <si>
    <t>Broth-004</t>
  </si>
  <si>
    <t>SD-SPS</t>
  </si>
  <si>
    <t>Broth-008</t>
  </si>
  <si>
    <t>SP-SDS, Water Activity= 0.301</t>
  </si>
  <si>
    <t>SP-SDS, Water Activity= 0.304</t>
  </si>
  <si>
    <t>SP-SDS, Water Activity= 0.273</t>
  </si>
  <si>
    <t>SP-SDS, Water Activity= 0.306</t>
  </si>
  <si>
    <t>105G-T29</t>
  </si>
  <si>
    <t>SP-SDS, Water Activity= 0.365</t>
  </si>
  <si>
    <t xml:space="preserve">SP-SDS, Water Activity= 0.261 </t>
  </si>
  <si>
    <t>SP-SDS, Water Activity= 0.258</t>
  </si>
  <si>
    <t>SP-SDS, Water Activity= 0.234</t>
  </si>
  <si>
    <t>SP-SDS, Water Activity= 0.216</t>
  </si>
  <si>
    <t>Bulked Powder, 21C, week-4</t>
  </si>
  <si>
    <t>SP-SDS, Water Activity= 0.305</t>
  </si>
  <si>
    <t>AB Klub 021923 AA</t>
  </si>
  <si>
    <t>105C-T14 Trp</t>
  </si>
  <si>
    <t>105B-T15 Trp</t>
  </si>
  <si>
    <t>105D-T20 Trp</t>
  </si>
  <si>
    <t>105G-T33 Trp</t>
  </si>
  <si>
    <t>FDL-105K-T42</t>
  </si>
  <si>
    <t>Pellet As Is, 4C</t>
  </si>
  <si>
    <t>FDL-105K-T43</t>
  </si>
  <si>
    <t>FDL-105K-T44</t>
  </si>
  <si>
    <t>FDL-105K-T45</t>
  </si>
  <si>
    <t>SP-SDS, Water Activity= 0.360</t>
  </si>
  <si>
    <t>SP-SDS, Water Activity= 0.308</t>
  </si>
  <si>
    <t>SP-SDS, Water Activity= 0.324</t>
  </si>
  <si>
    <t xml:space="preserve">SP-SDS, Water Activity= 0.227 </t>
  </si>
  <si>
    <t>SP-SDS, Water Activity= 0.254</t>
  </si>
  <si>
    <t>SP-SDS, Water Activity= 0.198</t>
  </si>
  <si>
    <t>SP-SDS, Water Activity= 0.267</t>
  </si>
  <si>
    <t>SP-SDS, Water Activity= 0.227</t>
  </si>
  <si>
    <t>SP-SDS, Water Activity= 0.157</t>
  </si>
  <si>
    <t>SP-SDS, Water Activity= 0.243</t>
  </si>
  <si>
    <t>SP-SDS, Water Activity= 0.329</t>
  </si>
  <si>
    <t>Seed treatment bio. Rep A</t>
  </si>
  <si>
    <t>0,1</t>
  </si>
  <si>
    <t>105C-T14</t>
  </si>
  <si>
    <t>1,2,3</t>
  </si>
  <si>
    <t>105C-T15</t>
  </si>
  <si>
    <t>105D-T20</t>
  </si>
  <si>
    <t>Seed treatment bio. Rep B</t>
  </si>
  <si>
    <t>Seed treatment bio. Rep C</t>
  </si>
  <si>
    <t>AB Klub 021923 AA-1</t>
  </si>
  <si>
    <t>ST-1 Rep A</t>
  </si>
  <si>
    <t>ST-1 Rep B</t>
  </si>
  <si>
    <t>ST-1 Rep C</t>
  </si>
  <si>
    <t>AB Klub 021923 AA-2</t>
  </si>
  <si>
    <t>ST-2 Rep A</t>
  </si>
  <si>
    <t>ST-2 Rep B</t>
  </si>
  <si>
    <t>ST-2 Rep C</t>
  </si>
  <si>
    <t>EDKLUB 022823 03</t>
  </si>
  <si>
    <t>AKLUB 030623 AA #5</t>
  </si>
  <si>
    <t>AKLUB 030323 AA</t>
  </si>
  <si>
    <t>EDKOKO 022823 01</t>
  </si>
  <si>
    <t>FD-23-0006-T1</t>
  </si>
  <si>
    <t>FD-23-0006-T2</t>
  </si>
  <si>
    <t>FD-23-0006-T3</t>
  </si>
  <si>
    <t>FD-23-0006-T4</t>
  </si>
  <si>
    <t>FD-23-0006-T5</t>
  </si>
  <si>
    <t>ABKLUB 030823AA</t>
  </si>
  <si>
    <t>ABKLUB 031023AA</t>
  </si>
  <si>
    <t>ABKLUB 031323AA</t>
  </si>
  <si>
    <t>EDKLUB 030623 04</t>
  </si>
  <si>
    <t>OFD</t>
  </si>
  <si>
    <t>EDKLUB 030823 05</t>
  </si>
  <si>
    <t>EDKLUB 031023 06</t>
  </si>
  <si>
    <t xml:space="preserve">EDKLUB 031312 07 </t>
  </si>
  <si>
    <t>EDKLUB 031312 08</t>
  </si>
  <si>
    <t>ABKLUB 031623AA #9</t>
  </si>
  <si>
    <t>Thrive</t>
  </si>
  <si>
    <t>ABKLUB 031823AA #10</t>
  </si>
  <si>
    <t>ABKLUB 032023AA #11</t>
  </si>
  <si>
    <t xml:space="preserve">Thrive </t>
  </si>
  <si>
    <t>FDL-111A-T4</t>
  </si>
  <si>
    <t>Pellet As Is</t>
  </si>
  <si>
    <t>FDL-111A-T1</t>
  </si>
  <si>
    <t>FDL-111A-T2</t>
  </si>
  <si>
    <t>FDL-111A-T3</t>
  </si>
  <si>
    <t>FDL111B-T8</t>
  </si>
  <si>
    <t>FD-23-0008</t>
  </si>
  <si>
    <t>FDL-111A-T2 5% SiO2</t>
  </si>
  <si>
    <t>FDL-111A-T3 5% SiO2</t>
  </si>
  <si>
    <t>FDL-111A-T4 5% SiO2</t>
  </si>
  <si>
    <t>FDL-111A-T2 TMC1</t>
  </si>
  <si>
    <t>FDL-111A-T3 TMC1</t>
  </si>
  <si>
    <t>FDL-111A-T4 TMC1</t>
  </si>
  <si>
    <t>FDL-111C-T10</t>
  </si>
  <si>
    <t>FDL-111C-T11</t>
  </si>
  <si>
    <t>FDL-111C-T12</t>
  </si>
  <si>
    <t>FDL-111D-T13</t>
  </si>
  <si>
    <t>FDL-111D-T14</t>
  </si>
  <si>
    <t>FDL-111D-T15</t>
  </si>
  <si>
    <t>FDL-111D-T16</t>
  </si>
  <si>
    <t>EDKLUB02202302</t>
  </si>
  <si>
    <t>EDKOKO02222302</t>
  </si>
  <si>
    <t>FDL-105EF-T24 TMC1</t>
  </si>
  <si>
    <t>FDL-105EF-T24 TMC2</t>
  </si>
  <si>
    <t>FDL-111EF-T18</t>
  </si>
  <si>
    <t>FDL-111EF-T19</t>
  </si>
  <si>
    <t>FDL-111EF-T20</t>
  </si>
  <si>
    <t>FDL-111G-T21</t>
  </si>
  <si>
    <t>FDL-111G-T22</t>
  </si>
  <si>
    <t>FDL-111G-T23</t>
  </si>
  <si>
    <t>FDL-111G-T24</t>
  </si>
  <si>
    <t>Water Activity= 0.178</t>
  </si>
  <si>
    <t>N</t>
  </si>
  <si>
    <t>Water Activity= 0.172</t>
  </si>
  <si>
    <t>FDL-111A-T2 TMC2</t>
  </si>
  <si>
    <t>Water Activity= 0.135</t>
  </si>
  <si>
    <t xml:space="preserve">FDL-111A-T3 </t>
  </si>
  <si>
    <t>Water Activity= 0.167</t>
  </si>
  <si>
    <t>Water Activity= 0.160</t>
  </si>
  <si>
    <t>FDL-111A-T3 TMC2</t>
  </si>
  <si>
    <t>Water Activity= 0.143</t>
  </si>
  <si>
    <t>Water Activity= 0.141</t>
  </si>
  <si>
    <t>FDL-111A-T4 TMC2</t>
  </si>
  <si>
    <t>Water Activity= 0.121</t>
  </si>
  <si>
    <t>FD-23-0009</t>
  </si>
  <si>
    <t>ABKOKO 0040323 AA J50064</t>
  </si>
  <si>
    <t>FDL-111H-T25</t>
  </si>
  <si>
    <t>FDL-111H-T26</t>
  </si>
  <si>
    <t>FDL-111H-T27</t>
  </si>
  <si>
    <t>FDL-111H-T28</t>
  </si>
  <si>
    <t>FD-23-0010 T1</t>
  </si>
  <si>
    <t>FD-23-0010 T2</t>
  </si>
  <si>
    <t>FD-23-0010 T3</t>
  </si>
  <si>
    <t>FD-23-0010 T4</t>
  </si>
  <si>
    <t>FD-23-0010 T5</t>
  </si>
  <si>
    <t>FD-23-0010 T6</t>
  </si>
  <si>
    <t>Koko Unmilled 209601001</t>
  </si>
  <si>
    <t>Koko Milled 209601001</t>
  </si>
  <si>
    <t>IFF WP2 Umilled</t>
  </si>
  <si>
    <t>IFF WP2 Milled</t>
  </si>
  <si>
    <t>FDL-112B-T1</t>
  </si>
  <si>
    <t>FDL-112B-T23</t>
  </si>
  <si>
    <t>FDL-112B-T456B</t>
  </si>
  <si>
    <t>FDL-112B-T456F</t>
  </si>
  <si>
    <t>FDL-112B-T456P</t>
  </si>
  <si>
    <t>FD-23-0011</t>
  </si>
  <si>
    <t>FD-23-0012-T1</t>
  </si>
  <si>
    <t>FD-23-0012-T2</t>
  </si>
  <si>
    <t>FD-23-0012-T3</t>
  </si>
  <si>
    <t>FDL-113A</t>
  </si>
  <si>
    <t>FDL-113B Koko</t>
  </si>
  <si>
    <t>FDL-112D-B</t>
  </si>
  <si>
    <t>FDL-112D-P</t>
  </si>
  <si>
    <t>Klub</t>
  </si>
  <si>
    <t>Milled Powder</t>
  </si>
  <si>
    <t>22PT-0406-Koko</t>
  </si>
  <si>
    <t>Seed treatment bio. Rep A, B, C</t>
  </si>
  <si>
    <t>FDL-105B-T10-21CW12</t>
  </si>
  <si>
    <t>22PT-0406-Klub</t>
  </si>
  <si>
    <t>FD-23-0015-T2</t>
  </si>
  <si>
    <t>Ks</t>
  </si>
  <si>
    <t>FD-23-0015-T1</t>
  </si>
  <si>
    <t>Kv</t>
  </si>
  <si>
    <t>R</t>
  </si>
  <si>
    <t>FDL-105EF-T24-CC1</t>
  </si>
  <si>
    <t>K</t>
  </si>
  <si>
    <t>FDL-105EF-T24-CC2</t>
  </si>
  <si>
    <t>FDL-105EF-T24-TMC1</t>
  </si>
  <si>
    <t>FDL-105EF-T24-TMC2</t>
  </si>
  <si>
    <t>O</t>
  </si>
  <si>
    <t>FDL-111EF-T18-CC1TMC1</t>
  </si>
  <si>
    <t>FDL-111EF-T18-TMC1</t>
  </si>
  <si>
    <t>FDL-111EF-T19-TMC1</t>
  </si>
  <si>
    <t>105EF-T24-CC1-21CW10</t>
  </si>
  <si>
    <t>Q</t>
  </si>
  <si>
    <t>105EF-T24-TMC1-21CW10</t>
  </si>
  <si>
    <t>FDL-111EF-T19-CC1TMC1</t>
  </si>
  <si>
    <t>P</t>
  </si>
  <si>
    <t>22PT0406-Klub</t>
  </si>
  <si>
    <t>22PT0406-Koko</t>
  </si>
  <si>
    <t>Lot#04282301</t>
  </si>
  <si>
    <t>105EF-T26-CC1-21CW8</t>
  </si>
  <si>
    <t>105EF-T26-TMC1-21CW8</t>
  </si>
  <si>
    <t>105B-T10-CC1-21CW8</t>
  </si>
  <si>
    <t>*count again later</t>
  </si>
  <si>
    <t xml:space="preserve">FDL-105EF-T24-TMC1 </t>
  </si>
  <si>
    <t xml:space="preserve">FDL-105EF-T24-TMC2 </t>
  </si>
  <si>
    <t>L</t>
  </si>
  <si>
    <t>FD-23-0016-T1</t>
  </si>
  <si>
    <t>"Extended Time"</t>
  </si>
  <si>
    <t>FD-23-0016-T2</t>
  </si>
  <si>
    <t>2022/20/19</t>
  </si>
  <si>
    <t>Seed treatment bio. Rep A, B</t>
  </si>
  <si>
    <t>*A,B 10^1, adjusted</t>
  </si>
  <si>
    <t>*B,C 10^1, adjusted</t>
  </si>
  <si>
    <t>*A,C 10^1, adjusted</t>
  </si>
  <si>
    <t xml:space="preserve">FDL-105EF-T26-TMC1 </t>
  </si>
  <si>
    <t>Updated after incubating over the weekend</t>
  </si>
  <si>
    <t xml:space="preserve">FDL-105EF-T26-TMC2 </t>
  </si>
  <si>
    <t>FDL-105EF-T26-CC1</t>
  </si>
  <si>
    <t>FDL-105EF-T26-CC2</t>
  </si>
  <si>
    <t>FD-23-0017-T1</t>
  </si>
  <si>
    <t>FD Sample</t>
  </si>
  <si>
    <t>FD-23-0017-T2</t>
  </si>
  <si>
    <t>FD-23-0017-T3</t>
  </si>
  <si>
    <t>FD-23-0017-T4</t>
  </si>
  <si>
    <t>FDL-111D-T14 CC1</t>
  </si>
  <si>
    <t>Counted 42 for rep B at 10^1</t>
  </si>
  <si>
    <t>FDL-111D-T14 TMC1</t>
  </si>
  <si>
    <t>FDL-111D-T15 CC1</t>
  </si>
  <si>
    <t>FDL-111D-T15 TMC1</t>
  </si>
  <si>
    <t>23PT0406-Klub 4CW4</t>
  </si>
  <si>
    <t>S</t>
  </si>
  <si>
    <t>23PT0405-Koko 4CW4</t>
  </si>
  <si>
    <t>Lot#04282301 4CW4</t>
  </si>
  <si>
    <t>23PT0406-Klub 21CW4</t>
  </si>
  <si>
    <t>23PT0405-Koko 21CW4</t>
  </si>
  <si>
    <t>Lot#04282301 21CW4</t>
  </si>
  <si>
    <t>FD-23-0017-T1 CC1</t>
  </si>
  <si>
    <t>U</t>
  </si>
  <si>
    <t>FD-23-0017-T1 TMC1</t>
  </si>
  <si>
    <t>FD-23-0017-T1 TMC1CC1</t>
  </si>
  <si>
    <t>FD-23-0017-T1 STD</t>
  </si>
  <si>
    <t>FDL-115A-T1</t>
  </si>
  <si>
    <t>FDL-115A-T2</t>
  </si>
  <si>
    <t>FDL-115A-T3</t>
  </si>
  <si>
    <t>FDL-115A-T4</t>
  </si>
  <si>
    <t>FDL-115B-T5</t>
  </si>
  <si>
    <t>FDL-115B-T6</t>
  </si>
  <si>
    <t>FDL-111EF-T18 CC1TMC1</t>
  </si>
  <si>
    <t>FDL-111EF-T18 TMC1</t>
  </si>
  <si>
    <t>FDL-111EF-T19 CC1TMC1</t>
  </si>
  <si>
    <t>FDL-111EF-T19 TMC1</t>
  </si>
  <si>
    <t>FD-23-0017-T2 CC1</t>
  </si>
  <si>
    <t>V</t>
  </si>
  <si>
    <t>*new shaker</t>
  </si>
  <si>
    <t>FD-23-0017-T2 TMC1</t>
  </si>
  <si>
    <t>FD-23-0017-T2 STD</t>
  </si>
  <si>
    <t>FD-23-0017-T4 CC1</t>
  </si>
  <si>
    <t>FD-23-0017-T4 TMC1</t>
  </si>
  <si>
    <t xml:space="preserve">FD-23-0017-T4 STD </t>
  </si>
  <si>
    <t>FD-23-0016-T1 CC1</t>
  </si>
  <si>
    <t>FD-23-0016-T1 TMC1</t>
  </si>
  <si>
    <t>FD-23-0016-T1 TMC1CC1</t>
  </si>
  <si>
    <t>FD-23-0016-T1 STD</t>
  </si>
  <si>
    <t>FDL-115C-T7</t>
  </si>
  <si>
    <t>FDL-115C-T8</t>
  </si>
  <si>
    <t>FDL-115C-T9</t>
  </si>
  <si>
    <t>FDL-115C-T10</t>
  </si>
  <si>
    <t>FDL-115C-T11</t>
  </si>
  <si>
    <t>FDL-115C-T12</t>
  </si>
  <si>
    <t>FDL-115C-T13</t>
  </si>
  <si>
    <t>FDL-115C-T14</t>
  </si>
  <si>
    <t xml:space="preserve">Rep C count=32 @ 10^2 </t>
  </si>
  <si>
    <t>FD-23-0016-T2 CC1</t>
  </si>
  <si>
    <t>FD-23-0016-T2 CC1TMC1</t>
  </si>
  <si>
    <t>FD-23-0016-T2 TMC1</t>
  </si>
  <si>
    <t>FD-23-0016-T2 STD</t>
  </si>
  <si>
    <t>FD-23-0004-T1</t>
  </si>
  <si>
    <t>FD-23-0004-T2</t>
  </si>
  <si>
    <t>FD-23-0004-T3</t>
  </si>
  <si>
    <t>55 Hour</t>
  </si>
  <si>
    <t>FD-23-0004-T5</t>
  </si>
  <si>
    <t>105B-T7</t>
  </si>
  <si>
    <t>105B-T10</t>
  </si>
  <si>
    <t>Water Activity= 0.315</t>
  </si>
  <si>
    <t>105B-T12</t>
  </si>
  <si>
    <t>Water Activity= 0.294</t>
  </si>
  <si>
    <t xml:space="preserve">105C-T14 </t>
  </si>
  <si>
    <t>Water Activity= 0.288</t>
  </si>
  <si>
    <t>Water Activity= 0.282</t>
  </si>
  <si>
    <t>105D-T19</t>
  </si>
  <si>
    <t xml:space="preserve">105D-T20 </t>
  </si>
  <si>
    <t xml:space="preserve">FDL-105LM-T46 </t>
  </si>
  <si>
    <t xml:space="preserve">Manual Spot Plate </t>
  </si>
  <si>
    <t>FDL-105B-CC1</t>
  </si>
  <si>
    <t>Bulked, 21C</t>
  </si>
  <si>
    <t>FDL-105B-CC2</t>
  </si>
  <si>
    <t>FDL-105B-TMC1</t>
  </si>
  <si>
    <t>FDL-105B-TMC2</t>
  </si>
  <si>
    <t>Liquidator Spot Plate</t>
  </si>
  <si>
    <t>FDL-105LM-T47</t>
  </si>
  <si>
    <t>FDL-105N-T49</t>
  </si>
  <si>
    <t>FDL-107N-T31</t>
  </si>
  <si>
    <t>FDL-107N-T33</t>
  </si>
  <si>
    <t>FDL-107P-T25</t>
  </si>
  <si>
    <t>FDL-107Q-T35</t>
  </si>
  <si>
    <t>Excipient, A</t>
  </si>
  <si>
    <t>Excipient, B</t>
  </si>
  <si>
    <t>Excipient, C</t>
  </si>
  <si>
    <t>FDL-105C-T15-SKP</t>
  </si>
  <si>
    <t>FDL-105C-T15-21CW12</t>
  </si>
  <si>
    <t>FDL-105EF-T24-SKP</t>
  </si>
  <si>
    <t>FDL-105EF-T24-21CW8</t>
  </si>
  <si>
    <t>FDL-105EF-T22-TRY</t>
  </si>
  <si>
    <t>FDL-105EF-T24 CC1</t>
  </si>
  <si>
    <t>Water Activity= 0.281</t>
  </si>
  <si>
    <t>FDL-105EF-T24 CC2</t>
  </si>
  <si>
    <t>Water Activity= 0.124</t>
  </si>
  <si>
    <t>FDL-105EF-T24 SO1</t>
  </si>
  <si>
    <t>Water Activity= 0.331</t>
  </si>
  <si>
    <t>FDL-105EF-T24 SO2</t>
  </si>
  <si>
    <t>Water Activity= 0.333</t>
  </si>
  <si>
    <t>FDL-105B-T10 CC1</t>
  </si>
  <si>
    <t>Water Activity= 0.258</t>
  </si>
  <si>
    <t>FDL-105B-T10 CC2</t>
  </si>
  <si>
    <t>Water Activity= 0.127</t>
  </si>
  <si>
    <t>FDL-105EF-T26 CC1</t>
  </si>
  <si>
    <t>FDL-105EF-T26 CC2</t>
  </si>
  <si>
    <t>FDL-105EF-T26 TMC1</t>
  </si>
  <si>
    <t>FDL-105EF-T26 TMC2</t>
  </si>
  <si>
    <t>FDL-105EF-T26 SO1</t>
  </si>
  <si>
    <t>FDL-105EF-T26 SO2</t>
  </si>
  <si>
    <t>FDL-105EF-T22 TRY</t>
  </si>
  <si>
    <t>FDL-105EF-T22 SKP</t>
  </si>
  <si>
    <t>Pellet As Is, 21C</t>
  </si>
  <si>
    <t>Water Activity= 0.173</t>
  </si>
  <si>
    <t>Water Activity= 0.269</t>
  </si>
  <si>
    <t>Water Activity= 0.249</t>
  </si>
  <si>
    <t>Water Activity= 0.136</t>
  </si>
  <si>
    <t>FD-23-0007-T1</t>
  </si>
  <si>
    <t>FD-23-0007-T2</t>
  </si>
  <si>
    <t>FD-23-0007-T3</t>
  </si>
  <si>
    <t>FD-23-0007-T4</t>
  </si>
  <si>
    <t>FDL-105B-T10 SKP</t>
  </si>
  <si>
    <t>Water Activity= 0.277</t>
  </si>
  <si>
    <t>FDL-105B-T10 TRY</t>
  </si>
  <si>
    <t>Water Activity= 0.274</t>
  </si>
  <si>
    <t>FDL-105C-T15 SKP</t>
  </si>
  <si>
    <t>Water Activity= 0.251</t>
  </si>
  <si>
    <t>FDL-105C-T15 TRY</t>
  </si>
  <si>
    <t>FDL-105C-T14 TRY</t>
  </si>
  <si>
    <t>Water Activity= 0.263</t>
  </si>
  <si>
    <t>FDL-105D-T20 TRY</t>
  </si>
  <si>
    <t>Water Activity= 0.253</t>
  </si>
  <si>
    <t>FDL-105G-T33 TRY</t>
  </si>
  <si>
    <t>Water Activity= 0.236</t>
  </si>
  <si>
    <t xml:space="preserve">FDL-105EF-T24-CC1 </t>
  </si>
  <si>
    <t xml:space="preserve">FDL-105G-T30 </t>
  </si>
  <si>
    <t>Water Activity= 0.245</t>
  </si>
  <si>
    <t>Water Activity= 0.218</t>
  </si>
  <si>
    <t>Water Activity= 0.314</t>
  </si>
  <si>
    <t>Water Activity= 0.332</t>
  </si>
  <si>
    <t>Excipient, A - 24h</t>
  </si>
  <si>
    <t>Excipient, B - 24h</t>
  </si>
  <si>
    <t>Excipient, C - 24h</t>
  </si>
  <si>
    <t xml:space="preserve">Kv Alt Dessicant </t>
  </si>
  <si>
    <t>Water Activity= 0.302</t>
  </si>
  <si>
    <t>Water Activity= 0.322</t>
  </si>
  <si>
    <t>Water Activity= 0.379</t>
  </si>
  <si>
    <t>Water Activity= 0.349</t>
  </si>
  <si>
    <t>Water Activity= 0.377</t>
  </si>
  <si>
    <t>FDL-105EF-T24 SKP</t>
  </si>
  <si>
    <t>Water Activity= 0.326</t>
  </si>
  <si>
    <t>Water Activity= 0.356</t>
  </si>
  <si>
    <t>Water Activity= 0.325</t>
  </si>
  <si>
    <t xml:space="preserve">FDL-105C-T14 </t>
  </si>
  <si>
    <t>Water Activity= 0.303</t>
  </si>
  <si>
    <t>Water Activity= 0.120</t>
  </si>
  <si>
    <t>FD-23-0008-T1</t>
  </si>
  <si>
    <t>FD-23-0008-T2</t>
  </si>
  <si>
    <t>FD-23-0008-T3</t>
  </si>
  <si>
    <t>FD-23-0008-T4</t>
  </si>
  <si>
    <t>FD-23-0008-T5</t>
  </si>
  <si>
    <t>FD-23-0008-T6</t>
  </si>
  <si>
    <t>FD-23-0008-T7</t>
  </si>
  <si>
    <t>FD-23-0008-T8</t>
  </si>
  <si>
    <t>FD-23-0008-T9</t>
  </si>
  <si>
    <t>FD-23-0008-T10</t>
  </si>
  <si>
    <t>Water Activity= 0.256</t>
  </si>
  <si>
    <t>Water Activity= 0.389</t>
  </si>
  <si>
    <t>FDL-111B-T8 CC1</t>
  </si>
  <si>
    <t>FDL-111B-T8 TMC1</t>
  </si>
  <si>
    <t>FDL-111B-T8 SiO2</t>
  </si>
  <si>
    <t>FDL-111D-T14 SiO2</t>
  </si>
  <si>
    <t>FDL-111D-T15 SiO2</t>
  </si>
  <si>
    <t>Water Activity= 0.311</t>
  </si>
  <si>
    <t>Water Activity= 0.129</t>
  </si>
  <si>
    <t>Water Activity=0.397</t>
  </si>
  <si>
    <t>Water Activity=0.366</t>
  </si>
  <si>
    <t>Water Activity=0.398</t>
  </si>
  <si>
    <t>Water Activity=0.328</t>
  </si>
  <si>
    <t xml:space="preserve">FDL-111D-T14 </t>
  </si>
  <si>
    <t xml:space="preserve">EC </t>
  </si>
  <si>
    <t xml:space="preserve">FDL-111EF T18 </t>
  </si>
  <si>
    <t>FDL-111EF T18 CC1TMC1</t>
  </si>
  <si>
    <t>FDL-111EF T18 TMC1</t>
  </si>
  <si>
    <t>FDL-111EF T19</t>
  </si>
  <si>
    <t>FDL-111EF T19 CC1TMC1</t>
  </si>
  <si>
    <t>FDL-111EF T19 TMC1</t>
  </si>
  <si>
    <t>FDL-111G T22</t>
  </si>
  <si>
    <t>FDL-111G T22 CC1TMC1</t>
  </si>
  <si>
    <t>FDL-111G T22 TMC1</t>
  </si>
  <si>
    <t xml:space="preserve">FDL-111G T23 </t>
  </si>
  <si>
    <t>FDL-111G T23 CC1TMC1</t>
  </si>
  <si>
    <t>FDL-111G T23 TMC1</t>
  </si>
  <si>
    <t>105B-15 TRY</t>
  </si>
  <si>
    <t>Water Activity= 0.262</t>
  </si>
  <si>
    <t>105B-15 SKP</t>
  </si>
  <si>
    <t>105B-10 TRY</t>
  </si>
  <si>
    <t>105B-10 SKP</t>
  </si>
  <si>
    <t>105C-14 TRY</t>
  </si>
  <si>
    <t>105G-20 TRY</t>
  </si>
  <si>
    <t>Water Activity= 0.248</t>
  </si>
  <si>
    <t>105G-33 TRY</t>
  </si>
  <si>
    <t>Water Activity= 0.223</t>
  </si>
  <si>
    <t>Water Activity= 0.369</t>
  </si>
  <si>
    <t>Water Activity= 0.351</t>
  </si>
  <si>
    <t>Water Activity= 0.329</t>
  </si>
  <si>
    <t xml:space="preserve">FDL-111D-T14 TMC1 </t>
  </si>
  <si>
    <t>Water Activity= 0.312</t>
  </si>
  <si>
    <t>Water Activity= 0.242</t>
  </si>
  <si>
    <t>Klub 0 min</t>
  </si>
  <si>
    <t>Klub 10 min R1</t>
  </si>
  <si>
    <t>Klub 20 min R1</t>
  </si>
  <si>
    <t>Klub 30 min R1</t>
  </si>
  <si>
    <t>Klub Final Blend R1</t>
  </si>
  <si>
    <t>Klub 10 min R2</t>
  </si>
  <si>
    <t>Klub 20 min R2</t>
  </si>
  <si>
    <t>Klub 30 min R2</t>
  </si>
  <si>
    <t>Klub Final Blend R2</t>
  </si>
  <si>
    <t>Water Activity= 0.295</t>
  </si>
  <si>
    <t>Water Activity= 0.275</t>
  </si>
  <si>
    <t xml:space="preserve">FDL-105D-T20 TRY </t>
  </si>
  <si>
    <t>Water Activity= 0.266</t>
  </si>
  <si>
    <t>FDL-111A T2</t>
  </si>
  <si>
    <t>Water Activity= 0.298</t>
  </si>
  <si>
    <t>FDL-111A T2 TMC1</t>
  </si>
  <si>
    <t>FDL-111A T2 TMC2</t>
  </si>
  <si>
    <t>Water Activity= 0.193</t>
  </si>
  <si>
    <t>Water Activity= 0.276</t>
  </si>
  <si>
    <t>Water Activity= 0.229</t>
  </si>
  <si>
    <t>Water Activity= 0.285</t>
  </si>
  <si>
    <t>Water Activity= 0.230</t>
  </si>
  <si>
    <t>Water Activity= 0.205</t>
  </si>
  <si>
    <t>Water Activity= 0.321</t>
  </si>
  <si>
    <t>FDL-111G-T22 CC1TMC1</t>
  </si>
  <si>
    <t>Water Activity= 0.177</t>
  </si>
  <si>
    <t>FDL-111G-T22 TMC1</t>
  </si>
  <si>
    <t>Water Activity= 0.234</t>
  </si>
  <si>
    <t>FDL-111G-T23 CC1TMC1</t>
  </si>
  <si>
    <t>FDL-111G-T23 TMC1</t>
  </si>
  <si>
    <t>Water Activity= 0.208</t>
  </si>
  <si>
    <t>22PT0406 Koko</t>
  </si>
  <si>
    <t>22PT0406 Klub</t>
  </si>
  <si>
    <t>FDL-105B-T10 21CW12</t>
  </si>
  <si>
    <t>Water Activity= 0.317</t>
  </si>
  <si>
    <t>Water Activity= 0.392</t>
  </si>
  <si>
    <t>FDL-111B-T8</t>
  </si>
  <si>
    <t>Water Activity= 0.345</t>
  </si>
  <si>
    <t>Water Activity= 0.357</t>
  </si>
  <si>
    <t>Water Activity= 0.320</t>
  </si>
  <si>
    <t>FDL-11D-T15</t>
  </si>
  <si>
    <t>FDL-11D-T15 CC1</t>
  </si>
  <si>
    <t>Water Activity= 0.247</t>
  </si>
  <si>
    <t>FDL-11D-T15 TMC1</t>
  </si>
  <si>
    <t>Excipient, A, B, C</t>
  </si>
  <si>
    <t xml:space="preserve">FDL-105EF-T26 CC1 </t>
  </si>
  <si>
    <t>Water Activity= 0.375</t>
  </si>
  <si>
    <t>Water Activity= 0.130</t>
  </si>
  <si>
    <t>Water Activity= 0.370</t>
  </si>
  <si>
    <t>Water Activity= 0.419</t>
  </si>
  <si>
    <t>Water Activity= 0.125</t>
  </si>
  <si>
    <t>Water Activity= 0.283</t>
  </si>
  <si>
    <t>Water Activity= 0.339</t>
  </si>
  <si>
    <t>Water Activity= 0.328</t>
  </si>
  <si>
    <t>Water Activity= 0.324</t>
  </si>
  <si>
    <t>Water Activity= 0.335</t>
  </si>
  <si>
    <t>Water Activity= 0.198</t>
  </si>
  <si>
    <t>Water Activity= 0.209</t>
  </si>
  <si>
    <t>Water Activity= 0.232</t>
  </si>
  <si>
    <t>Water Activity= 0.133</t>
  </si>
  <si>
    <t>Water Activity= 0.126</t>
  </si>
  <si>
    <t>FD-23-0016-T2 TMC1CC1</t>
  </si>
  <si>
    <t>23PT0405-Koko</t>
  </si>
  <si>
    <t>Passer Week 4</t>
  </si>
  <si>
    <t>23PT0406-Klub</t>
  </si>
  <si>
    <t>Water Activity= 0.244</t>
  </si>
  <si>
    <t>Water Activity= 0.323</t>
  </si>
  <si>
    <t>Water Activity= 0.390</t>
  </si>
  <si>
    <t>FDL-105P-T50</t>
  </si>
  <si>
    <t>FD Pellet</t>
  </si>
  <si>
    <t>FDL-105P-T51</t>
  </si>
  <si>
    <t>Water Activity= 0.359</t>
  </si>
  <si>
    <t>Water Activity= 0.336</t>
  </si>
  <si>
    <t>Water Activity= 0.341</t>
  </si>
  <si>
    <t>Water Activity= 0.342</t>
  </si>
  <si>
    <t>Water Activity= 0.404</t>
  </si>
  <si>
    <t>Water Activity= 0.414</t>
  </si>
  <si>
    <t>Water Activity= 0.340</t>
  </si>
  <si>
    <t>FD-23-0017-T3 CC1</t>
  </si>
  <si>
    <t>FD-23-0017-T3 TMC1</t>
  </si>
  <si>
    <t>FD-23-0017-T3 STD</t>
  </si>
  <si>
    <t>FD-23-0017-T4 STD</t>
  </si>
  <si>
    <t xml:space="preserve">FDL-111EF-T18 </t>
  </si>
  <si>
    <t>Water Activity= 0.327</t>
  </si>
  <si>
    <t>Water Activity= 0.301</t>
  </si>
  <si>
    <t xml:space="preserve">FDL-111G-T22 </t>
  </si>
  <si>
    <t>Water Activity= 0.197</t>
  </si>
  <si>
    <t>Water Activity= 0.206</t>
  </si>
  <si>
    <t>Water Activity= 0.224</t>
  </si>
  <si>
    <t>FD-23-0015 T1</t>
  </si>
  <si>
    <t>FD-23-0015 T2</t>
  </si>
  <si>
    <t xml:space="preserve">5, 6, 7 </t>
  </si>
  <si>
    <t>Water Activity= 0.348</t>
  </si>
  <si>
    <t>Timeline</t>
  </si>
  <si>
    <t>Values</t>
  </si>
  <si>
    <t>Forecast</t>
  </si>
  <si>
    <t>Lower Confidence Bound</t>
  </si>
  <si>
    <t>Upper Confidence Bound</t>
  </si>
  <si>
    <t>Statistic</t>
  </si>
  <si>
    <t>Value</t>
  </si>
  <si>
    <t>Alpha</t>
  </si>
  <si>
    <t>Beta</t>
  </si>
  <si>
    <t>Gamma</t>
  </si>
  <si>
    <t>MASE</t>
  </si>
  <si>
    <t>SMAPE</t>
  </si>
  <si>
    <t>MAE</t>
  </si>
  <si>
    <t>RMSE</t>
  </si>
  <si>
    <t>Logs plated</t>
  </si>
  <si>
    <t>Rep A</t>
  </si>
  <si>
    <t>Rep B</t>
  </si>
  <si>
    <t>Rep C</t>
  </si>
  <si>
    <t>CFU/seed</t>
  </si>
  <si>
    <t>Stdev.</t>
  </si>
  <si>
    <t>FDL-105C-T14-Try</t>
  </si>
  <si>
    <t>Set H - seed treatment</t>
  </si>
  <si>
    <t>CLL</t>
  </si>
  <si>
    <t>FDL-105C-T15-Try</t>
  </si>
  <si>
    <t>FDL-105D-T20-Try</t>
  </si>
  <si>
    <t>FDL-105G-T33-Try</t>
  </si>
  <si>
    <t>ABKLUB021923AA-1</t>
  </si>
  <si>
    <t>ABKLUB021923AA-2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</si>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</sst>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"/>
    <numFmt numFmtId="166" formatCode="yyyy/mm/dd;@"/>
    <numFmt numFmtId="167" formatCode="0.0000"/>
  </numFmts>
  <fonts count="8" x14ac:knownFonts="1"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9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rgb="FF9BC2E6"/>
      </left>
      <right/>
      <top style="thin">
        <color rgb="FF9BC2E6"/>
      </top>
      <bottom/>
      <diagonal/>
    </border>
    <border>
      <left/>
      <right/>
      <top style="thin">
        <color rgb="FF9BC2E6"/>
      </top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104">
    <xf numFmtId="0" fontId="0" fillId="0" borderId="0" xfId="0"/>
    <xf numFmtId="11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center"/>
    </xf>
    <xf numFmtId="0" fontId="1" fillId="0" borderId="0" xfId="0" applyFont="1"/>
    <xf numFmtId="2" fontId="0" fillId="0" borderId="0" xfId="0" applyNumberFormat="1"/>
    <xf numFmtId="11" fontId="1" fillId="0" borderId="0" xfId="0" applyNumberFormat="1" applyFont="1"/>
    <xf numFmtId="164" fontId="0" fillId="0" borderId="0" xfId="1" applyNumberFormat="1" applyFont="1" applyFill="1"/>
    <xf numFmtId="165" fontId="0" fillId="0" borderId="0" xfId="0" applyNumberForma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166" fontId="0" fillId="0" borderId="0" xfId="0" applyNumberFormat="1"/>
    <xf numFmtId="16" fontId="0" fillId="0" borderId="0" xfId="0" applyNumberFormat="1"/>
    <xf numFmtId="9" fontId="0" fillId="0" borderId="0" xfId="1" applyFont="1"/>
    <xf numFmtId="0" fontId="0" fillId="0" borderId="0" xfId="2" applyFont="1"/>
    <xf numFmtId="0" fontId="4" fillId="0" borderId="0" xfId="0" applyFont="1"/>
    <xf numFmtId="0" fontId="1" fillId="0" borderId="0" xfId="2" applyFont="1"/>
    <xf numFmtId="0" fontId="0" fillId="0" borderId="0" xfId="2" applyFont="1" applyAlignment="1">
      <alignment horizontal="center"/>
    </xf>
    <xf numFmtId="165" fontId="0" fillId="0" borderId="0" xfId="2" applyNumberFormat="1" applyFont="1"/>
    <xf numFmtId="166" fontId="0" fillId="0" borderId="0" xfId="2" applyNumberFormat="1" applyFont="1"/>
    <xf numFmtId="11" fontId="0" fillId="0" borderId="0" xfId="2" applyNumberFormat="1" applyFont="1"/>
    <xf numFmtId="0" fontId="0" fillId="0" borderId="3" xfId="0" applyBorder="1"/>
    <xf numFmtId="0" fontId="0" fillId="0" borderId="3" xfId="0" applyBorder="1" applyAlignment="1">
      <alignment horizontal="center"/>
    </xf>
    <xf numFmtId="2" fontId="0" fillId="0" borderId="3" xfId="0" applyNumberFormat="1" applyBorder="1"/>
    <xf numFmtId="11" fontId="0" fillId="0" borderId="3" xfId="0" applyNumberFormat="1" applyBorder="1"/>
    <xf numFmtId="11" fontId="1" fillId="0" borderId="3" xfId="0" applyNumberFormat="1" applyFont="1" applyBorder="1"/>
    <xf numFmtId="164" fontId="0" fillId="0" borderId="3" xfId="1" applyNumberFormat="1" applyFont="1" applyFill="1" applyBorder="1"/>
    <xf numFmtId="0" fontId="0" fillId="0" borderId="4" xfId="0" applyBorder="1"/>
    <xf numFmtId="0" fontId="0" fillId="0" borderId="6" xfId="0" applyBorder="1"/>
    <xf numFmtId="2" fontId="0" fillId="0" borderId="6" xfId="0" applyNumberFormat="1" applyBorder="1"/>
    <xf numFmtId="11" fontId="1" fillId="0" borderId="6" xfId="0" applyNumberFormat="1" applyFont="1" applyBorder="1"/>
    <xf numFmtId="11" fontId="0" fillId="0" borderId="6" xfId="0" applyNumberFormat="1" applyBorder="1"/>
    <xf numFmtId="164" fontId="0" fillId="0" borderId="6" xfId="1" applyNumberFormat="1" applyFont="1" applyFill="1" applyBorder="1"/>
    <xf numFmtId="0" fontId="0" fillId="0" borderId="7" xfId="0" applyBorder="1"/>
    <xf numFmtId="0" fontId="0" fillId="0" borderId="6" xfId="0" applyBorder="1" applyAlignment="1">
      <alignment horizontal="center"/>
    </xf>
    <xf numFmtId="164" fontId="0" fillId="0" borderId="0" xfId="1" applyNumberFormat="1" applyFont="1" applyFill="1" applyBorder="1"/>
    <xf numFmtId="0" fontId="0" fillId="0" borderId="2" xfId="2" applyFont="1" applyBorder="1"/>
    <xf numFmtId="0" fontId="0" fillId="0" borderId="5" xfId="2" applyFont="1" applyBorder="1"/>
    <xf numFmtId="0" fontId="4" fillId="0" borderId="3" xfId="0" applyFont="1" applyBorder="1"/>
    <xf numFmtId="0" fontId="4" fillId="0" borderId="6" xfId="0" applyFont="1" applyBorder="1"/>
    <xf numFmtId="0" fontId="1" fillId="0" borderId="3" xfId="2" applyFont="1" applyBorder="1"/>
    <xf numFmtId="0" fontId="1" fillId="0" borderId="6" xfId="2" applyFont="1" applyBorder="1"/>
    <xf numFmtId="0" fontId="0" fillId="0" borderId="3" xfId="2" applyFont="1" applyBorder="1"/>
    <xf numFmtId="0" fontId="0" fillId="0" borderId="6" xfId="2" applyFont="1" applyBorder="1"/>
    <xf numFmtId="0" fontId="0" fillId="0" borderId="3" xfId="2" applyFont="1" applyBorder="1" applyAlignment="1">
      <alignment horizontal="center"/>
    </xf>
    <xf numFmtId="0" fontId="0" fillId="0" borderId="6" xfId="2" applyFont="1" applyBorder="1" applyAlignment="1">
      <alignment horizontal="center"/>
    </xf>
    <xf numFmtId="165" fontId="0" fillId="0" borderId="3" xfId="2" applyNumberFormat="1" applyFont="1" applyBorder="1"/>
    <xf numFmtId="165" fontId="0" fillId="0" borderId="6" xfId="2" applyNumberFormat="1" applyFont="1" applyBorder="1"/>
    <xf numFmtId="166" fontId="0" fillId="0" borderId="3" xfId="2" applyNumberFormat="1" applyFont="1" applyBorder="1"/>
    <xf numFmtId="166" fontId="0" fillId="0" borderId="6" xfId="2" applyNumberFormat="1" applyFont="1" applyBorder="1"/>
    <xf numFmtId="9" fontId="0" fillId="0" borderId="0" xfId="1" applyFont="1" applyFill="1" applyBorder="1"/>
    <xf numFmtId="9" fontId="0" fillId="0" borderId="0" xfId="1" applyFont="1" applyBorder="1"/>
    <xf numFmtId="0" fontId="5" fillId="0" borderId="0" xfId="0" applyFont="1"/>
    <xf numFmtId="11" fontId="0" fillId="2" borderId="1" xfId="0" applyNumberFormat="1" applyFill="1" applyBorder="1" applyAlignment="1">
      <alignment horizontal="center"/>
    </xf>
    <xf numFmtId="11" fontId="0" fillId="0" borderId="1" xfId="0" applyNumberFormat="1" applyBorder="1"/>
    <xf numFmtId="17" fontId="0" fillId="0" borderId="0" xfId="0" applyNumberFormat="1"/>
    <xf numFmtId="166" fontId="0" fillId="0" borderId="0" xfId="0" applyNumberFormat="1" applyAlignment="1">
      <alignment horizontal="center"/>
    </xf>
    <xf numFmtId="167" fontId="0" fillId="0" borderId="0" xfId="0" applyNumberFormat="1"/>
    <xf numFmtId="0" fontId="6" fillId="0" borderId="0" xfId="0" applyFont="1"/>
    <xf numFmtId="11" fontId="6" fillId="0" borderId="0" xfId="0" applyNumberFormat="1" applyFont="1"/>
    <xf numFmtId="164" fontId="0" fillId="0" borderId="0" xfId="1" applyNumberFormat="1" applyFont="1" applyFill="1" applyAlignment="1">
      <alignment horizontal="left"/>
    </xf>
    <xf numFmtId="9" fontId="7" fillId="0" borderId="0" xfId="1" applyFont="1" applyFill="1" applyAlignment="1">
      <alignment horizontal="left"/>
    </xf>
    <xf numFmtId="0" fontId="7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4" fontId="0" fillId="0" borderId="0" xfId="0" applyNumberFormat="1"/>
    <xf numFmtId="0" fontId="6" fillId="0" borderId="8" xfId="0" applyFont="1" applyBorder="1"/>
    <xf numFmtId="0" fontId="6" fillId="0" borderId="10" xfId="0" applyFont="1" applyBorder="1"/>
    <xf numFmtId="0" fontId="6" fillId="0" borderId="9" xfId="0" applyFont="1" applyBorder="1"/>
    <xf numFmtId="0" fontId="6" fillId="0" borderId="9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1" xfId="0" applyFont="1" applyBorder="1"/>
    <xf numFmtId="2" fontId="6" fillId="0" borderId="9" xfId="0" applyNumberFormat="1" applyFont="1" applyBorder="1"/>
    <xf numFmtId="2" fontId="6" fillId="0" borderId="11" xfId="0" applyNumberFormat="1" applyFont="1" applyBorder="1"/>
    <xf numFmtId="2" fontId="6" fillId="0" borderId="9" xfId="0" applyNumberFormat="1" applyFont="1" applyBorder="1" applyAlignment="1">
      <alignment horizontal="center"/>
    </xf>
    <xf numFmtId="2" fontId="6" fillId="0" borderId="11" xfId="0" applyNumberFormat="1" applyFont="1" applyBorder="1" applyAlignment="1">
      <alignment horizontal="center"/>
    </xf>
    <xf numFmtId="166" fontId="6" fillId="0" borderId="9" xfId="0" applyNumberFormat="1" applyFont="1" applyBorder="1" applyAlignment="1">
      <alignment horizontal="center"/>
    </xf>
    <xf numFmtId="166" fontId="6" fillId="0" borderId="11" xfId="0" applyNumberFormat="1" applyFont="1" applyBorder="1" applyAlignment="1">
      <alignment horizontal="center"/>
    </xf>
    <xf numFmtId="11" fontId="6" fillId="0" borderId="9" xfId="0" applyNumberFormat="1" applyFont="1" applyBorder="1"/>
    <xf numFmtId="11" fontId="6" fillId="0" borderId="11" xfId="0" applyNumberFormat="1" applyFont="1" applyBorder="1"/>
    <xf numFmtId="2" fontId="0" fillId="0" borderId="0" xfId="0" applyNumberFormat="1" applyAlignment="1">
      <alignment horizontal="center"/>
    </xf>
    <xf numFmtId="0" fontId="0" fillId="0" borderId="0" xfId="0" applyAlignment="1">
      <alignment horizontal="left" vertical="top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166" fontId="0" fillId="3" borderId="0" xfId="0" applyNumberFormat="1" applyFill="1" applyAlignment="1">
      <alignment horizontal="center"/>
    </xf>
    <xf numFmtId="11" fontId="0" fillId="3" borderId="0" xfId="0" applyNumberFormat="1" applyFill="1"/>
    <xf numFmtId="11" fontId="1" fillId="3" borderId="0" xfId="0" applyNumberFormat="1" applyFont="1" applyFill="1"/>
    <xf numFmtId="164" fontId="0" fillId="3" borderId="0" xfId="1" applyNumberFormat="1" applyFont="1" applyFill="1"/>
    <xf numFmtId="165" fontId="1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1" xfId="0" applyNumberFormat="1" applyBorder="1" applyAlignment="1">
      <alignment horizontal="right"/>
    </xf>
    <xf numFmtId="165" fontId="0" fillId="0" borderId="0" xfId="1" applyNumberFormat="1" applyFont="1" applyFill="1" applyAlignment="1">
      <alignment horizontal="right"/>
    </xf>
    <xf numFmtId="165" fontId="0" fillId="3" borderId="0" xfId="1" applyNumberFormat="1" applyFont="1" applyFill="1" applyAlignment="1">
      <alignment horizontal="right"/>
    </xf>
    <xf numFmtId="165" fontId="0" fillId="3" borderId="0" xfId="0" applyNumberFormat="1" applyFill="1"/>
    <xf numFmtId="2" fontId="0" fillId="0" borderId="1" xfId="0" applyNumberFormat="1" applyBorder="1"/>
    <xf numFmtId="2" fontId="0" fillId="0" borderId="1" xfId="0" applyNumberFormat="1" applyBorder="1" applyAlignment="1">
      <alignment horizontal="right"/>
    </xf>
    <xf numFmtId="165" fontId="0" fillId="0" borderId="0" xfId="1" applyNumberFormat="1" applyFont="1"/>
    <xf numFmtId="165" fontId="0" fillId="0" borderId="0" xfId="1" applyNumberFormat="1" applyFont="1" applyFill="1"/>
    <xf numFmtId="0" fontId="1" fillId="0" borderId="0" xfId="0" applyFont="1" applyAlignment="1">
      <alignment horizontal="center"/>
    </xf>
  </cellXfs>
  <cellStyles count="4">
    <cellStyle name="Normal" xfId="0" builtinId="0"/>
    <cellStyle name="Normal 2" xfId="2" xr:uid="{E46CD3B0-8801-4DA5-87A6-300E8F239384}"/>
    <cellStyle name="Percent" xfId="1" builtinId="5"/>
    <cellStyle name="Percent 2" xfId="3" xr:uid="{95D3D529-1795-4F34-8DC5-A1B14F746C40}"/>
  </cellStyles>
  <dxfs count="110"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numFmt numFmtId="15" formatCode="0.00E+00"/>
    </dxf>
    <dxf>
      <numFmt numFmtId="15" formatCode="0.00E+00"/>
    </dxf>
    <dxf>
      <numFmt numFmtId="15" formatCode="0.00E+00"/>
    </dxf>
    <dxf>
      <numFmt numFmtId="4" formatCode="#,##0.00"/>
    </dxf>
    <dxf>
      <numFmt numFmtId="15" formatCode="0.00E+00"/>
    </dxf>
    <dxf>
      <numFmt numFmtId="15" formatCode="0.00E+00"/>
    </dxf>
    <dxf>
      <numFmt numFmtId="15" formatCode="0.00E+00"/>
    </dxf>
    <dxf>
      <numFmt numFmtId="168" formatCode="yyyy/mm/dd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0.0%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5" formatCode="0.00E+00"/>
      <fill>
        <patternFill patternType="none">
          <fgColor indexed="64"/>
          <bgColor auto="1"/>
        </patternFill>
      </fill>
    </dxf>
    <dxf>
      <font>
        <b/>
      </font>
      <numFmt numFmtId="15" formatCode="0.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5" formatCode="0.00E+00"/>
      <fill>
        <patternFill patternType="none">
          <fgColor indexed="64"/>
          <bgColor auto="1"/>
        </patternFill>
      </fill>
    </dxf>
    <dxf>
      <font>
        <b/>
      </font>
      <numFmt numFmtId="15" formatCode="0.00E+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5" formatCode="0.00E+00"/>
      <fill>
        <patternFill patternType="none">
          <fgColor indexed="64"/>
          <bgColor auto="1"/>
        </patternFill>
      </fill>
    </dxf>
    <dxf>
      <numFmt numFmtId="166" formatCode="yyyy/mm/dd;@"/>
      <alignment horizontal="center" vertical="bottom" textRotation="0" wrapText="0" indent="0" justifyLastLine="0" shrinkToFit="0" readingOrder="0"/>
    </dxf>
    <dxf>
      <numFmt numFmtId="166" formatCode="yyyy/mm/dd;@"/>
      <alignment horizontal="center" vertical="bottom" textRotation="0" wrapText="0" indent="0" justifyLastLine="0" shrinkToFit="0" readingOrder="0"/>
    </dxf>
    <dxf>
      <numFmt numFmtId="166" formatCode="yyyy/mm/dd;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0.0%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0.0%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0.0%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  <alignment horizontal="right" vertical="botto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0.0%"/>
      <fill>
        <patternFill patternType="none">
          <fgColor indexed="64"/>
          <bgColor indexed="65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5" formatCode="0.00E+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5" formatCode="0.00E+00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5" formatCode="0.00E+00"/>
      <fill>
        <patternFill patternType="none">
          <fgColor indexed="64"/>
          <bgColor indexed="65"/>
        </patternFill>
      </fill>
    </dxf>
    <dxf>
      <font>
        <b/>
      </font>
      <numFmt numFmtId="15" formatCode="0.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5" formatCode="0.00E+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5" formatCode="0.00E+00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5" formatCode="0.00E+00"/>
      <fill>
        <patternFill patternType="none">
          <fgColor indexed="64"/>
          <bgColor indexed="65"/>
        </patternFill>
      </fill>
    </dxf>
    <dxf>
      <font>
        <b/>
      </font>
      <numFmt numFmtId="15" formatCode="0.00E+00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15" formatCode="0.00E+00"/>
      <fill>
        <patternFill patternType="none">
          <fgColor indexed="64"/>
          <bgColor indexed="65"/>
        </patternFill>
      </fill>
    </dxf>
    <dxf>
      <numFmt numFmtId="15" formatCode="0.00E+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6" formatCode="yyyy/mm/dd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yyyy/mm/dd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6" formatCode="yyyy/mm/dd;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</dxf>
    <dxf>
      <numFmt numFmtId="164" formatCode="0.0%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5" formatCode="0.00E+00"/>
      <fill>
        <patternFill patternType="none">
          <fgColor indexed="64"/>
          <bgColor auto="1"/>
        </patternFill>
      </fill>
    </dxf>
    <dxf>
      <font>
        <b/>
      </font>
      <numFmt numFmtId="15" formatCode="0.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5" formatCode="0.00E+00"/>
      <fill>
        <patternFill patternType="none">
          <fgColor indexed="64"/>
          <bgColor indexed="65"/>
        </patternFill>
      </fill>
    </dxf>
    <dxf>
      <font>
        <b/>
      </font>
      <numFmt numFmtId="15" formatCode="0.00E+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6" formatCode="yyyy/mm/dd;@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F6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Sheet1!$B$2:$B$11</c:f>
              <c:numCache>
                <c:formatCode>0.00E+00</c:formatCode>
                <c:ptCount val="10"/>
                <c:pt idx="0">
                  <c:v>500000</c:v>
                </c:pt>
                <c:pt idx="1">
                  <c:v>450000</c:v>
                </c:pt>
                <c:pt idx="2">
                  <c:v>410000</c:v>
                </c:pt>
                <c:pt idx="3">
                  <c:v>390000</c:v>
                </c:pt>
                <c:pt idx="4">
                  <c:v>350000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46-4BF2-9812-8C5C5F4A749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m/d/yy</c:formatCode>
                <c:ptCount val="10"/>
                <c:pt idx="0">
                  <c:v>44927</c:v>
                </c:pt>
                <c:pt idx="1">
                  <c:v>44934</c:v>
                </c:pt>
                <c:pt idx="2">
                  <c:v>44941</c:v>
                </c:pt>
                <c:pt idx="3">
                  <c:v>44948</c:v>
                </c:pt>
                <c:pt idx="4">
                  <c:v>44955</c:v>
                </c:pt>
                <c:pt idx="5">
                  <c:v>44962</c:v>
                </c:pt>
                <c:pt idx="6">
                  <c:v>44969</c:v>
                </c:pt>
                <c:pt idx="7">
                  <c:v>44976</c:v>
                </c:pt>
                <c:pt idx="8">
                  <c:v>44983</c:v>
                </c:pt>
                <c:pt idx="9">
                  <c:v>44986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4" formatCode="0.00E+00">
                  <c:v>350000</c:v>
                </c:pt>
                <c:pt idx="5" formatCode="0.00E+00">
                  <c:v>315356.0127483001</c:v>
                </c:pt>
                <c:pt idx="6" formatCode="0.00E+00">
                  <c:v>279757.82217706449</c:v>
                </c:pt>
                <c:pt idx="7" formatCode="0.00E+00">
                  <c:v>244159.63160582894</c:v>
                </c:pt>
                <c:pt idx="8" formatCode="0.00E+00">
                  <c:v>208561.44103459336</c:v>
                </c:pt>
                <c:pt idx="9" formatCode="0.00E+00">
                  <c:v>193305.07364692097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46-4BF2-9812-8C5C5F4A7499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m/d/yy</c:formatCode>
                <c:ptCount val="10"/>
                <c:pt idx="0">
                  <c:v>44927</c:v>
                </c:pt>
                <c:pt idx="1">
                  <c:v>44934</c:v>
                </c:pt>
                <c:pt idx="2">
                  <c:v>44941</c:v>
                </c:pt>
                <c:pt idx="3">
                  <c:v>44948</c:v>
                </c:pt>
                <c:pt idx="4">
                  <c:v>44955</c:v>
                </c:pt>
                <c:pt idx="5">
                  <c:v>44962</c:v>
                </c:pt>
                <c:pt idx="6">
                  <c:v>44969</c:v>
                </c:pt>
                <c:pt idx="7">
                  <c:v>44976</c:v>
                </c:pt>
                <c:pt idx="8">
                  <c:v>44983</c:v>
                </c:pt>
                <c:pt idx="9">
                  <c:v>44986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4" formatCode="0.00E+00">
                  <c:v>350000</c:v>
                </c:pt>
                <c:pt idx="5" formatCode="0.00E+00">
                  <c:v>296569.9707749355</c:v>
                </c:pt>
                <c:pt idx="6" formatCode="0.00E+00">
                  <c:v>260389.04848224929</c:v>
                </c:pt>
                <c:pt idx="7" formatCode="0.00E+00">
                  <c:v>224220.70153700263</c:v>
                </c:pt>
                <c:pt idx="8" formatCode="0.00E+00">
                  <c:v>188063.86331425031</c:v>
                </c:pt>
                <c:pt idx="9" formatCode="0.00E+00">
                  <c:v>172570.83380957265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46-4BF2-9812-8C5C5F4A7499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m/d/yy</c:formatCode>
                <c:ptCount val="10"/>
                <c:pt idx="0">
                  <c:v>44927</c:v>
                </c:pt>
                <c:pt idx="1">
                  <c:v>44934</c:v>
                </c:pt>
                <c:pt idx="2">
                  <c:v>44941</c:v>
                </c:pt>
                <c:pt idx="3">
                  <c:v>44948</c:v>
                </c:pt>
                <c:pt idx="4">
                  <c:v>44955</c:v>
                </c:pt>
                <c:pt idx="5">
                  <c:v>44962</c:v>
                </c:pt>
                <c:pt idx="6">
                  <c:v>44969</c:v>
                </c:pt>
                <c:pt idx="7">
                  <c:v>44976</c:v>
                </c:pt>
                <c:pt idx="8">
                  <c:v>44983</c:v>
                </c:pt>
                <c:pt idx="9">
                  <c:v>44986</c:v>
                </c:pt>
              </c:numCache>
            </c:numRef>
          </c:cat>
          <c:val>
            <c:numRef>
              <c:f>Sheet1!$E$2:$E$11</c:f>
              <c:numCache>
                <c:formatCode>General</c:formatCode>
                <c:ptCount val="10"/>
                <c:pt idx="4" formatCode="0.00E+00">
                  <c:v>350000</c:v>
                </c:pt>
                <c:pt idx="5" formatCode="0.00E+00">
                  <c:v>334142.0547216647</c:v>
                </c:pt>
                <c:pt idx="6" formatCode="0.00E+00">
                  <c:v>299126.59587187966</c:v>
                </c:pt>
                <c:pt idx="7" formatCode="0.00E+00">
                  <c:v>264098.56167465524</c:v>
                </c:pt>
                <c:pt idx="8" formatCode="0.00E+00">
                  <c:v>229059.01875493641</c:v>
                </c:pt>
                <c:pt idx="9" formatCode="0.00E+00">
                  <c:v>214039.31348426928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46-4BF2-9812-8C5C5F4A7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500192"/>
        <c:axId val="680498552"/>
      </c:lineChart>
      <c:catAx>
        <c:axId val="680500192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498552"/>
        <c:crosses val="autoZero"/>
        <c:auto val="1"/>
        <c:lblAlgn val="ctr"/>
        <c:lblOffset val="100"/>
        <c:noMultiLvlLbl val="0"/>
      </c:catAx>
      <c:valAx>
        <c:axId val="68049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50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15</xdr:row>
      <xdr:rowOff>42862</xdr:rowOff>
    </xdr:from>
    <xdr:to>
      <xdr:col>17</xdr:col>
      <xdr:colOff>409575</xdr:colOff>
      <xdr:row>34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D1174E-F9E7-4321-AAEC-C30E78D5B5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3AFC94-609E-4020-B1BA-49765773BB66}" name="Pcfu" displayName="Pcfu" ref="A3:T117" totalsRowShown="0" headerRowDxfId="109" dataDxfId="107" headerRowBorderDxfId="108">
  <autoFilter ref="A3:T117" xr:uid="{7607141D-807D-4368-9D1D-18452DFA620B}"/>
  <sortState xmlns:xlrd2="http://schemas.microsoft.com/office/spreadsheetml/2017/richdata2" ref="A4:T108">
    <sortCondition ref="J3:J108"/>
  </sortState>
  <tableColumns count="20">
    <tableColumn id="1" xr3:uid="{6165E52F-77EC-4BFD-9F0A-BA439B65781A}" name="Batch" dataDxfId="106"/>
    <tableColumn id="3" xr3:uid="{EF14344C-1606-474C-9808-F880BDFFADD8}" name="Sample Description" dataDxfId="105"/>
    <tableColumn id="4" xr3:uid="{FE96E3E6-0D75-4DE2-BB3C-1FFE8107B3D6}" name="Code No." dataDxfId="104"/>
    <tableColumn id="5" xr3:uid="{F98BABD5-B5F4-4CB5-B0FF-47264CA80D95}" name="Logs" dataDxfId="103"/>
    <tableColumn id="19" xr3:uid="{E0990923-C41E-4FDF-83F7-5B9B0E1215BA}" name="No. Reps" dataDxfId="102"/>
    <tableColumn id="6" xr3:uid="{298DFE84-03AD-4876-B759-CB3B0AF8B6E3}" name="Extra" dataDxfId="101"/>
    <tableColumn id="7" xr3:uid="{42105628-27A0-4E1F-B70E-62C201182656}" name="grams" dataDxfId="100"/>
    <tableColumn id="8" xr3:uid="{EEA5B2CD-CF3C-4DFE-BA36-CCF644153FD8}" name="mL" dataDxfId="99">
      <calculatedColumnFormula>19*Pcfu[[#This Row],[grams]]</calculatedColumnFormula>
    </tableColumn>
    <tableColumn id="10" xr3:uid="{022F6AE2-724A-4259-9C51-4FFE954A0A96}" name="Who" dataDxfId="98"/>
    <tableColumn id="2" xr3:uid="{035C5773-9B46-4DDA-BAFF-C1C11AB83580}" name="Date" dataDxfId="97"/>
    <tableColumn id="11" xr3:uid="{70E5593A-B3B4-4E9D-AB1B-27A89563C085}" name="Best DF" dataDxfId="96"/>
    <tableColumn id="12" xr3:uid="{1E514245-20FB-49B3-822F-AC28C3C2BA05}" name="R1" dataDxfId="95"/>
    <tableColumn id="13" xr3:uid="{6D0A1310-B323-4A7A-808B-99A5E9DFF696}" name="R2" dataDxfId="94"/>
    <tableColumn id="20" xr3:uid="{B43F5258-78A3-4D3F-83A2-A807C249AA0D}" name="R3" dataDxfId="93"/>
    <tableColumn id="14" xr3:uid="{D3ECEDA2-57A7-4D9C-9169-4D23A48E2270}" name="CFU/mL" dataDxfId="92">
      <calculatedColumnFormula>(SUM(Pcfu[[#This Row],[R1]:[R3]]))/(Pcfu[[#This Row],[No. Reps]]*0.025)*Pcfu[[#This Row],[Best DF]]</calculatedColumnFormula>
    </tableColumn>
    <tableColumn id="21" xr3:uid="{92346000-B51F-4D9A-A9D1-26B1690A1D0E}" name="SD CFU/mL" dataDxfId="91">
      <calculatedColumnFormula>_xlfn.STDEV.S(Pcfu[[#This Row],[R1]:[R3]])/0.025*Pcfu[[#This Row],[Best DF]]</calculatedColumnFormula>
    </tableColumn>
    <tableColumn id="15" xr3:uid="{6336CBF7-1E4A-44BA-B0B2-7AD4D99350A2}" name="CFU/g" dataDxfId="90">
      <calculatedColumnFormula>Pcfu[[#This Row],[CFU/mL]]*Pcfu[[#This Row],[mL]]/Pcfu[[#This Row],[grams]]</calculatedColumnFormula>
    </tableColumn>
    <tableColumn id="18" xr3:uid="{7279E3CC-AF16-4A2F-B01F-8A3ECEB75323}" name="SD CFU/g" dataDxfId="89">
      <calculatedColumnFormula>Pcfu[[#This Row],[SD CFU/mL]]*Pcfu[[#This Row],[mL]]/Pcfu[[#This Row],[grams]]</calculatedColumnFormula>
    </tableColumn>
    <tableColumn id="16" xr3:uid="{2BA3C146-F438-475E-ADEE-6A4D86B75288}" name="CV" dataDxfId="88" dataCellStyle="Percent">
      <calculatedColumnFormula>_xlfn.STDEV.S(Pcfu[[#This Row],[R1]:[R3]])/AVERAGE(Pcfu[[#This Row],[R1]:[R3]])</calculatedColumnFormula>
    </tableColumn>
    <tableColumn id="17" xr3:uid="{D8E21028-FD68-42B3-9130-ABA5C738BE81}" name="Remark/AW" dataDxfId="87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D059B1-38EE-4CF2-8DBF-EA632979A63A}" name="Pcfu4" displayName="Pcfu4" ref="A3:X959" totalsRowShown="0" headerRowDxfId="86" dataDxfId="84" headerRowBorderDxfId="85">
  <autoFilter ref="A3:X959" xr:uid="{0AD718F2-D8C5-4017-9BF7-4EE264EA2E4C}"/>
  <tableColumns count="24">
    <tableColumn id="1" xr3:uid="{BA511809-CA35-4FD7-8ED9-25B5F125882C}" name="Batch" dataDxfId="83" totalsRowDxfId="82"/>
    <tableColumn id="3" xr3:uid="{AABB9B98-9518-4440-89D6-2C4916A6878E}" name="Sample Description" dataDxfId="81" totalsRowDxfId="80"/>
    <tableColumn id="24" xr3:uid="{BC8133D2-066B-4E1A-8DE1-580F624F80A6}" name="On-seed Description" totalsRowDxfId="79"/>
    <tableColumn id="5" xr3:uid="{9DC04EE8-B727-4F1B-93E9-BE9A236192D0}" name="Logs" dataDxfId="78" totalsRowDxfId="77"/>
    <tableColumn id="19" xr3:uid="{AFA1E4AC-3881-4BBC-BF02-F4F6FFF942B1}" name="No. Reps" dataDxfId="76" totalsRowDxfId="75"/>
    <tableColumn id="6" xr3:uid="{420E514A-2197-4667-9B0B-8728E3B2575B}" name="Extra" dataDxfId="74" totalsRowDxfId="73"/>
    <tableColumn id="7" xr3:uid="{D702DD09-6F77-4738-B4F7-950A5C9F3903}" name="grams" dataDxfId="72" totalsRowDxfId="71"/>
    <tableColumn id="8" xr3:uid="{37783731-B966-4E73-8AF8-892D860A43DA}" name="mL" dataDxfId="70" totalsRowDxfId="69">
      <calculatedColumnFormula>19*Pcfu4[[#This Row],[grams]]</calculatedColumnFormula>
    </tableColumn>
    <tableColumn id="10" xr3:uid="{B499F7C3-565F-4BC5-8334-1B55D8CB5077}" name="Who" dataDxfId="68" totalsRowDxfId="67"/>
    <tableColumn id="2" xr3:uid="{11CFE2EA-C1D3-47F1-B2BC-EF0B2A4CCEC2}" name="Date" dataDxfId="66" totalsRowDxfId="65"/>
    <tableColumn id="23" xr3:uid="{49201202-B500-40CE-8367-7D310151180E}" name="Is T0? (Y/N)" dataDxfId="64" totalsRowDxfId="63"/>
    <tableColumn id="4" xr3:uid="{FAB69307-5AA0-4041-A26A-114DF8B9986B}" name="T0 (date)" dataDxfId="62" totalsRowDxfId="61">
      <calculatedColumnFormula array="1">INDEX($J$4:J1094, MATCH(1,(A4=$A$4:A1092)*(C4=$C$4:C1092)*("Y"=$K$4:K1094),0))</calculatedColumnFormula>
    </tableColumn>
    <tableColumn id="11" xr3:uid="{0A35A866-62CC-44E8-9636-C79EB0F17A56}" name="Best DF" dataDxfId="60" totalsRowDxfId="59"/>
    <tableColumn id="12" xr3:uid="{7AB392C4-A259-4525-A969-7A216B8F3847}" name="R1" dataDxfId="58" totalsRowDxfId="57"/>
    <tableColumn id="13" xr3:uid="{30C1E077-223F-4654-BA37-5971C355EB2F}" name="R2" dataDxfId="56" totalsRowDxfId="55"/>
    <tableColumn id="20" xr3:uid="{65E8FCBB-ED70-4C66-87C7-3D61A03E7E64}" name="R3" dataDxfId="54" totalsRowDxfId="53"/>
    <tableColumn id="14" xr3:uid="{74D550F1-6ED2-4801-BEF9-0CDCC17E9C98}" name="CFU/mL" dataDxfId="52" totalsRowDxfId="51">
      <calculatedColumnFormula>(SUM(Pcfu4[[#This Row],[R1]:[R3]]))/(Pcfu4[[#This Row],[No. Reps]]*0.025)*Pcfu4[[#This Row],[Best DF]]</calculatedColumnFormula>
    </tableColumn>
    <tableColumn id="21" xr3:uid="{A7FE706F-251C-42A5-AD00-C3A9D958EAEB}" name="SD CFU/mL" dataDxfId="50" totalsRowDxfId="49">
      <calculatedColumnFormula>_xlfn.STDEV.S(Pcfu4[[#This Row],[R1]:[R3]])/0.025*Pcfu4[[#This Row],[Best DF]]</calculatedColumnFormula>
    </tableColumn>
    <tableColumn id="15" xr3:uid="{8CC31131-755B-427A-9DD7-1187F719E722}" name="CFU/g" dataDxfId="48" totalsRowDxfId="47">
      <calculatedColumnFormula>Pcfu4[[#This Row],[CFU/mL]]*Pcfu4[[#This Row],[mL]]/Pcfu4[[#This Row],[grams]]</calculatedColumnFormula>
    </tableColumn>
    <tableColumn id="18" xr3:uid="{33E2812F-A3AA-4AAD-A4E3-3A79740AD408}" name="SD CFU/g" dataDxfId="46" totalsRowDxfId="45">
      <calculatedColumnFormula>Pcfu4[[#This Row],[SD CFU/mL]]*Pcfu4[[#This Row],[mL]]/Pcfu4[[#This Row],[grams]]</calculatedColumnFormula>
    </tableColumn>
    <tableColumn id="16" xr3:uid="{E8A541A9-EB69-41BD-B3D0-DA7B28C975FF}" name="CV" dataDxfId="44" totalsRowDxfId="43" dataCellStyle="Percent" totalsRowCellStyle="Percent">
      <calculatedColumnFormula>_xlfn.STDEV.S(Pcfu43[[#This Row],[R1]:[R3]])/AVERAGE(Pcfu43[[#This Row],[R1]:[R3]])</calculatedColumnFormula>
    </tableColumn>
    <tableColumn id="22" xr3:uid="{4FCDD433-E7F0-4112-8393-46C9FA17B734}" name="Water Activity" dataDxfId="42" totalsRowDxfId="41" dataCellStyle="Percent" totalsRowCellStyle="Percent"/>
    <tableColumn id="9" xr3:uid="{3FD14AE7-FBD7-430A-8457-B97366450A10}" name="Redo" dataDxfId="40" totalsRowDxfId="39" dataCellStyle="Percent" totalsRowCellStyle="Percent"/>
    <tableColumn id="17" xr3:uid="{A4628FD7-6C72-4DBC-B66A-05547BABE584}" name="Remark/AW" dataDxfId="38" totalsRowDxfId="37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C3EC02-D695-4A7A-8E95-96EEAC9B03FB}" name="Pcfu43" displayName="Pcfu43" ref="A3:X544" totalsRowShown="0" headerRowDxfId="36" dataDxfId="34" headerRowBorderDxfId="35">
  <autoFilter ref="A3:X544" xr:uid="{1E442672-7EF0-4291-A16A-45B1ABE07B72}"/>
  <tableColumns count="24">
    <tableColumn id="1" xr3:uid="{1452B956-5140-48AB-AC54-4FB697F79747}" name="Batch" dataDxfId="33"/>
    <tableColumn id="3" xr3:uid="{859DB687-064F-4D13-BD56-9BDFD1723816}" name="Sample Description" dataDxfId="32"/>
    <tableColumn id="4" xr3:uid="{156E3AF8-9FF5-471F-8245-EB1746A33474}" name="On-seed Description" dataDxfId="31"/>
    <tableColumn id="5" xr3:uid="{55F212E8-88C3-458A-B109-AFE2703F701B}" name="Logs" dataDxfId="30"/>
    <tableColumn id="19" xr3:uid="{C3109A53-3182-4C9A-8351-34F5F6EBDEC2}" name="No. Reps" dataDxfId="29"/>
    <tableColumn id="6" xr3:uid="{009B5811-F257-470F-9C48-CB9326661593}" name="Extra" dataDxfId="28"/>
    <tableColumn id="7" xr3:uid="{3C1964B1-B0E4-41A2-860E-930865A345B2}" name="grams" dataDxfId="27"/>
    <tableColumn id="8" xr3:uid="{2583E80D-4F02-4FC8-B83D-8ED907CF9C86}" name="mL" dataDxfId="26">
      <calculatedColumnFormula>19*Pcfu4[[#This Row],[grams]]</calculatedColumnFormula>
    </tableColumn>
    <tableColumn id="10" xr3:uid="{B51DFA53-FF9F-4DA2-8C49-F18565420663}" name="Who" dataDxfId="25"/>
    <tableColumn id="2" xr3:uid="{D1F23668-621B-41AA-B0D4-2F9692A7E757}" name="Date" dataDxfId="24"/>
    <tableColumn id="23" xr3:uid="{60932C5C-46CB-4FAF-930D-43B08D0F78A0}" name="Is T0? (Y/N)" dataDxfId="23"/>
    <tableColumn id="22" xr3:uid="{0FCFE798-4275-43F3-BEAF-ED822C981607}" name="T0 (date)" dataDxfId="22">
      <calculatedColumnFormula array="1">INDEX($J$4:J1094, MATCH(1,(A4=$A$4:A1092)*("Y"=$K$4:K1094),0))</calculatedColumnFormula>
    </tableColumn>
    <tableColumn id="11" xr3:uid="{3C1C7074-2EB7-41A9-AC12-8737F4819FF1}" name="Best DF" dataDxfId="21"/>
    <tableColumn id="12" xr3:uid="{35FFB70F-0B0F-4522-813A-8D5CECE29D45}" name="R1" dataDxfId="20"/>
    <tableColumn id="13" xr3:uid="{B9E22767-5FA1-4F63-8F8C-7185D024F97C}" name="R2" dataDxfId="19"/>
    <tableColumn id="20" xr3:uid="{BD86C6F4-0F9B-41CA-8966-2E767B603DEF}" name="R3" dataDxfId="18"/>
    <tableColumn id="14" xr3:uid="{EA4E0B5D-982D-4654-93FA-107EBC666513}" name="CFU/mL" dataDxfId="17">
      <calculatedColumnFormula>(SUM(Pcfu43[[#This Row],[R1]:[R3]]))/(Pcfu43[[#This Row],[No. Reps]]*0.025)*Pcfu43[[#This Row],[Best DF]]</calculatedColumnFormula>
    </tableColumn>
    <tableColumn id="21" xr3:uid="{9217FF2E-8EBE-49F0-9CE4-BFFB581EB5A8}" name="SD CFU/mL" dataDxfId="16">
      <calculatedColumnFormula>_xlfn.STDEV.S(Pcfu43[[#This Row],[R1]:[R3]])/0.025*Pcfu43[[#This Row],[Best DF]]</calculatedColumnFormula>
    </tableColumn>
    <tableColumn id="15" xr3:uid="{5A9A5C24-C51E-408B-8156-E8C798AF11D1}" name="CFU/g" dataDxfId="15">
      <calculatedColumnFormula>Pcfu43[[#This Row],[CFU/mL]]*Pcfu43[[#This Row],[mL]]/Pcfu43[[#This Row],[grams]]</calculatedColumnFormula>
    </tableColumn>
    <tableColumn id="18" xr3:uid="{04DF2EC4-493B-424F-ACFA-69281ECBB544}" name="SD CFU/g" dataDxfId="14">
      <calculatedColumnFormula>Pcfu43[[#This Row],[SD CFU/mL]]*Pcfu43[[#This Row],[mL]]/Pcfu43[[#This Row],[grams]]</calculatedColumnFormula>
    </tableColumn>
    <tableColumn id="16" xr3:uid="{D616353B-CC33-4DB4-943B-E70468FB414E}" name="CV" dataDxfId="13" dataCellStyle="Percent">
      <calculatedColumnFormula>_xlfn.STDEV.S(Pcfu43[[#This Row],[R1]:[R3]])/AVERAGE(Pcfu43[[#This Row],[R1]:[R3]])</calculatedColumnFormula>
    </tableColumn>
    <tableColumn id="25" xr3:uid="{49701E5A-61BA-45E6-BCC5-BE03138C2AED}" name="Water Activity" dataDxfId="12" dataCellStyle="Percent"/>
    <tableColumn id="24" xr3:uid="{53AB2903-25E2-479E-BC15-B8C68622EE2F}" name="Redo" dataDxfId="11" dataCellStyle="Percent"/>
    <tableColumn id="17" xr3:uid="{025A718E-D902-4CF0-B622-D8CF65354841}" name="Remark/AW" dataDxfId="1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3F7714-86CC-40C9-91A0-15F4D02697A1}" name="Table4" displayName="Table4" ref="A1:E11" totalsRowShown="0">
  <autoFilter ref="A1:E11" xr:uid="{7A5CA816-2EC1-4B7E-A332-BAD0159A0AEB}"/>
  <tableColumns count="5">
    <tableColumn id="1" xr3:uid="{059C08EB-92FA-4CD5-B90B-9FF56FD5F869}" name="Timeline" dataDxfId="9"/>
    <tableColumn id="2" xr3:uid="{038738D4-2901-462C-BAD7-971D7F06281E}" name="Values"/>
    <tableColumn id="3" xr3:uid="{95B6BC8C-9176-406D-898F-643B7F9C964A}" name="Forecast" dataDxfId="8">
      <calculatedColumnFormula>_xlfn.FORECAST.ETS(A2,$B$2:$B$6,$A$2:$A$6,1,1)</calculatedColumnFormula>
    </tableColumn>
    <tableColumn id="4" xr3:uid="{84E5D93B-A15B-4F5F-813D-9186BBD9A3F7}" name="Lower Confidence Bound" dataDxfId="7">
      <calculatedColumnFormula>C2-_xlfn.FORECAST.ETS.CONFINT(A2,$B$2:$B$6,$A$2:$A$6,0.95,1,1)</calculatedColumnFormula>
    </tableColumn>
    <tableColumn id="5" xr3:uid="{3CD6FF8B-4826-44AB-99BE-637BDAFAFB59}" name="Upper Confidence Bound" dataDxfId="6">
      <calculatedColumnFormula>C2+_xlfn.FORECAST.ETS.CONFINT(A2,$B$2:$B$6,$A$2:$A$6,0.95,1,1)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1E7895-106C-4D4E-8776-08087C429528}" name="Table5" displayName="Table5" ref="G1:H8" totalsRowShown="0">
  <autoFilter ref="G1:H8" xr:uid="{E8F3CFE6-9EFD-409D-B8AE-C1D6C637ED72}"/>
  <tableColumns count="2">
    <tableColumn id="1" xr3:uid="{8C3BFB15-9630-47BE-9AC1-FB6421592584}" name="Statistic"/>
    <tableColumn id="2" xr3:uid="{1FCECC22-F684-4EBE-B106-B036185C6882}" name="Value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A9ACB45-B82D-4EEB-B4D2-83E94A5D0D05}" name="Table6" displayName="Table6" ref="A1:N10" totalsRowShown="0">
  <autoFilter ref="A1:N10" xr:uid="{096E56F0-00D8-44EB-962D-70CDD8D8AF4E}"/>
  <tableColumns count="14">
    <tableColumn id="1" xr3:uid="{1C779DC9-AD1E-4CC9-8BF6-2418FB29D150}" name="Batch"/>
    <tableColumn id="2" xr3:uid="{718F4E79-A069-462B-A385-33EBD0F57CF7}" name="Sample Description"/>
    <tableColumn id="3" xr3:uid="{932D6D13-9C51-45DD-980C-754D86A44AA5}" name="Code No."/>
    <tableColumn id="4" xr3:uid="{77049359-FA9A-4B59-818F-CAFB8DF85BC7}" name="Logs"/>
    <tableColumn id="5" xr3:uid="{E4E06122-A9DC-4AFE-9044-8A43830B8835}" name="Logs plated"/>
    <tableColumn id="6" xr3:uid="{133F6F5B-4D91-47B2-A6F2-D143C982AEE9}" name="Who"/>
    <tableColumn id="7" xr3:uid="{481EE94F-E4E5-4319-AB76-7D87540A96DB}" name="Date"/>
    <tableColumn id="8" xr3:uid="{29E68EA7-36C3-46A6-ADF5-2F93CCE18100}" name="Best DF"/>
    <tableColumn id="9" xr3:uid="{80A4B0D9-D6E8-4B5B-8742-C1A152583B56}" name="Rep A"/>
    <tableColumn id="10" xr3:uid="{2BD9FD8E-F904-450D-9103-B88261AC730D}" name="Rep B"/>
    <tableColumn id="11" xr3:uid="{0C143C8D-4CD4-4762-BB2C-6E4DFE441925}" name="Rep C"/>
    <tableColumn id="12" xr3:uid="{8395DB64-C2E5-4AED-BABA-246C1C1E6CAF}" name="CFU/seed" dataDxfId="4">
      <calculatedColumnFormula>SUM(Table6[[#This Row],[Rep A]],Table6[[#This Row],[Rep B]],Table6[[#This Row],[Rep C]])/0.075*Table6[[#This Row],[Best DF]]</calculatedColumnFormula>
    </tableColumn>
    <tableColumn id="13" xr3:uid="{09A8609F-139B-42F5-8C68-B49C35C561BA}" name="Stdev." dataDxfId="3">
      <calculatedColumnFormula>_xlfn.STDEV.S(Table6[[#This Row],[Rep A]:[Rep C]])/0.025*Table6[[#This Row],[Best DF]]</calculatedColumnFormula>
    </tableColumn>
    <tableColumn id="14" xr3:uid="{2455EBF1-485D-45C7-BB18-F576457DBF0A}" name="CV" dataDxfId="2">
      <calculatedColumnFormula>Table6[[#This Row],[Stdev.]]/Table6[[#This Row],[CFU/seed]]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E891-CEA1-40D9-B5B1-5A4CBD402B7F}">
  <dimension ref="A1:T117"/>
  <sheetViews>
    <sheetView topLeftCell="A83" workbookViewId="0">
      <selection activeCell="Q123" sqref="Q123"/>
    </sheetView>
  </sheetViews>
  <sheetFormatPr baseColWidth="10" defaultColWidth="9" defaultRowHeight="12" x14ac:dyDescent="0.15"/>
  <cols>
    <col min="1" max="1" width="23.796875" customWidth="1"/>
    <col min="2" max="2" width="38.3984375" customWidth="1"/>
    <col min="3" max="4" width="10.19921875" customWidth="1"/>
    <col min="5" max="5" width="10.19921875" style="3" customWidth="1"/>
    <col min="6" max="6" width="10.19921875" customWidth="1"/>
    <col min="7" max="7" width="10.3984375" customWidth="1"/>
    <col min="9" max="9" width="9.19921875" style="3"/>
    <col min="10" max="10" width="10.796875" bestFit="1" customWidth="1"/>
    <col min="11" max="11" width="12" bestFit="1" customWidth="1"/>
    <col min="13" max="13" width="9.3984375" customWidth="1"/>
    <col min="14" max="14" width="8.796875" customWidth="1"/>
    <col min="15" max="15" width="10.19921875" style="4" customWidth="1"/>
    <col min="16" max="16" width="11.59765625" style="4" customWidth="1"/>
    <col min="18" max="18" width="10.796875" customWidth="1"/>
    <col min="20" max="20" width="27.796875" customWidth="1"/>
    <col min="23" max="23" width="11" bestFit="1" customWidth="1"/>
    <col min="25" max="25" width="12" customWidth="1"/>
  </cols>
  <sheetData>
    <row r="1" spans="1:20" x14ac:dyDescent="0.1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</row>
    <row r="2" spans="1:20" x14ac:dyDescent="0.15">
      <c r="A2" s="9" t="s">
        <v>1</v>
      </c>
      <c r="B2" s="9" t="s">
        <v>1</v>
      </c>
      <c r="C2" s="10" t="s">
        <v>2</v>
      </c>
      <c r="D2" s="10" t="s">
        <v>2</v>
      </c>
      <c r="E2" s="9" t="s">
        <v>1</v>
      </c>
      <c r="F2" s="10" t="s">
        <v>2</v>
      </c>
      <c r="G2" s="9" t="s">
        <v>1</v>
      </c>
      <c r="H2" s="10"/>
      <c r="I2" s="9" t="s">
        <v>1</v>
      </c>
      <c r="J2" s="9" t="s">
        <v>1</v>
      </c>
      <c r="K2" s="9" t="s">
        <v>1</v>
      </c>
      <c r="L2" s="9" t="s">
        <v>1</v>
      </c>
      <c r="M2" s="9" t="s">
        <v>1</v>
      </c>
      <c r="N2" s="10" t="s">
        <v>2</v>
      </c>
      <c r="O2" s="11"/>
      <c r="P2" s="11"/>
      <c r="Q2" s="12"/>
      <c r="R2" s="12"/>
      <c r="S2" s="12"/>
      <c r="T2" s="10" t="s">
        <v>2</v>
      </c>
    </row>
    <row r="3" spans="1:20" ht="12.75" customHeight="1" x14ac:dyDescent="0.15">
      <c r="A3" s="12" t="s">
        <v>3</v>
      </c>
      <c r="B3" s="12" t="s">
        <v>4</v>
      </c>
      <c r="C3" s="12" t="s">
        <v>5</v>
      </c>
      <c r="D3" s="12" t="s">
        <v>6</v>
      </c>
      <c r="E3" s="13" t="s">
        <v>7</v>
      </c>
      <c r="F3" s="12" t="s">
        <v>8</v>
      </c>
      <c r="G3" s="12" t="s">
        <v>9</v>
      </c>
      <c r="H3" s="12" t="s">
        <v>10</v>
      </c>
      <c r="I3" s="10" t="s">
        <v>11</v>
      </c>
      <c r="J3" s="12" t="s">
        <v>12</v>
      </c>
      <c r="K3" s="12" t="s">
        <v>13</v>
      </c>
      <c r="L3" s="12" t="s">
        <v>14</v>
      </c>
      <c r="M3" s="12" t="s">
        <v>15</v>
      </c>
      <c r="N3" s="12" t="s">
        <v>16</v>
      </c>
      <c r="O3" s="11" t="s">
        <v>17</v>
      </c>
      <c r="P3" s="11" t="s">
        <v>18</v>
      </c>
      <c r="Q3" s="12" t="s">
        <v>19</v>
      </c>
      <c r="R3" s="12" t="s">
        <v>20</v>
      </c>
      <c r="S3" s="12" t="s">
        <v>21</v>
      </c>
      <c r="T3" s="12" t="s">
        <v>22</v>
      </c>
    </row>
    <row r="4" spans="1:20" x14ac:dyDescent="0.15">
      <c r="A4" t="s">
        <v>23</v>
      </c>
      <c r="B4" t="s">
        <v>24</v>
      </c>
      <c r="C4" s="4" t="s">
        <v>25</v>
      </c>
      <c r="D4" t="s">
        <v>26</v>
      </c>
      <c r="E4" s="3">
        <v>2</v>
      </c>
      <c r="F4" t="s">
        <v>27</v>
      </c>
      <c r="G4">
        <v>0.156</v>
      </c>
      <c r="H4" s="5">
        <f>19*Pcfu[[#This Row],[grams]]</f>
        <v>2.964</v>
      </c>
      <c r="I4" s="3" t="s">
        <v>28</v>
      </c>
      <c r="J4" s="14">
        <v>44741</v>
      </c>
      <c r="K4" s="1">
        <v>100000</v>
      </c>
      <c r="L4">
        <v>96</v>
      </c>
      <c r="M4">
        <v>93</v>
      </c>
      <c r="O4" s="6">
        <f>(SUM(Pcfu[[#This Row],[R1]:[R3]]))/(Pcfu[[#This Row],[No. Reps]]*0.025)*Pcfu[[#This Row],[Best DF]]</f>
        <v>378000000</v>
      </c>
      <c r="P4" s="1">
        <f>_xlfn.STDEV.S(Pcfu[[#This Row],[R1]:[R3]])/0.025*Pcfu[[#This Row],[Best DF]]</f>
        <v>8485281.3742385693</v>
      </c>
      <c r="Q4" s="6">
        <f>Pcfu[[#This Row],[CFU/mL]]*Pcfu[[#This Row],[mL]]/Pcfu[[#This Row],[grams]]</f>
        <v>7182000000</v>
      </c>
      <c r="R4" s="1">
        <f>Pcfu[[#This Row],[SD CFU/mL]]*Pcfu[[#This Row],[mL]]/Pcfu[[#This Row],[grams]]</f>
        <v>161220346.11053282</v>
      </c>
      <c r="S4" s="7">
        <f>_xlfn.STDEV.S(Pcfu[[#This Row],[R1]:[R3]])/AVERAGE(Pcfu[[#This Row],[R1]:[R3]])</f>
        <v>2.244783432338246E-2</v>
      </c>
      <c r="T4" t="s">
        <v>29</v>
      </c>
    </row>
    <row r="5" spans="1:20" x14ac:dyDescent="0.15">
      <c r="A5" t="s">
        <v>23</v>
      </c>
      <c r="B5" t="s">
        <v>24</v>
      </c>
      <c r="C5" s="4" t="s">
        <v>25</v>
      </c>
      <c r="D5" t="s">
        <v>26</v>
      </c>
      <c r="E5" s="3">
        <v>2</v>
      </c>
      <c r="F5" t="s">
        <v>27</v>
      </c>
      <c r="G5">
        <v>0.156</v>
      </c>
      <c r="H5" s="5">
        <f>19*Pcfu[[#This Row],[grams]]</f>
        <v>2.964</v>
      </c>
      <c r="I5" s="3" t="s">
        <v>30</v>
      </c>
      <c r="J5" s="14">
        <v>44741</v>
      </c>
      <c r="K5" s="1">
        <v>100000</v>
      </c>
      <c r="L5">
        <v>46</v>
      </c>
      <c r="M5">
        <v>62</v>
      </c>
      <c r="O5" s="6">
        <f>(SUM(Pcfu[[#This Row],[R1]:[R3]]))/(Pcfu[[#This Row],[No. Reps]]*0.025)*Pcfu[[#This Row],[Best DF]]</f>
        <v>216000000</v>
      </c>
      <c r="P5" s="1">
        <f>_xlfn.STDEV.S(Pcfu[[#This Row],[R1]:[R3]])/0.025*Pcfu[[#This Row],[Best DF]]</f>
        <v>45254833.995939046</v>
      </c>
      <c r="Q5" s="6">
        <f>Pcfu[[#This Row],[CFU/mL]]*Pcfu[[#This Row],[mL]]/Pcfu[[#This Row],[grams]]</f>
        <v>4104000000</v>
      </c>
      <c r="R5" s="1">
        <f>Pcfu[[#This Row],[SD CFU/mL]]*Pcfu[[#This Row],[mL]]/Pcfu[[#This Row],[grams]]</f>
        <v>859841845.92284191</v>
      </c>
      <c r="S5" s="7">
        <f>_xlfn.STDEV.S(Pcfu[[#This Row],[R1]:[R3]])/AVERAGE(Pcfu[[#This Row],[R1]:[R3]])</f>
        <v>0.20951312035156966</v>
      </c>
      <c r="T5" t="s">
        <v>31</v>
      </c>
    </row>
    <row r="6" spans="1:20" x14ac:dyDescent="0.15">
      <c r="A6" t="s">
        <v>23</v>
      </c>
      <c r="B6" t="s">
        <v>32</v>
      </c>
      <c r="C6" s="4" t="s">
        <v>33</v>
      </c>
      <c r="D6" t="s">
        <v>26</v>
      </c>
      <c r="E6" s="3">
        <v>2</v>
      </c>
      <c r="G6">
        <v>0.155</v>
      </c>
      <c r="H6" s="5">
        <f>19*Pcfu[[#This Row],[grams]]</f>
        <v>2.9449999999999998</v>
      </c>
      <c r="I6" s="3" t="s">
        <v>30</v>
      </c>
      <c r="J6" s="14">
        <v>44741</v>
      </c>
      <c r="K6" s="1">
        <v>100000</v>
      </c>
      <c r="L6">
        <v>49</v>
      </c>
      <c r="M6">
        <v>44</v>
      </c>
      <c r="O6" s="6">
        <f>(SUM(Pcfu[[#This Row],[R1]:[R3]]))/(Pcfu[[#This Row],[No. Reps]]*0.025)*Pcfu[[#This Row],[Best DF]]</f>
        <v>186000000</v>
      </c>
      <c r="P6" s="1">
        <f>_xlfn.STDEV.S(Pcfu[[#This Row],[R1]:[R3]])/0.025*Pcfu[[#This Row],[Best DF]]</f>
        <v>14142135.623730952</v>
      </c>
      <c r="Q6" s="6">
        <f>Pcfu[[#This Row],[CFU/mL]]*Pcfu[[#This Row],[mL]]/Pcfu[[#This Row],[grams]]</f>
        <v>3534000000</v>
      </c>
      <c r="R6" s="1">
        <f>Pcfu[[#This Row],[SD CFU/mL]]*Pcfu[[#This Row],[mL]]/Pcfu[[#This Row],[grams]]</f>
        <v>268700576.85088807</v>
      </c>
      <c r="S6" s="7">
        <f>_xlfn.STDEV.S(Pcfu[[#This Row],[R1]:[R3]])/AVERAGE(Pcfu[[#This Row],[R1]:[R3]])</f>
        <v>7.6032987224359957E-2</v>
      </c>
      <c r="T6" t="s">
        <v>31</v>
      </c>
    </row>
    <row r="7" spans="1:20" x14ac:dyDescent="0.15">
      <c r="A7" t="s">
        <v>34</v>
      </c>
      <c r="B7" t="s">
        <v>35</v>
      </c>
      <c r="C7" s="4" t="s">
        <v>36</v>
      </c>
      <c r="D7" t="s">
        <v>37</v>
      </c>
      <c r="E7" s="3">
        <v>2</v>
      </c>
      <c r="G7">
        <v>0.159</v>
      </c>
      <c r="H7" s="5">
        <f>19*Pcfu[[#This Row],[grams]]</f>
        <v>3.0209999999999999</v>
      </c>
      <c r="I7" s="3" t="s">
        <v>28</v>
      </c>
      <c r="J7" s="14">
        <v>44741</v>
      </c>
      <c r="K7" s="1">
        <v>1000000</v>
      </c>
      <c r="L7">
        <v>53</v>
      </c>
      <c r="M7">
        <v>67</v>
      </c>
      <c r="O7" s="6">
        <f>(SUM(Pcfu[[#This Row],[R1]:[R3]]))/(Pcfu[[#This Row],[No. Reps]]*0.025)*Pcfu[[#This Row],[Best DF]]</f>
        <v>2400000000</v>
      </c>
      <c r="P7" s="1">
        <f>_xlfn.STDEV.S(Pcfu[[#This Row],[R1]:[R3]])/0.025*Pcfu[[#This Row],[Best DF]]</f>
        <v>395979797.46446657</v>
      </c>
      <c r="Q7" s="6">
        <f>Pcfu[[#This Row],[CFU/mL]]*Pcfu[[#This Row],[mL]]/Pcfu[[#This Row],[grams]]</f>
        <v>45600000000</v>
      </c>
      <c r="R7" s="1">
        <f>Pcfu[[#This Row],[SD CFU/mL]]*Pcfu[[#This Row],[mL]]/Pcfu[[#This Row],[grams]]</f>
        <v>7523616151.8248644</v>
      </c>
      <c r="S7" s="7">
        <f>_xlfn.STDEV.S(Pcfu[[#This Row],[R1]:[R3]])/AVERAGE(Pcfu[[#This Row],[R1]:[R3]])</f>
        <v>0.16499158227686109</v>
      </c>
      <c r="T7" t="s">
        <v>29</v>
      </c>
    </row>
    <row r="8" spans="1:20" x14ac:dyDescent="0.15">
      <c r="A8" t="s">
        <v>34</v>
      </c>
      <c r="B8" t="s">
        <v>38</v>
      </c>
      <c r="C8" s="4" t="s">
        <v>39</v>
      </c>
      <c r="D8" t="s">
        <v>37</v>
      </c>
      <c r="E8" s="3">
        <v>2</v>
      </c>
      <c r="G8">
        <v>0.14399999999999999</v>
      </c>
      <c r="H8" s="5">
        <f>19*Pcfu[[#This Row],[grams]]</f>
        <v>2.7359999999999998</v>
      </c>
      <c r="I8" s="3" t="s">
        <v>28</v>
      </c>
      <c r="J8" s="14">
        <v>44741</v>
      </c>
      <c r="K8" s="1">
        <v>1000000</v>
      </c>
      <c r="L8">
        <v>116</v>
      </c>
      <c r="M8">
        <v>81</v>
      </c>
      <c r="O8" s="6">
        <f>(SUM(Pcfu[[#This Row],[R1]:[R3]]))/(Pcfu[[#This Row],[No. Reps]]*0.025)*Pcfu[[#This Row],[Best DF]]</f>
        <v>3940000000</v>
      </c>
      <c r="P8" s="1">
        <f>_xlfn.STDEV.S(Pcfu[[#This Row],[R1]:[R3]])/0.025*Pcfu[[#This Row],[Best DF]]</f>
        <v>989949493.66116655</v>
      </c>
      <c r="Q8" s="6">
        <f>Pcfu[[#This Row],[CFU/mL]]*Pcfu[[#This Row],[mL]]/Pcfu[[#This Row],[grams]]</f>
        <v>74860000000</v>
      </c>
      <c r="R8" s="1">
        <f>Pcfu[[#This Row],[SD CFU/mL]]*Pcfu[[#This Row],[mL]]/Pcfu[[#This Row],[grams]]</f>
        <v>18809040379.562164</v>
      </c>
      <c r="S8" s="7">
        <f>_xlfn.STDEV.S(Pcfu[[#This Row],[R1]:[R3]])/AVERAGE(Pcfu[[#This Row],[R1]:[R3]])</f>
        <v>0.2512562166652707</v>
      </c>
      <c r="T8" t="s">
        <v>29</v>
      </c>
    </row>
    <row r="9" spans="1:20" x14ac:dyDescent="0.15">
      <c r="A9" t="s">
        <v>40</v>
      </c>
      <c r="B9" t="s">
        <v>41</v>
      </c>
      <c r="C9" s="4" t="s">
        <v>42</v>
      </c>
      <c r="D9" t="s">
        <v>37</v>
      </c>
      <c r="E9" s="3">
        <v>2</v>
      </c>
      <c r="G9" s="8">
        <v>0.18</v>
      </c>
      <c r="H9" s="5">
        <f>19*Pcfu[[#This Row],[grams]]</f>
        <v>3.42</v>
      </c>
      <c r="I9" s="3" t="s">
        <v>28</v>
      </c>
      <c r="J9" s="14">
        <v>44741</v>
      </c>
      <c r="K9" s="1">
        <v>1000000</v>
      </c>
      <c r="L9">
        <v>24</v>
      </c>
      <c r="M9">
        <v>26</v>
      </c>
      <c r="O9" s="6">
        <f>(SUM(Pcfu[[#This Row],[R1]:[R3]]))/(Pcfu[[#This Row],[No. Reps]]*0.025)*Pcfu[[#This Row],[Best DF]]</f>
        <v>1000000000</v>
      </c>
      <c r="P9" s="1">
        <f>_xlfn.STDEV.S(Pcfu[[#This Row],[R1]:[R3]])/0.025*Pcfu[[#This Row],[Best DF]]</f>
        <v>56568542.494923808</v>
      </c>
      <c r="Q9" s="6">
        <f>Pcfu[[#This Row],[CFU/mL]]*Pcfu[[#This Row],[mL]]/Pcfu[[#This Row],[grams]]</f>
        <v>19000000000</v>
      </c>
      <c r="R9" s="1">
        <f>Pcfu[[#This Row],[SD CFU/mL]]*Pcfu[[#This Row],[mL]]/Pcfu[[#This Row],[grams]]</f>
        <v>1074802307.4035523</v>
      </c>
      <c r="S9" s="38">
        <f>_xlfn.STDEV.S(Pcfu[[#This Row],[R1]:[R3]])/AVERAGE(Pcfu[[#This Row],[R1]:[R3]])</f>
        <v>5.6568542494923803E-2</v>
      </c>
      <c r="T9" t="s">
        <v>29</v>
      </c>
    </row>
    <row r="10" spans="1:20" x14ac:dyDescent="0.15">
      <c r="A10" t="s">
        <v>40</v>
      </c>
      <c r="B10" t="s">
        <v>43</v>
      </c>
      <c r="C10" s="4" t="s">
        <v>44</v>
      </c>
      <c r="D10" t="s">
        <v>37</v>
      </c>
      <c r="E10" s="3">
        <v>2</v>
      </c>
      <c r="G10">
        <v>0.16300000000000001</v>
      </c>
      <c r="H10" s="5">
        <f>19*Pcfu[[#This Row],[grams]]</f>
        <v>3.097</v>
      </c>
      <c r="I10" s="3" t="s">
        <v>28</v>
      </c>
      <c r="J10" s="14">
        <v>44741</v>
      </c>
      <c r="K10" s="1">
        <v>100000</v>
      </c>
      <c r="L10">
        <v>210</v>
      </c>
      <c r="M10">
        <v>175</v>
      </c>
      <c r="O10" s="6">
        <f>(SUM(Pcfu[[#This Row],[R1]:[R3]]))/(Pcfu[[#This Row],[No. Reps]]*0.025)*Pcfu[[#This Row],[Best DF]]</f>
        <v>770000000</v>
      </c>
      <c r="P10" s="1">
        <f>_xlfn.STDEV.S(Pcfu[[#This Row],[R1]:[R3]])/0.025*Pcfu[[#This Row],[Best DF]]</f>
        <v>98994949.366116658</v>
      </c>
      <c r="Q10" s="6">
        <f>Pcfu[[#This Row],[CFU/mL]]*Pcfu[[#This Row],[mL]]/Pcfu[[#This Row],[grams]]</f>
        <v>14630000000</v>
      </c>
      <c r="R10" s="1">
        <f>Pcfu[[#This Row],[SD CFU/mL]]*Pcfu[[#This Row],[mL]]/Pcfu[[#This Row],[grams]]</f>
        <v>1880904037.9562166</v>
      </c>
      <c r="S10" s="38">
        <f>_xlfn.STDEV.S(Pcfu[[#This Row],[R1]:[R3]])/AVERAGE(Pcfu[[#This Row],[R1]:[R3]])</f>
        <v>0.12856486930664501</v>
      </c>
      <c r="T10" t="s">
        <v>29</v>
      </c>
    </row>
    <row r="11" spans="1:20" x14ac:dyDescent="0.15">
      <c r="A11" t="s">
        <v>45</v>
      </c>
      <c r="B11" t="s">
        <v>46</v>
      </c>
      <c r="C11" s="4" t="s">
        <v>47</v>
      </c>
      <c r="D11" t="s">
        <v>37</v>
      </c>
      <c r="E11" s="3">
        <v>2</v>
      </c>
      <c r="F11" t="s">
        <v>48</v>
      </c>
      <c r="G11">
        <v>0.127</v>
      </c>
      <c r="H11" s="5">
        <f>19*Pcfu[[#This Row],[grams]]</f>
        <v>2.4130000000000003</v>
      </c>
      <c r="I11" s="3" t="s">
        <v>28</v>
      </c>
      <c r="J11" s="14">
        <v>44741</v>
      </c>
      <c r="K11" s="1">
        <v>100000</v>
      </c>
      <c r="L11">
        <v>74</v>
      </c>
      <c r="M11">
        <v>67</v>
      </c>
      <c r="O11" s="6">
        <f>(SUM(Pcfu[[#This Row],[R1]:[R3]]))/(Pcfu[[#This Row],[No. Reps]]*0.025)*Pcfu[[#This Row],[Best DF]]</f>
        <v>282000000</v>
      </c>
      <c r="P11" s="1">
        <f>_xlfn.STDEV.S(Pcfu[[#This Row],[R1]:[R3]])/0.025*Pcfu[[#This Row],[Best DF]]</f>
        <v>19798989.873223327</v>
      </c>
      <c r="Q11" s="6">
        <f>Pcfu[[#This Row],[CFU/mL]]*Pcfu[[#This Row],[mL]]/Pcfu[[#This Row],[grams]]</f>
        <v>5358000000.000001</v>
      </c>
      <c r="R11" s="1">
        <f>Pcfu[[#This Row],[SD CFU/mL]]*Pcfu[[#This Row],[mL]]/Pcfu[[#This Row],[grams]]</f>
        <v>376180807.59124321</v>
      </c>
      <c r="S11" s="38">
        <f>_xlfn.STDEV.S(Pcfu[[#This Row],[R1]:[R3]])/AVERAGE(Pcfu[[#This Row],[R1]:[R3]])</f>
        <v>7.0209183947600465E-2</v>
      </c>
      <c r="T11" t="s">
        <v>29</v>
      </c>
    </row>
    <row r="12" spans="1:20" x14ac:dyDescent="0.15">
      <c r="A12" t="s">
        <v>45</v>
      </c>
      <c r="B12" t="s">
        <v>49</v>
      </c>
      <c r="C12" s="4" t="s">
        <v>50</v>
      </c>
      <c r="D12" t="s">
        <v>37</v>
      </c>
      <c r="E12" s="3">
        <v>2</v>
      </c>
      <c r="F12" t="s">
        <v>48</v>
      </c>
      <c r="G12">
        <v>0.13600000000000001</v>
      </c>
      <c r="H12" s="5">
        <f>19*Pcfu[[#This Row],[grams]]</f>
        <v>2.5840000000000001</v>
      </c>
      <c r="I12" s="3" t="s">
        <v>28</v>
      </c>
      <c r="J12" s="14">
        <v>44741</v>
      </c>
      <c r="K12" s="1">
        <v>100000</v>
      </c>
      <c r="L12">
        <v>117</v>
      </c>
      <c r="M12">
        <v>128</v>
      </c>
      <c r="O12" s="6">
        <f>(SUM(Pcfu[[#This Row],[R1]:[R3]]))/(Pcfu[[#This Row],[No. Reps]]*0.025)*Pcfu[[#This Row],[Best DF]]</f>
        <v>490000000</v>
      </c>
      <c r="P12" s="1">
        <f>_xlfn.STDEV.S(Pcfu[[#This Row],[R1]:[R3]])/0.025*Pcfu[[#This Row],[Best DF]]</f>
        <v>31112698.372208085</v>
      </c>
      <c r="Q12" s="6">
        <f>Pcfu[[#This Row],[CFU/mL]]*Pcfu[[#This Row],[mL]]/Pcfu[[#This Row],[grams]]</f>
        <v>9310000000</v>
      </c>
      <c r="R12" s="1">
        <f>Pcfu[[#This Row],[SD CFU/mL]]*Pcfu[[#This Row],[mL]]/Pcfu[[#This Row],[grams]]</f>
        <v>591141269.07195354</v>
      </c>
      <c r="S12" s="38">
        <f>_xlfn.STDEV.S(Pcfu[[#This Row],[R1]:[R3]])/AVERAGE(Pcfu[[#This Row],[R1]:[R3]])</f>
        <v>6.3495302800424674E-2</v>
      </c>
      <c r="T12" t="s">
        <v>29</v>
      </c>
    </row>
    <row r="13" spans="1:20" x14ac:dyDescent="0.15">
      <c r="A13" t="s">
        <v>51</v>
      </c>
      <c r="B13" t="s">
        <v>52</v>
      </c>
      <c r="C13" s="4" t="s">
        <v>53</v>
      </c>
      <c r="D13" t="s">
        <v>26</v>
      </c>
      <c r="E13" s="3">
        <v>2</v>
      </c>
      <c r="G13">
        <v>0.16600000000000001</v>
      </c>
      <c r="H13" s="5">
        <f>19*Pcfu[[#This Row],[grams]]</f>
        <v>3.1540000000000004</v>
      </c>
      <c r="I13" s="3" t="s">
        <v>30</v>
      </c>
      <c r="J13" s="14">
        <v>44741</v>
      </c>
      <c r="K13" s="1">
        <v>10000</v>
      </c>
      <c r="L13">
        <v>193</v>
      </c>
      <c r="M13">
        <v>189</v>
      </c>
      <c r="O13" s="6">
        <f>(SUM(Pcfu[[#This Row],[R1]:[R3]]))/(Pcfu[[#This Row],[No. Reps]]*0.025)*Pcfu[[#This Row],[Best DF]]</f>
        <v>76400000</v>
      </c>
      <c r="P13" s="1">
        <f>_xlfn.STDEV.S(Pcfu[[#This Row],[R1]:[R3]])/0.025*Pcfu[[#This Row],[Best DF]]</f>
        <v>1131370.8498984762</v>
      </c>
      <c r="Q13" s="6">
        <f>Pcfu[[#This Row],[CFU/mL]]*Pcfu[[#This Row],[mL]]/Pcfu[[#This Row],[grams]]</f>
        <v>1451600000</v>
      </c>
      <c r="R13" s="1">
        <f>Pcfu[[#This Row],[SD CFU/mL]]*Pcfu[[#This Row],[mL]]/Pcfu[[#This Row],[grams]]</f>
        <v>21496046.148071047</v>
      </c>
      <c r="S13" s="7">
        <f>_xlfn.STDEV.S(Pcfu[[#This Row],[R1]:[R3]])/AVERAGE(Pcfu[[#This Row],[R1]:[R3]])</f>
        <v>1.4808518977728745E-2</v>
      </c>
      <c r="T13" t="s">
        <v>31</v>
      </c>
    </row>
    <row r="14" spans="1:20" x14ac:dyDescent="0.15">
      <c r="A14" t="s">
        <v>51</v>
      </c>
      <c r="B14" t="s">
        <v>54</v>
      </c>
      <c r="C14" s="4" t="s">
        <v>55</v>
      </c>
      <c r="D14" t="s">
        <v>26</v>
      </c>
      <c r="E14" s="3">
        <v>2</v>
      </c>
      <c r="G14">
        <v>0.14699999999999999</v>
      </c>
      <c r="H14" s="5">
        <f>19*Pcfu[[#This Row],[grams]]</f>
        <v>2.7929999999999997</v>
      </c>
      <c r="I14" s="3" t="s">
        <v>30</v>
      </c>
      <c r="J14" s="14">
        <v>44741</v>
      </c>
      <c r="K14" s="1">
        <v>10000</v>
      </c>
      <c r="L14">
        <v>247</v>
      </c>
      <c r="M14">
        <v>213</v>
      </c>
      <c r="O14" s="6">
        <f>(SUM(Pcfu[[#This Row],[R1]:[R3]]))/(Pcfu[[#This Row],[No. Reps]]*0.025)*Pcfu[[#This Row],[Best DF]]</f>
        <v>92000000</v>
      </c>
      <c r="P14" s="1">
        <f>_xlfn.STDEV.S(Pcfu[[#This Row],[R1]:[R3]])/0.025*Pcfu[[#This Row],[Best DF]]</f>
        <v>9616652.2241370454</v>
      </c>
      <c r="Q14" s="6">
        <f>Pcfu[[#This Row],[CFU/mL]]*Pcfu[[#This Row],[mL]]/Pcfu[[#This Row],[grams]]</f>
        <v>1748000000</v>
      </c>
      <c r="R14" s="1">
        <f>Pcfu[[#This Row],[SD CFU/mL]]*Pcfu[[#This Row],[mL]]/Pcfu[[#This Row],[grams]]</f>
        <v>182716392.25860384</v>
      </c>
      <c r="S14" s="7">
        <f>_xlfn.STDEV.S(Pcfu[[#This Row],[R1]:[R3]])/AVERAGE(Pcfu[[#This Row],[R1]:[R3]])</f>
        <v>0.10452882852322876</v>
      </c>
      <c r="T14" t="s">
        <v>31</v>
      </c>
    </row>
    <row r="15" spans="1:20" x14ac:dyDescent="0.15">
      <c r="A15" t="s">
        <v>56</v>
      </c>
      <c r="B15" t="s">
        <v>57</v>
      </c>
      <c r="C15" s="4" t="s">
        <v>58</v>
      </c>
      <c r="D15" t="s">
        <v>26</v>
      </c>
      <c r="E15" s="3">
        <v>2</v>
      </c>
      <c r="G15">
        <v>0.121</v>
      </c>
      <c r="H15" s="5">
        <f>19*Pcfu[[#This Row],[grams]]</f>
        <v>2.2989999999999999</v>
      </c>
      <c r="I15" s="3" t="s">
        <v>30</v>
      </c>
      <c r="J15" s="14">
        <v>44741</v>
      </c>
      <c r="K15" s="1">
        <v>10000</v>
      </c>
      <c r="L15">
        <v>97</v>
      </c>
      <c r="M15">
        <v>94</v>
      </c>
      <c r="O15" s="6">
        <f>(SUM(Pcfu[[#This Row],[R1]:[R3]]))/(Pcfu[[#This Row],[No. Reps]]*0.025)*Pcfu[[#This Row],[Best DF]]</f>
        <v>38200000</v>
      </c>
      <c r="P15" s="1">
        <f>_xlfn.STDEV.S(Pcfu[[#This Row],[R1]:[R3]])/0.025*Pcfu[[#This Row],[Best DF]]</f>
        <v>848528.13742385688</v>
      </c>
      <c r="Q15" s="6">
        <f>Pcfu[[#This Row],[CFU/mL]]*Pcfu[[#This Row],[mL]]/Pcfu[[#This Row],[grams]]</f>
        <v>725800000</v>
      </c>
      <c r="R15" s="1">
        <f>Pcfu[[#This Row],[SD CFU/mL]]*Pcfu[[#This Row],[mL]]/Pcfu[[#This Row],[grams]]</f>
        <v>16122034.611053281</v>
      </c>
      <c r="S15" s="7">
        <f>_xlfn.STDEV.S(Pcfu[[#This Row],[R1]:[R3]])/AVERAGE(Pcfu[[#This Row],[R1]:[R3]])</f>
        <v>2.2212778466593114E-2</v>
      </c>
      <c r="T15" t="s">
        <v>31</v>
      </c>
    </row>
    <row r="16" spans="1:20" x14ac:dyDescent="0.15">
      <c r="A16" t="s">
        <v>56</v>
      </c>
      <c r="B16" t="s">
        <v>59</v>
      </c>
      <c r="C16" s="4" t="s">
        <v>60</v>
      </c>
      <c r="D16" t="s">
        <v>26</v>
      </c>
      <c r="E16" s="3">
        <v>2</v>
      </c>
      <c r="G16">
        <v>0.114</v>
      </c>
      <c r="H16" s="5">
        <f>19*Pcfu[[#This Row],[grams]]</f>
        <v>2.1659999999999999</v>
      </c>
      <c r="I16" s="3" t="s">
        <v>30</v>
      </c>
      <c r="J16" s="14">
        <v>44741</v>
      </c>
      <c r="K16" s="1">
        <v>10000</v>
      </c>
      <c r="L16">
        <v>115</v>
      </c>
      <c r="M16">
        <v>107</v>
      </c>
      <c r="O16" s="6">
        <f>(SUM(Pcfu[[#This Row],[R1]:[R3]]))/(Pcfu[[#This Row],[No. Reps]]*0.025)*Pcfu[[#This Row],[Best DF]]</f>
        <v>44400000</v>
      </c>
      <c r="P16" s="1">
        <f>_xlfn.STDEV.S(Pcfu[[#This Row],[R1]:[R3]])/0.025*Pcfu[[#This Row],[Best DF]]</f>
        <v>2262741.6997969523</v>
      </c>
      <c r="Q16" s="6">
        <f>Pcfu[[#This Row],[CFU/mL]]*Pcfu[[#This Row],[mL]]/Pcfu[[#This Row],[grams]]</f>
        <v>843600000</v>
      </c>
      <c r="R16" s="1">
        <f>Pcfu[[#This Row],[SD CFU/mL]]*Pcfu[[#This Row],[mL]]/Pcfu[[#This Row],[grams]]</f>
        <v>42992092.296142086</v>
      </c>
      <c r="S16" s="7">
        <f>_xlfn.STDEV.S(Pcfu[[#This Row],[R1]:[R3]])/AVERAGE(Pcfu[[#This Row],[R1]:[R3]])</f>
        <v>5.0962650896327753E-2</v>
      </c>
      <c r="T16" t="s">
        <v>31</v>
      </c>
    </row>
    <row r="17" spans="1:20" x14ac:dyDescent="0.15">
      <c r="A17" t="s">
        <v>61</v>
      </c>
      <c r="B17" t="s">
        <v>62</v>
      </c>
      <c r="C17" s="4" t="s">
        <v>63</v>
      </c>
      <c r="D17" t="s">
        <v>26</v>
      </c>
      <c r="E17" s="3">
        <v>2</v>
      </c>
      <c r="G17" s="8">
        <v>0.3</v>
      </c>
      <c r="H17" s="5">
        <f>19*Pcfu[[#This Row],[grams]]</f>
        <v>5.7</v>
      </c>
      <c r="I17" s="3" t="s">
        <v>28</v>
      </c>
      <c r="J17" s="14">
        <v>44742</v>
      </c>
      <c r="K17" s="1">
        <v>100000</v>
      </c>
      <c r="L17">
        <v>65</v>
      </c>
      <c r="M17">
        <v>32</v>
      </c>
      <c r="O17" s="6">
        <f>(SUM(Pcfu[[#This Row],[R1]:[R3]]))/(Pcfu[[#This Row],[No. Reps]]*0.025)*Pcfu[[#This Row],[Best DF]]</f>
        <v>194000000</v>
      </c>
      <c r="P17" s="1">
        <f>_xlfn.STDEV.S(Pcfu[[#This Row],[R1]:[R3]])/0.025*Pcfu[[#This Row],[Best DF]]</f>
        <v>93338095.116624266</v>
      </c>
      <c r="Q17" s="6">
        <f>Pcfu[[#This Row],[CFU/mL]]*Pcfu[[#This Row],[mL]]/Pcfu[[#This Row],[grams]]</f>
        <v>3686000000</v>
      </c>
      <c r="R17" s="1">
        <f>Pcfu[[#This Row],[SD CFU/mL]]*Pcfu[[#This Row],[mL]]/Pcfu[[#This Row],[grams]]</f>
        <v>1773423807.2158611</v>
      </c>
      <c r="S17" s="7">
        <f>_xlfn.STDEV.S(Pcfu[[#This Row],[R1]:[R3]])/AVERAGE(Pcfu[[#This Row],[R1]:[R3]])</f>
        <v>0.48112420163208386</v>
      </c>
      <c r="T17" t="s">
        <v>29</v>
      </c>
    </row>
    <row r="18" spans="1:20" x14ac:dyDescent="0.15">
      <c r="A18" t="s">
        <v>61</v>
      </c>
      <c r="B18" t="s">
        <v>64</v>
      </c>
      <c r="C18" s="4" t="s">
        <v>65</v>
      </c>
      <c r="D18" t="s">
        <v>26</v>
      </c>
      <c r="E18" s="3">
        <v>2</v>
      </c>
      <c r="G18" s="8">
        <v>0.3</v>
      </c>
      <c r="H18" s="5">
        <f>19*Pcfu[[#This Row],[grams]]</f>
        <v>5.7</v>
      </c>
      <c r="I18" s="3" t="s">
        <v>28</v>
      </c>
      <c r="J18" s="14">
        <v>44742</v>
      </c>
      <c r="K18" s="1">
        <v>10000</v>
      </c>
      <c r="L18">
        <v>151</v>
      </c>
      <c r="M18">
        <v>109</v>
      </c>
      <c r="O18" s="6">
        <f>(SUM(Pcfu[[#This Row],[R1]:[R3]]))/(Pcfu[[#This Row],[No. Reps]]*0.025)*Pcfu[[#This Row],[Best DF]]</f>
        <v>52000000</v>
      </c>
      <c r="P18" s="1">
        <f>_xlfn.STDEV.S(Pcfu[[#This Row],[R1]:[R3]])/0.025*Pcfu[[#This Row],[Best DF]]</f>
        <v>11879393.923933996</v>
      </c>
      <c r="Q18" s="6">
        <f>Pcfu[[#This Row],[CFU/mL]]*Pcfu[[#This Row],[mL]]/Pcfu[[#This Row],[grams]]</f>
        <v>988000000</v>
      </c>
      <c r="R18" s="1">
        <f>Pcfu[[#This Row],[SD CFU/mL]]*Pcfu[[#This Row],[mL]]/Pcfu[[#This Row],[grams]]</f>
        <v>225708484.55474597</v>
      </c>
      <c r="S18" s="7">
        <f>_xlfn.STDEV.S(Pcfu[[#This Row],[R1]:[R3]])/AVERAGE(Pcfu[[#This Row],[R1]:[R3]])</f>
        <v>0.22844988315257689</v>
      </c>
      <c r="T18" t="s">
        <v>29</v>
      </c>
    </row>
    <row r="19" spans="1:20" x14ac:dyDescent="0.15">
      <c r="A19" t="s">
        <v>66</v>
      </c>
      <c r="B19" t="s">
        <v>62</v>
      </c>
      <c r="C19" s="4" t="s">
        <v>67</v>
      </c>
      <c r="D19" t="s">
        <v>26</v>
      </c>
      <c r="E19" s="3">
        <v>2</v>
      </c>
      <c r="G19" s="8">
        <v>0.3</v>
      </c>
      <c r="H19" s="5">
        <f>19*Pcfu[[#This Row],[grams]]</f>
        <v>5.7</v>
      </c>
      <c r="I19" s="3" t="s">
        <v>30</v>
      </c>
      <c r="J19" s="14">
        <v>44742</v>
      </c>
      <c r="K19" s="1">
        <v>10000</v>
      </c>
      <c r="L19">
        <v>31</v>
      </c>
      <c r="M19">
        <v>4</v>
      </c>
      <c r="O19" s="6">
        <f>(SUM(Pcfu[[#This Row],[R1]:[R3]]))/(Pcfu[[#This Row],[No. Reps]]*0.025)*Pcfu[[#This Row],[Best DF]]</f>
        <v>7000000</v>
      </c>
      <c r="P19" s="1">
        <f>_xlfn.STDEV.S(Pcfu[[#This Row],[R1]:[R3]])/0.025*Pcfu[[#This Row],[Best DF]]</f>
        <v>7636753.2368147131</v>
      </c>
      <c r="Q19" s="6">
        <f>Pcfu[[#This Row],[CFU/mL]]*Pcfu[[#This Row],[mL]]/Pcfu[[#This Row],[grams]]</f>
        <v>133000000</v>
      </c>
      <c r="R19" s="1">
        <f>Pcfu[[#This Row],[SD CFU/mL]]*Pcfu[[#This Row],[mL]]/Pcfu[[#This Row],[grams]]</f>
        <v>145098311.49947956</v>
      </c>
      <c r="S19" s="7">
        <f>_xlfn.STDEV.S(Pcfu[[#This Row],[R1]:[R3]])/AVERAGE(Pcfu[[#This Row],[R1]:[R3]])</f>
        <v>1.0909647481163878</v>
      </c>
      <c r="T19" t="s">
        <v>68</v>
      </c>
    </row>
    <row r="20" spans="1:20" x14ac:dyDescent="0.15">
      <c r="A20" t="s">
        <v>66</v>
      </c>
      <c r="B20" t="s">
        <v>62</v>
      </c>
      <c r="C20" s="4" t="s">
        <v>67</v>
      </c>
      <c r="D20" t="s">
        <v>26</v>
      </c>
      <c r="E20" s="3">
        <v>2</v>
      </c>
      <c r="F20" t="s">
        <v>27</v>
      </c>
      <c r="G20" s="8">
        <v>0.3</v>
      </c>
      <c r="H20" s="5">
        <f>19*Pcfu[[#This Row],[grams]]</f>
        <v>5.7</v>
      </c>
      <c r="I20" s="3" t="s">
        <v>28</v>
      </c>
      <c r="J20" s="14">
        <v>44742</v>
      </c>
      <c r="K20" s="1">
        <v>10000</v>
      </c>
      <c r="L20">
        <v>135</v>
      </c>
      <c r="M20">
        <v>123</v>
      </c>
      <c r="O20" s="6">
        <f>(SUM(Pcfu[[#This Row],[R1]:[R3]]))/(Pcfu[[#This Row],[No. Reps]]*0.025)*Pcfu[[#This Row],[Best DF]]</f>
        <v>51600000</v>
      </c>
      <c r="P20" s="1">
        <f>_xlfn.STDEV.S(Pcfu[[#This Row],[R1]:[R3]])/0.025*Pcfu[[#This Row],[Best DF]]</f>
        <v>3394112.5496954275</v>
      </c>
      <c r="Q20" s="6">
        <f>Pcfu[[#This Row],[CFU/mL]]*Pcfu[[#This Row],[mL]]/Pcfu[[#This Row],[grams]]</f>
        <v>980400000</v>
      </c>
      <c r="R20" s="1">
        <f>Pcfu[[#This Row],[SD CFU/mL]]*Pcfu[[#This Row],[mL]]/Pcfu[[#This Row],[grams]]</f>
        <v>64488138.444213122</v>
      </c>
      <c r="S20" s="7">
        <f>_xlfn.STDEV.S(Pcfu[[#This Row],[R1]:[R3]])/AVERAGE(Pcfu[[#This Row],[R1]:[R3]])</f>
        <v>6.5777374994097443E-2</v>
      </c>
      <c r="T20" t="s">
        <v>29</v>
      </c>
    </row>
    <row r="21" spans="1:20" x14ac:dyDescent="0.15">
      <c r="A21" t="s">
        <v>66</v>
      </c>
      <c r="B21" t="s">
        <v>64</v>
      </c>
      <c r="C21" s="4" t="s">
        <v>69</v>
      </c>
      <c r="D21" t="s">
        <v>26</v>
      </c>
      <c r="E21" s="3">
        <v>2</v>
      </c>
      <c r="G21" s="8">
        <v>0.3</v>
      </c>
      <c r="H21" s="5">
        <f>19*Pcfu[[#This Row],[grams]]</f>
        <v>5.7</v>
      </c>
      <c r="I21" s="3" t="s">
        <v>30</v>
      </c>
      <c r="J21" s="14">
        <v>44742</v>
      </c>
      <c r="K21" s="1">
        <v>10000</v>
      </c>
      <c r="L21">
        <v>7</v>
      </c>
      <c r="M21">
        <v>6</v>
      </c>
      <c r="O21" s="6">
        <f>(SUM(Pcfu[[#This Row],[R1]:[R3]]))/(Pcfu[[#This Row],[No. Reps]]*0.025)*Pcfu[[#This Row],[Best DF]]</f>
        <v>2600000</v>
      </c>
      <c r="P21" s="1">
        <f>_xlfn.STDEV.S(Pcfu[[#This Row],[R1]:[R3]])/0.025*Pcfu[[#This Row],[Best DF]]</f>
        <v>282842.71247461904</v>
      </c>
      <c r="Q21" s="6">
        <f>Pcfu[[#This Row],[CFU/mL]]*Pcfu[[#This Row],[mL]]/Pcfu[[#This Row],[grams]]</f>
        <v>49400000</v>
      </c>
      <c r="R21" s="1">
        <f>Pcfu[[#This Row],[SD CFU/mL]]*Pcfu[[#This Row],[mL]]/Pcfu[[#This Row],[grams]]</f>
        <v>5374011.5370177617</v>
      </c>
      <c r="S21" s="7">
        <f>_xlfn.STDEV.S(Pcfu[[#This Row],[R1]:[R3]])/AVERAGE(Pcfu[[#This Row],[R1]:[R3]])</f>
        <v>0.10878565864408424</v>
      </c>
      <c r="T21" t="s">
        <v>68</v>
      </c>
    </row>
    <row r="22" spans="1:20" x14ac:dyDescent="0.15">
      <c r="A22" t="s">
        <v>66</v>
      </c>
      <c r="B22" t="s">
        <v>64</v>
      </c>
      <c r="C22" s="4" t="s">
        <v>69</v>
      </c>
      <c r="D22" t="s">
        <v>26</v>
      </c>
      <c r="E22" s="3">
        <v>2</v>
      </c>
      <c r="F22" t="s">
        <v>27</v>
      </c>
      <c r="G22" s="8">
        <v>0.3</v>
      </c>
      <c r="H22" s="5">
        <f>19*Pcfu[[#This Row],[grams]]</f>
        <v>5.7</v>
      </c>
      <c r="I22" s="3" t="s">
        <v>28</v>
      </c>
      <c r="J22" s="14">
        <v>44742</v>
      </c>
      <c r="K22" s="1">
        <v>10000</v>
      </c>
      <c r="L22">
        <v>58</v>
      </c>
      <c r="M22">
        <v>68</v>
      </c>
      <c r="O22" s="6">
        <f>(SUM(Pcfu[[#This Row],[R1]:[R3]]))/(Pcfu[[#This Row],[No. Reps]]*0.025)*Pcfu[[#This Row],[Best DF]]</f>
        <v>25200000</v>
      </c>
      <c r="P22" s="1">
        <f>_xlfn.STDEV.S(Pcfu[[#This Row],[R1]:[R3]])/0.025*Pcfu[[#This Row],[Best DF]]</f>
        <v>2828427.1247461904</v>
      </c>
      <c r="Q22" s="6">
        <f>Pcfu[[#This Row],[CFU/mL]]*Pcfu[[#This Row],[mL]]/Pcfu[[#This Row],[grams]]</f>
        <v>478800000</v>
      </c>
      <c r="R22" s="1">
        <f>Pcfu[[#This Row],[SD CFU/mL]]*Pcfu[[#This Row],[mL]]/Pcfu[[#This Row],[grams]]</f>
        <v>53740115.370177619</v>
      </c>
      <c r="S22" s="7">
        <f>_xlfn.STDEV.S(Pcfu[[#This Row],[R1]:[R3]])/AVERAGE(Pcfu[[#This Row],[R1]:[R3]])</f>
        <v>0.11223917161691231</v>
      </c>
      <c r="T22" t="s">
        <v>29</v>
      </c>
    </row>
    <row r="23" spans="1:20" x14ac:dyDescent="0.15">
      <c r="A23" t="s">
        <v>23</v>
      </c>
      <c r="B23" t="s">
        <v>64</v>
      </c>
      <c r="C23" s="4" t="s">
        <v>70</v>
      </c>
      <c r="D23" t="s">
        <v>26</v>
      </c>
      <c r="E23" s="3">
        <v>2</v>
      </c>
      <c r="G23" s="8">
        <v>0.3</v>
      </c>
      <c r="H23" s="5">
        <f>19*Pcfu[[#This Row],[grams]]</f>
        <v>5.7</v>
      </c>
      <c r="I23" s="3" t="s">
        <v>30</v>
      </c>
      <c r="J23" s="14">
        <v>44742</v>
      </c>
      <c r="K23" s="1">
        <v>10000</v>
      </c>
      <c r="L23">
        <v>1</v>
      </c>
      <c r="M23">
        <v>4</v>
      </c>
      <c r="O23" s="6">
        <f>(SUM(Pcfu[[#This Row],[R1]:[R3]]))/(Pcfu[[#This Row],[No. Reps]]*0.025)*Pcfu[[#This Row],[Best DF]]</f>
        <v>1000000</v>
      </c>
      <c r="P23" s="1">
        <f>_xlfn.STDEV.S(Pcfu[[#This Row],[R1]:[R3]])/0.025*Pcfu[[#This Row],[Best DF]]</f>
        <v>848528.13742385688</v>
      </c>
      <c r="Q23" s="6">
        <f>Pcfu[[#This Row],[CFU/mL]]*Pcfu[[#This Row],[mL]]/Pcfu[[#This Row],[grams]]</f>
        <v>19000000</v>
      </c>
      <c r="R23" s="1">
        <f>Pcfu[[#This Row],[SD CFU/mL]]*Pcfu[[#This Row],[mL]]/Pcfu[[#This Row],[grams]]</f>
        <v>16122034.611053281</v>
      </c>
      <c r="S23" s="7">
        <f>_xlfn.STDEV.S(Pcfu[[#This Row],[R1]:[R3]])/AVERAGE(Pcfu[[#This Row],[R1]:[R3]])</f>
        <v>0.84852813742385691</v>
      </c>
      <c r="T23" t="s">
        <v>68</v>
      </c>
    </row>
    <row r="24" spans="1:20" x14ac:dyDescent="0.15">
      <c r="A24" t="s">
        <v>23</v>
      </c>
      <c r="B24" t="s">
        <v>62</v>
      </c>
      <c r="C24" s="4" t="s">
        <v>71</v>
      </c>
      <c r="D24" t="s">
        <v>72</v>
      </c>
      <c r="E24" s="3">
        <v>2</v>
      </c>
      <c r="G24" s="8">
        <v>0.3</v>
      </c>
      <c r="H24" s="5">
        <f>19*Pcfu[[#This Row],[grams]]</f>
        <v>5.7</v>
      </c>
      <c r="I24" s="3" t="s">
        <v>30</v>
      </c>
      <c r="J24" s="14">
        <v>44742</v>
      </c>
      <c r="K24" s="1">
        <v>10000</v>
      </c>
      <c r="L24">
        <v>40</v>
      </c>
      <c r="M24">
        <v>40</v>
      </c>
      <c r="O24" s="6">
        <f>(SUM(Pcfu[[#This Row],[R1]:[R3]]))/(Pcfu[[#This Row],[No. Reps]]*0.025)*Pcfu[[#This Row],[Best DF]]</f>
        <v>16000000</v>
      </c>
      <c r="P24" s="1">
        <f>_xlfn.STDEV.S(Pcfu[[#This Row],[R1]:[R3]])/0.025*Pcfu[[#This Row],[Best DF]]</f>
        <v>0</v>
      </c>
      <c r="Q24" s="6">
        <f>Pcfu[[#This Row],[CFU/mL]]*Pcfu[[#This Row],[mL]]/Pcfu[[#This Row],[grams]]</f>
        <v>304000000</v>
      </c>
      <c r="R24" s="1">
        <f>Pcfu[[#This Row],[SD CFU/mL]]*Pcfu[[#This Row],[mL]]/Pcfu[[#This Row],[grams]]</f>
        <v>0</v>
      </c>
      <c r="S24" s="7">
        <f>_xlfn.STDEV.S(Pcfu[[#This Row],[R1]:[R3]])/AVERAGE(Pcfu[[#This Row],[R1]:[R3]])</f>
        <v>0</v>
      </c>
      <c r="T24" t="s">
        <v>68</v>
      </c>
    </row>
    <row r="25" spans="1:20" x14ac:dyDescent="0.15">
      <c r="A25" t="s">
        <v>73</v>
      </c>
      <c r="B25" t="s">
        <v>74</v>
      </c>
      <c r="C25" s="4" t="s">
        <v>16</v>
      </c>
      <c r="D25" t="s">
        <v>26</v>
      </c>
      <c r="E25" s="3">
        <v>2</v>
      </c>
      <c r="F25" t="s">
        <v>27</v>
      </c>
      <c r="G25" s="8">
        <v>0.3</v>
      </c>
      <c r="H25" s="5">
        <f>19*Pcfu[[#This Row],[grams]]</f>
        <v>5.7</v>
      </c>
      <c r="I25" s="3" t="s">
        <v>28</v>
      </c>
      <c r="J25" s="14">
        <v>44749</v>
      </c>
      <c r="K25" s="1">
        <v>10000</v>
      </c>
      <c r="L25">
        <v>104</v>
      </c>
      <c r="M25">
        <v>98</v>
      </c>
      <c r="O25" s="6">
        <f>(SUM(Pcfu[[#This Row],[R1]:[R3]]))/(Pcfu[[#This Row],[No. Reps]]*0.025)*Pcfu[[#This Row],[Best DF]]</f>
        <v>40400000</v>
      </c>
      <c r="P25" s="1">
        <f>_xlfn.STDEV.S(Pcfu[[#This Row],[R1]:[R3]])/0.025*Pcfu[[#This Row],[Best DF]]</f>
        <v>1697056.2748477138</v>
      </c>
      <c r="Q25" s="6">
        <f>Pcfu[[#This Row],[CFU/mL]]*Pcfu[[#This Row],[mL]]/Pcfu[[#This Row],[grams]]</f>
        <v>767600000</v>
      </c>
      <c r="R25" s="1">
        <f>Pcfu[[#This Row],[SD CFU/mL]]*Pcfu[[#This Row],[mL]]/Pcfu[[#This Row],[grams]]</f>
        <v>32244069.222106561</v>
      </c>
      <c r="S25" s="7">
        <f>_xlfn.STDEV.S(Pcfu[[#This Row],[R1]:[R3]])/AVERAGE(Pcfu[[#This Row],[R1]:[R3]])</f>
        <v>4.2006343436824599E-2</v>
      </c>
    </row>
    <row r="26" spans="1:20" x14ac:dyDescent="0.15">
      <c r="A26" t="s">
        <v>73</v>
      </c>
      <c r="B26" t="s">
        <v>74</v>
      </c>
      <c r="C26" s="4" t="s">
        <v>16</v>
      </c>
      <c r="D26" t="s">
        <v>26</v>
      </c>
      <c r="E26" s="3">
        <v>2</v>
      </c>
      <c r="F26" t="s">
        <v>27</v>
      </c>
      <c r="G26" s="8">
        <v>0.3</v>
      </c>
      <c r="H26" s="5">
        <f>19*Pcfu[[#This Row],[grams]]</f>
        <v>5.7</v>
      </c>
      <c r="I26" s="3" t="s">
        <v>30</v>
      </c>
      <c r="J26" s="14">
        <v>44749</v>
      </c>
      <c r="K26" s="1">
        <v>10000</v>
      </c>
      <c r="L26">
        <v>111</v>
      </c>
      <c r="M26">
        <v>114</v>
      </c>
      <c r="O26" s="6">
        <f>(SUM(Pcfu[[#This Row],[R1]:[R3]]))/(Pcfu[[#This Row],[No. Reps]]*0.025)*Pcfu[[#This Row],[Best DF]]</f>
        <v>45000000</v>
      </c>
      <c r="P26" s="1">
        <f>_xlfn.STDEV.S(Pcfu[[#This Row],[R1]:[R3]])/0.025*Pcfu[[#This Row],[Best DF]]</f>
        <v>848528.13742385688</v>
      </c>
      <c r="Q26" s="6">
        <f>Pcfu[[#This Row],[CFU/mL]]*Pcfu[[#This Row],[mL]]/Pcfu[[#This Row],[grams]]</f>
        <v>855000000</v>
      </c>
      <c r="R26" s="1">
        <f>Pcfu[[#This Row],[SD CFU/mL]]*Pcfu[[#This Row],[mL]]/Pcfu[[#This Row],[grams]]</f>
        <v>16122034.611053281</v>
      </c>
      <c r="S26" s="7">
        <f>_xlfn.STDEV.S(Pcfu[[#This Row],[R1]:[R3]])/AVERAGE(Pcfu[[#This Row],[R1]:[R3]])</f>
        <v>1.8856180831641266E-2</v>
      </c>
    </row>
    <row r="27" spans="1:20" x14ac:dyDescent="0.15">
      <c r="A27" t="s">
        <v>73</v>
      </c>
      <c r="B27" t="s">
        <v>75</v>
      </c>
      <c r="C27" s="4" t="s">
        <v>76</v>
      </c>
      <c r="D27" t="s">
        <v>26</v>
      </c>
      <c r="E27" s="3">
        <v>2</v>
      </c>
      <c r="F27" t="s">
        <v>27</v>
      </c>
      <c r="G27" s="8">
        <v>0.3</v>
      </c>
      <c r="H27" s="5">
        <f>19*Pcfu[[#This Row],[grams]]</f>
        <v>5.7</v>
      </c>
      <c r="I27" s="3" t="s">
        <v>28</v>
      </c>
      <c r="J27" s="14">
        <v>44749</v>
      </c>
      <c r="K27" s="1">
        <v>10000</v>
      </c>
      <c r="L27">
        <v>118</v>
      </c>
      <c r="M27">
        <v>108</v>
      </c>
      <c r="O27" s="6">
        <f>(SUM(Pcfu[[#This Row],[R1]:[R3]]))/(Pcfu[[#This Row],[No. Reps]]*0.025)*Pcfu[[#This Row],[Best DF]]</f>
        <v>45200000</v>
      </c>
      <c r="P27" s="1">
        <f>_xlfn.STDEV.S(Pcfu[[#This Row],[R1]:[R3]])/0.025*Pcfu[[#This Row],[Best DF]]</f>
        <v>2828427.1247461904</v>
      </c>
      <c r="Q27" s="6">
        <f>Pcfu[[#This Row],[CFU/mL]]*Pcfu[[#This Row],[mL]]/Pcfu[[#This Row],[grams]]</f>
        <v>858800000</v>
      </c>
      <c r="R27" s="1">
        <f>Pcfu[[#This Row],[SD CFU/mL]]*Pcfu[[#This Row],[mL]]/Pcfu[[#This Row],[grams]]</f>
        <v>53740115.370177619</v>
      </c>
      <c r="S27" s="7">
        <f>_xlfn.STDEV.S(Pcfu[[#This Row],[R1]:[R3]])/AVERAGE(Pcfu[[#This Row],[R1]:[R3]])</f>
        <v>6.2575821343942267E-2</v>
      </c>
    </row>
    <row r="28" spans="1:20" x14ac:dyDescent="0.15">
      <c r="A28" t="s">
        <v>73</v>
      </c>
      <c r="B28" t="s">
        <v>75</v>
      </c>
      <c r="C28" s="4" t="s">
        <v>76</v>
      </c>
      <c r="D28" t="s">
        <v>26</v>
      </c>
      <c r="E28" s="3">
        <v>2</v>
      </c>
      <c r="F28" t="s">
        <v>27</v>
      </c>
      <c r="G28" s="8">
        <v>0.3</v>
      </c>
      <c r="H28" s="5">
        <f>19*Pcfu[[#This Row],[grams]]</f>
        <v>5.7</v>
      </c>
      <c r="I28" s="3" t="s">
        <v>30</v>
      </c>
      <c r="J28" s="14">
        <v>44749</v>
      </c>
      <c r="K28" s="1">
        <v>10000</v>
      </c>
      <c r="L28">
        <v>115</v>
      </c>
      <c r="M28">
        <v>124</v>
      </c>
      <c r="O28" s="6">
        <f>(SUM(Pcfu[[#This Row],[R1]:[R3]]))/(Pcfu[[#This Row],[No. Reps]]*0.025)*Pcfu[[#This Row],[Best DF]]</f>
        <v>47800000</v>
      </c>
      <c r="P28" s="1">
        <f>_xlfn.STDEV.S(Pcfu[[#This Row],[R1]:[R3]])/0.025*Pcfu[[#This Row],[Best DF]]</f>
        <v>2545584.4122715709</v>
      </c>
      <c r="Q28" s="6">
        <f>Pcfu[[#This Row],[CFU/mL]]*Pcfu[[#This Row],[mL]]/Pcfu[[#This Row],[grams]]</f>
        <v>908200000</v>
      </c>
      <c r="R28" s="1">
        <f>Pcfu[[#This Row],[SD CFU/mL]]*Pcfu[[#This Row],[mL]]/Pcfu[[#This Row],[grams]]</f>
        <v>48366103.833159849</v>
      </c>
      <c r="S28" s="7">
        <f>_xlfn.STDEV.S(Pcfu[[#This Row],[R1]:[R3]])/AVERAGE(Pcfu[[#This Row],[R1]:[R3]])</f>
        <v>5.3254904022417802E-2</v>
      </c>
    </row>
    <row r="29" spans="1:20" x14ac:dyDescent="0.15">
      <c r="A29" t="s">
        <v>77</v>
      </c>
      <c r="B29" t="s">
        <v>74</v>
      </c>
      <c r="C29" s="4" t="s">
        <v>78</v>
      </c>
      <c r="D29" t="s">
        <v>37</v>
      </c>
      <c r="E29" s="3">
        <v>2</v>
      </c>
      <c r="F29" t="s">
        <v>27</v>
      </c>
      <c r="G29" s="8">
        <v>0.3</v>
      </c>
      <c r="H29" s="5">
        <f>19*Pcfu[[#This Row],[grams]]</f>
        <v>5.7</v>
      </c>
      <c r="I29" s="3" t="s">
        <v>28</v>
      </c>
      <c r="J29" s="14">
        <v>44749</v>
      </c>
      <c r="K29" s="1">
        <v>100000</v>
      </c>
      <c r="L29">
        <v>228</v>
      </c>
      <c r="M29">
        <v>236</v>
      </c>
      <c r="O29" s="6">
        <f>(SUM(Pcfu[[#This Row],[R1]:[R3]]))/(Pcfu[[#This Row],[No. Reps]]*0.025)*Pcfu[[#This Row],[Best DF]]</f>
        <v>928000000</v>
      </c>
      <c r="P29" s="1">
        <f>_xlfn.STDEV.S(Pcfu[[#This Row],[R1]:[R3]])/0.025*Pcfu[[#This Row],[Best DF]]</f>
        <v>22627416.997969523</v>
      </c>
      <c r="Q29" s="6">
        <f>Pcfu[[#This Row],[CFU/mL]]*Pcfu[[#This Row],[mL]]/Pcfu[[#This Row],[grams]]</f>
        <v>17632000000</v>
      </c>
      <c r="R29" s="1">
        <f>Pcfu[[#This Row],[SD CFU/mL]]*Pcfu[[#This Row],[mL]]/Pcfu[[#This Row],[grams]]</f>
        <v>429920922.96142095</v>
      </c>
      <c r="S29" s="7">
        <f>_xlfn.STDEV.S(Pcfu[[#This Row],[R1]:[R3]])/AVERAGE(Pcfu[[#This Row],[R1]:[R3]])</f>
        <v>2.4382992454708537E-2</v>
      </c>
    </row>
    <row r="30" spans="1:20" x14ac:dyDescent="0.15">
      <c r="A30" t="s">
        <v>77</v>
      </c>
      <c r="B30" t="s">
        <v>74</v>
      </c>
      <c r="C30" s="4" t="s">
        <v>78</v>
      </c>
      <c r="D30" t="s">
        <v>37</v>
      </c>
      <c r="E30" s="3">
        <v>2</v>
      </c>
      <c r="F30" t="s">
        <v>27</v>
      </c>
      <c r="G30" s="8">
        <v>0.3</v>
      </c>
      <c r="H30" s="5">
        <f>19*Pcfu[[#This Row],[grams]]</f>
        <v>5.7</v>
      </c>
      <c r="I30" s="3" t="s">
        <v>30</v>
      </c>
      <c r="J30" s="14">
        <v>44749</v>
      </c>
      <c r="K30" s="1">
        <v>100000</v>
      </c>
      <c r="L30">
        <v>243</v>
      </c>
      <c r="M30">
        <v>223</v>
      </c>
      <c r="O30" s="6">
        <f>(SUM(Pcfu[[#This Row],[R1]:[R3]]))/(Pcfu[[#This Row],[No. Reps]]*0.025)*Pcfu[[#This Row],[Best DF]]</f>
        <v>932000000</v>
      </c>
      <c r="P30" s="1">
        <f>_xlfn.STDEV.S(Pcfu[[#This Row],[R1]:[R3]])/0.025*Pcfu[[#This Row],[Best DF]]</f>
        <v>56568542.494923808</v>
      </c>
      <c r="Q30" s="6">
        <f>Pcfu[[#This Row],[CFU/mL]]*Pcfu[[#This Row],[mL]]/Pcfu[[#This Row],[grams]]</f>
        <v>17708000000</v>
      </c>
      <c r="R30" s="1">
        <f>Pcfu[[#This Row],[SD CFU/mL]]*Pcfu[[#This Row],[mL]]/Pcfu[[#This Row],[grams]]</f>
        <v>1074802307.4035523</v>
      </c>
      <c r="S30" s="7">
        <f>_xlfn.STDEV.S(Pcfu[[#This Row],[R1]:[R3]])/AVERAGE(Pcfu[[#This Row],[R1]:[R3]])</f>
        <v>6.0695861046055587E-2</v>
      </c>
    </row>
    <row r="31" spans="1:20" x14ac:dyDescent="0.15">
      <c r="A31" t="s">
        <v>77</v>
      </c>
      <c r="B31" t="s">
        <v>75</v>
      </c>
      <c r="C31" s="4" t="s">
        <v>79</v>
      </c>
      <c r="D31" t="s">
        <v>37</v>
      </c>
      <c r="E31" s="3">
        <v>2</v>
      </c>
      <c r="F31" t="s">
        <v>27</v>
      </c>
      <c r="G31" s="8">
        <v>0.3</v>
      </c>
      <c r="H31" s="5">
        <f>19*Pcfu[[#This Row],[grams]]</f>
        <v>5.7</v>
      </c>
      <c r="I31" s="3" t="s">
        <v>28</v>
      </c>
      <c r="J31" s="14">
        <v>44749</v>
      </c>
      <c r="K31" s="1">
        <v>1000000</v>
      </c>
      <c r="L31">
        <v>52</v>
      </c>
      <c r="M31">
        <v>48</v>
      </c>
      <c r="O31" s="6">
        <f>(SUM(Pcfu[[#This Row],[R1]:[R3]]))/(Pcfu[[#This Row],[No. Reps]]*0.025)*Pcfu[[#This Row],[Best DF]]</f>
        <v>2000000000</v>
      </c>
      <c r="P31" s="1">
        <f>_xlfn.STDEV.S(Pcfu[[#This Row],[R1]:[R3]])/0.025*Pcfu[[#This Row],[Best DF]]</f>
        <v>113137084.98984762</v>
      </c>
      <c r="Q31" s="6">
        <f>Pcfu[[#This Row],[CFU/mL]]*Pcfu[[#This Row],[mL]]/Pcfu[[#This Row],[grams]]</f>
        <v>38000000000</v>
      </c>
      <c r="R31" s="1">
        <f>Pcfu[[#This Row],[SD CFU/mL]]*Pcfu[[#This Row],[mL]]/Pcfu[[#This Row],[grams]]</f>
        <v>2149604614.8071046</v>
      </c>
      <c r="S31" s="7">
        <f>_xlfn.STDEV.S(Pcfu[[#This Row],[R1]:[R3]])/AVERAGE(Pcfu[[#This Row],[R1]:[R3]])</f>
        <v>5.6568542494923803E-2</v>
      </c>
    </row>
    <row r="32" spans="1:20" x14ac:dyDescent="0.15">
      <c r="A32" t="s">
        <v>77</v>
      </c>
      <c r="B32" t="s">
        <v>75</v>
      </c>
      <c r="C32" s="4" t="s">
        <v>79</v>
      </c>
      <c r="D32" t="s">
        <v>37</v>
      </c>
      <c r="E32" s="3">
        <v>2</v>
      </c>
      <c r="F32" t="s">
        <v>27</v>
      </c>
      <c r="G32" s="8">
        <v>0.3</v>
      </c>
      <c r="H32" s="5">
        <f>19*Pcfu[[#This Row],[grams]]</f>
        <v>5.7</v>
      </c>
      <c r="I32" s="3" t="s">
        <v>30</v>
      </c>
      <c r="J32" s="14">
        <v>44749</v>
      </c>
      <c r="K32" s="1">
        <v>1000000</v>
      </c>
      <c r="L32">
        <v>38</v>
      </c>
      <c r="M32">
        <v>54</v>
      </c>
      <c r="O32" s="6">
        <f>(SUM(Pcfu[[#This Row],[R1]:[R3]]))/(Pcfu[[#This Row],[No. Reps]]*0.025)*Pcfu[[#This Row],[Best DF]]</f>
        <v>1840000000</v>
      </c>
      <c r="P32" s="1">
        <f>_xlfn.STDEV.S(Pcfu[[#This Row],[R1]:[R3]])/0.025*Pcfu[[#This Row],[Best DF]]</f>
        <v>452548339.95939046</v>
      </c>
      <c r="Q32" s="6">
        <f>Pcfu[[#This Row],[CFU/mL]]*Pcfu[[#This Row],[mL]]/Pcfu[[#This Row],[grams]]</f>
        <v>34960000000</v>
      </c>
      <c r="R32" s="1">
        <f>Pcfu[[#This Row],[SD CFU/mL]]*Pcfu[[#This Row],[mL]]/Pcfu[[#This Row],[grams]]</f>
        <v>8598418459.2284184</v>
      </c>
      <c r="S32" s="7">
        <f>_xlfn.STDEV.S(Pcfu[[#This Row],[R1]:[R3]])/AVERAGE(Pcfu[[#This Row],[R1]:[R3]])</f>
        <v>0.24595018476053829</v>
      </c>
    </row>
    <row r="33" spans="1:19" x14ac:dyDescent="0.15">
      <c r="A33" t="s">
        <v>80</v>
      </c>
      <c r="B33" t="s">
        <v>81</v>
      </c>
      <c r="C33" s="4" t="s">
        <v>82</v>
      </c>
      <c r="D33" t="s">
        <v>26</v>
      </c>
      <c r="E33" s="3">
        <v>2</v>
      </c>
      <c r="F33" t="s">
        <v>27</v>
      </c>
      <c r="G33" s="8">
        <v>0.3</v>
      </c>
      <c r="H33" s="5">
        <f>19*Pcfu[[#This Row],[grams]]</f>
        <v>5.7</v>
      </c>
      <c r="I33" s="3" t="s">
        <v>28</v>
      </c>
      <c r="J33" s="14">
        <v>44749</v>
      </c>
      <c r="K33" s="1">
        <v>10000</v>
      </c>
      <c r="L33">
        <v>154</v>
      </c>
      <c r="M33">
        <v>166</v>
      </c>
      <c r="O33" s="6">
        <f>(SUM(Pcfu[[#This Row],[R1]:[R3]]))/(Pcfu[[#This Row],[No. Reps]]*0.025)*Pcfu[[#This Row],[Best DF]]</f>
        <v>64000000</v>
      </c>
      <c r="P33" s="1">
        <f>_xlfn.STDEV.S(Pcfu[[#This Row],[R1]:[R3]])/0.025*Pcfu[[#This Row],[Best DF]]</f>
        <v>3394112.5496954275</v>
      </c>
      <c r="Q33" s="6">
        <f>Pcfu[[#This Row],[CFU/mL]]*Pcfu[[#This Row],[mL]]/Pcfu[[#This Row],[grams]]</f>
        <v>1216000000</v>
      </c>
      <c r="R33" s="1">
        <f>Pcfu[[#This Row],[SD CFU/mL]]*Pcfu[[#This Row],[mL]]/Pcfu[[#This Row],[grams]]</f>
        <v>64488138.444213122</v>
      </c>
      <c r="S33" s="7">
        <f>_xlfn.STDEV.S(Pcfu[[#This Row],[R1]:[R3]])/AVERAGE(Pcfu[[#This Row],[R1]:[R3]])</f>
        <v>5.3033008588991057E-2</v>
      </c>
    </row>
    <row r="34" spans="1:19" x14ac:dyDescent="0.15">
      <c r="A34" t="s">
        <v>80</v>
      </c>
      <c r="B34" t="s">
        <v>81</v>
      </c>
      <c r="C34" s="4" t="s">
        <v>82</v>
      </c>
      <c r="D34" t="s">
        <v>26</v>
      </c>
      <c r="E34" s="3">
        <v>2</v>
      </c>
      <c r="F34" t="s">
        <v>27</v>
      </c>
      <c r="G34" s="8">
        <v>0.3</v>
      </c>
      <c r="H34" s="5">
        <f>19*Pcfu[[#This Row],[grams]]</f>
        <v>5.7</v>
      </c>
      <c r="I34" s="3" t="s">
        <v>30</v>
      </c>
      <c r="J34" s="14">
        <v>44749</v>
      </c>
      <c r="K34" s="1">
        <v>10000</v>
      </c>
      <c r="L34">
        <v>108</v>
      </c>
      <c r="M34">
        <v>127</v>
      </c>
      <c r="O34" s="6">
        <f>(SUM(Pcfu[[#This Row],[R1]:[R3]]))/(Pcfu[[#This Row],[No. Reps]]*0.025)*Pcfu[[#This Row],[Best DF]]</f>
        <v>47000000</v>
      </c>
      <c r="P34" s="1">
        <f>_xlfn.STDEV.S(Pcfu[[#This Row],[R1]:[R3]])/0.025*Pcfu[[#This Row],[Best DF]]</f>
        <v>5374011.5370177617</v>
      </c>
      <c r="Q34" s="6">
        <f>Pcfu[[#This Row],[CFU/mL]]*Pcfu[[#This Row],[mL]]/Pcfu[[#This Row],[grams]]</f>
        <v>893000000</v>
      </c>
      <c r="R34" s="1">
        <f>Pcfu[[#This Row],[SD CFU/mL]]*Pcfu[[#This Row],[mL]]/Pcfu[[#This Row],[grams]]</f>
        <v>102106219.20333749</v>
      </c>
      <c r="S34" s="7">
        <f>_xlfn.STDEV.S(Pcfu[[#This Row],[R1]:[R3]])/AVERAGE(Pcfu[[#This Row],[R1]:[R3]])</f>
        <v>0.1143406710003779</v>
      </c>
    </row>
    <row r="35" spans="1:19" x14ac:dyDescent="0.15">
      <c r="A35" t="s">
        <v>83</v>
      </c>
      <c r="B35" t="s">
        <v>81</v>
      </c>
      <c r="C35" s="4" t="s">
        <v>84</v>
      </c>
      <c r="D35" t="s">
        <v>26</v>
      </c>
      <c r="E35" s="3">
        <v>2</v>
      </c>
      <c r="F35" t="s">
        <v>27</v>
      </c>
      <c r="G35" s="8">
        <v>0.3</v>
      </c>
      <c r="H35" s="5">
        <f>19*Pcfu[[#This Row],[grams]]</f>
        <v>5.7</v>
      </c>
      <c r="I35" s="3" t="s">
        <v>28</v>
      </c>
      <c r="J35" s="14">
        <v>44749</v>
      </c>
      <c r="K35" s="1">
        <v>10000</v>
      </c>
      <c r="L35">
        <v>111</v>
      </c>
      <c r="M35">
        <v>103</v>
      </c>
      <c r="O35" s="6">
        <f>(SUM(Pcfu[[#This Row],[R1]:[R3]]))/(Pcfu[[#This Row],[No. Reps]]*0.025)*Pcfu[[#This Row],[Best DF]]</f>
        <v>42800000</v>
      </c>
      <c r="P35" s="1">
        <f>_xlfn.STDEV.S(Pcfu[[#This Row],[R1]:[R3]])/0.025*Pcfu[[#This Row],[Best DF]]</f>
        <v>2262741.6997969523</v>
      </c>
      <c r="Q35" s="6">
        <f>Pcfu[[#This Row],[CFU/mL]]*Pcfu[[#This Row],[mL]]/Pcfu[[#This Row],[grams]]</f>
        <v>813200000</v>
      </c>
      <c r="R35" s="1">
        <f>Pcfu[[#This Row],[SD CFU/mL]]*Pcfu[[#This Row],[mL]]/Pcfu[[#This Row],[grams]]</f>
        <v>42992092.296142094</v>
      </c>
      <c r="S35" s="7">
        <f>_xlfn.STDEV.S(Pcfu[[#This Row],[R1]:[R3]])/AVERAGE(Pcfu[[#This Row],[R1]:[R3]])</f>
        <v>5.2867796724227853E-2</v>
      </c>
    </row>
    <row r="36" spans="1:19" x14ac:dyDescent="0.15">
      <c r="A36" t="s">
        <v>83</v>
      </c>
      <c r="B36" t="s">
        <v>81</v>
      </c>
      <c r="C36" s="4" t="s">
        <v>84</v>
      </c>
      <c r="D36" t="s">
        <v>26</v>
      </c>
      <c r="E36" s="3">
        <v>2</v>
      </c>
      <c r="F36" t="s">
        <v>27</v>
      </c>
      <c r="G36" s="8">
        <v>0.3</v>
      </c>
      <c r="H36" s="5">
        <f>19*Pcfu[[#This Row],[grams]]</f>
        <v>5.7</v>
      </c>
      <c r="I36" s="3" t="s">
        <v>30</v>
      </c>
      <c r="J36" s="14">
        <v>44749</v>
      </c>
      <c r="K36" s="1">
        <v>10000</v>
      </c>
      <c r="L36">
        <v>68</v>
      </c>
      <c r="M36">
        <v>71</v>
      </c>
      <c r="O36" s="6">
        <f>(SUM(Pcfu[[#This Row],[R1]:[R3]]))/(Pcfu[[#This Row],[No. Reps]]*0.025)*Pcfu[[#This Row],[Best DF]]</f>
        <v>27800000</v>
      </c>
      <c r="P36" s="1">
        <f>_xlfn.STDEV.S(Pcfu[[#This Row],[R1]:[R3]])/0.025*Pcfu[[#This Row],[Best DF]]</f>
        <v>848528.13742385688</v>
      </c>
      <c r="Q36" s="6">
        <f>Pcfu[[#This Row],[CFU/mL]]*Pcfu[[#This Row],[mL]]/Pcfu[[#This Row],[grams]]</f>
        <v>528200000</v>
      </c>
      <c r="R36" s="1">
        <f>Pcfu[[#This Row],[SD CFU/mL]]*Pcfu[[#This Row],[mL]]/Pcfu[[#This Row],[grams]]</f>
        <v>16122034.611053281</v>
      </c>
      <c r="S36" s="7">
        <f>_xlfn.STDEV.S(Pcfu[[#This Row],[R1]:[R3]])/AVERAGE(Pcfu[[#This Row],[R1]:[R3]])</f>
        <v>3.0522594871361761E-2</v>
      </c>
    </row>
    <row r="37" spans="1:19" x14ac:dyDescent="0.15">
      <c r="A37" t="s">
        <v>85</v>
      </c>
      <c r="C37" s="4"/>
      <c r="D37" t="s">
        <v>86</v>
      </c>
      <c r="E37" s="3">
        <v>2</v>
      </c>
      <c r="F37" t="s">
        <v>27</v>
      </c>
      <c r="G37">
        <v>0.3</v>
      </c>
      <c r="H37" s="5">
        <f>19*Pcfu[[#This Row],[grams]]</f>
        <v>5.7</v>
      </c>
      <c r="I37" s="3" t="s">
        <v>30</v>
      </c>
      <c r="J37" s="14">
        <v>44754</v>
      </c>
      <c r="K37" s="1">
        <v>10000000</v>
      </c>
      <c r="L37">
        <v>40</v>
      </c>
      <c r="M37">
        <v>48</v>
      </c>
      <c r="O37" s="6">
        <f>(SUM(Pcfu[[#This Row],[R1]:[R3]]))/(Pcfu[[#This Row],[No. Reps]]*0.025)*Pcfu[[#This Row],[Best DF]]</f>
        <v>17600000000</v>
      </c>
      <c r="P37" s="1">
        <f>_xlfn.STDEV.S(Pcfu[[#This Row],[R1]:[R3]])/0.025*Pcfu[[#This Row],[Best DF]]</f>
        <v>2262741699.7969522</v>
      </c>
      <c r="Q37" s="6">
        <f>Pcfu[[#This Row],[CFU/mL]]*Pcfu[[#This Row],[mL]]/Pcfu[[#This Row],[grams]]</f>
        <v>334400000000</v>
      </c>
      <c r="R37" s="1">
        <f>Pcfu[[#This Row],[SD CFU/mL]]*Pcfu[[#This Row],[mL]]/Pcfu[[#This Row],[grams]]</f>
        <v>42992092296.142097</v>
      </c>
      <c r="S37" s="38">
        <f>_xlfn.STDEV.S(Pcfu[[#This Row],[R1]:[R3]])/AVERAGE(Pcfu[[#This Row],[R1]:[R3]])</f>
        <v>0.12856486930664501</v>
      </c>
    </row>
    <row r="38" spans="1:19" x14ac:dyDescent="0.15">
      <c r="A38" t="s">
        <v>85</v>
      </c>
      <c r="C38" s="4"/>
      <c r="D38" t="s">
        <v>86</v>
      </c>
      <c r="E38" s="3">
        <v>2</v>
      </c>
      <c r="F38" t="s">
        <v>27</v>
      </c>
      <c r="G38">
        <v>0.3</v>
      </c>
      <c r="H38" s="5">
        <f>19*Pcfu[[#This Row],[grams]]</f>
        <v>5.7</v>
      </c>
      <c r="I38" s="3" t="s">
        <v>87</v>
      </c>
      <c r="J38" s="14">
        <v>44754</v>
      </c>
      <c r="K38" s="1">
        <v>10000000</v>
      </c>
      <c r="L38">
        <v>35</v>
      </c>
      <c r="M38">
        <v>43</v>
      </c>
      <c r="O38" s="6">
        <f>(SUM(Pcfu[[#This Row],[R1]:[R3]]))/(Pcfu[[#This Row],[No. Reps]]*0.025)*Pcfu[[#This Row],[Best DF]]</f>
        <v>15600000000</v>
      </c>
      <c r="P38" s="1">
        <f>_xlfn.STDEV.S(Pcfu[[#This Row],[R1]:[R3]])/0.025*Pcfu[[#This Row],[Best DF]]</f>
        <v>2262741699.7969522</v>
      </c>
      <c r="Q38" s="6">
        <f>Pcfu[[#This Row],[CFU/mL]]*Pcfu[[#This Row],[mL]]/Pcfu[[#This Row],[grams]]</f>
        <v>296400000000</v>
      </c>
      <c r="R38" s="1">
        <f>Pcfu[[#This Row],[SD CFU/mL]]*Pcfu[[#This Row],[mL]]/Pcfu[[#This Row],[grams]]</f>
        <v>42992092296.142097</v>
      </c>
      <c r="S38" s="38">
        <f>_xlfn.STDEV.S(Pcfu[[#This Row],[R1]:[R3]])/AVERAGE(Pcfu[[#This Row],[R1]:[R3]])</f>
        <v>0.14504754485877899</v>
      </c>
    </row>
    <row r="39" spans="1:19" x14ac:dyDescent="0.15">
      <c r="A39" t="s">
        <v>88</v>
      </c>
      <c r="C39" s="4"/>
      <c r="D39" t="s">
        <v>86</v>
      </c>
      <c r="E39" s="3">
        <v>2</v>
      </c>
      <c r="F39" t="s">
        <v>27</v>
      </c>
      <c r="G39">
        <v>0.3</v>
      </c>
      <c r="H39" s="5">
        <f>19*Pcfu[[#This Row],[grams]]</f>
        <v>5.7</v>
      </c>
      <c r="I39" s="3" t="s">
        <v>30</v>
      </c>
      <c r="J39" s="14">
        <v>44754</v>
      </c>
      <c r="K39" s="1">
        <v>10000000</v>
      </c>
      <c r="L39">
        <v>78</v>
      </c>
      <c r="M39">
        <v>87</v>
      </c>
      <c r="O39" s="6">
        <f>(SUM(Pcfu[[#This Row],[R1]:[R3]]))/(Pcfu[[#This Row],[No. Reps]]*0.025)*Pcfu[[#This Row],[Best DF]]</f>
        <v>33000000000</v>
      </c>
      <c r="P39" s="1">
        <f>_xlfn.STDEV.S(Pcfu[[#This Row],[R1]:[R3]])/0.025*Pcfu[[#This Row],[Best DF]]</f>
        <v>2545584412.2715707</v>
      </c>
      <c r="Q39" s="6">
        <f>Pcfu[[#This Row],[CFU/mL]]*Pcfu[[#This Row],[mL]]/Pcfu[[#This Row],[grams]]</f>
        <v>627000000000</v>
      </c>
      <c r="R39" s="1">
        <f>Pcfu[[#This Row],[SD CFU/mL]]*Pcfu[[#This Row],[mL]]/Pcfu[[#This Row],[grams]]</f>
        <v>48366103833.159851</v>
      </c>
      <c r="S39" s="38">
        <f>_xlfn.STDEV.S(Pcfu[[#This Row],[R1]:[R3]])/AVERAGE(Pcfu[[#This Row],[R1]:[R3]])</f>
        <v>7.7138921583986997E-2</v>
      </c>
    </row>
    <row r="40" spans="1:19" x14ac:dyDescent="0.15">
      <c r="A40" t="s">
        <v>88</v>
      </c>
      <c r="C40" s="4"/>
      <c r="D40" t="s">
        <v>86</v>
      </c>
      <c r="E40" s="3">
        <v>2</v>
      </c>
      <c r="F40" t="s">
        <v>27</v>
      </c>
      <c r="G40">
        <v>0.3</v>
      </c>
      <c r="H40" s="5">
        <f>19*Pcfu[[#This Row],[grams]]</f>
        <v>5.7</v>
      </c>
      <c r="I40" s="3" t="s">
        <v>87</v>
      </c>
      <c r="J40" s="14">
        <v>44754</v>
      </c>
      <c r="K40" s="1">
        <v>10000000</v>
      </c>
      <c r="L40">
        <v>62</v>
      </c>
      <c r="M40">
        <v>78</v>
      </c>
      <c r="O40" s="6">
        <f>(SUM(Pcfu[[#This Row],[R1]:[R3]]))/(Pcfu[[#This Row],[No. Reps]]*0.025)*Pcfu[[#This Row],[Best DF]]</f>
        <v>28000000000</v>
      </c>
      <c r="P40" s="1">
        <f>_xlfn.STDEV.S(Pcfu[[#This Row],[R1]:[R3]])/0.025*Pcfu[[#This Row],[Best DF]]</f>
        <v>4525483399.5939045</v>
      </c>
      <c r="Q40" s="6">
        <f>Pcfu[[#This Row],[CFU/mL]]*Pcfu[[#This Row],[mL]]/Pcfu[[#This Row],[grams]]</f>
        <v>532000000000</v>
      </c>
      <c r="R40" s="1">
        <f>Pcfu[[#This Row],[SD CFU/mL]]*Pcfu[[#This Row],[mL]]/Pcfu[[#This Row],[grams]]</f>
        <v>85984184592.284195</v>
      </c>
      <c r="S40" s="38">
        <f>_xlfn.STDEV.S(Pcfu[[#This Row],[R1]:[R3]])/AVERAGE(Pcfu[[#This Row],[R1]:[R3]])</f>
        <v>0.16162440712835374</v>
      </c>
    </row>
    <row r="41" spans="1:19" x14ac:dyDescent="0.15">
      <c r="A41" t="s">
        <v>89</v>
      </c>
      <c r="C41" s="4"/>
      <c r="D41" t="s">
        <v>86</v>
      </c>
      <c r="E41" s="3">
        <v>2</v>
      </c>
      <c r="F41" t="s">
        <v>27</v>
      </c>
      <c r="G41">
        <v>0.3</v>
      </c>
      <c r="H41" s="5">
        <f>19*Pcfu[[#This Row],[grams]]</f>
        <v>5.7</v>
      </c>
      <c r="I41" s="3" t="s">
        <v>30</v>
      </c>
      <c r="J41" s="14">
        <v>44754</v>
      </c>
      <c r="K41" s="1">
        <v>10000000</v>
      </c>
      <c r="L41">
        <v>131</v>
      </c>
      <c r="M41">
        <v>125</v>
      </c>
      <c r="O41" s="6">
        <f>(SUM(Pcfu[[#This Row],[R1]:[R3]]))/(Pcfu[[#This Row],[No. Reps]]*0.025)*Pcfu[[#This Row],[Best DF]]</f>
        <v>51200000000</v>
      </c>
      <c r="P41" s="1">
        <f>_xlfn.STDEV.S(Pcfu[[#This Row],[R1]:[R3]])/0.025*Pcfu[[#This Row],[Best DF]]</f>
        <v>1697056274.8477139</v>
      </c>
      <c r="Q41" s="6">
        <f>Pcfu[[#This Row],[CFU/mL]]*Pcfu[[#This Row],[mL]]/Pcfu[[#This Row],[grams]]</f>
        <v>972800000000</v>
      </c>
      <c r="R41" s="1">
        <f>Pcfu[[#This Row],[SD CFU/mL]]*Pcfu[[#This Row],[mL]]/Pcfu[[#This Row],[grams]]</f>
        <v>32244069222.106567</v>
      </c>
      <c r="S41" s="7">
        <f>_xlfn.STDEV.S(Pcfu[[#This Row],[R1]:[R3]])/AVERAGE(Pcfu[[#This Row],[R1]:[R3]])</f>
        <v>3.3145630368119412E-2</v>
      </c>
    </row>
    <row r="42" spans="1:19" x14ac:dyDescent="0.15">
      <c r="A42" t="s">
        <v>89</v>
      </c>
      <c r="C42" s="4"/>
      <c r="D42" t="s">
        <v>86</v>
      </c>
      <c r="E42" s="3">
        <v>2</v>
      </c>
      <c r="F42" t="s">
        <v>27</v>
      </c>
      <c r="G42">
        <v>0.3</v>
      </c>
      <c r="H42" s="5">
        <f>19*Pcfu[[#This Row],[grams]]</f>
        <v>5.7</v>
      </c>
      <c r="I42" s="3" t="s">
        <v>87</v>
      </c>
      <c r="J42" s="14">
        <v>44754</v>
      </c>
      <c r="K42" s="1">
        <v>10000000</v>
      </c>
      <c r="L42">
        <v>94</v>
      </c>
      <c r="M42">
        <v>67</v>
      </c>
      <c r="O42" s="6">
        <f>(SUM(Pcfu[[#This Row],[R1]:[R3]]))/(Pcfu[[#This Row],[No. Reps]]*0.025)*Pcfu[[#This Row],[Best DF]]</f>
        <v>32200000000</v>
      </c>
      <c r="P42" s="1">
        <f>_xlfn.STDEV.S(Pcfu[[#This Row],[R1]:[R3]])/0.025*Pcfu[[#This Row],[Best DF]]</f>
        <v>7636753236.8147135</v>
      </c>
      <c r="Q42" s="6">
        <f>Pcfu[[#This Row],[CFU/mL]]*Pcfu[[#This Row],[mL]]/Pcfu[[#This Row],[grams]]</f>
        <v>611800000000</v>
      </c>
      <c r="R42" s="1">
        <f>Pcfu[[#This Row],[SD CFU/mL]]*Pcfu[[#This Row],[mL]]/Pcfu[[#This Row],[grams]]</f>
        <v>145098311499.47955</v>
      </c>
      <c r="S42" s="7">
        <f>_xlfn.STDEV.S(Pcfu[[#This Row],[R1]:[R3]])/AVERAGE(Pcfu[[#This Row],[R1]:[R3]])</f>
        <v>0.23716624959051907</v>
      </c>
    </row>
    <row r="43" spans="1:19" x14ac:dyDescent="0.15">
      <c r="A43" t="s">
        <v>90</v>
      </c>
      <c r="C43" s="4"/>
      <c r="D43" t="s">
        <v>86</v>
      </c>
      <c r="E43" s="3">
        <v>2</v>
      </c>
      <c r="F43" t="s">
        <v>27</v>
      </c>
      <c r="G43">
        <v>0.3</v>
      </c>
      <c r="H43" s="5">
        <f>19*Pcfu[[#This Row],[grams]]</f>
        <v>5.7</v>
      </c>
      <c r="I43" s="3" t="s">
        <v>30</v>
      </c>
      <c r="J43" s="14">
        <v>44754</v>
      </c>
      <c r="K43" s="1">
        <v>10000000</v>
      </c>
      <c r="L43">
        <v>71</v>
      </c>
      <c r="M43">
        <v>69</v>
      </c>
      <c r="O43" s="6">
        <f>(SUM(Pcfu[[#This Row],[R1]:[R3]]))/(Pcfu[[#This Row],[No. Reps]]*0.025)*Pcfu[[#This Row],[Best DF]]</f>
        <v>28000000000</v>
      </c>
      <c r="P43" s="1">
        <f>_xlfn.STDEV.S(Pcfu[[#This Row],[R1]:[R3]])/0.025*Pcfu[[#This Row],[Best DF]]</f>
        <v>565685424.94923806</v>
      </c>
      <c r="Q43" s="6">
        <f>Pcfu[[#This Row],[CFU/mL]]*Pcfu[[#This Row],[mL]]/Pcfu[[#This Row],[grams]]</f>
        <v>532000000000</v>
      </c>
      <c r="R43" s="1">
        <f>Pcfu[[#This Row],[SD CFU/mL]]*Pcfu[[#This Row],[mL]]/Pcfu[[#This Row],[grams]]</f>
        <v>10748023074.035524</v>
      </c>
      <c r="S43" s="7">
        <f>_xlfn.STDEV.S(Pcfu[[#This Row],[R1]:[R3]])/AVERAGE(Pcfu[[#This Row],[R1]:[R3]])</f>
        <v>2.0203050891044218E-2</v>
      </c>
    </row>
    <row r="44" spans="1:19" x14ac:dyDescent="0.15">
      <c r="A44" t="s">
        <v>90</v>
      </c>
      <c r="C44" s="4"/>
      <c r="D44" t="s">
        <v>86</v>
      </c>
      <c r="E44" s="3">
        <v>2</v>
      </c>
      <c r="F44" t="s">
        <v>27</v>
      </c>
      <c r="G44">
        <v>0.3</v>
      </c>
      <c r="H44" s="5">
        <f>19*Pcfu[[#This Row],[grams]]</f>
        <v>5.7</v>
      </c>
      <c r="I44" s="3" t="s">
        <v>87</v>
      </c>
      <c r="J44" s="14">
        <v>44754</v>
      </c>
      <c r="K44" s="1">
        <v>10000000</v>
      </c>
      <c r="L44">
        <v>41</v>
      </c>
      <c r="M44">
        <v>92</v>
      </c>
      <c r="O44" s="6">
        <f>(SUM(Pcfu[[#This Row],[R1]:[R3]]))/(Pcfu[[#This Row],[No. Reps]]*0.025)*Pcfu[[#This Row],[Best DF]]</f>
        <v>26600000000</v>
      </c>
      <c r="P44" s="1">
        <f>_xlfn.STDEV.S(Pcfu[[#This Row],[R1]:[R3]])/0.025*Pcfu[[#This Row],[Best DF]]</f>
        <v>14424978336.205568</v>
      </c>
      <c r="Q44" s="6">
        <f>Pcfu[[#This Row],[CFU/mL]]*Pcfu[[#This Row],[mL]]/Pcfu[[#This Row],[grams]]</f>
        <v>505400000000</v>
      </c>
      <c r="R44" s="1">
        <f>Pcfu[[#This Row],[SD CFU/mL]]*Pcfu[[#This Row],[mL]]/Pcfu[[#This Row],[grams]]</f>
        <v>274074588387.90579</v>
      </c>
      <c r="S44" s="7">
        <f>_xlfn.STDEV.S(Pcfu[[#This Row],[R1]:[R3]])/AVERAGE(Pcfu[[#This Row],[R1]:[R3]])</f>
        <v>0.54229241865434474</v>
      </c>
    </row>
    <row r="45" spans="1:19" x14ac:dyDescent="0.15">
      <c r="A45" t="s">
        <v>91</v>
      </c>
      <c r="B45" t="s">
        <v>92</v>
      </c>
      <c r="C45" s="4"/>
      <c r="D45" t="s">
        <v>93</v>
      </c>
      <c r="E45" s="3">
        <v>3</v>
      </c>
      <c r="F45" t="s">
        <v>27</v>
      </c>
      <c r="H45" s="5">
        <f>19*Pcfu[[#This Row],[grams]]</f>
        <v>0</v>
      </c>
      <c r="I45" s="3" t="s">
        <v>30</v>
      </c>
      <c r="J45" s="14">
        <v>44756</v>
      </c>
      <c r="K45" s="1">
        <v>100000000</v>
      </c>
      <c r="L45">
        <v>43</v>
      </c>
      <c r="M45">
        <v>35</v>
      </c>
      <c r="N45">
        <v>41</v>
      </c>
      <c r="O45" s="6">
        <f>(SUM(Pcfu[[#This Row],[R1]:[R3]]))/(Pcfu[[#This Row],[No. Reps]]*0.025)*Pcfu[[#This Row],[Best DF]]</f>
        <v>158666666666.66666</v>
      </c>
      <c r="P45" s="1">
        <f>_xlfn.STDEV.S(Pcfu[[#This Row],[R1]:[R3]])/0.025*Pcfu[[#This Row],[Best DF]]</f>
        <v>16653327995.729063</v>
      </c>
      <c r="Q45" s="6" t="e">
        <f>Pcfu[[#This Row],[CFU/mL]]*Pcfu[[#This Row],[mL]]/Pcfu[[#This Row],[grams]]</f>
        <v>#DIV/0!</v>
      </c>
      <c r="R45" s="1" t="e">
        <f>Pcfu[[#This Row],[SD CFU/mL]]*Pcfu[[#This Row],[mL]]/Pcfu[[#This Row],[grams]]</f>
        <v>#DIV/0!</v>
      </c>
      <c r="S45" s="53">
        <f>_xlfn.STDEV.S(Pcfu[[#This Row],[R1]:[R3]])/AVERAGE(Pcfu[[#This Row],[R1]:[R3]])</f>
        <v>0.10495794955291428</v>
      </c>
    </row>
    <row r="46" spans="1:19" x14ac:dyDescent="0.15">
      <c r="A46" t="s">
        <v>91</v>
      </c>
      <c r="B46" t="s">
        <v>92</v>
      </c>
      <c r="C46" s="4"/>
      <c r="D46" t="s">
        <v>93</v>
      </c>
      <c r="E46" s="3">
        <v>2</v>
      </c>
      <c r="F46" t="s">
        <v>27</v>
      </c>
      <c r="H46" s="5">
        <f>19*Pcfu[[#This Row],[grams]]</f>
        <v>0</v>
      </c>
      <c r="I46" s="3" t="s">
        <v>87</v>
      </c>
      <c r="J46" s="14">
        <v>44756</v>
      </c>
      <c r="K46" s="1">
        <v>100000000</v>
      </c>
      <c r="L46">
        <v>47</v>
      </c>
      <c r="M46">
        <v>43</v>
      </c>
      <c r="O46" s="6">
        <f>(SUM(Pcfu[[#This Row],[R1]:[R3]]))/(Pcfu[[#This Row],[No. Reps]]*0.025)*Pcfu[[#This Row],[Best DF]]</f>
        <v>180000000000</v>
      </c>
      <c r="P46" s="1">
        <f>_xlfn.STDEV.S(Pcfu[[#This Row],[R1]:[R3]])/0.025*Pcfu[[#This Row],[Best DF]]</f>
        <v>11313708498.98476</v>
      </c>
      <c r="Q46" s="6" t="e">
        <f>Pcfu[[#This Row],[CFU/mL]]*Pcfu[[#This Row],[mL]]/Pcfu[[#This Row],[grams]]</f>
        <v>#DIV/0!</v>
      </c>
      <c r="R46" s="1" t="e">
        <f>Pcfu[[#This Row],[SD CFU/mL]]*Pcfu[[#This Row],[mL]]/Pcfu[[#This Row],[grams]]</f>
        <v>#DIV/0!</v>
      </c>
      <c r="S46" s="54">
        <f>_xlfn.STDEV.S(Pcfu[[#This Row],[R1]:[R3]])/AVERAGE(Pcfu[[#This Row],[R1]:[R3]])</f>
        <v>6.2853936105470895E-2</v>
      </c>
    </row>
    <row r="47" spans="1:19" x14ac:dyDescent="0.15">
      <c r="A47" s="15" t="s">
        <v>94</v>
      </c>
      <c r="B47" t="s">
        <v>95</v>
      </c>
      <c r="C47" s="4"/>
      <c r="D47" t="s">
        <v>93</v>
      </c>
      <c r="E47" s="3">
        <v>3</v>
      </c>
      <c r="F47" t="s">
        <v>27</v>
      </c>
      <c r="H47" s="5">
        <f>19*Pcfu[[#This Row],[grams]]</f>
        <v>0</v>
      </c>
      <c r="I47" s="3" t="s">
        <v>30</v>
      </c>
      <c r="J47" s="14">
        <v>44756</v>
      </c>
      <c r="K47" s="1">
        <v>100000000</v>
      </c>
      <c r="L47">
        <v>67</v>
      </c>
      <c r="M47">
        <v>59</v>
      </c>
      <c r="N47">
        <v>58</v>
      </c>
      <c r="O47" s="6">
        <f>(SUM(Pcfu[[#This Row],[R1]:[R3]]))/(Pcfu[[#This Row],[No. Reps]]*0.025)*Pcfu[[#This Row],[Best DF]]</f>
        <v>245333333333.33331</v>
      </c>
      <c r="P47" s="1">
        <f>_xlfn.STDEV.S(Pcfu[[#This Row],[R1]:[R3]])/0.025*Pcfu[[#This Row],[Best DF]]</f>
        <v>19731531449.264992</v>
      </c>
      <c r="Q47" s="6" t="e">
        <f>Pcfu[[#This Row],[CFU/mL]]*Pcfu[[#This Row],[mL]]/Pcfu[[#This Row],[grams]]</f>
        <v>#DIV/0!</v>
      </c>
      <c r="R47" s="1" t="e">
        <f>Pcfu[[#This Row],[SD CFU/mL]]*Pcfu[[#This Row],[mL]]/Pcfu[[#This Row],[grams]]</f>
        <v>#DIV/0!</v>
      </c>
      <c r="S47" s="16">
        <f>_xlfn.STDEV.S(Pcfu[[#This Row],[R1]:[R3]])/AVERAGE(Pcfu[[#This Row],[R1]:[R3]])</f>
        <v>8.0427437972547519E-2</v>
      </c>
    </row>
    <row r="48" spans="1:19" x14ac:dyDescent="0.15">
      <c r="A48" s="15" t="s">
        <v>94</v>
      </c>
      <c r="B48" t="s">
        <v>95</v>
      </c>
      <c r="C48" s="4"/>
      <c r="D48" t="s">
        <v>93</v>
      </c>
      <c r="E48" s="3">
        <v>2</v>
      </c>
      <c r="F48" t="s">
        <v>27</v>
      </c>
      <c r="H48" s="5">
        <f>19*Pcfu[[#This Row],[grams]]</f>
        <v>0</v>
      </c>
      <c r="I48" s="3" t="s">
        <v>87</v>
      </c>
      <c r="J48" s="14">
        <v>44756</v>
      </c>
      <c r="K48" s="1">
        <v>100000000</v>
      </c>
      <c r="L48">
        <v>73</v>
      </c>
      <c r="M48">
        <v>55</v>
      </c>
      <c r="O48" s="6">
        <f>(SUM(Pcfu[[#This Row],[R1]:[R3]]))/(Pcfu[[#This Row],[No. Reps]]*0.025)*Pcfu[[#This Row],[Best DF]]</f>
        <v>256000000000</v>
      </c>
      <c r="P48" s="1">
        <f>_xlfn.STDEV.S(Pcfu[[#This Row],[R1]:[R3]])/0.025*Pcfu[[#This Row],[Best DF]]</f>
        <v>50911688245.431419</v>
      </c>
      <c r="Q48" s="6" t="e">
        <f>Pcfu[[#This Row],[CFU/mL]]*Pcfu[[#This Row],[mL]]/Pcfu[[#This Row],[grams]]</f>
        <v>#DIV/0!</v>
      </c>
      <c r="R48" s="1" t="e">
        <f>Pcfu[[#This Row],[SD CFU/mL]]*Pcfu[[#This Row],[mL]]/Pcfu[[#This Row],[grams]]</f>
        <v>#DIV/0!</v>
      </c>
      <c r="S48" s="16">
        <f>_xlfn.STDEV.S(Pcfu[[#This Row],[R1]:[R3]])/AVERAGE(Pcfu[[#This Row],[R1]:[R3]])</f>
        <v>0.19887378220871649</v>
      </c>
    </row>
    <row r="49" spans="1:20" x14ac:dyDescent="0.15">
      <c r="A49" t="s">
        <v>96</v>
      </c>
      <c r="C49" s="4" t="s">
        <v>97</v>
      </c>
      <c r="D49" t="s">
        <v>26</v>
      </c>
      <c r="E49" s="3">
        <v>3</v>
      </c>
      <c r="F49" t="s">
        <v>48</v>
      </c>
      <c r="G49">
        <v>0.3</v>
      </c>
      <c r="H49" s="5">
        <f>19*Pcfu[[#This Row],[grams]]</f>
        <v>5.7</v>
      </c>
      <c r="I49" s="3" t="s">
        <v>98</v>
      </c>
      <c r="J49" s="14">
        <v>44757</v>
      </c>
      <c r="K49" s="1">
        <v>100000</v>
      </c>
      <c r="L49">
        <v>45</v>
      </c>
      <c r="M49">
        <v>44</v>
      </c>
      <c r="N49">
        <v>30</v>
      </c>
      <c r="O49" s="6">
        <f>(SUM(Pcfu[[#This Row],[R1]:[R3]]))/(Pcfu[[#This Row],[No. Reps]]*0.025)*Pcfu[[#This Row],[Best DF]]</f>
        <v>158666666.66666666</v>
      </c>
      <c r="P49" s="1">
        <f>_xlfn.STDEV.S(Pcfu[[#This Row],[R1]:[R3]])/0.025*Pcfu[[#This Row],[Best DF]]</f>
        <v>33545988.334424362</v>
      </c>
      <c r="Q49" s="6">
        <f>Pcfu[[#This Row],[CFU/mL]]*Pcfu[[#This Row],[mL]]/Pcfu[[#This Row],[grams]]</f>
        <v>3014666666.666667</v>
      </c>
      <c r="R49" s="1">
        <f>Pcfu[[#This Row],[SD CFU/mL]]*Pcfu[[#This Row],[mL]]/Pcfu[[#This Row],[grams]]</f>
        <v>637373778.35406291</v>
      </c>
      <c r="S49" s="7">
        <f>_xlfn.STDEV.S(Pcfu[[#This Row],[R1]:[R3]])/AVERAGE(Pcfu[[#This Row],[R1]:[R3]])</f>
        <v>0.21142429622536366</v>
      </c>
      <c r="T49" t="s">
        <v>99</v>
      </c>
    </row>
    <row r="50" spans="1:20" x14ac:dyDescent="0.15">
      <c r="A50" t="s">
        <v>100</v>
      </c>
      <c r="C50" s="4" t="s">
        <v>101</v>
      </c>
      <c r="D50" t="s">
        <v>26</v>
      </c>
      <c r="E50" s="3">
        <v>3</v>
      </c>
      <c r="F50" t="s">
        <v>48</v>
      </c>
      <c r="G50">
        <v>0.3</v>
      </c>
      <c r="H50" s="5">
        <f>19*Pcfu[[#This Row],[grams]]</f>
        <v>5.7</v>
      </c>
      <c r="I50" s="3" t="s">
        <v>98</v>
      </c>
      <c r="J50" s="14">
        <v>44757</v>
      </c>
      <c r="K50" s="1">
        <v>100000</v>
      </c>
      <c r="L50">
        <v>51</v>
      </c>
      <c r="M50">
        <v>46</v>
      </c>
      <c r="N50">
        <v>42</v>
      </c>
      <c r="O50" s="6">
        <f>(SUM(Pcfu[[#This Row],[R1]:[R3]]))/(Pcfu[[#This Row],[No. Reps]]*0.025)*Pcfu[[#This Row],[Best DF]]</f>
        <v>185333333.33333331</v>
      </c>
      <c r="P50" s="1">
        <f>_xlfn.STDEV.S(Pcfu[[#This Row],[R1]:[R3]])/0.025*Pcfu[[#This Row],[Best DF]]</f>
        <v>18036999.011291575</v>
      </c>
      <c r="Q50" s="6">
        <f>Pcfu[[#This Row],[CFU/mL]]*Pcfu[[#This Row],[mL]]/Pcfu[[#This Row],[grams]]</f>
        <v>3521333333.333333</v>
      </c>
      <c r="R50" s="1">
        <f>Pcfu[[#This Row],[SD CFU/mL]]*Pcfu[[#This Row],[mL]]/Pcfu[[#This Row],[grams]]</f>
        <v>342702981.21453995</v>
      </c>
      <c r="S50" s="7">
        <f>_xlfn.STDEV.S(Pcfu[[#This Row],[R1]:[R3]])/AVERAGE(Pcfu[[#This Row],[R1]:[R3]])</f>
        <v>9.7321937111285478E-2</v>
      </c>
      <c r="T50" t="s">
        <v>102</v>
      </c>
    </row>
    <row r="51" spans="1:20" x14ac:dyDescent="0.15">
      <c r="A51" t="s">
        <v>103</v>
      </c>
      <c r="C51" s="4" t="s">
        <v>104</v>
      </c>
      <c r="D51" t="s">
        <v>26</v>
      </c>
      <c r="E51" s="3">
        <v>3</v>
      </c>
      <c r="F51" t="s">
        <v>48</v>
      </c>
      <c r="G51">
        <v>0.3</v>
      </c>
      <c r="H51" s="5">
        <f>19*Pcfu[[#This Row],[grams]]</f>
        <v>5.7</v>
      </c>
      <c r="I51" s="3" t="s">
        <v>98</v>
      </c>
      <c r="J51" s="14">
        <v>44757</v>
      </c>
      <c r="K51" s="1">
        <v>100000</v>
      </c>
      <c r="L51">
        <v>25</v>
      </c>
      <c r="M51">
        <v>30</v>
      </c>
      <c r="N51">
        <v>30</v>
      </c>
      <c r="O51" s="6">
        <f>(SUM(Pcfu[[#This Row],[R1]:[R3]]))/(Pcfu[[#This Row],[No. Reps]]*0.025)*Pcfu[[#This Row],[Best DF]]</f>
        <v>113333333.33333333</v>
      </c>
      <c r="P51" s="1">
        <f>_xlfn.STDEV.S(Pcfu[[#This Row],[R1]:[R3]])/0.025*Pcfu[[#This Row],[Best DF]]</f>
        <v>11547005.383792516</v>
      </c>
      <c r="Q51" s="6">
        <f>Pcfu[[#This Row],[CFU/mL]]*Pcfu[[#This Row],[mL]]/Pcfu[[#This Row],[grams]]</f>
        <v>2153333333.3333335</v>
      </c>
      <c r="R51" s="1">
        <f>Pcfu[[#This Row],[SD CFU/mL]]*Pcfu[[#This Row],[mL]]/Pcfu[[#This Row],[grams]]</f>
        <v>219393102.29205781</v>
      </c>
      <c r="S51" s="7">
        <f>_xlfn.STDEV.S(Pcfu[[#This Row],[R1]:[R3]])/AVERAGE(Pcfu[[#This Row],[R1]:[R3]])</f>
        <v>0.10188534162169868</v>
      </c>
      <c r="T51" t="s">
        <v>105</v>
      </c>
    </row>
    <row r="52" spans="1:20" x14ac:dyDescent="0.15">
      <c r="A52" t="s">
        <v>106</v>
      </c>
      <c r="C52" s="4" t="s">
        <v>107</v>
      </c>
      <c r="D52" t="s">
        <v>26</v>
      </c>
      <c r="E52" s="3">
        <v>3</v>
      </c>
      <c r="F52" t="s">
        <v>48</v>
      </c>
      <c r="G52">
        <v>0.3</v>
      </c>
      <c r="H52" s="5">
        <f>19*Pcfu[[#This Row],[grams]]</f>
        <v>5.7</v>
      </c>
      <c r="I52" s="3" t="s">
        <v>98</v>
      </c>
      <c r="J52" s="14">
        <v>44757</v>
      </c>
      <c r="K52" s="1">
        <v>100000</v>
      </c>
      <c r="L52">
        <v>33</v>
      </c>
      <c r="M52">
        <v>26</v>
      </c>
      <c r="N52">
        <v>30</v>
      </c>
      <c r="O52" s="6">
        <f>(SUM(Pcfu[[#This Row],[R1]:[R3]]))/(Pcfu[[#This Row],[No. Reps]]*0.025)*Pcfu[[#This Row],[Best DF]]</f>
        <v>118666666.66666666</v>
      </c>
      <c r="P52" s="1">
        <f>_xlfn.STDEV.S(Pcfu[[#This Row],[R1]:[R3]])/0.025*Pcfu[[#This Row],[Best DF]]</f>
        <v>14047538.337136984</v>
      </c>
      <c r="Q52" s="6">
        <f>Pcfu[[#This Row],[CFU/mL]]*Pcfu[[#This Row],[mL]]/Pcfu[[#This Row],[grams]]</f>
        <v>2254666666.666667</v>
      </c>
      <c r="R52" s="1">
        <f>Pcfu[[#This Row],[SD CFU/mL]]*Pcfu[[#This Row],[mL]]/Pcfu[[#This Row],[grams]]</f>
        <v>266903228.40560272</v>
      </c>
      <c r="S52" s="7">
        <f>_xlfn.STDEV.S(Pcfu[[#This Row],[R1]:[R3]])/AVERAGE(Pcfu[[#This Row],[R1]:[R3]])</f>
        <v>0.11837813205452516</v>
      </c>
      <c r="T52" t="s">
        <v>108</v>
      </c>
    </row>
    <row r="53" spans="1:20" x14ac:dyDescent="0.15">
      <c r="A53" t="s">
        <v>109</v>
      </c>
      <c r="C53" s="4" t="s">
        <v>110</v>
      </c>
      <c r="D53" t="s">
        <v>26</v>
      </c>
      <c r="E53" s="3">
        <v>3</v>
      </c>
      <c r="F53" t="s">
        <v>48</v>
      </c>
      <c r="G53">
        <v>0.3</v>
      </c>
      <c r="H53" s="5">
        <f>19*Pcfu[[#This Row],[grams]]</f>
        <v>5.7</v>
      </c>
      <c r="I53" s="3" t="s">
        <v>98</v>
      </c>
      <c r="J53" s="14">
        <v>44757</v>
      </c>
      <c r="K53" s="1">
        <v>100000</v>
      </c>
      <c r="L53">
        <v>47</v>
      </c>
      <c r="M53">
        <v>40</v>
      </c>
      <c r="N53">
        <v>39</v>
      </c>
      <c r="O53" s="6">
        <f>(SUM(Pcfu[[#This Row],[R1]:[R3]]))/(Pcfu[[#This Row],[No. Reps]]*0.025)*Pcfu[[#This Row],[Best DF]]</f>
        <v>167999999.99999997</v>
      </c>
      <c r="P53" s="1">
        <f>_xlfn.STDEV.S(Pcfu[[#This Row],[R1]:[R3]])/0.025*Pcfu[[#This Row],[Best DF]]</f>
        <v>17435595.774162695</v>
      </c>
      <c r="Q53" s="6">
        <f>Pcfu[[#This Row],[CFU/mL]]*Pcfu[[#This Row],[mL]]/Pcfu[[#This Row],[grams]]</f>
        <v>3191999999.9999995</v>
      </c>
      <c r="R53" s="1">
        <f>Pcfu[[#This Row],[SD CFU/mL]]*Pcfu[[#This Row],[mL]]/Pcfu[[#This Row],[grams]]</f>
        <v>331276319.70909125</v>
      </c>
      <c r="S53" s="7">
        <f>_xlfn.STDEV.S(Pcfu[[#This Row],[R1]:[R3]])/AVERAGE(Pcfu[[#This Row],[R1]:[R3]])</f>
        <v>0.10378330817953986</v>
      </c>
      <c r="T53" t="s">
        <v>111</v>
      </c>
    </row>
    <row r="54" spans="1:20" x14ac:dyDescent="0.15">
      <c r="A54" t="s">
        <v>112</v>
      </c>
      <c r="C54" s="4" t="s">
        <v>113</v>
      </c>
      <c r="D54" t="s">
        <v>26</v>
      </c>
      <c r="E54" s="3">
        <v>3</v>
      </c>
      <c r="F54" t="s">
        <v>48</v>
      </c>
      <c r="G54">
        <v>0.3</v>
      </c>
      <c r="H54" s="5">
        <f>19*Pcfu[[#This Row],[grams]]</f>
        <v>5.7</v>
      </c>
      <c r="I54" s="3" t="s">
        <v>98</v>
      </c>
      <c r="J54" s="14">
        <v>44757</v>
      </c>
      <c r="K54" s="1">
        <v>100000</v>
      </c>
      <c r="L54">
        <v>40</v>
      </c>
      <c r="M54">
        <v>31</v>
      </c>
      <c r="N54">
        <v>28</v>
      </c>
      <c r="O54" s="6">
        <f>(SUM(Pcfu[[#This Row],[R1]:[R3]]))/(Pcfu[[#This Row],[No. Reps]]*0.025)*Pcfu[[#This Row],[Best DF]]</f>
        <v>131999999.99999997</v>
      </c>
      <c r="P54" s="1">
        <f>_xlfn.STDEV.S(Pcfu[[#This Row],[R1]:[R3]])/0.025*Pcfu[[#This Row],[Best DF]]</f>
        <v>24979991.993593592</v>
      </c>
      <c r="Q54" s="6">
        <f>Pcfu[[#This Row],[CFU/mL]]*Pcfu[[#This Row],[mL]]/Pcfu[[#This Row],[grams]]</f>
        <v>2507999999.9999995</v>
      </c>
      <c r="R54" s="1">
        <f>Pcfu[[#This Row],[SD CFU/mL]]*Pcfu[[#This Row],[mL]]/Pcfu[[#This Row],[grams]]</f>
        <v>474619847.87827832</v>
      </c>
      <c r="S54" s="7">
        <f>_xlfn.STDEV.S(Pcfu[[#This Row],[R1]:[R3]])/AVERAGE(Pcfu[[#This Row],[R1]:[R3]])</f>
        <v>0.18924236358783025</v>
      </c>
      <c r="T54" t="s">
        <v>114</v>
      </c>
    </row>
    <row r="55" spans="1:20" x14ac:dyDescent="0.15">
      <c r="A55" t="s">
        <v>115</v>
      </c>
      <c r="C55" s="4" t="s">
        <v>116</v>
      </c>
      <c r="D55" t="s">
        <v>26</v>
      </c>
      <c r="E55" s="3">
        <v>3</v>
      </c>
      <c r="G55">
        <v>0.3</v>
      </c>
      <c r="H55" s="5">
        <f>19*Pcfu[[#This Row],[grams]]</f>
        <v>5.7</v>
      </c>
      <c r="I55" s="3" t="s">
        <v>98</v>
      </c>
      <c r="J55" s="14">
        <v>44757</v>
      </c>
      <c r="K55" s="1">
        <v>100000</v>
      </c>
      <c r="L55">
        <v>140</v>
      </c>
      <c r="M55">
        <v>117</v>
      </c>
      <c r="N55">
        <v>134</v>
      </c>
      <c r="O55" s="6">
        <f>(SUM(Pcfu[[#This Row],[R1]:[R3]]))/(Pcfu[[#This Row],[No. Reps]]*0.025)*Pcfu[[#This Row],[Best DF]]</f>
        <v>521333333.33333319</v>
      </c>
      <c r="P55" s="1">
        <f>_xlfn.STDEV.S(Pcfu[[#This Row],[R1]:[R3]])/0.025*Pcfu[[#This Row],[Best DF]]</f>
        <v>47721413.78179542</v>
      </c>
      <c r="Q55" s="6">
        <f>Pcfu[[#This Row],[CFU/mL]]*Pcfu[[#This Row],[mL]]/Pcfu[[#This Row],[grams]]</f>
        <v>9905333333.3333321</v>
      </c>
      <c r="R55" s="1">
        <f>Pcfu[[#This Row],[SD CFU/mL]]*Pcfu[[#This Row],[mL]]/Pcfu[[#This Row],[grams]]</f>
        <v>906706861.85411298</v>
      </c>
      <c r="S55" s="7">
        <f>_xlfn.STDEV.S(Pcfu[[#This Row],[R1]:[R3]])/AVERAGE(Pcfu[[#This Row],[R1]:[R3]])</f>
        <v>9.1537238711883795E-2</v>
      </c>
    </row>
    <row r="56" spans="1:20" x14ac:dyDescent="0.15">
      <c r="A56" t="s">
        <v>117</v>
      </c>
      <c r="C56" s="4" t="s">
        <v>116</v>
      </c>
      <c r="D56" t="s">
        <v>26</v>
      </c>
      <c r="E56" s="3">
        <v>3</v>
      </c>
      <c r="G56">
        <v>0.3</v>
      </c>
      <c r="H56" s="5">
        <f>19*Pcfu[[#This Row],[grams]]</f>
        <v>5.7</v>
      </c>
      <c r="I56" s="3" t="s">
        <v>98</v>
      </c>
      <c r="J56" s="14">
        <v>44757</v>
      </c>
      <c r="K56" s="1">
        <v>100000</v>
      </c>
      <c r="L56">
        <v>170</v>
      </c>
      <c r="M56">
        <v>132</v>
      </c>
      <c r="N56">
        <v>138</v>
      </c>
      <c r="O56" s="6">
        <f>(SUM(Pcfu[[#This Row],[R1]:[R3]]))/(Pcfu[[#This Row],[No. Reps]]*0.025)*Pcfu[[#This Row],[Best DF]]</f>
        <v>586666666.66666663</v>
      </c>
      <c r="P56" s="1">
        <f>_xlfn.STDEV.S(Pcfu[[#This Row],[R1]:[R3]])/0.025*Pcfu[[#This Row],[Best DF]]</f>
        <v>81714951.712237537</v>
      </c>
      <c r="Q56" s="6">
        <f>Pcfu[[#This Row],[CFU/mL]]*Pcfu[[#This Row],[mL]]/Pcfu[[#This Row],[grams]]</f>
        <v>11146666666.666668</v>
      </c>
      <c r="R56" s="1">
        <f>Pcfu[[#This Row],[SD CFU/mL]]*Pcfu[[#This Row],[mL]]/Pcfu[[#This Row],[grams]]</f>
        <v>1552584082.5325134</v>
      </c>
      <c r="S56" s="7">
        <f>_xlfn.STDEV.S(Pcfu[[#This Row],[R1]:[R3]])/AVERAGE(Pcfu[[#This Row],[R1]:[R3]])</f>
        <v>0.13928684950949582</v>
      </c>
    </row>
    <row r="57" spans="1:20" x14ac:dyDescent="0.15">
      <c r="A57" t="s">
        <v>118</v>
      </c>
      <c r="C57" s="4" t="s">
        <v>116</v>
      </c>
      <c r="D57" t="s">
        <v>26</v>
      </c>
      <c r="E57" s="3">
        <v>3</v>
      </c>
      <c r="G57">
        <v>0.3</v>
      </c>
      <c r="H57" s="5">
        <f>19*Pcfu[[#This Row],[grams]]</f>
        <v>5.7</v>
      </c>
      <c r="I57" s="3" t="s">
        <v>98</v>
      </c>
      <c r="J57" s="14">
        <v>44757</v>
      </c>
      <c r="K57" s="1">
        <v>100000</v>
      </c>
      <c r="L57">
        <v>163</v>
      </c>
      <c r="M57">
        <v>105</v>
      </c>
      <c r="N57">
        <v>112</v>
      </c>
      <c r="O57" s="6">
        <f>(SUM(Pcfu[[#This Row],[R1]:[R3]]))/(Pcfu[[#This Row],[No. Reps]]*0.025)*Pcfu[[#This Row],[Best DF]]</f>
        <v>506666666.66666663</v>
      </c>
      <c r="P57" s="1">
        <f>_xlfn.STDEV.S(Pcfu[[#This Row],[R1]:[R3]])/0.025*Pcfu[[#This Row],[Best DF]]</f>
        <v>126638593.3802698</v>
      </c>
      <c r="Q57" s="6">
        <f>Pcfu[[#This Row],[CFU/mL]]*Pcfu[[#This Row],[mL]]/Pcfu[[#This Row],[grams]]</f>
        <v>9626666666.6666679</v>
      </c>
      <c r="R57" s="1">
        <f>Pcfu[[#This Row],[SD CFU/mL]]*Pcfu[[#This Row],[mL]]/Pcfu[[#This Row],[grams]]</f>
        <v>2406133274.2251263</v>
      </c>
      <c r="S57" s="7">
        <f>_xlfn.STDEV.S(Pcfu[[#This Row],[R1]:[R3]])/AVERAGE(Pcfu[[#This Row],[R1]:[R3]])</f>
        <v>0.24994459219790091</v>
      </c>
    </row>
    <row r="58" spans="1:20" x14ac:dyDescent="0.15">
      <c r="A58" t="s">
        <v>119</v>
      </c>
      <c r="C58" s="4" t="s">
        <v>120</v>
      </c>
      <c r="D58" t="s">
        <v>26</v>
      </c>
      <c r="E58" s="3">
        <v>3</v>
      </c>
      <c r="G58">
        <v>0.3</v>
      </c>
      <c r="H58" s="5">
        <f>19*Pcfu[[#This Row],[grams]]</f>
        <v>5.7</v>
      </c>
      <c r="I58" s="3" t="s">
        <v>98</v>
      </c>
      <c r="J58" s="14">
        <v>44757</v>
      </c>
      <c r="K58" s="1">
        <v>10000</v>
      </c>
      <c r="L58">
        <v>90</v>
      </c>
      <c r="M58">
        <v>65</v>
      </c>
      <c r="N58">
        <v>74</v>
      </c>
      <c r="O58" s="6">
        <f>(SUM(Pcfu[[#This Row],[R1]:[R3]]))/(Pcfu[[#This Row],[No. Reps]]*0.025)*Pcfu[[#This Row],[Best DF]]</f>
        <v>30533333.333333332</v>
      </c>
      <c r="P58" s="1">
        <f>_xlfn.STDEV.S(Pcfu[[#This Row],[R1]:[R3]])/0.025*Pcfu[[#This Row],[Best DF]]</f>
        <v>5064911.9768593637</v>
      </c>
      <c r="Q58" s="6">
        <f>Pcfu[[#This Row],[CFU/mL]]*Pcfu[[#This Row],[mL]]/Pcfu[[#This Row],[grams]]</f>
        <v>580133333.33333337</v>
      </c>
      <c r="R58" s="1">
        <f>Pcfu[[#This Row],[SD CFU/mL]]*Pcfu[[#This Row],[mL]]/Pcfu[[#This Row],[grams]]</f>
        <v>96233327.560327917</v>
      </c>
      <c r="S58" s="7">
        <f>_xlfn.STDEV.S(Pcfu[[#This Row],[R1]:[R3]])/AVERAGE(Pcfu[[#This Row],[R1]:[R3]])</f>
        <v>0.16588139662203158</v>
      </c>
    </row>
    <row r="59" spans="1:20" x14ac:dyDescent="0.15">
      <c r="A59" t="s">
        <v>121</v>
      </c>
      <c r="C59" s="4" t="s">
        <v>122</v>
      </c>
      <c r="D59" t="s">
        <v>26</v>
      </c>
      <c r="E59" s="3">
        <v>3</v>
      </c>
      <c r="G59">
        <v>0.3</v>
      </c>
      <c r="H59" s="5">
        <f>19*Pcfu[[#This Row],[grams]]</f>
        <v>5.7</v>
      </c>
      <c r="I59" s="3" t="s">
        <v>98</v>
      </c>
      <c r="J59" s="14">
        <v>44757</v>
      </c>
      <c r="K59" s="1">
        <v>10000</v>
      </c>
      <c r="L59">
        <v>84</v>
      </c>
      <c r="M59">
        <v>63</v>
      </c>
      <c r="N59">
        <v>66</v>
      </c>
      <c r="O59" s="6">
        <f>(SUM(Pcfu[[#This Row],[R1]:[R3]]))/(Pcfu[[#This Row],[No. Reps]]*0.025)*Pcfu[[#This Row],[Best DF]]</f>
        <v>28399999.999999996</v>
      </c>
      <c r="P59" s="1">
        <f>_xlfn.STDEV.S(Pcfu[[#This Row],[R1]:[R3]])/0.025*Pcfu[[#This Row],[Best DF]]</f>
        <v>4543126.6766402191</v>
      </c>
      <c r="Q59" s="6">
        <f>Pcfu[[#This Row],[CFU/mL]]*Pcfu[[#This Row],[mL]]/Pcfu[[#This Row],[grams]]</f>
        <v>539599999.99999988</v>
      </c>
      <c r="R59" s="1">
        <f>Pcfu[[#This Row],[SD CFU/mL]]*Pcfu[[#This Row],[mL]]/Pcfu[[#This Row],[grams]]</f>
        <v>86319406.856164172</v>
      </c>
      <c r="S59" s="7">
        <f>_xlfn.STDEV.S(Pcfu[[#This Row],[R1]:[R3]])/AVERAGE(Pcfu[[#This Row],[R1]:[R3]])</f>
        <v>0.15996924917747249</v>
      </c>
    </row>
    <row r="60" spans="1:20" x14ac:dyDescent="0.15">
      <c r="A60" t="s">
        <v>123</v>
      </c>
      <c r="C60" s="4" t="s">
        <v>124</v>
      </c>
      <c r="D60" t="s">
        <v>26</v>
      </c>
      <c r="E60" s="3">
        <v>3</v>
      </c>
      <c r="G60">
        <v>0.3</v>
      </c>
      <c r="H60" s="5">
        <f>19*Pcfu[[#This Row],[grams]]</f>
        <v>5.7</v>
      </c>
      <c r="I60" s="3" t="s">
        <v>98</v>
      </c>
      <c r="J60" s="14">
        <v>44757</v>
      </c>
      <c r="K60" s="1">
        <v>100000</v>
      </c>
      <c r="L60">
        <v>46</v>
      </c>
      <c r="M60">
        <v>29</v>
      </c>
      <c r="N60">
        <v>46</v>
      </c>
      <c r="O60" s="6">
        <f>(SUM(Pcfu[[#This Row],[R1]:[R3]]))/(Pcfu[[#This Row],[No. Reps]]*0.025)*Pcfu[[#This Row],[Best DF]]</f>
        <v>161333333.33333331</v>
      </c>
      <c r="P60" s="1">
        <f>_xlfn.STDEV.S(Pcfu[[#This Row],[R1]:[R3]])/0.025*Pcfu[[#This Row],[Best DF]]</f>
        <v>39259818.304894574</v>
      </c>
      <c r="Q60" s="6">
        <f>Pcfu[[#This Row],[CFU/mL]]*Pcfu[[#This Row],[mL]]/Pcfu[[#This Row],[grams]]</f>
        <v>3065333333.333333</v>
      </c>
      <c r="R60" s="1">
        <f>Pcfu[[#This Row],[SD CFU/mL]]*Pcfu[[#This Row],[mL]]/Pcfu[[#This Row],[grams]]</f>
        <v>745936547.792997</v>
      </c>
      <c r="S60" s="7">
        <f>_xlfn.STDEV.S(Pcfu[[#This Row],[R1]:[R3]])/AVERAGE(Pcfu[[#This Row],[R1]:[R3]])</f>
        <v>0.24334598122868539</v>
      </c>
    </row>
    <row r="61" spans="1:20" x14ac:dyDescent="0.15">
      <c r="A61" t="s">
        <v>125</v>
      </c>
      <c r="C61" s="4" t="s">
        <v>126</v>
      </c>
      <c r="D61" t="s">
        <v>26</v>
      </c>
      <c r="E61" s="3">
        <v>3</v>
      </c>
      <c r="G61">
        <v>0.3</v>
      </c>
      <c r="H61" s="5">
        <f>19*Pcfu[[#This Row],[grams]]</f>
        <v>5.7</v>
      </c>
      <c r="I61" s="3" t="s">
        <v>98</v>
      </c>
      <c r="J61" s="14">
        <v>44757</v>
      </c>
      <c r="K61" s="1">
        <v>100000</v>
      </c>
      <c r="L61">
        <v>39</v>
      </c>
      <c r="M61">
        <v>40</v>
      </c>
      <c r="N61">
        <v>48</v>
      </c>
      <c r="O61" s="6">
        <f>(SUM(Pcfu[[#This Row],[R1]:[R3]]))/(Pcfu[[#This Row],[No. Reps]]*0.025)*Pcfu[[#This Row],[Best DF]]</f>
        <v>169333333.33333331</v>
      </c>
      <c r="P61" s="1">
        <f>_xlfn.STDEV.S(Pcfu[[#This Row],[R1]:[R3]])/0.025*Pcfu[[#This Row],[Best DF]]</f>
        <v>19731531.449264992</v>
      </c>
      <c r="Q61" s="6">
        <f>Pcfu[[#This Row],[CFU/mL]]*Pcfu[[#This Row],[mL]]/Pcfu[[#This Row],[grams]]</f>
        <v>3217333333.333333</v>
      </c>
      <c r="R61" s="1">
        <f>Pcfu[[#This Row],[SD CFU/mL]]*Pcfu[[#This Row],[mL]]/Pcfu[[#This Row],[grams]]</f>
        <v>374899097.53603488</v>
      </c>
      <c r="S61" s="7">
        <f>_xlfn.STDEV.S(Pcfu[[#This Row],[R1]:[R3]])/AVERAGE(Pcfu[[#This Row],[R1]:[R3]])</f>
        <v>0.11652479202321844</v>
      </c>
    </row>
    <row r="62" spans="1:20" x14ac:dyDescent="0.15">
      <c r="A62" t="s">
        <v>127</v>
      </c>
      <c r="C62" s="4" t="s">
        <v>47</v>
      </c>
      <c r="D62" t="s">
        <v>26</v>
      </c>
      <c r="E62" s="3">
        <v>3</v>
      </c>
      <c r="G62">
        <v>0.3</v>
      </c>
      <c r="H62" s="5">
        <f>19*Pcfu[[#This Row],[grams]]</f>
        <v>5.7</v>
      </c>
      <c r="I62" s="3" t="s">
        <v>30</v>
      </c>
      <c r="J62" s="14">
        <v>44762</v>
      </c>
      <c r="K62" s="1">
        <v>10000</v>
      </c>
      <c r="L62">
        <v>231</v>
      </c>
      <c r="M62">
        <v>225</v>
      </c>
      <c r="N62">
        <v>266</v>
      </c>
      <c r="O62" s="6">
        <f>(SUM(Pcfu[[#This Row],[R1]:[R3]]))/(Pcfu[[#This Row],[No. Reps]]*0.025)*Pcfu[[#This Row],[Best DF]]</f>
        <v>96266666.666666657</v>
      </c>
      <c r="P62" s="1">
        <f>_xlfn.STDEV.S(Pcfu[[#This Row],[R1]:[R3]])/0.025*Pcfu[[#This Row],[Best DF]]</f>
        <v>8857388.6294625998</v>
      </c>
      <c r="Q62" s="6">
        <f>Pcfu[[#This Row],[CFU/mL]]*Pcfu[[#This Row],[mL]]/Pcfu[[#This Row],[grams]]</f>
        <v>1829066666.6666667</v>
      </c>
      <c r="R62" s="1">
        <f>Pcfu[[#This Row],[SD CFU/mL]]*Pcfu[[#This Row],[mL]]/Pcfu[[#This Row],[grams]]</f>
        <v>168290383.9597894</v>
      </c>
      <c r="S62" s="7">
        <f>_xlfn.STDEV.S(Pcfu[[#This Row],[R1]:[R3]])/AVERAGE(Pcfu[[#This Row],[R1]:[R3]])</f>
        <v>9.2008884655082404E-2</v>
      </c>
      <c r="T62" t="s">
        <v>128</v>
      </c>
    </row>
    <row r="63" spans="1:20" x14ac:dyDescent="0.15">
      <c r="A63" t="s">
        <v>129</v>
      </c>
      <c r="C63" s="4" t="s">
        <v>50</v>
      </c>
      <c r="D63" t="s">
        <v>26</v>
      </c>
      <c r="E63" s="3">
        <v>3</v>
      </c>
      <c r="G63">
        <v>0.3</v>
      </c>
      <c r="H63" s="5">
        <f>19*Pcfu[[#This Row],[grams]]</f>
        <v>5.7</v>
      </c>
      <c r="I63" s="3" t="s">
        <v>30</v>
      </c>
      <c r="J63" s="14">
        <v>44762</v>
      </c>
      <c r="K63" s="1">
        <v>10000</v>
      </c>
      <c r="L63">
        <v>335</v>
      </c>
      <c r="M63">
        <v>308</v>
      </c>
      <c r="N63">
        <v>298</v>
      </c>
      <c r="O63" s="6">
        <f>(SUM(Pcfu[[#This Row],[R1]:[R3]]))/(Pcfu[[#This Row],[No. Reps]]*0.025)*Pcfu[[#This Row],[Best DF]]</f>
        <v>125466666.66666664</v>
      </c>
      <c r="P63" s="1">
        <f>_xlfn.STDEV.S(Pcfu[[#This Row],[R1]:[R3]])/0.025*Pcfu[[#This Row],[Best DF]]</f>
        <v>7655934.517309648</v>
      </c>
      <c r="Q63" s="6">
        <f>Pcfu[[#This Row],[CFU/mL]]*Pcfu[[#This Row],[mL]]/Pcfu[[#This Row],[grams]]</f>
        <v>2383866666.6666665</v>
      </c>
      <c r="R63" s="1">
        <f>Pcfu[[#This Row],[SD CFU/mL]]*Pcfu[[#This Row],[mL]]/Pcfu[[#This Row],[grams]]</f>
        <v>145462755.82888332</v>
      </c>
      <c r="S63" s="7">
        <f>_xlfn.STDEV.S(Pcfu[[#This Row],[R1]:[R3]])/AVERAGE(Pcfu[[#This Row],[R1]:[R3]])</f>
        <v>6.1019669372818663E-2</v>
      </c>
      <c r="T63" t="s">
        <v>130</v>
      </c>
    </row>
    <row r="64" spans="1:20" x14ac:dyDescent="0.15">
      <c r="A64" t="s">
        <v>131</v>
      </c>
      <c r="C64" s="4" t="s">
        <v>53</v>
      </c>
      <c r="D64" t="s">
        <v>26</v>
      </c>
      <c r="E64" s="3">
        <v>2</v>
      </c>
      <c r="G64">
        <v>0.3</v>
      </c>
      <c r="H64" s="5">
        <f>19*Pcfu[[#This Row],[grams]]</f>
        <v>5.7</v>
      </c>
      <c r="I64" s="3" t="s">
        <v>30</v>
      </c>
      <c r="J64" s="14">
        <v>44762</v>
      </c>
      <c r="K64" s="1">
        <v>100000</v>
      </c>
      <c r="L64">
        <v>62</v>
      </c>
      <c r="M64">
        <v>70</v>
      </c>
      <c r="O64" s="6">
        <f>(SUM(Pcfu[[#This Row],[R1]:[R3]]))/(Pcfu[[#This Row],[No. Reps]]*0.025)*Pcfu[[#This Row],[Best DF]]</f>
        <v>264000000</v>
      </c>
      <c r="P64" s="1">
        <f>_xlfn.STDEV.S(Pcfu[[#This Row],[R1]:[R3]])/0.025*Pcfu[[#This Row],[Best DF]]</f>
        <v>22627416.997969523</v>
      </c>
      <c r="Q64" s="6">
        <f>Pcfu[[#This Row],[CFU/mL]]*Pcfu[[#This Row],[mL]]/Pcfu[[#This Row],[grams]]</f>
        <v>5016000000</v>
      </c>
      <c r="R64" s="1">
        <f>Pcfu[[#This Row],[SD CFU/mL]]*Pcfu[[#This Row],[mL]]/Pcfu[[#This Row],[grams]]</f>
        <v>429920922.96142095</v>
      </c>
      <c r="S64" s="7">
        <f>_xlfn.STDEV.S(Pcfu[[#This Row],[R1]:[R3]])/AVERAGE(Pcfu[[#This Row],[R1]:[R3]])</f>
        <v>8.570991287109668E-2</v>
      </c>
    </row>
    <row r="65" spans="1:20" x14ac:dyDescent="0.15">
      <c r="A65" t="s">
        <v>132</v>
      </c>
      <c r="C65" s="4" t="s">
        <v>55</v>
      </c>
      <c r="D65" t="s">
        <v>26</v>
      </c>
      <c r="E65" s="3">
        <v>3</v>
      </c>
      <c r="G65">
        <v>0.3</v>
      </c>
      <c r="H65" s="5">
        <f>19*Pcfu[[#This Row],[grams]]</f>
        <v>5.7</v>
      </c>
      <c r="I65" s="3" t="s">
        <v>30</v>
      </c>
      <c r="J65" s="14">
        <v>44762</v>
      </c>
      <c r="K65" s="1">
        <v>100000</v>
      </c>
      <c r="L65">
        <v>68</v>
      </c>
      <c r="M65">
        <v>75</v>
      </c>
      <c r="N65">
        <v>64</v>
      </c>
      <c r="O65" s="6">
        <f>(SUM(Pcfu[[#This Row],[R1]:[R3]]))/(Pcfu[[#This Row],[No. Reps]]*0.025)*Pcfu[[#This Row],[Best DF]]</f>
        <v>275999999.99999994</v>
      </c>
      <c r="P65" s="1">
        <f>_xlfn.STDEV.S(Pcfu[[#This Row],[R1]:[R3]])/0.025*Pcfu[[#This Row],[Best DF]]</f>
        <v>22271057.451320086</v>
      </c>
      <c r="Q65" s="6">
        <f>Pcfu[[#This Row],[CFU/mL]]*Pcfu[[#This Row],[mL]]/Pcfu[[#This Row],[grams]]</f>
        <v>5243999999.999999</v>
      </c>
      <c r="R65" s="1">
        <f>Pcfu[[#This Row],[SD CFU/mL]]*Pcfu[[#This Row],[mL]]/Pcfu[[#This Row],[grams]]</f>
        <v>423150091.57508165</v>
      </c>
      <c r="S65" s="7">
        <f>_xlfn.STDEV.S(Pcfu[[#This Row],[R1]:[R3]])/AVERAGE(Pcfu[[#This Row],[R1]:[R3]])</f>
        <v>8.0692237142464082E-2</v>
      </c>
    </row>
    <row r="66" spans="1:20" x14ac:dyDescent="0.15">
      <c r="A66" t="s">
        <v>133</v>
      </c>
      <c r="C66" s="4" t="s">
        <v>58</v>
      </c>
      <c r="D66" t="s">
        <v>26</v>
      </c>
      <c r="E66" s="3">
        <v>3</v>
      </c>
      <c r="G66">
        <v>0.3</v>
      </c>
      <c r="H66" s="5">
        <f>19*Pcfu[[#This Row],[grams]]</f>
        <v>5.7</v>
      </c>
      <c r="I66" s="3" t="s">
        <v>30</v>
      </c>
      <c r="J66" s="14">
        <v>44762</v>
      </c>
      <c r="K66" s="1">
        <v>100000</v>
      </c>
      <c r="L66">
        <v>45</v>
      </c>
      <c r="M66">
        <v>49</v>
      </c>
      <c r="N66">
        <v>54</v>
      </c>
      <c r="O66" s="6">
        <f>(SUM(Pcfu[[#This Row],[R1]:[R3]]))/(Pcfu[[#This Row],[No. Reps]]*0.025)*Pcfu[[#This Row],[Best DF]]</f>
        <v>197333333.33333331</v>
      </c>
      <c r="P66" s="1">
        <f>_xlfn.STDEV.S(Pcfu[[#This Row],[R1]:[R3]])/0.025*Pcfu[[#This Row],[Best DF]]</f>
        <v>18036999.011291575</v>
      </c>
      <c r="Q66" s="6">
        <f>Pcfu[[#This Row],[CFU/mL]]*Pcfu[[#This Row],[mL]]/Pcfu[[#This Row],[grams]]</f>
        <v>3749333333.3333335</v>
      </c>
      <c r="R66" s="1">
        <f>Pcfu[[#This Row],[SD CFU/mL]]*Pcfu[[#This Row],[mL]]/Pcfu[[#This Row],[grams]]</f>
        <v>342702981.21453995</v>
      </c>
      <c r="S66" s="7">
        <f>_xlfn.STDEV.S(Pcfu[[#This Row],[R1]:[R3]])/AVERAGE(Pcfu[[#This Row],[R1]:[R3]])</f>
        <v>9.1403711205869473E-2</v>
      </c>
    </row>
    <row r="67" spans="1:20" x14ac:dyDescent="0.15">
      <c r="A67" t="s">
        <v>134</v>
      </c>
      <c r="C67" s="4" t="s">
        <v>60</v>
      </c>
      <c r="D67" t="s">
        <v>26</v>
      </c>
      <c r="E67" s="3">
        <v>2</v>
      </c>
      <c r="G67">
        <v>0.3</v>
      </c>
      <c r="H67" s="5">
        <f>19*Pcfu[[#This Row],[grams]]</f>
        <v>5.7</v>
      </c>
      <c r="I67" s="3" t="s">
        <v>30</v>
      </c>
      <c r="J67" s="14">
        <v>44762</v>
      </c>
      <c r="K67" s="1">
        <v>100000</v>
      </c>
      <c r="L67">
        <v>23</v>
      </c>
      <c r="M67">
        <v>28</v>
      </c>
      <c r="O67" s="6">
        <f>(SUM(Pcfu[[#This Row],[R1]:[R3]]))/(Pcfu[[#This Row],[No. Reps]]*0.025)*Pcfu[[#This Row],[Best DF]]</f>
        <v>102000000</v>
      </c>
      <c r="P67" s="1">
        <f>_xlfn.STDEV.S(Pcfu[[#This Row],[R1]:[R3]])/0.025*Pcfu[[#This Row],[Best DF]]</f>
        <v>14142135.623730952</v>
      </c>
      <c r="Q67" s="6">
        <f>Pcfu[[#This Row],[CFU/mL]]*Pcfu[[#This Row],[mL]]/Pcfu[[#This Row],[grams]]</f>
        <v>1938000000</v>
      </c>
      <c r="R67" s="1">
        <f>Pcfu[[#This Row],[SD CFU/mL]]*Pcfu[[#This Row],[mL]]/Pcfu[[#This Row],[grams]]</f>
        <v>268700576.85088807</v>
      </c>
      <c r="S67" s="7">
        <f>_xlfn.STDEV.S(Pcfu[[#This Row],[R1]:[R3]])/AVERAGE(Pcfu[[#This Row],[R1]:[R3]])</f>
        <v>0.1386483884679505</v>
      </c>
    </row>
    <row r="68" spans="1:20" x14ac:dyDescent="0.15">
      <c r="A68" t="s">
        <v>135</v>
      </c>
      <c r="C68" s="4"/>
      <c r="D68" t="s">
        <v>136</v>
      </c>
      <c r="E68" s="3">
        <v>2</v>
      </c>
      <c r="H68" s="5">
        <f>19*Pcfu[[#This Row],[grams]]</f>
        <v>0</v>
      </c>
      <c r="I68" s="3" t="s">
        <v>98</v>
      </c>
      <c r="J68" s="14">
        <v>44763</v>
      </c>
      <c r="K68" s="1">
        <v>100000000</v>
      </c>
      <c r="L68">
        <v>52</v>
      </c>
      <c r="M68">
        <v>43</v>
      </c>
      <c r="O68" s="6">
        <f>(SUM(Pcfu[[#This Row],[R1]:[R3]]))/(Pcfu[[#This Row],[No. Reps]]*0.025)*Pcfu[[#This Row],[Best DF]]</f>
        <v>190000000000</v>
      </c>
      <c r="P68" s="1">
        <f>_xlfn.STDEV.S(Pcfu[[#This Row],[R1]:[R3]])/0.025*Pcfu[[#This Row],[Best DF]]</f>
        <v>25455844122.71571</v>
      </c>
      <c r="Q68" s="6" t="e">
        <f>Pcfu[[#This Row],[CFU/mL]]*Pcfu[[#This Row],[mL]]/Pcfu[[#This Row],[grams]]</f>
        <v>#DIV/0!</v>
      </c>
      <c r="R68" s="1" t="e">
        <f>Pcfu[[#This Row],[SD CFU/mL]]*Pcfu[[#This Row],[mL]]/Pcfu[[#This Row],[grams]]</f>
        <v>#DIV/0!</v>
      </c>
      <c r="S68" s="38">
        <f>_xlfn.STDEV.S(Pcfu[[#This Row],[R1]:[R3]])/AVERAGE(Pcfu[[#This Row],[R1]:[R3]])</f>
        <v>0.13397812696166164</v>
      </c>
    </row>
    <row r="69" spans="1:20" x14ac:dyDescent="0.15">
      <c r="A69" t="s">
        <v>137</v>
      </c>
      <c r="C69" s="4"/>
      <c r="D69" t="s">
        <v>136</v>
      </c>
      <c r="E69" s="3">
        <v>2</v>
      </c>
      <c r="H69" s="5">
        <f>19*Pcfu[[#This Row],[grams]]</f>
        <v>0</v>
      </c>
      <c r="I69" s="3" t="s">
        <v>98</v>
      </c>
      <c r="J69" s="14">
        <v>44763</v>
      </c>
      <c r="K69" s="1">
        <v>100000000</v>
      </c>
      <c r="L69">
        <v>48</v>
      </c>
      <c r="M69">
        <v>56</v>
      </c>
      <c r="O69" s="6">
        <f>(SUM(Pcfu[[#This Row],[R1]:[R3]]))/(Pcfu[[#This Row],[No. Reps]]*0.025)*Pcfu[[#This Row],[Best DF]]</f>
        <v>208000000000</v>
      </c>
      <c r="P69" s="1">
        <f>_xlfn.STDEV.S(Pcfu[[#This Row],[R1]:[R3]])/0.025*Pcfu[[#This Row],[Best DF]]</f>
        <v>22627416997.969521</v>
      </c>
      <c r="Q69" s="6" t="e">
        <f>Pcfu[[#This Row],[CFU/mL]]*Pcfu[[#This Row],[mL]]/Pcfu[[#This Row],[grams]]</f>
        <v>#DIV/0!</v>
      </c>
      <c r="R69" s="1" t="e">
        <f>Pcfu[[#This Row],[SD CFU/mL]]*Pcfu[[#This Row],[mL]]/Pcfu[[#This Row],[grams]]</f>
        <v>#DIV/0!</v>
      </c>
      <c r="S69" s="38">
        <f>_xlfn.STDEV.S(Pcfu[[#This Row],[R1]:[R3]])/AVERAGE(Pcfu[[#This Row],[R1]:[R3]])</f>
        <v>0.10878565864408424</v>
      </c>
    </row>
    <row r="70" spans="1:20" x14ac:dyDescent="0.15">
      <c r="A70" t="s">
        <v>138</v>
      </c>
      <c r="C70" s="4"/>
      <c r="D70" t="s">
        <v>136</v>
      </c>
      <c r="E70" s="3">
        <v>2</v>
      </c>
      <c r="H70" s="5">
        <f>19*Pcfu[[#This Row],[grams]]</f>
        <v>0</v>
      </c>
      <c r="I70" s="3" t="s">
        <v>98</v>
      </c>
      <c r="J70" s="14">
        <v>44763</v>
      </c>
      <c r="K70" s="1">
        <v>100000000</v>
      </c>
      <c r="L70">
        <v>47</v>
      </c>
      <c r="M70">
        <v>48</v>
      </c>
      <c r="O70" s="6">
        <f>(SUM(Pcfu[[#This Row],[R1]:[R3]]))/(Pcfu[[#This Row],[No. Reps]]*0.025)*Pcfu[[#This Row],[Best DF]]</f>
        <v>190000000000</v>
      </c>
      <c r="P70" s="1">
        <f>_xlfn.STDEV.S(Pcfu[[#This Row],[R1]:[R3]])/0.025*Pcfu[[#This Row],[Best DF]]</f>
        <v>2828427124.7461901</v>
      </c>
      <c r="Q70" s="6" t="e">
        <f>Pcfu[[#This Row],[CFU/mL]]*Pcfu[[#This Row],[mL]]/Pcfu[[#This Row],[grams]]</f>
        <v>#DIV/0!</v>
      </c>
      <c r="R70" s="1" t="e">
        <f>Pcfu[[#This Row],[SD CFU/mL]]*Pcfu[[#This Row],[mL]]/Pcfu[[#This Row],[grams]]</f>
        <v>#DIV/0!</v>
      </c>
      <c r="S70" s="7">
        <f>_xlfn.STDEV.S(Pcfu[[#This Row],[R1]:[R3]])/AVERAGE(Pcfu[[#This Row],[R1]:[R3]])</f>
        <v>1.4886458551295738E-2</v>
      </c>
    </row>
    <row r="71" spans="1:20" x14ac:dyDescent="0.15">
      <c r="A71" t="s">
        <v>139</v>
      </c>
      <c r="C71" s="4"/>
      <c r="D71" t="s">
        <v>136</v>
      </c>
      <c r="E71" s="3">
        <v>2</v>
      </c>
      <c r="H71" s="5">
        <f>19*Pcfu[[#This Row],[grams]]</f>
        <v>0</v>
      </c>
      <c r="I71" s="3" t="s">
        <v>98</v>
      </c>
      <c r="J71" s="14">
        <v>44763</v>
      </c>
      <c r="K71" s="1">
        <v>100000000</v>
      </c>
      <c r="L71">
        <v>79</v>
      </c>
      <c r="M71">
        <v>50</v>
      </c>
      <c r="O71" s="6">
        <f>(SUM(Pcfu[[#This Row],[R1]:[R3]]))/(Pcfu[[#This Row],[No. Reps]]*0.025)*Pcfu[[#This Row],[Best DF]]</f>
        <v>258000000000</v>
      </c>
      <c r="P71" s="1">
        <f>_xlfn.STDEV.S(Pcfu[[#This Row],[R1]:[R3]])/0.025*Pcfu[[#This Row],[Best DF]]</f>
        <v>82024386617.639511</v>
      </c>
      <c r="Q71" s="6" t="e">
        <f>Pcfu[[#This Row],[CFU/mL]]*Pcfu[[#This Row],[mL]]/Pcfu[[#This Row],[grams]]</f>
        <v>#DIV/0!</v>
      </c>
      <c r="R71" s="1" t="e">
        <f>Pcfu[[#This Row],[SD CFU/mL]]*Pcfu[[#This Row],[mL]]/Pcfu[[#This Row],[grams]]</f>
        <v>#DIV/0!</v>
      </c>
      <c r="S71" s="7">
        <f>_xlfn.STDEV.S(Pcfu[[#This Row],[R1]:[R3]])/AVERAGE(Pcfu[[#This Row],[R1]:[R3]])</f>
        <v>0.31792397913813764</v>
      </c>
    </row>
    <row r="72" spans="1:20" x14ac:dyDescent="0.15">
      <c r="A72" t="s">
        <v>61</v>
      </c>
      <c r="B72" t="s">
        <v>140</v>
      </c>
      <c r="C72" s="4"/>
      <c r="E72" s="3">
        <v>2</v>
      </c>
      <c r="F72" t="s">
        <v>27</v>
      </c>
      <c r="G72" s="8">
        <v>0.3</v>
      </c>
      <c r="H72" s="5">
        <f>19*Pcfu[[#This Row],[grams]]</f>
        <v>5.7</v>
      </c>
      <c r="I72" s="3" t="s">
        <v>98</v>
      </c>
      <c r="J72" s="14">
        <v>44771</v>
      </c>
      <c r="K72" s="1">
        <v>100000</v>
      </c>
      <c r="L72">
        <v>30</v>
      </c>
      <c r="M72">
        <v>22</v>
      </c>
      <c r="O72" s="6">
        <f>(SUM(Pcfu[[#This Row],[R1]:[R3]]))/(Pcfu[[#This Row],[No. Reps]]*0.025)*Pcfu[[#This Row],[Best DF]]</f>
        <v>104000000</v>
      </c>
      <c r="P72" s="1">
        <f>_xlfn.STDEV.S(Pcfu[[#This Row],[R1]:[R3]])/0.025*Pcfu[[#This Row],[Best DF]]</f>
        <v>22627416.997969523</v>
      </c>
      <c r="Q72" s="6">
        <f>Pcfu[[#This Row],[CFU/mL]]*Pcfu[[#This Row],[mL]]/Pcfu[[#This Row],[grams]]</f>
        <v>1976000000</v>
      </c>
      <c r="R72" s="1">
        <f>Pcfu[[#This Row],[SD CFU/mL]]*Pcfu[[#This Row],[mL]]/Pcfu[[#This Row],[grams]]</f>
        <v>429920922.96142095</v>
      </c>
      <c r="S72" s="7">
        <f>_xlfn.STDEV.S(Pcfu[[#This Row],[R1]:[R3]])/AVERAGE(Pcfu[[#This Row],[R1]:[R3]])</f>
        <v>0.21757131728816848</v>
      </c>
    </row>
    <row r="73" spans="1:20" x14ac:dyDescent="0.15">
      <c r="A73" t="s">
        <v>61</v>
      </c>
      <c r="B73" t="s">
        <v>141</v>
      </c>
      <c r="C73" s="4"/>
      <c r="E73" s="3">
        <v>2</v>
      </c>
      <c r="F73" t="s">
        <v>27</v>
      </c>
      <c r="G73" s="8">
        <v>0.3</v>
      </c>
      <c r="H73" s="5">
        <f>19*Pcfu[[#This Row],[grams]]</f>
        <v>5.7</v>
      </c>
      <c r="I73" s="3" t="s">
        <v>98</v>
      </c>
      <c r="J73" s="14">
        <v>44771</v>
      </c>
      <c r="K73" s="1">
        <v>100000</v>
      </c>
      <c r="L73">
        <v>18</v>
      </c>
      <c r="M73">
        <v>17</v>
      </c>
      <c r="O73" s="6">
        <f>(SUM(Pcfu[[#This Row],[R1]:[R3]]))/(Pcfu[[#This Row],[No. Reps]]*0.025)*Pcfu[[#This Row],[Best DF]]</f>
        <v>70000000</v>
      </c>
      <c r="P73" s="1">
        <f>_xlfn.STDEV.S(Pcfu[[#This Row],[R1]:[R3]])/0.025*Pcfu[[#This Row],[Best DF]]</f>
        <v>2828427.1247461904</v>
      </c>
      <c r="Q73" s="6">
        <f>Pcfu[[#This Row],[CFU/mL]]*Pcfu[[#This Row],[mL]]/Pcfu[[#This Row],[grams]]</f>
        <v>1330000000</v>
      </c>
      <c r="R73" s="1">
        <f>Pcfu[[#This Row],[SD CFU/mL]]*Pcfu[[#This Row],[mL]]/Pcfu[[#This Row],[grams]]</f>
        <v>53740115.370177619</v>
      </c>
      <c r="S73" s="7">
        <f>_xlfn.STDEV.S(Pcfu[[#This Row],[R1]:[R3]])/AVERAGE(Pcfu[[#This Row],[R1]:[R3]])</f>
        <v>4.0406101782088436E-2</v>
      </c>
    </row>
    <row r="74" spans="1:20" x14ac:dyDescent="0.15">
      <c r="A74" t="s">
        <v>61</v>
      </c>
      <c r="B74" t="s">
        <v>140</v>
      </c>
      <c r="C74" s="4"/>
      <c r="E74" s="3">
        <v>3</v>
      </c>
      <c r="F74" t="s">
        <v>27</v>
      </c>
      <c r="G74" s="8">
        <v>0.3</v>
      </c>
      <c r="H74" s="5">
        <f>19*Pcfu[[#This Row],[grams]]</f>
        <v>5.7</v>
      </c>
      <c r="I74" s="3" t="s">
        <v>28</v>
      </c>
      <c r="J74" s="14">
        <v>44771</v>
      </c>
      <c r="K74" s="1">
        <v>100000</v>
      </c>
      <c r="L74">
        <v>67</v>
      </c>
      <c r="M74">
        <v>50</v>
      </c>
      <c r="N74">
        <v>43</v>
      </c>
      <c r="O74" s="6">
        <f>(SUM(Pcfu[[#This Row],[R1]:[R3]]))/(Pcfu[[#This Row],[No. Reps]]*0.025)*Pcfu[[#This Row],[Best DF]]</f>
        <v>213333333.33333331</v>
      </c>
      <c r="P74" s="1">
        <f>_xlfn.STDEV.S(Pcfu[[#This Row],[R1]:[R3]])/0.025*Pcfu[[#This Row],[Best DF]]</f>
        <v>49369356.217529602</v>
      </c>
      <c r="Q74" s="6">
        <f>Pcfu[[#This Row],[CFU/mL]]*Pcfu[[#This Row],[mL]]/Pcfu[[#This Row],[grams]]</f>
        <v>4053333333.3333335</v>
      </c>
      <c r="R74" s="1">
        <f>Pcfu[[#This Row],[SD CFU/mL]]*Pcfu[[#This Row],[mL]]/Pcfu[[#This Row],[grams]]</f>
        <v>938017768.1330626</v>
      </c>
      <c r="S74" s="7">
        <f>_xlfn.STDEV.S(Pcfu[[#This Row],[R1]:[R3]])/AVERAGE(Pcfu[[#This Row],[R1]:[R3]])</f>
        <v>0.23141885726966999</v>
      </c>
    </row>
    <row r="75" spans="1:20" x14ac:dyDescent="0.15">
      <c r="A75" t="s">
        <v>61</v>
      </c>
      <c r="B75" t="s">
        <v>141</v>
      </c>
      <c r="C75" s="4"/>
      <c r="E75" s="3">
        <v>3</v>
      </c>
      <c r="F75" t="s">
        <v>27</v>
      </c>
      <c r="G75" s="8">
        <v>0.3</v>
      </c>
      <c r="H75" s="5">
        <f>19*Pcfu[[#This Row],[grams]]</f>
        <v>5.7</v>
      </c>
      <c r="I75" s="3" t="s">
        <v>28</v>
      </c>
      <c r="J75" s="14">
        <v>44771</v>
      </c>
      <c r="K75" s="1">
        <v>100000</v>
      </c>
      <c r="L75">
        <v>45</v>
      </c>
      <c r="M75">
        <v>44</v>
      </c>
      <c r="N75">
        <v>57</v>
      </c>
      <c r="O75" s="6">
        <f>(SUM(Pcfu[[#This Row],[R1]:[R3]]))/(Pcfu[[#This Row],[No. Reps]]*0.025)*Pcfu[[#This Row],[Best DF]]</f>
        <v>194666666.66666663</v>
      </c>
      <c r="P75" s="1">
        <f>_xlfn.STDEV.S(Pcfu[[#This Row],[R1]:[R3]])/0.025*Pcfu[[#This Row],[Best DF]]</f>
        <v>28936712.552280981</v>
      </c>
      <c r="Q75" s="6">
        <f>Pcfu[[#This Row],[CFU/mL]]*Pcfu[[#This Row],[mL]]/Pcfu[[#This Row],[grams]]</f>
        <v>3698666666.666666</v>
      </c>
      <c r="R75" s="1">
        <f>Pcfu[[#This Row],[SD CFU/mL]]*Pcfu[[#This Row],[mL]]/Pcfu[[#This Row],[grams]]</f>
        <v>549797538.4933387</v>
      </c>
      <c r="S75" s="7">
        <f>_xlfn.STDEV.S(Pcfu[[#This Row],[R1]:[R3]])/AVERAGE(Pcfu[[#This Row],[R1]:[R3]])</f>
        <v>0.14864749598774479</v>
      </c>
    </row>
    <row r="76" spans="1:20" ht="15" x14ac:dyDescent="0.2">
      <c r="A76" s="17" t="s">
        <v>61</v>
      </c>
      <c r="B76" s="18" t="s">
        <v>142</v>
      </c>
      <c r="C76" s="19"/>
      <c r="D76" s="17" t="s">
        <v>143</v>
      </c>
      <c r="E76" s="20">
        <v>2</v>
      </c>
      <c r="F76" t="s">
        <v>27</v>
      </c>
      <c r="G76" s="21">
        <v>0.3</v>
      </c>
      <c r="H76" s="5">
        <f>19*Pcfu[[#This Row],[grams]]</f>
        <v>5.7</v>
      </c>
      <c r="I76" s="3" t="s">
        <v>30</v>
      </c>
      <c r="J76" s="22">
        <v>44771</v>
      </c>
      <c r="K76" s="23">
        <v>10000</v>
      </c>
      <c r="L76" s="17">
        <v>33</v>
      </c>
      <c r="M76" s="17">
        <v>41</v>
      </c>
      <c r="N76" s="17"/>
      <c r="O76" s="6">
        <f>(SUM(Pcfu[[#This Row],[R1]:[R3]]))/(Pcfu[[#This Row],[No. Reps]]*0.025)*Pcfu[[#This Row],[Best DF]]</f>
        <v>14800000</v>
      </c>
      <c r="P76" s="1">
        <f>_xlfn.STDEV.S(Pcfu[[#This Row],[R1]:[R3]])/0.025*Pcfu[[#This Row],[Best DF]]</f>
        <v>2262741.6997969523</v>
      </c>
      <c r="Q76" s="6">
        <f>Pcfu[[#This Row],[CFU/mL]]*Pcfu[[#This Row],[mL]]/Pcfu[[#This Row],[grams]]</f>
        <v>281200000</v>
      </c>
      <c r="R76" s="1">
        <f>Pcfu[[#This Row],[SD CFU/mL]]*Pcfu[[#This Row],[mL]]/Pcfu[[#This Row],[grams]]</f>
        <v>42992092.296142094</v>
      </c>
      <c r="S76" s="2">
        <f>_xlfn.STDEV.S(Pcfu[[#This Row],[R1]:[R3]])/AVERAGE(Pcfu[[#This Row],[R1]:[R3]])</f>
        <v>0.15288795268898325</v>
      </c>
    </row>
    <row r="77" spans="1:20" ht="15" x14ac:dyDescent="0.2">
      <c r="A77" s="17" t="s">
        <v>61</v>
      </c>
      <c r="B77" s="18" t="s">
        <v>144</v>
      </c>
      <c r="C77" s="19"/>
      <c r="D77" s="17" t="s">
        <v>143</v>
      </c>
      <c r="E77" s="20">
        <v>2</v>
      </c>
      <c r="F77" t="s">
        <v>27</v>
      </c>
      <c r="G77" s="21">
        <v>0.3</v>
      </c>
      <c r="H77" s="5">
        <f>19*Pcfu[[#This Row],[grams]]</f>
        <v>5.7</v>
      </c>
      <c r="I77" s="3" t="s">
        <v>30</v>
      </c>
      <c r="J77" s="22">
        <v>44771</v>
      </c>
      <c r="K77" s="23">
        <v>10000</v>
      </c>
      <c r="L77" s="17">
        <v>21</v>
      </c>
      <c r="M77" s="17">
        <v>26</v>
      </c>
      <c r="N77" s="17"/>
      <c r="O77" s="6">
        <f>(SUM(Pcfu[[#This Row],[R1]:[R3]]))/(Pcfu[[#This Row],[No. Reps]]*0.025)*Pcfu[[#This Row],[Best DF]]</f>
        <v>9400000</v>
      </c>
      <c r="P77" s="1">
        <f>_xlfn.STDEV.S(Pcfu[[#This Row],[R1]:[R3]])/0.025*Pcfu[[#This Row],[Best DF]]</f>
        <v>1414213.5623730952</v>
      </c>
      <c r="Q77" s="6">
        <f>Pcfu[[#This Row],[CFU/mL]]*Pcfu[[#This Row],[mL]]/Pcfu[[#This Row],[grams]]</f>
        <v>178600000</v>
      </c>
      <c r="R77" s="1">
        <f>Pcfu[[#This Row],[SD CFU/mL]]*Pcfu[[#This Row],[mL]]/Pcfu[[#This Row],[grams]]</f>
        <v>26870057.68508881</v>
      </c>
      <c r="S77" s="7">
        <f>_xlfn.STDEV.S(Pcfu[[#This Row],[R1]:[R3]])/AVERAGE(Pcfu[[#This Row],[R1]:[R3]])</f>
        <v>0.15044825131628672</v>
      </c>
    </row>
    <row r="78" spans="1:20" x14ac:dyDescent="0.15">
      <c r="A78" t="s">
        <v>61</v>
      </c>
      <c r="B78" t="s">
        <v>140</v>
      </c>
      <c r="C78" s="4"/>
      <c r="E78" s="3">
        <v>2</v>
      </c>
      <c r="F78" t="s">
        <v>27</v>
      </c>
      <c r="G78" s="8">
        <v>0.3</v>
      </c>
      <c r="H78" s="5">
        <f>19*Pcfu[[#This Row],[grams]]</f>
        <v>5.7</v>
      </c>
      <c r="I78" s="3" t="s">
        <v>98</v>
      </c>
      <c r="J78" s="14">
        <v>44771</v>
      </c>
      <c r="K78" s="1">
        <v>100000</v>
      </c>
      <c r="L78">
        <v>60</v>
      </c>
      <c r="M78">
        <v>51</v>
      </c>
      <c r="O78" s="6">
        <f>(SUM(Pcfu[[#This Row],[R1]:[R3]]))/(Pcfu[[#This Row],[No. Reps]]*0.025)*Pcfu[[#This Row],[Best DF]]</f>
        <v>222000000</v>
      </c>
      <c r="P78" s="1">
        <f>_xlfn.STDEV.S(Pcfu[[#This Row],[R1]:[R3]])/0.025*Pcfu[[#This Row],[Best DF]]</f>
        <v>25455844.122715708</v>
      </c>
      <c r="Q78" s="6">
        <f>Pcfu[[#This Row],[CFU/mL]]*Pcfu[[#This Row],[mL]]/Pcfu[[#This Row],[grams]]</f>
        <v>4218000000</v>
      </c>
      <c r="R78" s="1">
        <f>Pcfu[[#This Row],[SD CFU/mL]]*Pcfu[[#This Row],[mL]]/Pcfu[[#This Row],[grams]]</f>
        <v>483661038.33159846</v>
      </c>
      <c r="S78" s="38">
        <f>_xlfn.STDEV.S(Pcfu[[#This Row],[R1]:[R3]])/AVERAGE(Pcfu[[#This Row],[R1]:[R3]])</f>
        <v>0.11466596451673744</v>
      </c>
      <c r="T78" t="s">
        <v>145</v>
      </c>
    </row>
    <row r="79" spans="1:20" x14ac:dyDescent="0.15">
      <c r="A79" t="s">
        <v>61</v>
      </c>
      <c r="B79" t="s">
        <v>141</v>
      </c>
      <c r="C79" s="4"/>
      <c r="E79" s="3">
        <v>2</v>
      </c>
      <c r="F79" t="s">
        <v>27</v>
      </c>
      <c r="G79" s="8">
        <v>0.3</v>
      </c>
      <c r="H79" s="5">
        <f>19*Pcfu[[#This Row],[grams]]</f>
        <v>5.7</v>
      </c>
      <c r="I79" s="3" t="s">
        <v>98</v>
      </c>
      <c r="J79" s="14">
        <v>44771</v>
      </c>
      <c r="K79" s="1">
        <v>100000</v>
      </c>
      <c r="L79">
        <v>40</v>
      </c>
      <c r="M79">
        <v>36</v>
      </c>
      <c r="O79" s="6">
        <f>(SUM(Pcfu[[#This Row],[R1]:[R3]]))/(Pcfu[[#This Row],[No. Reps]]*0.025)*Pcfu[[#This Row],[Best DF]]</f>
        <v>152000000</v>
      </c>
      <c r="P79" s="1">
        <f>_xlfn.STDEV.S(Pcfu[[#This Row],[R1]:[R3]])/0.025*Pcfu[[#This Row],[Best DF]]</f>
        <v>11313708.498984762</v>
      </c>
      <c r="Q79" s="6">
        <f>Pcfu[[#This Row],[CFU/mL]]*Pcfu[[#This Row],[mL]]/Pcfu[[#This Row],[grams]]</f>
        <v>2888000000</v>
      </c>
      <c r="R79" s="1">
        <f>Pcfu[[#This Row],[SD CFU/mL]]*Pcfu[[#This Row],[mL]]/Pcfu[[#This Row],[grams]]</f>
        <v>214960461.48071048</v>
      </c>
      <c r="S79" s="38">
        <f>_xlfn.STDEV.S(Pcfu[[#This Row],[R1]:[R3]])/AVERAGE(Pcfu[[#This Row],[R1]:[R3]])</f>
        <v>7.4432292756478696E-2</v>
      </c>
      <c r="T79" t="s">
        <v>145</v>
      </c>
    </row>
    <row r="80" spans="1:20" ht="15" x14ac:dyDescent="0.2">
      <c r="A80" t="s">
        <v>61</v>
      </c>
      <c r="B80" s="18" t="s">
        <v>142</v>
      </c>
      <c r="C80" s="19"/>
      <c r="D80" s="17" t="s">
        <v>143</v>
      </c>
      <c r="E80" s="20">
        <v>3</v>
      </c>
      <c r="F80" t="s">
        <v>27</v>
      </c>
      <c r="G80" s="21">
        <v>0.3</v>
      </c>
      <c r="H80" s="5">
        <f>19*Pcfu[[#This Row],[grams]]</f>
        <v>5.7</v>
      </c>
      <c r="I80" s="20" t="s">
        <v>30</v>
      </c>
      <c r="J80" s="22">
        <v>44771</v>
      </c>
      <c r="K80" s="23">
        <v>10000</v>
      </c>
      <c r="L80" s="17">
        <v>79</v>
      </c>
      <c r="M80" s="17">
        <v>86</v>
      </c>
      <c r="N80" s="17">
        <v>55</v>
      </c>
      <c r="O80" s="6">
        <f>(SUM(Pcfu[[#This Row],[R1]:[R3]]))/(Pcfu[[#This Row],[No. Reps]]*0.025)*Pcfu[[#This Row],[Best DF]]</f>
        <v>29333333.333333332</v>
      </c>
      <c r="P80" s="1">
        <f>_xlfn.STDEV.S(Pcfu[[#This Row],[R1]:[R3]])/0.025*Pcfu[[#This Row],[Best DF]]</f>
        <v>6503332.4790705023</v>
      </c>
      <c r="Q80" s="6">
        <f>Pcfu[[#This Row],[CFU/mL]]*Pcfu[[#This Row],[mL]]/Pcfu[[#This Row],[grams]]</f>
        <v>557333333.33333337</v>
      </c>
      <c r="R80" s="1">
        <f>Pcfu[[#This Row],[SD CFU/mL]]*Pcfu[[#This Row],[mL]]/Pcfu[[#This Row],[grams]]</f>
        <v>123563317.10233955</v>
      </c>
      <c r="S80" s="38">
        <f>_xlfn.STDEV.S(Pcfu[[#This Row],[R1]:[R3]])/AVERAGE(Pcfu[[#This Row],[R1]:[R3]])</f>
        <v>0.22170451633194896</v>
      </c>
      <c r="T80" t="s">
        <v>146</v>
      </c>
    </row>
    <row r="81" spans="1:20" ht="15" x14ac:dyDescent="0.2">
      <c r="A81" t="s">
        <v>61</v>
      </c>
      <c r="B81" s="18" t="s">
        <v>144</v>
      </c>
      <c r="C81" s="19"/>
      <c r="D81" s="17" t="s">
        <v>143</v>
      </c>
      <c r="E81" s="20">
        <v>3</v>
      </c>
      <c r="F81" t="s">
        <v>27</v>
      </c>
      <c r="G81" s="21">
        <v>0.3</v>
      </c>
      <c r="H81" s="5">
        <f>19*Pcfu[[#This Row],[grams]]</f>
        <v>5.7</v>
      </c>
      <c r="I81" s="20" t="s">
        <v>30</v>
      </c>
      <c r="J81" s="22">
        <v>44771</v>
      </c>
      <c r="K81" s="23">
        <v>10000</v>
      </c>
      <c r="L81" s="17">
        <v>64</v>
      </c>
      <c r="M81" s="17">
        <v>61</v>
      </c>
      <c r="N81" s="17">
        <v>50</v>
      </c>
      <c r="O81" s="6">
        <f>(SUM(Pcfu[[#This Row],[R1]:[R3]]))/(Pcfu[[#This Row],[No. Reps]]*0.025)*Pcfu[[#This Row],[Best DF]]</f>
        <v>23333333.333333332</v>
      </c>
      <c r="P81" s="1">
        <f>_xlfn.STDEV.S(Pcfu[[#This Row],[R1]:[R3]])/0.025*Pcfu[[#This Row],[Best DF]]</f>
        <v>2948445.9183327891</v>
      </c>
      <c r="Q81" s="6">
        <f>Pcfu[[#This Row],[CFU/mL]]*Pcfu[[#This Row],[mL]]/Pcfu[[#This Row],[grams]]</f>
        <v>443333333.33333337</v>
      </c>
      <c r="R81" s="1">
        <f>Pcfu[[#This Row],[SD CFU/mL]]*Pcfu[[#This Row],[mL]]/Pcfu[[#This Row],[grams]]</f>
        <v>56020472.448322996</v>
      </c>
      <c r="S81" s="38">
        <f>_xlfn.STDEV.S(Pcfu[[#This Row],[R1]:[R3]])/AVERAGE(Pcfu[[#This Row],[R1]:[R3]])</f>
        <v>0.12636196792854812</v>
      </c>
      <c r="T81" t="s">
        <v>146</v>
      </c>
    </row>
    <row r="82" spans="1:20" x14ac:dyDescent="0.15">
      <c r="A82" t="s">
        <v>147</v>
      </c>
      <c r="B82" t="s">
        <v>148</v>
      </c>
      <c r="C82" s="4"/>
      <c r="D82" t="s">
        <v>143</v>
      </c>
      <c r="E82" s="3">
        <v>2</v>
      </c>
      <c r="G82">
        <v>0.3</v>
      </c>
      <c r="H82" s="5">
        <v>5.7</v>
      </c>
      <c r="I82" s="3" t="s">
        <v>30</v>
      </c>
      <c r="J82" s="14">
        <v>44771</v>
      </c>
      <c r="K82" s="1">
        <v>10000</v>
      </c>
      <c r="L82">
        <v>61</v>
      </c>
      <c r="M82">
        <v>55</v>
      </c>
      <c r="O82" s="6">
        <v>23200000</v>
      </c>
      <c r="P82" s="1">
        <v>1700000</v>
      </c>
      <c r="Q82" s="6">
        <v>441000000</v>
      </c>
      <c r="R82" s="1">
        <v>32200000</v>
      </c>
      <c r="S82" s="7">
        <v>7.2999999999999995E-2</v>
      </c>
      <c r="T82" t="s">
        <v>149</v>
      </c>
    </row>
    <row r="83" spans="1:20" x14ac:dyDescent="0.15">
      <c r="A83" t="s">
        <v>147</v>
      </c>
      <c r="B83" t="s">
        <v>75</v>
      </c>
      <c r="C83" s="4"/>
      <c r="D83" t="s">
        <v>143</v>
      </c>
      <c r="E83" s="3">
        <v>2</v>
      </c>
      <c r="G83">
        <v>0.3</v>
      </c>
      <c r="H83" s="5">
        <v>5.7</v>
      </c>
      <c r="I83" s="3" t="s">
        <v>30</v>
      </c>
      <c r="J83" s="14">
        <v>44771</v>
      </c>
      <c r="K83" s="1">
        <v>10000</v>
      </c>
      <c r="L83">
        <v>26</v>
      </c>
      <c r="M83">
        <v>18</v>
      </c>
      <c r="O83" s="6">
        <v>8800000</v>
      </c>
      <c r="P83" s="1">
        <v>2260000</v>
      </c>
      <c r="Q83" s="6">
        <v>167000000</v>
      </c>
      <c r="R83" s="1">
        <v>43000000</v>
      </c>
      <c r="S83" s="7">
        <v>0.25700000000000001</v>
      </c>
      <c r="T83" t="s">
        <v>149</v>
      </c>
    </row>
    <row r="84" spans="1:20" x14ac:dyDescent="0.15">
      <c r="A84" t="s">
        <v>150</v>
      </c>
      <c r="B84" t="s">
        <v>148</v>
      </c>
      <c r="C84" s="4"/>
      <c r="D84" t="s">
        <v>143</v>
      </c>
      <c r="E84" s="3">
        <v>2</v>
      </c>
      <c r="G84">
        <v>0.3</v>
      </c>
      <c r="H84" s="5">
        <v>5.7</v>
      </c>
      <c r="I84" s="3" t="s">
        <v>30</v>
      </c>
      <c r="J84" s="14">
        <v>44771</v>
      </c>
      <c r="K84" s="1">
        <v>100000</v>
      </c>
      <c r="L84">
        <v>76</v>
      </c>
      <c r="M84">
        <v>72</v>
      </c>
      <c r="O84" s="6">
        <v>296000000</v>
      </c>
      <c r="P84" s="1">
        <v>11300000</v>
      </c>
      <c r="Q84" s="6">
        <v>5620000000</v>
      </c>
      <c r="R84" s="1">
        <v>215000000</v>
      </c>
      <c r="S84" s="7">
        <v>3.7999999999999999E-2</v>
      </c>
      <c r="T84" t="s">
        <v>149</v>
      </c>
    </row>
    <row r="85" spans="1:20" x14ac:dyDescent="0.15">
      <c r="A85" t="s">
        <v>150</v>
      </c>
      <c r="B85" t="s">
        <v>75</v>
      </c>
      <c r="C85" s="4"/>
      <c r="D85" t="s">
        <v>143</v>
      </c>
      <c r="E85" s="3">
        <v>2</v>
      </c>
      <c r="G85">
        <v>0.3</v>
      </c>
      <c r="H85" s="5">
        <v>5.7</v>
      </c>
      <c r="I85" s="3" t="s">
        <v>30</v>
      </c>
      <c r="J85" s="14">
        <v>44771</v>
      </c>
      <c r="K85" s="1">
        <v>100000</v>
      </c>
      <c r="L85">
        <v>87</v>
      </c>
      <c r="M85">
        <v>61</v>
      </c>
      <c r="O85" s="6">
        <v>296000000</v>
      </c>
      <c r="P85" s="1">
        <v>73500000</v>
      </c>
      <c r="Q85" s="6">
        <v>5620000000</v>
      </c>
      <c r="R85" s="1">
        <v>1400000000</v>
      </c>
      <c r="S85" s="7">
        <v>0.248</v>
      </c>
      <c r="T85" t="s">
        <v>149</v>
      </c>
    </row>
    <row r="86" spans="1:20" x14ac:dyDescent="0.15">
      <c r="A86" s="17" t="s">
        <v>61</v>
      </c>
      <c r="B86" t="s">
        <v>142</v>
      </c>
      <c r="C86" s="4"/>
      <c r="D86" t="s">
        <v>143</v>
      </c>
      <c r="E86" s="3">
        <v>2</v>
      </c>
      <c r="F86" t="s">
        <v>27</v>
      </c>
      <c r="G86">
        <v>0.3</v>
      </c>
      <c r="H86" s="5">
        <f>19*Pcfu[[#This Row],[grams]]</f>
        <v>5.7</v>
      </c>
      <c r="I86" s="3" t="s">
        <v>30</v>
      </c>
      <c r="J86" s="14">
        <v>44777</v>
      </c>
      <c r="K86" s="23">
        <v>100000</v>
      </c>
      <c r="L86">
        <v>24</v>
      </c>
      <c r="M86">
        <v>27</v>
      </c>
      <c r="O86" s="6">
        <f>(SUM(Pcfu[[#This Row],[R1]:[R3]]))/(Pcfu[[#This Row],[No. Reps]]*0.025)*Pcfu[[#This Row],[Best DF]]</f>
        <v>102000000</v>
      </c>
      <c r="P86" s="1">
        <f>_xlfn.STDEV.S(Pcfu[[#This Row],[R1]:[R3]])/0.025*Pcfu[[#This Row],[Best DF]]</f>
        <v>8485281.3742385693</v>
      </c>
      <c r="Q86" s="6">
        <f>Pcfu[[#This Row],[CFU/mL]]*Pcfu[[#This Row],[mL]]/Pcfu[[#This Row],[grams]]</f>
        <v>1938000000</v>
      </c>
      <c r="R86" s="1">
        <f>Pcfu[[#This Row],[SD CFU/mL]]*Pcfu[[#This Row],[mL]]/Pcfu[[#This Row],[grams]]</f>
        <v>161220346.11053285</v>
      </c>
      <c r="S86" s="7">
        <f>_xlfn.STDEV.S(Pcfu[[#This Row],[R1]:[R3]])/AVERAGE(Pcfu[[#This Row],[R1]:[R3]])</f>
        <v>8.3189033080770289E-2</v>
      </c>
    </row>
    <row r="87" spans="1:20" x14ac:dyDescent="0.15">
      <c r="A87" s="17" t="s">
        <v>61</v>
      </c>
      <c r="B87" t="s">
        <v>144</v>
      </c>
      <c r="C87" s="4"/>
      <c r="D87" t="s">
        <v>143</v>
      </c>
      <c r="E87" s="3">
        <v>2</v>
      </c>
      <c r="F87" t="s">
        <v>27</v>
      </c>
      <c r="G87">
        <v>0.3</v>
      </c>
      <c r="H87" s="5">
        <f>19*Pcfu[[#This Row],[grams]]</f>
        <v>5.7</v>
      </c>
      <c r="I87" s="3" t="s">
        <v>30</v>
      </c>
      <c r="J87" s="14">
        <v>44777</v>
      </c>
      <c r="K87" s="23">
        <v>10000</v>
      </c>
      <c r="L87">
        <v>204</v>
      </c>
      <c r="M87">
        <v>273</v>
      </c>
      <c r="O87" s="6">
        <f>(SUM(Pcfu[[#This Row],[R1]:[R3]]))/(Pcfu[[#This Row],[No. Reps]]*0.025)*Pcfu[[#This Row],[Best DF]]</f>
        <v>95400000</v>
      </c>
      <c r="P87" s="1">
        <f>_xlfn.STDEV.S(Pcfu[[#This Row],[R1]:[R3]])/0.025*Pcfu[[#This Row],[Best DF]]</f>
        <v>19516147.160748713</v>
      </c>
      <c r="Q87" s="6">
        <f>Pcfu[[#This Row],[CFU/mL]]*Pcfu[[#This Row],[mL]]/Pcfu[[#This Row],[grams]]</f>
        <v>1812600000</v>
      </c>
      <c r="R87" s="1">
        <f>Pcfu[[#This Row],[SD CFU/mL]]*Pcfu[[#This Row],[mL]]/Pcfu[[#This Row],[grams]]</f>
        <v>370806796.05422556</v>
      </c>
      <c r="S87" s="7">
        <f>_xlfn.STDEV.S(Pcfu[[#This Row],[R1]:[R3]])/AVERAGE(Pcfu[[#This Row],[R1]:[R3]])</f>
        <v>0.20457177317346659</v>
      </c>
    </row>
    <row r="88" spans="1:20" x14ac:dyDescent="0.15">
      <c r="A88" s="17" t="s">
        <v>61</v>
      </c>
      <c r="B88" t="s">
        <v>142</v>
      </c>
      <c r="C88" s="4"/>
      <c r="D88" t="s">
        <v>143</v>
      </c>
      <c r="E88" s="3">
        <v>2</v>
      </c>
      <c r="F88" t="s">
        <v>27</v>
      </c>
      <c r="G88">
        <v>0.3</v>
      </c>
      <c r="H88" s="5">
        <f>19*Pcfu[[#This Row],[grams]]</f>
        <v>5.7</v>
      </c>
      <c r="I88" s="3" t="s">
        <v>87</v>
      </c>
      <c r="J88" s="14">
        <v>44777</v>
      </c>
      <c r="K88" s="23">
        <v>10000</v>
      </c>
      <c r="L88">
        <v>214</v>
      </c>
      <c r="M88">
        <v>168</v>
      </c>
      <c r="O88" s="6">
        <f>(SUM(Pcfu[[#This Row],[R1]:[R3]]))/(Pcfu[[#This Row],[No. Reps]]*0.025)*Pcfu[[#This Row],[Best DF]]</f>
        <v>76400000</v>
      </c>
      <c r="P88" s="1">
        <f>_xlfn.STDEV.S(Pcfu[[#This Row],[R1]:[R3]])/0.025*Pcfu[[#This Row],[Best DF]]</f>
        <v>13010764.773832472</v>
      </c>
      <c r="Q88" s="6">
        <f>Pcfu[[#This Row],[CFU/mL]]*Pcfu[[#This Row],[mL]]/Pcfu[[#This Row],[grams]]</f>
        <v>1451600000</v>
      </c>
      <c r="R88" s="1">
        <f>Pcfu[[#This Row],[SD CFU/mL]]*Pcfu[[#This Row],[mL]]/Pcfu[[#This Row],[grams]]</f>
        <v>247204530.70281699</v>
      </c>
      <c r="S88" s="7">
        <f>_xlfn.STDEV.S(Pcfu[[#This Row],[R1]:[R3]])/AVERAGE(Pcfu[[#This Row],[R1]:[R3]])</f>
        <v>0.17029796824388055</v>
      </c>
      <c r="T88" t="s">
        <v>151</v>
      </c>
    </row>
    <row r="89" spans="1:20" x14ac:dyDescent="0.15">
      <c r="A89" s="17" t="s">
        <v>61</v>
      </c>
      <c r="B89" t="s">
        <v>144</v>
      </c>
      <c r="C89" s="4"/>
      <c r="D89" t="s">
        <v>143</v>
      </c>
      <c r="E89" s="3">
        <v>2</v>
      </c>
      <c r="F89" t="s">
        <v>27</v>
      </c>
      <c r="G89">
        <v>0.3</v>
      </c>
      <c r="H89" s="5">
        <f>19*Pcfu[[#This Row],[grams]]</f>
        <v>5.7</v>
      </c>
      <c r="I89" s="3" t="s">
        <v>87</v>
      </c>
      <c r="J89" s="14">
        <v>44777</v>
      </c>
      <c r="K89" s="23">
        <v>10000</v>
      </c>
      <c r="L89">
        <v>193</v>
      </c>
      <c r="M89">
        <v>219</v>
      </c>
      <c r="O89" s="6">
        <f>(SUM(Pcfu[[#This Row],[R1]:[R3]]))/(Pcfu[[#This Row],[No. Reps]]*0.025)*Pcfu[[#This Row],[Best DF]]</f>
        <v>82400000</v>
      </c>
      <c r="P89" s="1">
        <f>_xlfn.STDEV.S(Pcfu[[#This Row],[R1]:[R3]])/0.025*Pcfu[[#This Row],[Best DF]]</f>
        <v>7353910.5243400931</v>
      </c>
      <c r="Q89" s="6">
        <f>Pcfu[[#This Row],[CFU/mL]]*Pcfu[[#This Row],[mL]]/Pcfu[[#This Row],[grams]]</f>
        <v>1565600000</v>
      </c>
      <c r="R89" s="1">
        <f>Pcfu[[#This Row],[SD CFU/mL]]*Pcfu[[#This Row],[mL]]/Pcfu[[#This Row],[grams]]</f>
        <v>139724299.96246177</v>
      </c>
      <c r="S89" s="7">
        <f>_xlfn.STDEV.S(Pcfu[[#This Row],[R1]:[R3]])/AVERAGE(Pcfu[[#This Row],[R1]:[R3]])</f>
        <v>8.924648694587492E-2</v>
      </c>
      <c r="T89" t="s">
        <v>151</v>
      </c>
    </row>
    <row r="90" spans="1:20" x14ac:dyDescent="0.15">
      <c r="A90" s="17" t="s">
        <v>147</v>
      </c>
      <c r="B90" t="s">
        <v>148</v>
      </c>
      <c r="C90" s="4"/>
      <c r="D90" t="s">
        <v>143</v>
      </c>
      <c r="E90" s="3">
        <v>2</v>
      </c>
      <c r="F90" t="s">
        <v>27</v>
      </c>
      <c r="G90">
        <v>0.3</v>
      </c>
      <c r="H90" s="5">
        <f>19*Pcfu[[#This Row],[grams]]</f>
        <v>5.7</v>
      </c>
      <c r="I90" s="3" t="s">
        <v>30</v>
      </c>
      <c r="J90" s="14">
        <v>44777</v>
      </c>
      <c r="K90" s="23">
        <v>10000</v>
      </c>
      <c r="L90">
        <v>44</v>
      </c>
      <c r="M90">
        <v>44</v>
      </c>
      <c r="O90" s="6">
        <f>(SUM(Pcfu[[#This Row],[R1]:[R3]]))/(Pcfu[[#This Row],[No. Reps]]*0.025)*Pcfu[[#This Row],[Best DF]]</f>
        <v>17600000</v>
      </c>
      <c r="P90" s="1">
        <f>_xlfn.STDEV.S(Pcfu[[#This Row],[R1]:[R3]])/0.025*Pcfu[[#This Row],[Best DF]]</f>
        <v>0</v>
      </c>
      <c r="Q90" s="6">
        <f>Pcfu[[#This Row],[CFU/mL]]*Pcfu[[#This Row],[mL]]/Pcfu[[#This Row],[grams]]</f>
        <v>334400000</v>
      </c>
      <c r="R90" s="1">
        <f>Pcfu[[#This Row],[SD CFU/mL]]*Pcfu[[#This Row],[mL]]/Pcfu[[#This Row],[grams]]</f>
        <v>0</v>
      </c>
      <c r="S90" s="7">
        <f>_xlfn.STDEV.S(Pcfu[[#This Row],[R1]:[R3]])/AVERAGE(Pcfu[[#This Row],[R1]:[R3]])</f>
        <v>0</v>
      </c>
    </row>
    <row r="91" spans="1:20" x14ac:dyDescent="0.15">
      <c r="A91" s="17" t="s">
        <v>147</v>
      </c>
      <c r="B91" t="s">
        <v>152</v>
      </c>
      <c r="C91" s="4"/>
      <c r="D91" t="s">
        <v>143</v>
      </c>
      <c r="E91" s="3">
        <v>2</v>
      </c>
      <c r="F91" t="s">
        <v>27</v>
      </c>
      <c r="G91">
        <v>0.3</v>
      </c>
      <c r="H91" s="5">
        <f>19*Pcfu[[#This Row],[grams]]</f>
        <v>5.7</v>
      </c>
      <c r="I91" s="3" t="s">
        <v>30</v>
      </c>
      <c r="J91" s="14">
        <v>44777</v>
      </c>
      <c r="K91" s="23">
        <v>10000</v>
      </c>
      <c r="L91">
        <v>77</v>
      </c>
      <c r="M91">
        <v>71</v>
      </c>
      <c r="O91" s="6">
        <f>(SUM(Pcfu[[#This Row],[R1]:[R3]]))/(Pcfu[[#This Row],[No. Reps]]*0.025)*Pcfu[[#This Row],[Best DF]]</f>
        <v>29600000</v>
      </c>
      <c r="P91" s="1">
        <f>_xlfn.STDEV.S(Pcfu[[#This Row],[R1]:[R3]])/0.025*Pcfu[[#This Row],[Best DF]]</f>
        <v>1697056.2748477138</v>
      </c>
      <c r="Q91" s="6">
        <f>Pcfu[[#This Row],[CFU/mL]]*Pcfu[[#This Row],[mL]]/Pcfu[[#This Row],[grams]]</f>
        <v>562400000</v>
      </c>
      <c r="R91" s="1">
        <f>Pcfu[[#This Row],[SD CFU/mL]]*Pcfu[[#This Row],[mL]]/Pcfu[[#This Row],[grams]]</f>
        <v>32244069.222106561</v>
      </c>
      <c r="S91" s="7">
        <f>_xlfn.STDEV.S(Pcfu[[#This Row],[R1]:[R3]])/AVERAGE(Pcfu[[#This Row],[R1]:[R3]])</f>
        <v>5.7332982258368713E-2</v>
      </c>
    </row>
    <row r="92" spans="1:20" x14ac:dyDescent="0.15">
      <c r="A92" s="17" t="s">
        <v>147</v>
      </c>
      <c r="B92" t="s">
        <v>148</v>
      </c>
      <c r="C92" s="4"/>
      <c r="D92" t="s">
        <v>143</v>
      </c>
      <c r="E92" s="3">
        <v>2</v>
      </c>
      <c r="F92" t="s">
        <v>27</v>
      </c>
      <c r="G92">
        <v>0.3</v>
      </c>
      <c r="H92" s="5">
        <f>19*Pcfu[[#This Row],[grams]]</f>
        <v>5.7</v>
      </c>
      <c r="I92" s="3" t="s">
        <v>98</v>
      </c>
      <c r="J92" s="14">
        <v>44777</v>
      </c>
      <c r="K92" s="23">
        <v>10000</v>
      </c>
      <c r="L92">
        <v>35</v>
      </c>
      <c r="M92">
        <v>38</v>
      </c>
      <c r="O92" s="6">
        <f>(SUM(Pcfu[[#This Row],[R1]:[R3]]))/(Pcfu[[#This Row],[No. Reps]]*0.025)*Pcfu[[#This Row],[Best DF]]</f>
        <v>14600000</v>
      </c>
      <c r="P92" s="1">
        <f>_xlfn.STDEV.S(Pcfu[[#This Row],[R1]:[R3]])/0.025*Pcfu[[#This Row],[Best DF]]</f>
        <v>848528.13742385688</v>
      </c>
      <c r="Q92" s="6">
        <f>Pcfu[[#This Row],[CFU/mL]]*Pcfu[[#This Row],[mL]]/Pcfu[[#This Row],[grams]]</f>
        <v>277400000</v>
      </c>
      <c r="R92" s="1">
        <f>Pcfu[[#This Row],[SD CFU/mL]]*Pcfu[[#This Row],[mL]]/Pcfu[[#This Row],[grams]]</f>
        <v>16122034.611053281</v>
      </c>
      <c r="S92" s="7">
        <f>_xlfn.STDEV.S(Pcfu[[#This Row],[R1]:[R3]])/AVERAGE(Pcfu[[#This Row],[R1]:[R3]])</f>
        <v>5.8118365576976506E-2</v>
      </c>
      <c r="T92" t="s">
        <v>153</v>
      </c>
    </row>
    <row r="93" spans="1:20" x14ac:dyDescent="0.15">
      <c r="A93" s="17" t="s">
        <v>147</v>
      </c>
      <c r="B93" t="s">
        <v>152</v>
      </c>
      <c r="C93" s="4"/>
      <c r="D93" t="s">
        <v>143</v>
      </c>
      <c r="E93" s="3">
        <v>2</v>
      </c>
      <c r="F93" t="s">
        <v>27</v>
      </c>
      <c r="G93">
        <v>0.3</v>
      </c>
      <c r="H93" s="5">
        <f>19*Pcfu[[#This Row],[grams]]</f>
        <v>5.7</v>
      </c>
      <c r="I93" s="3" t="s">
        <v>98</v>
      </c>
      <c r="J93" s="14">
        <v>44777</v>
      </c>
      <c r="K93" s="23">
        <v>10000</v>
      </c>
      <c r="L93">
        <v>67</v>
      </c>
      <c r="M93">
        <v>62</v>
      </c>
      <c r="O93" s="6">
        <f>(SUM(Pcfu[[#This Row],[R1]:[R3]]))/(Pcfu[[#This Row],[No. Reps]]*0.025)*Pcfu[[#This Row],[Best DF]]</f>
        <v>25800000</v>
      </c>
      <c r="P93" s="1">
        <f>_xlfn.STDEV.S(Pcfu[[#This Row],[R1]:[R3]])/0.025*Pcfu[[#This Row],[Best DF]]</f>
        <v>1414213.5623730952</v>
      </c>
      <c r="Q93" s="6">
        <f>Pcfu[[#This Row],[CFU/mL]]*Pcfu[[#This Row],[mL]]/Pcfu[[#This Row],[grams]]</f>
        <v>490200000</v>
      </c>
      <c r="R93" s="1">
        <f>Pcfu[[#This Row],[SD CFU/mL]]*Pcfu[[#This Row],[mL]]/Pcfu[[#This Row],[grams]]</f>
        <v>26870057.68508881</v>
      </c>
      <c r="S93" s="7">
        <f>_xlfn.STDEV.S(Pcfu[[#This Row],[R1]:[R3]])/AVERAGE(Pcfu[[#This Row],[R1]:[R3]])</f>
        <v>5.4814479161747871E-2</v>
      </c>
      <c r="T93" t="s">
        <v>153</v>
      </c>
    </row>
    <row r="94" spans="1:20" x14ac:dyDescent="0.15">
      <c r="A94" s="17" t="s">
        <v>150</v>
      </c>
      <c r="B94" t="s">
        <v>75</v>
      </c>
      <c r="C94" s="4"/>
      <c r="D94" t="s">
        <v>143</v>
      </c>
      <c r="E94" s="3">
        <v>2</v>
      </c>
      <c r="F94" t="s">
        <v>27</v>
      </c>
      <c r="G94">
        <v>0.3</v>
      </c>
      <c r="H94" s="5">
        <f>19*Pcfu[[#This Row],[grams]]</f>
        <v>5.7</v>
      </c>
      <c r="I94" s="3" t="s">
        <v>87</v>
      </c>
      <c r="J94" s="14">
        <v>44777</v>
      </c>
      <c r="K94" s="23">
        <v>100000</v>
      </c>
      <c r="L94">
        <v>50</v>
      </c>
      <c r="M94">
        <v>51</v>
      </c>
      <c r="O94" s="6">
        <f>(SUM(Pcfu[[#This Row],[R1]:[R3]]))/(Pcfu[[#This Row],[No. Reps]]*0.025)*Pcfu[[#This Row],[Best DF]]</f>
        <v>202000000</v>
      </c>
      <c r="P94" s="1">
        <f>_xlfn.STDEV.S(Pcfu[[#This Row],[R1]:[R3]])/0.025*Pcfu[[#This Row],[Best DF]]</f>
        <v>2828427.1247461904</v>
      </c>
      <c r="Q94" s="6">
        <f>Pcfu[[#This Row],[CFU/mL]]*Pcfu[[#This Row],[mL]]/Pcfu[[#This Row],[grams]]</f>
        <v>3838000000</v>
      </c>
      <c r="R94" s="1">
        <f>Pcfu[[#This Row],[SD CFU/mL]]*Pcfu[[#This Row],[mL]]/Pcfu[[#This Row],[grams]]</f>
        <v>53740115.370177619</v>
      </c>
      <c r="S94" s="7">
        <f>_xlfn.STDEV.S(Pcfu[[#This Row],[R1]:[R3]])/AVERAGE(Pcfu[[#This Row],[R1]:[R3]])</f>
        <v>1.4002114478941535E-2</v>
      </c>
      <c r="T94" t="s">
        <v>154</v>
      </c>
    </row>
    <row r="95" spans="1:20" x14ac:dyDescent="0.15">
      <c r="A95" s="17" t="s">
        <v>155</v>
      </c>
      <c r="B95" t="s">
        <v>74</v>
      </c>
      <c r="C95" s="4"/>
      <c r="D95" t="s">
        <v>143</v>
      </c>
      <c r="E95" s="3">
        <v>2</v>
      </c>
      <c r="F95" t="s">
        <v>27</v>
      </c>
      <c r="G95">
        <v>0.3</v>
      </c>
      <c r="H95" s="5">
        <f>19*Pcfu[[#This Row],[grams]]</f>
        <v>5.7</v>
      </c>
      <c r="I95" s="3" t="s">
        <v>30</v>
      </c>
      <c r="J95" s="14">
        <v>44777</v>
      </c>
      <c r="K95" s="23">
        <v>100000</v>
      </c>
      <c r="L95">
        <v>64</v>
      </c>
      <c r="M95">
        <v>62</v>
      </c>
      <c r="O95" s="6">
        <f>(SUM(Pcfu[[#This Row],[R1]:[R3]]))/(Pcfu[[#This Row],[No. Reps]]*0.025)*Pcfu[[#This Row],[Best DF]]</f>
        <v>252000000</v>
      </c>
      <c r="P95" s="1">
        <f>_xlfn.STDEV.S(Pcfu[[#This Row],[R1]:[R3]])/0.025*Pcfu[[#This Row],[Best DF]]</f>
        <v>5656854.2494923808</v>
      </c>
      <c r="Q95" s="6">
        <f>Pcfu[[#This Row],[CFU/mL]]*Pcfu[[#This Row],[mL]]/Pcfu[[#This Row],[grams]]</f>
        <v>4788000000</v>
      </c>
      <c r="R95" s="1">
        <f>Pcfu[[#This Row],[SD CFU/mL]]*Pcfu[[#This Row],[mL]]/Pcfu[[#This Row],[grams]]</f>
        <v>107480230.74035524</v>
      </c>
      <c r="S95" s="7">
        <f>_xlfn.STDEV.S(Pcfu[[#This Row],[R1]:[R3]])/AVERAGE(Pcfu[[#This Row],[R1]:[R3]])</f>
        <v>2.2447834323382463E-2</v>
      </c>
    </row>
    <row r="96" spans="1:20" x14ac:dyDescent="0.15">
      <c r="A96" s="17" t="s">
        <v>155</v>
      </c>
      <c r="B96" t="s">
        <v>75</v>
      </c>
      <c r="C96" s="4"/>
      <c r="D96" t="s">
        <v>143</v>
      </c>
      <c r="E96" s="3">
        <v>2</v>
      </c>
      <c r="F96" t="s">
        <v>27</v>
      </c>
      <c r="G96">
        <v>0.3</v>
      </c>
      <c r="H96" s="5">
        <f>19*Pcfu[[#This Row],[grams]]</f>
        <v>5.7</v>
      </c>
      <c r="I96" s="3" t="s">
        <v>30</v>
      </c>
      <c r="J96" s="14">
        <v>44777</v>
      </c>
      <c r="K96" s="23">
        <v>100000</v>
      </c>
      <c r="L96">
        <v>64</v>
      </c>
      <c r="M96">
        <v>57</v>
      </c>
      <c r="O96" s="6">
        <f>(SUM(Pcfu[[#This Row],[R1]:[R3]]))/(Pcfu[[#This Row],[No. Reps]]*0.025)*Pcfu[[#This Row],[Best DF]]</f>
        <v>242000000</v>
      </c>
      <c r="P96" s="1">
        <f>_xlfn.STDEV.S(Pcfu[[#This Row],[R1]:[R3]])/0.025*Pcfu[[#This Row],[Best DF]]</f>
        <v>19798989.873223327</v>
      </c>
      <c r="Q96" s="6">
        <f>Pcfu[[#This Row],[CFU/mL]]*Pcfu[[#This Row],[mL]]/Pcfu[[#This Row],[grams]]</f>
        <v>4598000000</v>
      </c>
      <c r="R96" s="1">
        <f>Pcfu[[#This Row],[SD CFU/mL]]*Pcfu[[#This Row],[mL]]/Pcfu[[#This Row],[grams]]</f>
        <v>376180807.59124327</v>
      </c>
      <c r="S96" s="7">
        <f>_xlfn.STDEV.S(Pcfu[[#This Row],[R1]:[R3]])/AVERAGE(Pcfu[[#This Row],[R1]:[R3]])</f>
        <v>8.1814007740592276E-2</v>
      </c>
    </row>
    <row r="97" spans="1:20" x14ac:dyDescent="0.15">
      <c r="A97" s="17" t="s">
        <v>155</v>
      </c>
      <c r="B97" t="s">
        <v>74</v>
      </c>
      <c r="C97" s="4"/>
      <c r="D97" t="s">
        <v>143</v>
      </c>
      <c r="E97" s="3">
        <v>2</v>
      </c>
      <c r="F97" t="s">
        <v>27</v>
      </c>
      <c r="G97">
        <v>0.3</v>
      </c>
      <c r="H97" s="5">
        <f>19*Pcfu[[#This Row],[grams]]</f>
        <v>5.7</v>
      </c>
      <c r="I97" s="3" t="s">
        <v>98</v>
      </c>
      <c r="J97" s="14">
        <v>44777</v>
      </c>
      <c r="K97" s="23">
        <v>100000</v>
      </c>
      <c r="L97">
        <v>55</v>
      </c>
      <c r="M97">
        <v>61</v>
      </c>
      <c r="O97" s="6">
        <f>(SUM(Pcfu[[#This Row],[R1]:[R3]]))/(Pcfu[[#This Row],[No. Reps]]*0.025)*Pcfu[[#This Row],[Best DF]]</f>
        <v>232000000</v>
      </c>
      <c r="P97" s="1">
        <f>_xlfn.STDEV.S(Pcfu[[#This Row],[R1]:[R3]])/0.025*Pcfu[[#This Row],[Best DF]]</f>
        <v>16970562.748477139</v>
      </c>
      <c r="Q97" s="6">
        <f>Pcfu[[#This Row],[CFU/mL]]*Pcfu[[#This Row],[mL]]/Pcfu[[#This Row],[grams]]</f>
        <v>4408000000</v>
      </c>
      <c r="R97" s="1">
        <f>Pcfu[[#This Row],[SD CFU/mL]]*Pcfu[[#This Row],[mL]]/Pcfu[[#This Row],[grams]]</f>
        <v>322440692.2210657</v>
      </c>
      <c r="S97" s="7">
        <f>_xlfn.STDEV.S(Pcfu[[#This Row],[R1]:[R3]])/AVERAGE(Pcfu[[#This Row],[R1]:[R3]])</f>
        <v>7.3148977364125595E-2</v>
      </c>
      <c r="T97" t="s">
        <v>153</v>
      </c>
    </row>
    <row r="98" spans="1:20" ht="15" x14ac:dyDescent="0.2">
      <c r="A98" s="39" t="s">
        <v>61</v>
      </c>
      <c r="B98" s="41" t="s">
        <v>142</v>
      </c>
      <c r="C98" s="43"/>
      <c r="D98" s="45" t="s">
        <v>143</v>
      </c>
      <c r="E98" s="47">
        <v>3</v>
      </c>
      <c r="F98" s="24" t="s">
        <v>27</v>
      </c>
      <c r="G98" s="49">
        <v>0.3</v>
      </c>
      <c r="H98" s="26">
        <f>19*Pcfu[[#This Row],[grams]]</f>
        <v>5.7</v>
      </c>
      <c r="I98" s="25" t="s">
        <v>30</v>
      </c>
      <c r="J98" s="51">
        <v>44781</v>
      </c>
      <c r="K98" s="27">
        <v>100000</v>
      </c>
      <c r="L98" s="24">
        <v>145</v>
      </c>
      <c r="M98" s="24">
        <v>38</v>
      </c>
      <c r="N98" s="24">
        <v>34</v>
      </c>
      <c r="O98" s="28">
        <f>(SUM(Pcfu[[#This Row],[R1]:[R3]]))/(Pcfu[[#This Row],[No. Reps]]*0.025)*Pcfu[[#This Row],[Best DF]]</f>
        <v>289333333.33333331</v>
      </c>
      <c r="P98" s="27">
        <f>_xlfn.STDEV.S(Pcfu[[#This Row],[R1]:[R3]])/0.025*Pcfu[[#This Row],[Best DF]]</f>
        <v>251851808.27886334</v>
      </c>
      <c r="Q98" s="28">
        <f>Pcfu[[#This Row],[CFU/mL]]*Pcfu[[#This Row],[mL]]/Pcfu[[#This Row],[grams]]</f>
        <v>5497333333.333334</v>
      </c>
      <c r="R98" s="27">
        <f>Pcfu[[#This Row],[SD CFU/mL]]*Pcfu[[#This Row],[mL]]/Pcfu[[#This Row],[grams]]</f>
        <v>4785184357.2984037</v>
      </c>
      <c r="S98" s="29">
        <f>_xlfn.STDEV.S(Pcfu[[#This Row],[R1]:[R3]])/AVERAGE(Pcfu[[#This Row],[R1]:[R3]])</f>
        <v>0.87045555856750001</v>
      </c>
      <c r="T98" s="30" t="s">
        <v>156</v>
      </c>
    </row>
    <row r="99" spans="1:20" ht="15" x14ac:dyDescent="0.2">
      <c r="A99" s="39" t="s">
        <v>61</v>
      </c>
      <c r="B99" s="41" t="s">
        <v>144</v>
      </c>
      <c r="C99" s="43"/>
      <c r="D99" s="45" t="s">
        <v>143</v>
      </c>
      <c r="E99" s="47">
        <v>3</v>
      </c>
      <c r="F99" s="24" t="s">
        <v>27</v>
      </c>
      <c r="G99" s="49">
        <v>0.3</v>
      </c>
      <c r="H99" s="26">
        <f>19*Pcfu[[#This Row],[grams]]</f>
        <v>5.7</v>
      </c>
      <c r="I99" s="25" t="s">
        <v>30</v>
      </c>
      <c r="J99" s="51">
        <v>44781</v>
      </c>
      <c r="K99" s="27">
        <v>100000</v>
      </c>
      <c r="L99" s="24">
        <v>56</v>
      </c>
      <c r="M99" s="24">
        <v>40</v>
      </c>
      <c r="N99" s="24">
        <v>42</v>
      </c>
      <c r="O99" s="28">
        <f>(SUM(Pcfu[[#This Row],[R1]:[R3]]))/(Pcfu[[#This Row],[No. Reps]]*0.025)*Pcfu[[#This Row],[Best DF]]</f>
        <v>183999999.99999997</v>
      </c>
      <c r="P99" s="27">
        <f>_xlfn.STDEV.S(Pcfu[[#This Row],[R1]:[R3]])/0.025*Pcfu[[#This Row],[Best DF]]</f>
        <v>34871191.54832539</v>
      </c>
      <c r="Q99" s="28">
        <f>Pcfu[[#This Row],[CFU/mL]]*Pcfu[[#This Row],[mL]]/Pcfu[[#This Row],[grams]]</f>
        <v>3495999999.9999995</v>
      </c>
      <c r="R99" s="27">
        <f>Pcfu[[#This Row],[SD CFU/mL]]*Pcfu[[#This Row],[mL]]/Pcfu[[#This Row],[grams]]</f>
        <v>662552639.41818249</v>
      </c>
      <c r="S99" s="29">
        <f>_xlfn.STDEV.S(Pcfu[[#This Row],[R1]:[R3]])/AVERAGE(Pcfu[[#This Row],[R1]:[R3]])</f>
        <v>0.18951734537133366</v>
      </c>
      <c r="T99" s="30" t="s">
        <v>156</v>
      </c>
    </row>
    <row r="100" spans="1:20" ht="15" x14ac:dyDescent="0.2">
      <c r="A100" s="39" t="s">
        <v>61</v>
      </c>
      <c r="B100" s="41" t="s">
        <v>142</v>
      </c>
      <c r="C100" s="43"/>
      <c r="D100" s="45" t="s">
        <v>143</v>
      </c>
      <c r="E100" s="47">
        <v>3</v>
      </c>
      <c r="F100" s="24" t="s">
        <v>27</v>
      </c>
      <c r="G100" s="49">
        <v>0.3</v>
      </c>
      <c r="H100" s="26">
        <f>19*Pcfu[[#This Row],[grams]]</f>
        <v>5.7</v>
      </c>
      <c r="I100" s="25" t="s">
        <v>98</v>
      </c>
      <c r="J100" s="51">
        <v>44781</v>
      </c>
      <c r="K100" s="27">
        <v>100000</v>
      </c>
      <c r="L100" s="24">
        <v>53</v>
      </c>
      <c r="M100" s="24">
        <v>85</v>
      </c>
      <c r="N100" s="24">
        <v>63</v>
      </c>
      <c r="O100" s="28">
        <f>(SUM(Pcfu[[#This Row],[R1]:[R3]]))/(Pcfu[[#This Row],[No. Reps]]*0.025)*Pcfu[[#This Row],[Best DF]]</f>
        <v>267999999.99999994</v>
      </c>
      <c r="P100" s="27">
        <f>_xlfn.STDEV.S(Pcfu[[#This Row],[R1]:[R3]])/0.025*Pcfu[[#This Row],[Best DF]]</f>
        <v>65482822.174979597</v>
      </c>
      <c r="Q100" s="28">
        <f>Pcfu[[#This Row],[CFU/mL]]*Pcfu[[#This Row],[mL]]/Pcfu[[#This Row],[grams]]</f>
        <v>5091999999.999999</v>
      </c>
      <c r="R100" s="27">
        <f>Pcfu[[#This Row],[SD CFU/mL]]*Pcfu[[#This Row],[mL]]/Pcfu[[#This Row],[grams]]</f>
        <v>1244173621.3246124</v>
      </c>
      <c r="S100" s="29">
        <f>_xlfn.STDEV.S(Pcfu[[#This Row],[R1]:[R3]])/AVERAGE(Pcfu[[#This Row],[R1]:[R3]])</f>
        <v>0.24433888871261045</v>
      </c>
      <c r="T100" s="30" t="s">
        <v>157</v>
      </c>
    </row>
    <row r="101" spans="1:20" ht="15" x14ac:dyDescent="0.2">
      <c r="A101" s="40" t="s">
        <v>61</v>
      </c>
      <c r="B101" s="42" t="s">
        <v>144</v>
      </c>
      <c r="C101" s="44"/>
      <c r="D101" s="46" t="s">
        <v>143</v>
      </c>
      <c r="E101" s="48">
        <v>3</v>
      </c>
      <c r="F101" s="31" t="s">
        <v>27</v>
      </c>
      <c r="G101" s="50">
        <v>0.3</v>
      </c>
      <c r="H101" s="32">
        <f>19*Pcfu[[#This Row],[grams]]</f>
        <v>5.7</v>
      </c>
      <c r="I101" s="37" t="s">
        <v>98</v>
      </c>
      <c r="J101" s="52">
        <v>44781</v>
      </c>
      <c r="K101" s="34">
        <v>100000</v>
      </c>
      <c r="L101" s="31">
        <v>81</v>
      </c>
      <c r="M101" s="31">
        <v>86</v>
      </c>
      <c r="N101" s="31">
        <v>86</v>
      </c>
      <c r="O101" s="33">
        <f>(SUM(Pcfu[[#This Row],[R1]:[R3]]))/(Pcfu[[#This Row],[No. Reps]]*0.025)*Pcfu[[#This Row],[Best DF]]</f>
        <v>337333333.33333331</v>
      </c>
      <c r="P101" s="34">
        <f>_xlfn.STDEV.S(Pcfu[[#This Row],[R1]:[R3]])/0.025*Pcfu[[#This Row],[Best DF]]</f>
        <v>11547005.383792514</v>
      </c>
      <c r="Q101" s="33">
        <f>Pcfu[[#This Row],[CFU/mL]]*Pcfu[[#This Row],[mL]]/Pcfu[[#This Row],[grams]]</f>
        <v>6409333333.333334</v>
      </c>
      <c r="R101" s="34">
        <f>Pcfu[[#This Row],[SD CFU/mL]]*Pcfu[[#This Row],[mL]]/Pcfu[[#This Row],[grams]]</f>
        <v>219393102.29205778</v>
      </c>
      <c r="S101" s="35">
        <f>_xlfn.STDEV.S(Pcfu[[#This Row],[R1]:[R3]])/AVERAGE(Pcfu[[#This Row],[R1]:[R3]])</f>
        <v>3.4230253114009436E-2</v>
      </c>
      <c r="T101" s="36" t="s">
        <v>157</v>
      </c>
    </row>
    <row r="102" spans="1:20" x14ac:dyDescent="0.15">
      <c r="A102" t="s">
        <v>158</v>
      </c>
      <c r="B102" t="s">
        <v>74</v>
      </c>
      <c r="C102" s="4" t="s">
        <v>159</v>
      </c>
      <c r="D102" t="s">
        <v>26</v>
      </c>
      <c r="E102" s="3">
        <v>2</v>
      </c>
      <c r="F102" t="s">
        <v>160</v>
      </c>
      <c r="G102">
        <v>0.30420000000000003</v>
      </c>
      <c r="H102" s="5">
        <f>19*Pcfu[[#This Row],[grams]]</f>
        <v>5.7798000000000007</v>
      </c>
      <c r="I102" s="3" t="s">
        <v>28</v>
      </c>
      <c r="J102" s="14">
        <v>44783</v>
      </c>
      <c r="K102" s="1">
        <v>10000</v>
      </c>
      <c r="L102">
        <v>128</v>
      </c>
      <c r="M102">
        <v>125</v>
      </c>
      <c r="O102" s="6">
        <f>(SUM(Pcfu[[#This Row],[R1]:[R3]]))/(Pcfu[[#This Row],[No. Reps]]*0.025)*Pcfu[[#This Row],[Best DF]]</f>
        <v>50600000</v>
      </c>
      <c r="P102" s="1">
        <f>_xlfn.STDEV.S(Pcfu[[#This Row],[R1]:[R3]])/0.025*Pcfu[[#This Row],[Best DF]]</f>
        <v>848528.13742385688</v>
      </c>
      <c r="Q102" s="6">
        <f>Pcfu[[#This Row],[CFU/mL]]*Pcfu[[#This Row],[mL]]/Pcfu[[#This Row],[grams]]</f>
        <v>961400000.00000012</v>
      </c>
      <c r="R102" s="1">
        <f>Pcfu[[#This Row],[SD CFU/mL]]*Pcfu[[#This Row],[mL]]/Pcfu[[#This Row],[grams]]</f>
        <v>16122034.611053281</v>
      </c>
      <c r="S102" s="7">
        <f>_xlfn.STDEV.S(Pcfu[[#This Row],[R1]:[R3]])/AVERAGE(Pcfu[[#This Row],[R1]:[R3]])</f>
        <v>1.6769330779127609E-2</v>
      </c>
      <c r="T102" t="s">
        <v>161</v>
      </c>
    </row>
    <row r="103" spans="1:20" x14ac:dyDescent="0.15">
      <c r="A103" t="s">
        <v>158</v>
      </c>
      <c r="B103" t="s">
        <v>74</v>
      </c>
      <c r="C103" s="4" t="s">
        <v>159</v>
      </c>
      <c r="D103" t="s">
        <v>26</v>
      </c>
      <c r="E103" s="3">
        <v>2</v>
      </c>
      <c r="F103" t="s">
        <v>160</v>
      </c>
      <c r="G103">
        <v>0.26939999999999997</v>
      </c>
      <c r="H103" s="5">
        <f>19*Pcfu[[#This Row],[grams]]</f>
        <v>5.1185999999999998</v>
      </c>
      <c r="I103" s="3" t="s">
        <v>28</v>
      </c>
      <c r="J103" s="14">
        <v>44783</v>
      </c>
      <c r="K103" s="1">
        <v>10000</v>
      </c>
      <c r="L103">
        <v>122</v>
      </c>
      <c r="M103">
        <v>134</v>
      </c>
      <c r="O103" s="6">
        <f>(SUM(Pcfu[[#This Row],[R1]:[R3]]))/(Pcfu[[#This Row],[No. Reps]]*0.025)*Pcfu[[#This Row],[Best DF]]</f>
        <v>51200000</v>
      </c>
      <c r="P103" s="1">
        <f>_xlfn.STDEV.S(Pcfu[[#This Row],[R1]:[R3]])/0.025*Pcfu[[#This Row],[Best DF]]</f>
        <v>3394112.5496954275</v>
      </c>
      <c r="Q103" s="6">
        <f>Pcfu[[#This Row],[CFU/mL]]*Pcfu[[#This Row],[mL]]/Pcfu[[#This Row],[grams]]</f>
        <v>972800000.00000012</v>
      </c>
      <c r="R103" s="1">
        <f>Pcfu[[#This Row],[SD CFU/mL]]*Pcfu[[#This Row],[mL]]/Pcfu[[#This Row],[grams]]</f>
        <v>64488138.444213122</v>
      </c>
      <c r="S103" s="7">
        <f>_xlfn.STDEV.S(Pcfu[[#This Row],[R1]:[R3]])/AVERAGE(Pcfu[[#This Row],[R1]:[R3]])</f>
        <v>6.6291260736238825E-2</v>
      </c>
      <c r="T103" t="s">
        <v>162</v>
      </c>
    </row>
    <row r="104" spans="1:20" x14ac:dyDescent="0.15">
      <c r="A104" t="s">
        <v>163</v>
      </c>
      <c r="B104" t="s">
        <v>74</v>
      </c>
      <c r="C104" s="4" t="s">
        <v>164</v>
      </c>
      <c r="D104" t="s">
        <v>26</v>
      </c>
      <c r="E104" s="3">
        <v>2</v>
      </c>
      <c r="F104" t="s">
        <v>160</v>
      </c>
      <c r="G104">
        <v>0.30659999999999998</v>
      </c>
      <c r="H104" s="5">
        <f>19*Pcfu[[#This Row],[grams]]</f>
        <v>5.8254000000000001</v>
      </c>
      <c r="I104" s="3" t="s">
        <v>28</v>
      </c>
      <c r="J104" s="14">
        <v>44783</v>
      </c>
      <c r="K104" s="1">
        <v>100000</v>
      </c>
      <c r="L104">
        <v>34</v>
      </c>
      <c r="M104">
        <v>35</v>
      </c>
      <c r="O104" s="6">
        <f>(SUM(Pcfu[[#This Row],[R1]:[R3]]))/(Pcfu[[#This Row],[No. Reps]]*0.025)*Pcfu[[#This Row],[Best DF]]</f>
        <v>138000000</v>
      </c>
      <c r="P104" s="1">
        <f>_xlfn.STDEV.S(Pcfu[[#This Row],[R1]:[R3]])/0.025*Pcfu[[#This Row],[Best DF]]</f>
        <v>2828427.1247461904</v>
      </c>
      <c r="Q104" s="6">
        <f>Pcfu[[#This Row],[CFU/mL]]*Pcfu[[#This Row],[mL]]/Pcfu[[#This Row],[grams]]</f>
        <v>2622000000</v>
      </c>
      <c r="R104" s="1">
        <f>Pcfu[[#This Row],[SD CFU/mL]]*Pcfu[[#This Row],[mL]]/Pcfu[[#This Row],[grams]]</f>
        <v>53740115.370177619</v>
      </c>
      <c r="S104" s="7">
        <f>_xlfn.STDEV.S(Pcfu[[#This Row],[R1]:[R3]])/AVERAGE(Pcfu[[#This Row],[R1]:[R3]])</f>
        <v>2.0495848730044858E-2</v>
      </c>
      <c r="T104" t="s">
        <v>161</v>
      </c>
    </row>
    <row r="105" spans="1:20" x14ac:dyDescent="0.15">
      <c r="A105" t="s">
        <v>163</v>
      </c>
      <c r="B105" t="s">
        <v>74</v>
      </c>
      <c r="C105" s="4" t="s">
        <v>164</v>
      </c>
      <c r="D105" t="s">
        <v>26</v>
      </c>
      <c r="E105" s="3">
        <v>2</v>
      </c>
      <c r="F105" t="s">
        <v>160</v>
      </c>
      <c r="G105">
        <v>0.30459999999999998</v>
      </c>
      <c r="H105" s="5">
        <f>19*Pcfu[[#This Row],[grams]]</f>
        <v>5.7873999999999999</v>
      </c>
      <c r="I105" s="3" t="s">
        <v>28</v>
      </c>
      <c r="J105" s="14">
        <v>44783</v>
      </c>
      <c r="K105" s="1">
        <v>100000</v>
      </c>
      <c r="L105">
        <v>33</v>
      </c>
      <c r="M105">
        <v>33</v>
      </c>
      <c r="O105" s="6">
        <f>(SUM(Pcfu[[#This Row],[R1]:[R3]]))/(Pcfu[[#This Row],[No. Reps]]*0.025)*Pcfu[[#This Row],[Best DF]]</f>
        <v>132000000</v>
      </c>
      <c r="P105" s="1">
        <f>_xlfn.STDEV.S(Pcfu[[#This Row],[R1]:[R3]])/0.025*Pcfu[[#This Row],[Best DF]]</f>
        <v>0</v>
      </c>
      <c r="Q105" s="6">
        <f>Pcfu[[#This Row],[CFU/mL]]*Pcfu[[#This Row],[mL]]/Pcfu[[#This Row],[grams]]</f>
        <v>2508000000</v>
      </c>
      <c r="R105" s="1">
        <f>Pcfu[[#This Row],[SD CFU/mL]]*Pcfu[[#This Row],[mL]]/Pcfu[[#This Row],[grams]]</f>
        <v>0</v>
      </c>
      <c r="S105" s="7">
        <f>_xlfn.STDEV.S(Pcfu[[#This Row],[R1]:[R3]])/AVERAGE(Pcfu[[#This Row],[R1]:[R3]])</f>
        <v>0</v>
      </c>
      <c r="T105" t="s">
        <v>162</v>
      </c>
    </row>
    <row r="106" spans="1:20" x14ac:dyDescent="0.15">
      <c r="A106" t="s">
        <v>165</v>
      </c>
      <c r="B106" t="s">
        <v>75</v>
      </c>
      <c r="C106" s="4"/>
      <c r="D106" t="s">
        <v>26</v>
      </c>
      <c r="E106" s="3">
        <v>2</v>
      </c>
      <c r="F106" t="s">
        <v>166</v>
      </c>
      <c r="G106">
        <v>0.28299999999999997</v>
      </c>
      <c r="H106" s="5">
        <f>19*Pcfu[[#This Row],[grams]]</f>
        <v>5.3769999999999998</v>
      </c>
      <c r="I106" s="3" t="s">
        <v>28</v>
      </c>
      <c r="J106" s="14">
        <v>44825</v>
      </c>
      <c r="O106" s="6">
        <f>(SUM(Pcfu[[#This Row],[R1]:[R3]]))/(Pcfu[[#This Row],[No. Reps]]*0.025)*Pcfu[[#This Row],[Best DF]]</f>
        <v>0</v>
      </c>
      <c r="P106" s="1" t="e">
        <f>_xlfn.STDEV.S(Pcfu[[#This Row],[R1]:[R3]])/0.025*Pcfu[[#This Row],[Best DF]]</f>
        <v>#DIV/0!</v>
      </c>
      <c r="Q106" s="6">
        <f>Pcfu[[#This Row],[CFU/mL]]*Pcfu[[#This Row],[mL]]/Pcfu[[#This Row],[grams]]</f>
        <v>0</v>
      </c>
      <c r="R106" s="1" t="e">
        <f>Pcfu[[#This Row],[SD CFU/mL]]*Pcfu[[#This Row],[mL]]/Pcfu[[#This Row],[grams]]</f>
        <v>#DIV/0!</v>
      </c>
      <c r="S106" s="7" t="e">
        <f>_xlfn.STDEV.S(Pcfu[[#This Row],[R1]:[R3]])/AVERAGE(Pcfu[[#This Row],[R1]:[R3]])</f>
        <v>#DIV/0!</v>
      </c>
      <c r="T106" t="s">
        <v>167</v>
      </c>
    </row>
    <row r="107" spans="1:20" x14ac:dyDescent="0.15">
      <c r="A107" t="s">
        <v>165</v>
      </c>
      <c r="B107" t="s">
        <v>74</v>
      </c>
      <c r="C107" s="4"/>
      <c r="D107" t="s">
        <v>26</v>
      </c>
      <c r="E107" s="3">
        <v>2</v>
      </c>
      <c r="F107" t="s">
        <v>166</v>
      </c>
      <c r="G107">
        <v>0.3483</v>
      </c>
      <c r="H107" s="5">
        <f>19*Pcfu[[#This Row],[grams]]</f>
        <v>6.6177000000000001</v>
      </c>
      <c r="I107" s="3" t="s">
        <v>28</v>
      </c>
      <c r="J107" s="14">
        <v>44825</v>
      </c>
      <c r="O107" s="6">
        <f>(SUM(Pcfu[[#This Row],[R1]:[R3]]))/(Pcfu[[#This Row],[No. Reps]]*0.025)*Pcfu[[#This Row],[Best DF]]</f>
        <v>0</v>
      </c>
      <c r="P107" s="1" t="e">
        <f>_xlfn.STDEV.S(Pcfu[[#This Row],[R1]:[R3]])/0.025*Pcfu[[#This Row],[Best DF]]</f>
        <v>#DIV/0!</v>
      </c>
      <c r="Q107" s="6">
        <f>Pcfu[[#This Row],[CFU/mL]]*Pcfu[[#This Row],[mL]]/Pcfu[[#This Row],[grams]]</f>
        <v>0</v>
      </c>
      <c r="R107" s="1" t="e">
        <f>Pcfu[[#This Row],[SD CFU/mL]]*Pcfu[[#This Row],[mL]]/Pcfu[[#This Row],[grams]]</f>
        <v>#DIV/0!</v>
      </c>
      <c r="S107" s="7" t="e">
        <f>_xlfn.STDEV.S(Pcfu[[#This Row],[R1]:[R3]])/AVERAGE(Pcfu[[#This Row],[R1]:[R3]])</f>
        <v>#DIV/0!</v>
      </c>
      <c r="T107" t="s">
        <v>167</v>
      </c>
    </row>
    <row r="108" spans="1:20" x14ac:dyDescent="0.15">
      <c r="A108" t="s">
        <v>165</v>
      </c>
      <c r="B108" t="s">
        <v>168</v>
      </c>
      <c r="C108" s="4"/>
      <c r="D108" t="s">
        <v>26</v>
      </c>
      <c r="E108" s="3">
        <v>2</v>
      </c>
      <c r="F108" t="s">
        <v>166</v>
      </c>
      <c r="G108">
        <v>0.35020000000000001</v>
      </c>
      <c r="H108" s="5">
        <f>19*Pcfu[[#This Row],[grams]]</f>
        <v>6.6538000000000004</v>
      </c>
      <c r="I108" s="3" t="s">
        <v>28</v>
      </c>
      <c r="J108" s="14">
        <v>44825</v>
      </c>
      <c r="O108" s="6">
        <f>(SUM(Pcfu[[#This Row],[R1]:[R3]]))/(Pcfu[[#This Row],[No. Reps]]*0.025)*Pcfu[[#This Row],[Best DF]]</f>
        <v>0</v>
      </c>
      <c r="P108" s="1" t="e">
        <f>_xlfn.STDEV.S(Pcfu[[#This Row],[R1]:[R3]])/0.025*Pcfu[[#This Row],[Best DF]]</f>
        <v>#DIV/0!</v>
      </c>
      <c r="Q108" s="6">
        <f>Pcfu[[#This Row],[CFU/mL]]*Pcfu[[#This Row],[mL]]/Pcfu[[#This Row],[grams]]</f>
        <v>0</v>
      </c>
      <c r="R108" s="1" t="e">
        <f>Pcfu[[#This Row],[SD CFU/mL]]*Pcfu[[#This Row],[mL]]/Pcfu[[#This Row],[grams]]</f>
        <v>#DIV/0!</v>
      </c>
      <c r="S108" s="7" t="e">
        <f>_xlfn.STDEV.S(Pcfu[[#This Row],[R1]:[R3]])/AVERAGE(Pcfu[[#This Row],[R1]:[R3]])</f>
        <v>#DIV/0!</v>
      </c>
      <c r="T108" t="s">
        <v>167</v>
      </c>
    </row>
    <row r="109" spans="1:20" x14ac:dyDescent="0.15">
      <c r="A109" t="s">
        <v>169</v>
      </c>
      <c r="B109" t="s">
        <v>75</v>
      </c>
      <c r="C109" s="4"/>
      <c r="D109" t="s">
        <v>37</v>
      </c>
      <c r="E109" s="3">
        <v>2</v>
      </c>
      <c r="F109" t="s">
        <v>166</v>
      </c>
      <c r="G109">
        <v>0.40600000000000003</v>
      </c>
      <c r="H109" s="5">
        <f>19*Pcfu[[#This Row],[grams]]</f>
        <v>7.7140000000000004</v>
      </c>
      <c r="I109" s="3" t="s">
        <v>28</v>
      </c>
      <c r="J109" s="14">
        <v>44825</v>
      </c>
      <c r="O109" s="6">
        <f>(SUM(Pcfu[[#This Row],[R1]:[R3]]))/(Pcfu[[#This Row],[No. Reps]]*0.025)*Pcfu[[#This Row],[Best DF]]</f>
        <v>0</v>
      </c>
      <c r="P109" s="1" t="e">
        <f>_xlfn.STDEV.S(Pcfu[[#This Row],[R1]:[R3]])/0.025*Pcfu[[#This Row],[Best DF]]</f>
        <v>#DIV/0!</v>
      </c>
      <c r="Q109" s="6">
        <f>Pcfu[[#This Row],[CFU/mL]]*Pcfu[[#This Row],[mL]]/Pcfu[[#This Row],[grams]]</f>
        <v>0</v>
      </c>
      <c r="R109" s="1" t="e">
        <f>Pcfu[[#This Row],[SD CFU/mL]]*Pcfu[[#This Row],[mL]]/Pcfu[[#This Row],[grams]]</f>
        <v>#DIV/0!</v>
      </c>
      <c r="S109" s="7" t="e">
        <f>_xlfn.STDEV.S(Pcfu[[#This Row],[R1]:[R3]])/AVERAGE(Pcfu[[#This Row],[R1]:[R3]])</f>
        <v>#DIV/0!</v>
      </c>
      <c r="T109" t="s">
        <v>167</v>
      </c>
    </row>
    <row r="110" spans="1:20" x14ac:dyDescent="0.15">
      <c r="A110" t="s">
        <v>169</v>
      </c>
      <c r="B110" t="s">
        <v>74</v>
      </c>
      <c r="C110" s="4"/>
      <c r="D110" t="s">
        <v>37</v>
      </c>
      <c r="E110" s="3">
        <v>2</v>
      </c>
      <c r="F110" t="s">
        <v>166</v>
      </c>
      <c r="G110">
        <v>0.34399999999999997</v>
      </c>
      <c r="H110" s="5">
        <f>19*Pcfu[[#This Row],[grams]]</f>
        <v>6.5359999999999996</v>
      </c>
      <c r="I110" s="3" t="s">
        <v>28</v>
      </c>
      <c r="J110" s="14">
        <v>44825</v>
      </c>
      <c r="O110" s="6">
        <f>(SUM(Pcfu[[#This Row],[R1]:[R3]]))/(Pcfu[[#This Row],[No. Reps]]*0.025)*Pcfu[[#This Row],[Best DF]]</f>
        <v>0</v>
      </c>
      <c r="P110" s="1" t="e">
        <f>_xlfn.STDEV.S(Pcfu[[#This Row],[R1]:[R3]])/0.025*Pcfu[[#This Row],[Best DF]]</f>
        <v>#DIV/0!</v>
      </c>
      <c r="Q110" s="6">
        <f>Pcfu[[#This Row],[CFU/mL]]*Pcfu[[#This Row],[mL]]/Pcfu[[#This Row],[grams]]</f>
        <v>0</v>
      </c>
      <c r="R110" s="1" t="e">
        <f>Pcfu[[#This Row],[SD CFU/mL]]*Pcfu[[#This Row],[mL]]/Pcfu[[#This Row],[grams]]</f>
        <v>#DIV/0!</v>
      </c>
      <c r="S110" s="7" t="e">
        <f>_xlfn.STDEV.S(Pcfu[[#This Row],[R1]:[R3]])/AVERAGE(Pcfu[[#This Row],[R1]:[R3]])</f>
        <v>#DIV/0!</v>
      </c>
      <c r="T110" t="s">
        <v>167</v>
      </c>
    </row>
    <row r="111" spans="1:20" x14ac:dyDescent="0.15">
      <c r="A111" t="s">
        <v>169</v>
      </c>
      <c r="B111" t="s">
        <v>168</v>
      </c>
      <c r="C111" s="4"/>
      <c r="D111" t="s">
        <v>37</v>
      </c>
      <c r="E111" s="3">
        <v>2</v>
      </c>
      <c r="F111" t="s">
        <v>166</v>
      </c>
      <c r="G111">
        <v>0.34200000000000003</v>
      </c>
      <c r="H111" s="5">
        <f>19*Pcfu[[#This Row],[grams]]</f>
        <v>6.4980000000000002</v>
      </c>
      <c r="I111" s="3" t="s">
        <v>28</v>
      </c>
      <c r="J111" s="14">
        <v>44825</v>
      </c>
      <c r="O111" s="6">
        <f>(SUM(Pcfu[[#This Row],[R1]:[R3]]))/(Pcfu[[#This Row],[No. Reps]]*0.025)*Pcfu[[#This Row],[Best DF]]</f>
        <v>0</v>
      </c>
      <c r="P111" s="1" t="e">
        <f>_xlfn.STDEV.S(Pcfu[[#This Row],[R1]:[R3]])/0.025*Pcfu[[#This Row],[Best DF]]</f>
        <v>#DIV/0!</v>
      </c>
      <c r="Q111" s="6">
        <f>Pcfu[[#This Row],[CFU/mL]]*Pcfu[[#This Row],[mL]]/Pcfu[[#This Row],[grams]]</f>
        <v>0</v>
      </c>
      <c r="R111" s="1" t="e">
        <f>Pcfu[[#This Row],[SD CFU/mL]]*Pcfu[[#This Row],[mL]]/Pcfu[[#This Row],[grams]]</f>
        <v>#DIV/0!</v>
      </c>
      <c r="S111" s="7" t="e">
        <f>_xlfn.STDEV.S(Pcfu[[#This Row],[R1]:[R3]])/AVERAGE(Pcfu[[#This Row],[R1]:[R3]])</f>
        <v>#DIV/0!</v>
      </c>
      <c r="T111" t="s">
        <v>167</v>
      </c>
    </row>
    <row r="112" spans="1:20" x14ac:dyDescent="0.15">
      <c r="A112" t="s">
        <v>165</v>
      </c>
      <c r="B112" t="s">
        <v>75</v>
      </c>
      <c r="C112" s="4"/>
      <c r="D112" t="s">
        <v>26</v>
      </c>
      <c r="E112" s="3">
        <v>2</v>
      </c>
      <c r="F112" t="s">
        <v>166</v>
      </c>
      <c r="G112">
        <v>0.28299999999999997</v>
      </c>
      <c r="H112" s="5">
        <f>19*Pcfu[[#This Row],[grams]]</f>
        <v>5.3769999999999998</v>
      </c>
      <c r="I112" s="3" t="s">
        <v>170</v>
      </c>
      <c r="J112" s="14">
        <v>44825</v>
      </c>
      <c r="O112" s="6">
        <f>(SUM(Pcfu[[#This Row],[R1]:[R3]]))/(Pcfu[[#This Row],[No. Reps]]*0.025)*Pcfu[[#This Row],[Best DF]]</f>
        <v>0</v>
      </c>
      <c r="P112" s="1" t="e">
        <f>_xlfn.STDEV.S(Pcfu[[#This Row],[R1]:[R3]])/0.025*Pcfu[[#This Row],[Best DF]]</f>
        <v>#DIV/0!</v>
      </c>
      <c r="Q112" s="6">
        <f>Pcfu[[#This Row],[CFU/mL]]*Pcfu[[#This Row],[mL]]/Pcfu[[#This Row],[grams]]</f>
        <v>0</v>
      </c>
      <c r="R112" s="1" t="e">
        <f>Pcfu[[#This Row],[SD CFU/mL]]*Pcfu[[#This Row],[mL]]/Pcfu[[#This Row],[grams]]</f>
        <v>#DIV/0!</v>
      </c>
      <c r="S112" s="7" t="e">
        <f>_xlfn.STDEV.S(Pcfu[[#This Row],[R1]:[R3]])/AVERAGE(Pcfu[[#This Row],[R1]:[R3]])</f>
        <v>#DIV/0!</v>
      </c>
      <c r="T112" t="s">
        <v>167</v>
      </c>
    </row>
    <row r="113" spans="1:20" x14ac:dyDescent="0.15">
      <c r="A113" t="s">
        <v>165</v>
      </c>
      <c r="B113" t="s">
        <v>74</v>
      </c>
      <c r="C113" s="4"/>
      <c r="D113" t="s">
        <v>26</v>
      </c>
      <c r="E113" s="3">
        <v>2</v>
      </c>
      <c r="F113" t="s">
        <v>166</v>
      </c>
      <c r="G113">
        <v>0.3483</v>
      </c>
      <c r="H113" s="5">
        <f>19*Pcfu[[#This Row],[grams]]</f>
        <v>6.6177000000000001</v>
      </c>
      <c r="I113" s="3" t="s">
        <v>170</v>
      </c>
      <c r="J113" s="14">
        <v>44825</v>
      </c>
      <c r="O113" s="6">
        <f>(SUM(Pcfu[[#This Row],[R1]:[R3]]))/(Pcfu[[#This Row],[No. Reps]]*0.025)*Pcfu[[#This Row],[Best DF]]</f>
        <v>0</v>
      </c>
      <c r="P113" s="1" t="e">
        <f>_xlfn.STDEV.S(Pcfu[[#This Row],[R1]:[R3]])/0.025*Pcfu[[#This Row],[Best DF]]</f>
        <v>#DIV/0!</v>
      </c>
      <c r="Q113" s="6">
        <f>Pcfu[[#This Row],[CFU/mL]]*Pcfu[[#This Row],[mL]]/Pcfu[[#This Row],[grams]]</f>
        <v>0</v>
      </c>
      <c r="R113" s="1" t="e">
        <f>Pcfu[[#This Row],[SD CFU/mL]]*Pcfu[[#This Row],[mL]]/Pcfu[[#This Row],[grams]]</f>
        <v>#DIV/0!</v>
      </c>
      <c r="S113" s="7" t="e">
        <f>_xlfn.STDEV.S(Pcfu[[#This Row],[R1]:[R3]])/AVERAGE(Pcfu[[#This Row],[R1]:[R3]])</f>
        <v>#DIV/0!</v>
      </c>
      <c r="T113" t="s">
        <v>167</v>
      </c>
    </row>
    <row r="114" spans="1:20" x14ac:dyDescent="0.15">
      <c r="A114" t="s">
        <v>165</v>
      </c>
      <c r="B114" t="s">
        <v>168</v>
      </c>
      <c r="C114" s="4"/>
      <c r="D114" t="s">
        <v>26</v>
      </c>
      <c r="E114" s="3">
        <v>2</v>
      </c>
      <c r="F114" t="s">
        <v>166</v>
      </c>
      <c r="G114">
        <v>0.35020000000000001</v>
      </c>
      <c r="H114" s="5">
        <f>19*Pcfu[[#This Row],[grams]]</f>
        <v>6.6538000000000004</v>
      </c>
      <c r="I114" s="3" t="s">
        <v>170</v>
      </c>
      <c r="J114" s="14">
        <v>44825</v>
      </c>
      <c r="O114" s="6">
        <f>(SUM(Pcfu[[#This Row],[R1]:[R3]]))/(Pcfu[[#This Row],[No. Reps]]*0.025)*Pcfu[[#This Row],[Best DF]]</f>
        <v>0</v>
      </c>
      <c r="P114" s="1" t="e">
        <f>_xlfn.STDEV.S(Pcfu[[#This Row],[R1]:[R3]])/0.025*Pcfu[[#This Row],[Best DF]]</f>
        <v>#DIV/0!</v>
      </c>
      <c r="Q114" s="6">
        <f>Pcfu[[#This Row],[CFU/mL]]*Pcfu[[#This Row],[mL]]/Pcfu[[#This Row],[grams]]</f>
        <v>0</v>
      </c>
      <c r="R114" s="1" t="e">
        <f>Pcfu[[#This Row],[SD CFU/mL]]*Pcfu[[#This Row],[mL]]/Pcfu[[#This Row],[grams]]</f>
        <v>#DIV/0!</v>
      </c>
      <c r="S114" s="7" t="e">
        <f>_xlfn.STDEV.S(Pcfu[[#This Row],[R1]:[R3]])/AVERAGE(Pcfu[[#This Row],[R1]:[R3]])</f>
        <v>#DIV/0!</v>
      </c>
      <c r="T114" t="s">
        <v>167</v>
      </c>
    </row>
    <row r="115" spans="1:20" x14ac:dyDescent="0.15">
      <c r="A115" t="s">
        <v>169</v>
      </c>
      <c r="B115" t="s">
        <v>75</v>
      </c>
      <c r="C115" s="4"/>
      <c r="D115" t="s">
        <v>37</v>
      </c>
      <c r="E115" s="3">
        <v>2</v>
      </c>
      <c r="F115" t="s">
        <v>166</v>
      </c>
      <c r="G115">
        <v>0.40600000000000003</v>
      </c>
      <c r="H115" s="5">
        <f>19*Pcfu[[#This Row],[grams]]</f>
        <v>7.7140000000000004</v>
      </c>
      <c r="I115" s="3" t="s">
        <v>170</v>
      </c>
      <c r="J115" s="14">
        <v>44825</v>
      </c>
      <c r="O115" s="6">
        <f>(SUM(Pcfu[[#This Row],[R1]:[R3]]))/(Pcfu[[#This Row],[No. Reps]]*0.025)*Pcfu[[#This Row],[Best DF]]</f>
        <v>0</v>
      </c>
      <c r="P115" s="1" t="e">
        <f>_xlfn.STDEV.S(Pcfu[[#This Row],[R1]:[R3]])/0.025*Pcfu[[#This Row],[Best DF]]</f>
        <v>#DIV/0!</v>
      </c>
      <c r="Q115" s="6">
        <f>Pcfu[[#This Row],[CFU/mL]]*Pcfu[[#This Row],[mL]]/Pcfu[[#This Row],[grams]]</f>
        <v>0</v>
      </c>
      <c r="R115" s="1" t="e">
        <f>Pcfu[[#This Row],[SD CFU/mL]]*Pcfu[[#This Row],[mL]]/Pcfu[[#This Row],[grams]]</f>
        <v>#DIV/0!</v>
      </c>
      <c r="S115" s="7" t="e">
        <f>_xlfn.STDEV.S(Pcfu[[#This Row],[R1]:[R3]])/AVERAGE(Pcfu[[#This Row],[R1]:[R3]])</f>
        <v>#DIV/0!</v>
      </c>
      <c r="T115" t="s">
        <v>167</v>
      </c>
    </row>
    <row r="116" spans="1:20" x14ac:dyDescent="0.15">
      <c r="A116" t="s">
        <v>169</v>
      </c>
      <c r="B116" t="s">
        <v>74</v>
      </c>
      <c r="C116" s="4"/>
      <c r="D116" t="s">
        <v>37</v>
      </c>
      <c r="E116" s="3">
        <v>2</v>
      </c>
      <c r="F116" t="s">
        <v>166</v>
      </c>
      <c r="G116">
        <v>0.34399999999999997</v>
      </c>
      <c r="H116" s="5">
        <f>19*Pcfu[[#This Row],[grams]]</f>
        <v>6.5359999999999996</v>
      </c>
      <c r="I116" s="3" t="s">
        <v>170</v>
      </c>
      <c r="J116" s="14">
        <v>44825</v>
      </c>
      <c r="O116" s="6">
        <f>(SUM(Pcfu[[#This Row],[R1]:[R3]]))/(Pcfu[[#This Row],[No. Reps]]*0.025)*Pcfu[[#This Row],[Best DF]]</f>
        <v>0</v>
      </c>
      <c r="P116" s="1" t="e">
        <f>_xlfn.STDEV.S(Pcfu[[#This Row],[R1]:[R3]])/0.025*Pcfu[[#This Row],[Best DF]]</f>
        <v>#DIV/0!</v>
      </c>
      <c r="Q116" s="6">
        <f>Pcfu[[#This Row],[CFU/mL]]*Pcfu[[#This Row],[mL]]/Pcfu[[#This Row],[grams]]</f>
        <v>0</v>
      </c>
      <c r="R116" s="1" t="e">
        <f>Pcfu[[#This Row],[SD CFU/mL]]*Pcfu[[#This Row],[mL]]/Pcfu[[#This Row],[grams]]</f>
        <v>#DIV/0!</v>
      </c>
      <c r="S116" s="7" t="e">
        <f>_xlfn.STDEV.S(Pcfu[[#This Row],[R1]:[R3]])/AVERAGE(Pcfu[[#This Row],[R1]:[R3]])</f>
        <v>#DIV/0!</v>
      </c>
      <c r="T116" t="s">
        <v>167</v>
      </c>
    </row>
    <row r="117" spans="1:20" x14ac:dyDescent="0.15">
      <c r="A117" t="s">
        <v>169</v>
      </c>
      <c r="B117" t="s">
        <v>168</v>
      </c>
      <c r="C117" s="4"/>
      <c r="D117" t="s">
        <v>37</v>
      </c>
      <c r="E117" s="3">
        <v>2</v>
      </c>
      <c r="F117" t="s">
        <v>166</v>
      </c>
      <c r="G117">
        <v>0.34200000000000003</v>
      </c>
      <c r="H117" s="5">
        <f>19*Pcfu[[#This Row],[grams]]</f>
        <v>6.4980000000000002</v>
      </c>
      <c r="I117" s="3" t="s">
        <v>170</v>
      </c>
      <c r="J117" s="14">
        <v>44825</v>
      </c>
      <c r="O117" s="6">
        <f>(SUM(Pcfu[[#This Row],[R1]:[R3]]))/(Pcfu[[#This Row],[No. Reps]]*0.025)*Pcfu[[#This Row],[Best DF]]</f>
        <v>0</v>
      </c>
      <c r="P117" s="1" t="e">
        <f>_xlfn.STDEV.S(Pcfu[[#This Row],[R1]:[R3]])/0.025*Pcfu[[#This Row],[Best DF]]</f>
        <v>#DIV/0!</v>
      </c>
      <c r="Q117" s="6">
        <f>Pcfu[[#This Row],[CFU/mL]]*Pcfu[[#This Row],[mL]]/Pcfu[[#This Row],[grams]]</f>
        <v>0</v>
      </c>
      <c r="R117" s="1" t="e">
        <f>Pcfu[[#This Row],[SD CFU/mL]]*Pcfu[[#This Row],[mL]]/Pcfu[[#This Row],[grams]]</f>
        <v>#DIV/0!</v>
      </c>
      <c r="S117" s="7" t="e">
        <f>_xlfn.STDEV.S(Pcfu[[#This Row],[R1]:[R3]])/AVERAGE(Pcfu[[#This Row],[R1]:[R3]])</f>
        <v>#DIV/0!</v>
      </c>
      <c r="T117" t="s">
        <v>167</v>
      </c>
    </row>
  </sheetData>
  <mergeCells count="1">
    <mergeCell ref="A1:T1"/>
  </mergeCells>
  <phoneticPr fontId="3" type="noConversion"/>
  <conditionalFormatting sqref="S4:S48">
    <cfRule type="cellIs" dxfId="1" priority="2" operator="greaterThan">
      <formula>0.3</formula>
    </cfRule>
  </conditionalFormatting>
  <pageMargins left="0.7" right="0.7" top="0.75" bottom="0.75" header="0.3" footer="0.3"/>
  <pageSetup orientation="portrait" r:id="rId1"/>
  <headerFooter>
    <oddHeader>&amp;C&amp;"Calibri"&amp;10&amp;K000000Internal&amp;1#</oddHeader>
    <oddFooter>&amp;C&amp;1#&amp;"Calibri"&amp;10&amp;K000000Internal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D6ED-F5FA-4684-A6DC-B157B68291E2}">
  <dimension ref="A1:AB960"/>
  <sheetViews>
    <sheetView tabSelected="1" topLeftCell="A900" workbookViewId="0">
      <selection activeCell="K782" sqref="K782"/>
    </sheetView>
  </sheetViews>
  <sheetFormatPr baseColWidth="10" defaultColWidth="9" defaultRowHeight="12" customHeight="1" x14ac:dyDescent="0.15"/>
  <cols>
    <col min="1" max="1" width="23.796875" customWidth="1"/>
    <col min="2" max="3" width="26.59765625" customWidth="1"/>
    <col min="4" max="4" width="10.19921875" style="3" customWidth="1"/>
    <col min="5" max="5" width="10.19921875" customWidth="1"/>
    <col min="6" max="6" width="10.3984375" customWidth="1"/>
    <col min="8" max="8" width="8.796875" style="3"/>
    <col min="9" max="9" width="14.19921875" style="3" customWidth="1"/>
    <col min="10" max="10" width="12" style="1" bestFit="1" customWidth="1"/>
    <col min="11" max="12" width="14.19921875" style="3" customWidth="1"/>
    <col min="14" max="14" width="9.3984375" customWidth="1"/>
    <col min="15" max="15" width="8.796875" customWidth="1"/>
    <col min="16" max="16" width="10.19921875" style="4" customWidth="1"/>
    <col min="17" max="17" width="11.59765625" style="4" customWidth="1"/>
    <col min="19" max="19" width="10.796875" customWidth="1"/>
    <col min="21" max="21" width="9.59765625" customWidth="1"/>
    <col min="22" max="22" width="14.796875" style="94" bestFit="1" customWidth="1"/>
    <col min="23" max="23" width="9.59765625" customWidth="1"/>
    <col min="24" max="24" width="35" customWidth="1"/>
    <col min="25" max="25" width="11" bestFit="1" customWidth="1"/>
    <col min="26" max="27" width="9.19921875" bestFit="1" customWidth="1"/>
    <col min="28" max="28" width="9.19921875" style="8" bestFit="1" customWidth="1"/>
    <col min="29" max="30" width="9.19921875" bestFit="1" customWidth="1"/>
  </cols>
  <sheetData>
    <row r="1" spans="1:24" x14ac:dyDescent="0.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R1" s="4"/>
      <c r="S1" s="4"/>
      <c r="T1" s="4"/>
      <c r="U1" s="4"/>
      <c r="V1" s="93"/>
      <c r="W1" s="4"/>
    </row>
    <row r="2" spans="1:24" x14ac:dyDescent="0.15">
      <c r="A2" s="9" t="s">
        <v>1</v>
      </c>
      <c r="B2" s="10" t="s">
        <v>2</v>
      </c>
      <c r="C2" s="10"/>
      <c r="D2" s="9" t="s">
        <v>1</v>
      </c>
      <c r="E2" s="10" t="s">
        <v>2</v>
      </c>
      <c r="F2" s="9" t="s">
        <v>1</v>
      </c>
      <c r="G2" s="10"/>
      <c r="H2" s="9" t="s">
        <v>1</v>
      </c>
      <c r="I2" s="9" t="s">
        <v>1</v>
      </c>
      <c r="J2" s="56" t="s">
        <v>1</v>
      </c>
      <c r="K2" s="9"/>
      <c r="L2" s="9"/>
      <c r="M2" s="9" t="s">
        <v>1</v>
      </c>
      <c r="N2" s="9" t="s">
        <v>1</v>
      </c>
      <c r="O2" s="10" t="s">
        <v>2</v>
      </c>
      <c r="P2" s="11"/>
      <c r="Q2" s="11"/>
      <c r="R2" s="12"/>
      <c r="S2" s="12"/>
      <c r="T2" s="12"/>
      <c r="U2" s="10" t="s">
        <v>2</v>
      </c>
      <c r="W2" s="3"/>
    </row>
    <row r="3" spans="1:24" ht="12.75" customHeight="1" x14ac:dyDescent="0.15">
      <c r="A3" s="12" t="s">
        <v>3</v>
      </c>
      <c r="B3" s="12" t="s">
        <v>4</v>
      </c>
      <c r="C3" s="12" t="s">
        <v>171</v>
      </c>
      <c r="D3" s="12" t="s">
        <v>6</v>
      </c>
      <c r="E3" s="13" t="s">
        <v>7</v>
      </c>
      <c r="F3" s="12" t="s">
        <v>8</v>
      </c>
      <c r="G3" s="12" t="s">
        <v>9</v>
      </c>
      <c r="H3" s="12" t="s">
        <v>10</v>
      </c>
      <c r="I3" s="10" t="s">
        <v>11</v>
      </c>
      <c r="J3" s="10" t="s">
        <v>12</v>
      </c>
      <c r="K3" s="10" t="s">
        <v>172</v>
      </c>
      <c r="L3" s="10" t="s">
        <v>173</v>
      </c>
      <c r="M3" s="57" t="s">
        <v>13</v>
      </c>
      <c r="N3" s="12" t="s">
        <v>14</v>
      </c>
      <c r="O3" s="12" t="s">
        <v>15</v>
      </c>
      <c r="P3" s="12" t="s">
        <v>16</v>
      </c>
      <c r="Q3" s="11" t="s">
        <v>17</v>
      </c>
      <c r="R3" s="11" t="s">
        <v>18</v>
      </c>
      <c r="S3" s="12" t="s">
        <v>19</v>
      </c>
      <c r="T3" s="12" t="s">
        <v>20</v>
      </c>
      <c r="U3" s="12" t="s">
        <v>21</v>
      </c>
      <c r="V3" s="95" t="s">
        <v>174</v>
      </c>
      <c r="W3" s="12" t="s">
        <v>175</v>
      </c>
      <c r="X3" s="12" t="s">
        <v>22</v>
      </c>
    </row>
    <row r="4" spans="1:24" x14ac:dyDescent="0.15">
      <c r="A4" t="s">
        <v>176</v>
      </c>
      <c r="B4" t="s">
        <v>74</v>
      </c>
      <c r="D4" t="s">
        <v>26</v>
      </c>
      <c r="E4" s="3">
        <v>2</v>
      </c>
      <c r="F4" t="s">
        <v>177</v>
      </c>
      <c r="G4">
        <v>0.3</v>
      </c>
      <c r="H4" s="5">
        <f>19*Pcfu4[[#This Row],[grams]]</f>
        <v>5.7</v>
      </c>
      <c r="I4" s="3" t="s">
        <v>170</v>
      </c>
      <c r="J4" s="59">
        <v>44826</v>
      </c>
      <c r="L4" s="59" t="e" cm="1">
        <f t="array" ref="L4">INDEX($J$4:J1094, MATCH(1,(A4=$A$4:A1092)*(C4=$C$4:C1092)*("Y"=$K$4:K1094),0))</f>
        <v>#N/A</v>
      </c>
      <c r="M4" s="1">
        <v>100000</v>
      </c>
      <c r="N4">
        <v>39</v>
      </c>
      <c r="O4">
        <v>33</v>
      </c>
      <c r="P4"/>
      <c r="Q4" s="6">
        <f>(SUM(Pcfu4[[#This Row],[R1]:[R3]]))/(Pcfu4[[#This Row],[No. Reps]]*0.025)*Pcfu4[[#This Row],[Best DF]]</f>
        <v>144000000</v>
      </c>
      <c r="R4" s="1">
        <f>_xlfn.STDEV.S(Pcfu4[[#This Row],[R1]:[R3]])/0.025*Pcfu4[[#This Row],[Best DF]]</f>
        <v>16970562.748477139</v>
      </c>
      <c r="S4" s="6">
        <f>Pcfu4[[#This Row],[CFU/mL]]*Pcfu4[[#This Row],[mL]]/Pcfu4[[#This Row],[grams]]</f>
        <v>2736000000</v>
      </c>
      <c r="T4" s="1">
        <f>Pcfu4[[#This Row],[SD CFU/mL]]*Pcfu4[[#This Row],[mL]]/Pcfu4[[#This Row],[grams]]</f>
        <v>322440692.2210657</v>
      </c>
      <c r="U4" s="7">
        <f>_xlfn.STDEV.S(Pcfu43[[#This Row],[R1]:[R3]])/AVERAGE(Pcfu43[[#This Row],[R1]:[R3]])</f>
        <v>8.4430660440184782E-2</v>
      </c>
      <c r="V4" s="96"/>
      <c r="W4" s="7"/>
      <c r="X4" s="63">
        <f>(2740000000-2470000000)/2740000000</f>
        <v>9.8540145985401464E-2</v>
      </c>
    </row>
    <row r="5" spans="1:24" x14ac:dyDescent="0.15">
      <c r="A5" t="s">
        <v>176</v>
      </c>
      <c r="B5" t="s">
        <v>74</v>
      </c>
      <c r="D5" t="s">
        <v>26</v>
      </c>
      <c r="E5" s="3">
        <v>2</v>
      </c>
      <c r="G5">
        <v>0.3</v>
      </c>
      <c r="H5" s="5">
        <f>19*Pcfu4[[#This Row],[grams]]</f>
        <v>5.7</v>
      </c>
      <c r="I5" s="3" t="s">
        <v>28</v>
      </c>
      <c r="J5" s="59">
        <v>44827</v>
      </c>
      <c r="L5" s="59" t="e" cm="1">
        <f t="array" ref="L5">INDEX($J$4:J1095, MATCH(1,(A5=$A$4:A1093)*(C5=$C$4:C1093)*("Y"=$K$4:K1095),0))</f>
        <v>#N/A</v>
      </c>
      <c r="M5" s="1">
        <v>100000</v>
      </c>
      <c r="N5">
        <v>34</v>
      </c>
      <c r="O5">
        <v>31</v>
      </c>
      <c r="P5"/>
      <c r="Q5" s="6">
        <f>(SUM(Pcfu4[[#This Row],[R1]:[R3]]))/(Pcfu4[[#This Row],[No. Reps]]*0.025)*Pcfu4[[#This Row],[Best DF]]</f>
        <v>130000000</v>
      </c>
      <c r="R5" s="1">
        <f>_xlfn.STDEV.S(Pcfu4[[#This Row],[R1]:[R3]])/0.025*Pcfu4[[#This Row],[Best DF]]</f>
        <v>8485281.3742385693</v>
      </c>
      <c r="S5" s="6">
        <f>Pcfu4[[#This Row],[CFU/mL]]*Pcfu4[[#This Row],[mL]]/Pcfu4[[#This Row],[grams]]</f>
        <v>2470000000</v>
      </c>
      <c r="T5" s="1">
        <f>Pcfu4[[#This Row],[SD CFU/mL]]*Pcfu4[[#This Row],[mL]]/Pcfu4[[#This Row],[grams]]</f>
        <v>161220346.11053285</v>
      </c>
      <c r="U5" s="7">
        <f>_xlfn.STDEV.S(Pcfu43[[#This Row],[R1]:[R3]])/AVERAGE(Pcfu43[[#This Row],[R1]:[R3]])</f>
        <v>8.3189033080770303E-2</v>
      </c>
      <c r="V5" s="96"/>
      <c r="W5" s="7"/>
      <c r="X5" t="s">
        <v>178</v>
      </c>
    </row>
    <row r="6" spans="1:24" x14ac:dyDescent="0.15">
      <c r="A6" t="s">
        <v>179</v>
      </c>
      <c r="B6" t="s">
        <v>74</v>
      </c>
      <c r="D6" t="s">
        <v>37</v>
      </c>
      <c r="E6" s="3">
        <v>2</v>
      </c>
      <c r="H6" s="5">
        <f>19*Pcfu4[[#This Row],[grams]]</f>
        <v>0</v>
      </c>
      <c r="J6" s="59">
        <v>44826</v>
      </c>
      <c r="L6" s="59" t="e" cm="1">
        <f t="array" ref="L6">INDEX($J$4:J1096, MATCH(1,(A6=$A$4:A1094)*(C6=$C$4:C1094)*("Y"=$K$4:K1096),0))</f>
        <v>#N/A</v>
      </c>
      <c r="M6" s="1"/>
      <c r="N6">
        <v>0</v>
      </c>
      <c r="O6">
        <v>0</v>
      </c>
      <c r="P6"/>
      <c r="Q6" s="6">
        <f>(SUM(Pcfu4[[#This Row],[R1]:[R3]]))/(Pcfu4[[#This Row],[No. Reps]]*0.025)*Pcfu4[[#This Row],[Best DF]]</f>
        <v>0</v>
      </c>
      <c r="R6" s="1">
        <f>_xlfn.STDEV.S(Pcfu4[[#This Row],[R1]:[R3]])/0.025*Pcfu4[[#This Row],[Best DF]]</f>
        <v>0</v>
      </c>
      <c r="S6" s="6" t="e">
        <f>Pcfu4[[#This Row],[CFU/mL]]*Pcfu4[[#This Row],[mL]]/Pcfu4[[#This Row],[grams]]</f>
        <v>#DIV/0!</v>
      </c>
      <c r="T6" s="1" t="e">
        <f>Pcfu4[[#This Row],[SD CFU/mL]]*Pcfu4[[#This Row],[mL]]/Pcfu4[[#This Row],[grams]]</f>
        <v>#DIV/0!</v>
      </c>
      <c r="U6" s="7">
        <f>_xlfn.STDEV.S(Pcfu43[[#This Row],[R1]:[R3]])/AVERAGE(Pcfu43[[#This Row],[R1]:[R3]])</f>
        <v>6.3560160106655966E-2</v>
      </c>
      <c r="V6" s="96"/>
      <c r="W6" s="7"/>
      <c r="X6" t="s">
        <v>180</v>
      </c>
    </row>
    <row r="7" spans="1:24" x14ac:dyDescent="0.15">
      <c r="A7" t="s">
        <v>176</v>
      </c>
      <c r="B7" t="s">
        <v>75</v>
      </c>
      <c r="D7" t="s">
        <v>26</v>
      </c>
      <c r="E7" s="3">
        <v>2</v>
      </c>
      <c r="F7" t="s">
        <v>177</v>
      </c>
      <c r="G7">
        <v>0.3</v>
      </c>
      <c r="H7" s="5">
        <f>19*Pcfu4[[#This Row],[grams]]</f>
        <v>5.7</v>
      </c>
      <c r="I7" s="3" t="s">
        <v>170</v>
      </c>
      <c r="J7" s="59">
        <v>44826</v>
      </c>
      <c r="L7" s="59" t="e" cm="1">
        <f t="array" ref="L7">INDEX($J$4:J1097, MATCH(1,(A7=$A$4:A1095)*(C7=$C$4:C1095)*("Y"=$K$4:K1097),0))</f>
        <v>#N/A</v>
      </c>
      <c r="M7" s="1">
        <v>100000</v>
      </c>
      <c r="N7">
        <v>38</v>
      </c>
      <c r="O7">
        <v>39</v>
      </c>
      <c r="P7"/>
      <c r="Q7" s="6">
        <f>(SUM(Pcfu4[[#This Row],[R1]:[R3]]))/(Pcfu4[[#This Row],[No. Reps]]*0.025)*Pcfu4[[#This Row],[Best DF]]</f>
        <v>154000000</v>
      </c>
      <c r="R7" s="1">
        <f>_xlfn.STDEV.S(Pcfu4[[#This Row],[R1]:[R3]])/0.025*Pcfu4[[#This Row],[Best DF]]</f>
        <v>2828427.1247461904</v>
      </c>
      <c r="S7" s="6">
        <f>Pcfu4[[#This Row],[CFU/mL]]*Pcfu4[[#This Row],[mL]]/Pcfu4[[#This Row],[grams]]</f>
        <v>2926000000</v>
      </c>
      <c r="T7" s="1">
        <f>Pcfu4[[#This Row],[SD CFU/mL]]*Pcfu4[[#This Row],[mL]]/Pcfu4[[#This Row],[grams]]</f>
        <v>53740115.370177619</v>
      </c>
      <c r="U7" s="7">
        <f>_xlfn.STDEV.S(Pcfu43[[#This Row],[R1]:[R3]])/AVERAGE(Pcfu43[[#This Row],[R1]:[R3]])</f>
        <v>5.3510783441144134E-2</v>
      </c>
      <c r="V7" s="96"/>
      <c r="W7" s="7"/>
      <c r="X7" s="63">
        <f>(2930000000-3150000000)/3150000000</f>
        <v>-6.9841269841269843E-2</v>
      </c>
    </row>
    <row r="8" spans="1:24" x14ac:dyDescent="0.15">
      <c r="A8" t="s">
        <v>176</v>
      </c>
      <c r="B8" t="s">
        <v>75</v>
      </c>
      <c r="D8" t="s">
        <v>26</v>
      </c>
      <c r="E8" s="3">
        <v>2</v>
      </c>
      <c r="G8">
        <v>0.3</v>
      </c>
      <c r="H8" s="5">
        <f>19*Pcfu4[[#This Row],[grams]]</f>
        <v>5.7</v>
      </c>
      <c r="I8" s="3" t="s">
        <v>28</v>
      </c>
      <c r="J8" s="59">
        <v>44826</v>
      </c>
      <c r="L8" s="59" t="e" cm="1">
        <f t="array" ref="L8">INDEX($J$4:J1098, MATCH(1,(A8=$A$4:A1096)*(C8=$C$4:C1096)*("Y"=$K$4:K1098),0))</f>
        <v>#N/A</v>
      </c>
      <c r="M8" s="1">
        <v>100000</v>
      </c>
      <c r="N8">
        <v>40</v>
      </c>
      <c r="O8">
        <v>43</v>
      </c>
      <c r="P8"/>
      <c r="Q8" s="6">
        <f>(SUM(Pcfu4[[#This Row],[R1]:[R3]]))/(Pcfu4[[#This Row],[No. Reps]]*0.025)*Pcfu4[[#This Row],[Best DF]]</f>
        <v>166000000</v>
      </c>
      <c r="R8" s="1">
        <f>_xlfn.STDEV.S(Pcfu4[[#This Row],[R1]:[R3]])/0.025*Pcfu4[[#This Row],[Best DF]]</f>
        <v>8485281.3742385693</v>
      </c>
      <c r="S8" s="6">
        <f>Pcfu4[[#This Row],[CFU/mL]]*Pcfu4[[#This Row],[mL]]/Pcfu4[[#This Row],[grams]]</f>
        <v>3154000000</v>
      </c>
      <c r="T8" s="1">
        <f>Pcfu4[[#This Row],[SD CFU/mL]]*Pcfu4[[#This Row],[mL]]/Pcfu4[[#This Row],[grams]]</f>
        <v>161220346.11053285</v>
      </c>
      <c r="U8" s="7">
        <f>_xlfn.STDEV.S(Pcfu43[[#This Row],[R1]:[R3]])/AVERAGE(Pcfu43[[#This Row],[R1]:[R3]])</f>
        <v>7.273098320775917E-2</v>
      </c>
      <c r="V8" s="96"/>
      <c r="W8" s="7"/>
      <c r="X8" t="s">
        <v>178</v>
      </c>
    </row>
    <row r="9" spans="1:24" x14ac:dyDescent="0.15">
      <c r="A9" t="s">
        <v>179</v>
      </c>
      <c r="B9" t="s">
        <v>75</v>
      </c>
      <c r="D9" t="s">
        <v>37</v>
      </c>
      <c r="E9" s="3">
        <v>2</v>
      </c>
      <c r="H9" s="5">
        <f>19*Pcfu4[[#This Row],[grams]]</f>
        <v>0</v>
      </c>
      <c r="J9" s="59">
        <v>44826</v>
      </c>
      <c r="L9" s="59" t="e" cm="1">
        <f t="array" ref="L9">INDEX($J$4:J1099, MATCH(1,(A9=$A$4:A1097)*(C9=$C$4:C1097)*("Y"=$K$4:K1099),0))</f>
        <v>#N/A</v>
      </c>
      <c r="M9" s="1"/>
      <c r="N9">
        <v>0</v>
      </c>
      <c r="O9">
        <v>0</v>
      </c>
      <c r="P9"/>
      <c r="Q9" s="6">
        <f>(SUM(Pcfu4[[#This Row],[R1]:[R3]]))/(Pcfu4[[#This Row],[No. Reps]]*0.025)*Pcfu4[[#This Row],[Best DF]]</f>
        <v>0</v>
      </c>
      <c r="R9" s="1">
        <f>_xlfn.STDEV.S(Pcfu4[[#This Row],[R1]:[R3]])/0.025*Pcfu4[[#This Row],[Best DF]]</f>
        <v>0</v>
      </c>
      <c r="S9" s="6" t="e">
        <f>Pcfu4[[#This Row],[CFU/mL]]*Pcfu4[[#This Row],[mL]]/Pcfu4[[#This Row],[grams]]</f>
        <v>#DIV/0!</v>
      </c>
      <c r="T9" s="1" t="e">
        <f>Pcfu4[[#This Row],[SD CFU/mL]]*Pcfu4[[#This Row],[mL]]/Pcfu4[[#This Row],[grams]]</f>
        <v>#DIV/0!</v>
      </c>
      <c r="U9" s="7">
        <f>_xlfn.STDEV.S(Pcfu43[[#This Row],[R1]:[R3]])/AVERAGE(Pcfu43[[#This Row],[R1]:[R3]])</f>
        <v>3.2888687497048721E-2</v>
      </c>
      <c r="V9" s="96"/>
      <c r="W9" s="7"/>
      <c r="X9" t="s">
        <v>180</v>
      </c>
    </row>
    <row r="10" spans="1:24" x14ac:dyDescent="0.15">
      <c r="A10" t="s">
        <v>176</v>
      </c>
      <c r="B10" t="s">
        <v>168</v>
      </c>
      <c r="D10" t="s">
        <v>26</v>
      </c>
      <c r="E10" s="3">
        <v>2</v>
      </c>
      <c r="F10" t="s">
        <v>177</v>
      </c>
      <c r="G10">
        <v>0.3</v>
      </c>
      <c r="H10" s="5">
        <f>19*Pcfu4[[#This Row],[grams]]</f>
        <v>5.7</v>
      </c>
      <c r="I10" s="3" t="s">
        <v>170</v>
      </c>
      <c r="J10" s="59">
        <v>44826</v>
      </c>
      <c r="L10" s="59" t="e" cm="1">
        <f t="array" ref="L10">INDEX($J$4:J1100, MATCH(1,(A10=$A$4:A1098)*(C10=$C$4:C1098)*("Y"=$K$4:K1100),0))</f>
        <v>#N/A</v>
      </c>
      <c r="M10" s="1">
        <v>100000</v>
      </c>
      <c r="N10">
        <v>44</v>
      </c>
      <c r="O10">
        <v>56</v>
      </c>
      <c r="P10"/>
      <c r="Q10" s="6">
        <f>(SUM(Pcfu4[[#This Row],[R1]:[R3]]))/(Pcfu4[[#This Row],[No. Reps]]*0.025)*Pcfu4[[#This Row],[Best DF]]</f>
        <v>200000000</v>
      </c>
      <c r="R10" s="1">
        <f>_xlfn.STDEV.S(Pcfu4[[#This Row],[R1]:[R3]])/0.025*Pcfu4[[#This Row],[Best DF]]</f>
        <v>33941125.496954277</v>
      </c>
      <c r="S10" s="6">
        <f>Pcfu4[[#This Row],[CFU/mL]]*Pcfu4[[#This Row],[mL]]/Pcfu4[[#This Row],[grams]]</f>
        <v>3800000000</v>
      </c>
      <c r="T10" s="1">
        <f>Pcfu4[[#This Row],[SD CFU/mL]]*Pcfu4[[#This Row],[mL]]/Pcfu4[[#This Row],[grams]]</f>
        <v>644881384.4421314</v>
      </c>
      <c r="U10" s="7">
        <f>_xlfn.STDEV.S(Pcfu43[[#This Row],[R1]:[R3]])/AVERAGE(Pcfu43[[#This Row],[R1]:[R3]])</f>
        <v>2.0107301834688552E-2</v>
      </c>
      <c r="V10" s="96"/>
      <c r="W10" s="7"/>
      <c r="X10" s="64">
        <f>(3800000000-7790000000)/7790000000</f>
        <v>-0.51219512195121952</v>
      </c>
    </row>
    <row r="11" spans="1:24" x14ac:dyDescent="0.15">
      <c r="A11" t="s">
        <v>176</v>
      </c>
      <c r="B11" t="s">
        <v>168</v>
      </c>
      <c r="D11" t="s">
        <v>26</v>
      </c>
      <c r="E11" s="3">
        <v>2</v>
      </c>
      <c r="G11">
        <v>0.3</v>
      </c>
      <c r="H11" s="5">
        <f>19*Pcfu4[[#This Row],[grams]]</f>
        <v>5.7</v>
      </c>
      <c r="I11" s="3" t="s">
        <v>28</v>
      </c>
      <c r="J11" s="59">
        <v>44826</v>
      </c>
      <c r="L11" s="59" t="e" cm="1">
        <f t="array" ref="L11">INDEX($J$4:J1101, MATCH(1,(A11=$A$4:A1099)*(C11=$C$4:C1099)*("Y"=$K$4:K1101),0))</f>
        <v>#N/A</v>
      </c>
      <c r="M11" s="1">
        <v>100000</v>
      </c>
      <c r="N11">
        <v>89</v>
      </c>
      <c r="O11">
        <v>116</v>
      </c>
      <c r="P11"/>
      <c r="Q11" s="6">
        <f>(SUM(Pcfu4[[#This Row],[R1]:[R3]]))/(Pcfu4[[#This Row],[No. Reps]]*0.025)*Pcfu4[[#This Row],[Best DF]]</f>
        <v>410000000</v>
      </c>
      <c r="R11" s="1">
        <f>_xlfn.STDEV.S(Pcfu4[[#This Row],[R1]:[R3]])/0.025*Pcfu4[[#This Row],[Best DF]]</f>
        <v>76367532.368147135</v>
      </c>
      <c r="S11" s="6">
        <f>Pcfu4[[#This Row],[CFU/mL]]*Pcfu4[[#This Row],[mL]]/Pcfu4[[#This Row],[grams]]</f>
        <v>7790000000</v>
      </c>
      <c r="T11" s="1">
        <f>Pcfu4[[#This Row],[SD CFU/mL]]*Pcfu4[[#This Row],[mL]]/Pcfu4[[#This Row],[grams]]</f>
        <v>1450983114.9947956</v>
      </c>
      <c r="U11" s="7">
        <f>_xlfn.STDEV.S(Pcfu43[[#This Row],[R1]:[R3]])/AVERAGE(Pcfu43[[#This Row],[R1]:[R3]])</f>
        <v>7.0710678118654752E-2</v>
      </c>
      <c r="V11" s="96"/>
      <c r="W11" s="7"/>
      <c r="X11" s="65" t="s">
        <v>178</v>
      </c>
    </row>
    <row r="12" spans="1:24" x14ac:dyDescent="0.15">
      <c r="A12" t="s">
        <v>45</v>
      </c>
      <c r="B12" t="s">
        <v>181</v>
      </c>
      <c r="D12" t="s">
        <v>26</v>
      </c>
      <c r="E12" s="3">
        <v>2</v>
      </c>
      <c r="G12" s="60">
        <v>0.32200000000000001</v>
      </c>
      <c r="H12" s="5">
        <f>19*Pcfu4[[#This Row],[grams]]</f>
        <v>6.1180000000000003</v>
      </c>
      <c r="I12" s="3" t="s">
        <v>28</v>
      </c>
      <c r="J12" s="59">
        <v>44827</v>
      </c>
      <c r="L12" s="59" t="e" cm="1">
        <f t="array" ref="L12">INDEX($J$4:J1102, MATCH(1,(A12=$A$4:A1100)*(C12=$C$4:C1100)*("Y"=$K$4:K1102),0))</f>
        <v>#N/A</v>
      </c>
      <c r="M12" s="1">
        <v>100000</v>
      </c>
      <c r="N12">
        <v>72</v>
      </c>
      <c r="O12">
        <v>49</v>
      </c>
      <c r="P12"/>
      <c r="Q12" s="6">
        <f>(SUM(Pcfu4[[#This Row],[R1]:[R3]]))/(Pcfu4[[#This Row],[No. Reps]]*0.025)*Pcfu4[[#This Row],[Best DF]]</f>
        <v>242000000</v>
      </c>
      <c r="R12" s="1">
        <f>_xlfn.STDEV.S(Pcfu4[[#This Row],[R1]:[R3]])/0.025*Pcfu4[[#This Row],[Best DF]]</f>
        <v>65053823.869162366</v>
      </c>
      <c r="S12" s="6">
        <f>Pcfu4[[#This Row],[CFU/mL]]*Pcfu4[[#This Row],[mL]]/Pcfu4[[#This Row],[grams]]</f>
        <v>4598000000</v>
      </c>
      <c r="T12" s="1">
        <f>Pcfu4[[#This Row],[SD CFU/mL]]*Pcfu4[[#This Row],[mL]]/Pcfu4[[#This Row],[grams]]</f>
        <v>1236022653.5140851</v>
      </c>
      <c r="U12" s="7">
        <f>_xlfn.STDEV.S(Pcfu43[[#This Row],[R1]:[R3]])/AVERAGE(Pcfu43[[#This Row],[R1]:[R3]])</f>
        <v>4.4392353975837066E-2</v>
      </c>
      <c r="V12" s="96"/>
      <c r="W12" s="7"/>
    </row>
    <row r="13" spans="1:24" x14ac:dyDescent="0.15">
      <c r="A13" t="s">
        <v>51</v>
      </c>
      <c r="B13" t="s">
        <v>181</v>
      </c>
      <c r="D13" t="s">
        <v>26</v>
      </c>
      <c r="E13" s="3">
        <v>2</v>
      </c>
      <c r="G13">
        <v>0.29320000000000002</v>
      </c>
      <c r="H13" s="5">
        <f>19*Pcfu4[[#This Row],[grams]]</f>
        <v>5.5708000000000002</v>
      </c>
      <c r="I13" s="3" t="s">
        <v>28</v>
      </c>
      <c r="J13" s="59">
        <v>44827</v>
      </c>
      <c r="L13" s="59" t="e" cm="1">
        <f t="array" ref="L13">INDEX($J$4:J1103, MATCH(1,(A13=$A$4:A1101)*(C13=$C$4:C1101)*("Y"=$K$4:K1103),0))</f>
        <v>#N/A</v>
      </c>
      <c r="M13" s="1">
        <v>10000</v>
      </c>
      <c r="N13">
        <v>213</v>
      </c>
      <c r="O13">
        <v>167</v>
      </c>
      <c r="P13"/>
      <c r="Q13" s="6">
        <f>(SUM(Pcfu4[[#This Row],[R1]:[R3]]))/(Pcfu4[[#This Row],[No. Reps]]*0.025)*Pcfu4[[#This Row],[Best DF]]</f>
        <v>76000000</v>
      </c>
      <c r="R13" s="1">
        <f>_xlfn.STDEV.S(Pcfu4[[#This Row],[R1]:[R3]])/0.025*Pcfu4[[#This Row],[Best DF]]</f>
        <v>13010764.773832472</v>
      </c>
      <c r="S13" s="6">
        <f>Pcfu4[[#This Row],[CFU/mL]]*Pcfu4[[#This Row],[mL]]/Pcfu4[[#This Row],[grams]]</f>
        <v>1444000000</v>
      </c>
      <c r="T13" s="1">
        <f>Pcfu4[[#This Row],[SD CFU/mL]]*Pcfu4[[#This Row],[mL]]/Pcfu4[[#This Row],[grams]]</f>
        <v>247204530.70281693</v>
      </c>
      <c r="U13" s="7">
        <f>_xlfn.STDEV.S(Pcfu43[[#This Row],[R1]:[R3]])/AVERAGE(Pcfu43[[#This Row],[R1]:[R3]])</f>
        <v>0.13468700594029479</v>
      </c>
      <c r="V13" s="96"/>
      <c r="W13" s="7"/>
    </row>
    <row r="14" spans="1:24" x14ac:dyDescent="0.15">
      <c r="A14" t="s">
        <v>56</v>
      </c>
      <c r="B14" t="s">
        <v>181</v>
      </c>
      <c r="D14" t="s">
        <v>26</v>
      </c>
      <c r="E14" s="3">
        <v>2</v>
      </c>
      <c r="G14">
        <v>0.25219999999999998</v>
      </c>
      <c r="H14" s="5">
        <f>19*Pcfu4[[#This Row],[grams]]</f>
        <v>4.7917999999999994</v>
      </c>
      <c r="I14" s="3" t="s">
        <v>28</v>
      </c>
      <c r="J14" s="59">
        <v>44827</v>
      </c>
      <c r="L14" s="59" t="e" cm="1">
        <f t="array" ref="L14">INDEX($J$4:J1104, MATCH(1,(A14=$A$4:A1102)*(C14=$C$4:C1102)*("Y"=$K$4:K1104),0))</f>
        <v>#N/A</v>
      </c>
      <c r="M14" s="1">
        <v>10000</v>
      </c>
      <c r="N14">
        <v>61</v>
      </c>
      <c r="O14">
        <v>72</v>
      </c>
      <c r="P14"/>
      <c r="Q14" s="6">
        <f>(SUM(Pcfu4[[#This Row],[R1]:[R3]]))/(Pcfu4[[#This Row],[No. Reps]]*0.025)*Pcfu4[[#This Row],[Best DF]]</f>
        <v>26600000</v>
      </c>
      <c r="R14" s="1">
        <f>_xlfn.STDEV.S(Pcfu4[[#This Row],[R1]:[R3]])/0.025*Pcfu4[[#This Row],[Best DF]]</f>
        <v>3111269.8372208085</v>
      </c>
      <c r="S14" s="6">
        <f>Pcfu4[[#This Row],[CFU/mL]]*Pcfu4[[#This Row],[mL]]/Pcfu4[[#This Row],[grams]]</f>
        <v>505400000</v>
      </c>
      <c r="T14" s="1">
        <f>Pcfu4[[#This Row],[SD CFU/mL]]*Pcfu4[[#This Row],[mL]]/Pcfu4[[#This Row],[grams]]</f>
        <v>59114126.907195359</v>
      </c>
      <c r="U14" s="7">
        <f>_xlfn.STDEV.S(Pcfu43[[#This Row],[R1]:[R3]])/AVERAGE(Pcfu43[[#This Row],[R1]:[R3]])</f>
        <v>1.5044825131628671E-2</v>
      </c>
      <c r="V14" s="96"/>
      <c r="W14" s="7"/>
    </row>
    <row r="15" spans="1:24" x14ac:dyDescent="0.15">
      <c r="A15" t="s">
        <v>45</v>
      </c>
      <c r="B15" t="s">
        <v>182</v>
      </c>
      <c r="D15" t="s">
        <v>26</v>
      </c>
      <c r="E15" s="3">
        <v>2</v>
      </c>
      <c r="G15">
        <v>0.26989999999999997</v>
      </c>
      <c r="H15" s="5">
        <f>19*Pcfu4[[#This Row],[grams]]</f>
        <v>5.1280999999999999</v>
      </c>
      <c r="I15" s="3" t="s">
        <v>28</v>
      </c>
      <c r="J15" s="59">
        <v>44827</v>
      </c>
      <c r="L15" s="59" t="e" cm="1">
        <f t="array" ref="L15">INDEX($J$4:J1105, MATCH(1,(A15=$A$4:A1103)*(C15=$C$4:C1103)*("Y"=$K$4:K1105),0))</f>
        <v>#N/A</v>
      </c>
      <c r="M15" s="1">
        <v>100000</v>
      </c>
      <c r="N15">
        <v>74</v>
      </c>
      <c r="O15">
        <v>71</v>
      </c>
      <c r="P15"/>
      <c r="Q15" s="6">
        <f>(SUM(Pcfu4[[#This Row],[R1]:[R3]]))/(Pcfu4[[#This Row],[No. Reps]]*0.025)*Pcfu4[[#This Row],[Best DF]]</f>
        <v>290000000</v>
      </c>
      <c r="R15" s="1">
        <f>_xlfn.STDEV.S(Pcfu4[[#This Row],[R1]:[R3]])/0.025*Pcfu4[[#This Row],[Best DF]]</f>
        <v>8485281.3742385693</v>
      </c>
      <c r="S15" s="6">
        <f>Pcfu4[[#This Row],[CFU/mL]]*Pcfu4[[#This Row],[mL]]/Pcfu4[[#This Row],[grams]]</f>
        <v>5510000000.000001</v>
      </c>
      <c r="T15" s="1">
        <f>Pcfu4[[#This Row],[SD CFU/mL]]*Pcfu4[[#This Row],[mL]]/Pcfu4[[#This Row],[grams]]</f>
        <v>161220346.11053282</v>
      </c>
      <c r="U15" s="7">
        <f>_xlfn.STDEV.S(Pcfu43[[#This Row],[R1]:[R3]])/AVERAGE(Pcfu43[[#This Row],[R1]:[R3]])</f>
        <v>7.5313148292058318E-2</v>
      </c>
      <c r="V15" s="96"/>
      <c r="W15" s="7"/>
    </row>
    <row r="16" spans="1:24" x14ac:dyDescent="0.15">
      <c r="A16" t="s">
        <v>51</v>
      </c>
      <c r="B16" t="s">
        <v>182</v>
      </c>
      <c r="D16" t="s">
        <v>26</v>
      </c>
      <c r="E16" s="3">
        <v>2</v>
      </c>
      <c r="G16">
        <v>0.30359999999999998</v>
      </c>
      <c r="H16" s="5">
        <f>19*Pcfu4[[#This Row],[grams]]</f>
        <v>5.7683999999999997</v>
      </c>
      <c r="I16" s="3" t="s">
        <v>28</v>
      </c>
      <c r="J16" s="59">
        <v>44827</v>
      </c>
      <c r="L16" s="59" t="e" cm="1">
        <f t="array" ref="L16">INDEX($J$4:J1106, MATCH(1,(A16=$A$4:A1104)*(C16=$C$4:C1104)*("Y"=$K$4:K1106),0))</f>
        <v>#N/A</v>
      </c>
      <c r="M16" s="1">
        <v>10000</v>
      </c>
      <c r="N16">
        <v>270</v>
      </c>
      <c r="O16">
        <v>303</v>
      </c>
      <c r="P16"/>
      <c r="Q16" s="6">
        <f>(SUM(Pcfu4[[#This Row],[R1]:[R3]]))/(Pcfu4[[#This Row],[No. Reps]]*0.025)*Pcfu4[[#This Row],[Best DF]]</f>
        <v>114600000</v>
      </c>
      <c r="R16" s="1">
        <f>_xlfn.STDEV.S(Pcfu4[[#This Row],[R1]:[R3]])/0.025*Pcfu4[[#This Row],[Best DF]]</f>
        <v>9333809.5116624273</v>
      </c>
      <c r="S16" s="6">
        <f>Pcfu4[[#This Row],[CFU/mL]]*Pcfu4[[#This Row],[mL]]/Pcfu4[[#This Row],[grams]]</f>
        <v>2177400000</v>
      </c>
      <c r="T16" s="1">
        <f>Pcfu4[[#This Row],[SD CFU/mL]]*Pcfu4[[#This Row],[mL]]/Pcfu4[[#This Row],[grams]]</f>
        <v>177342380.72158614</v>
      </c>
      <c r="U16" s="7">
        <f>_xlfn.STDEV.S(Pcfu43[[#This Row],[R1]:[R3]])/AVERAGE(Pcfu43[[#This Row],[R1]:[R3]])</f>
        <v>3.5652442748901551E-2</v>
      </c>
      <c r="V16" s="96"/>
      <c r="W16" s="7"/>
    </row>
    <row r="17" spans="1:24" x14ac:dyDescent="0.15">
      <c r="A17" t="s">
        <v>56</v>
      </c>
      <c r="B17" t="s">
        <v>182</v>
      </c>
      <c r="D17" t="s">
        <v>26</v>
      </c>
      <c r="E17" s="3">
        <v>2</v>
      </c>
      <c r="G17">
        <v>0.2651</v>
      </c>
      <c r="H17" s="5">
        <f>19*Pcfu4[[#This Row],[grams]]</f>
        <v>5.0369000000000002</v>
      </c>
      <c r="I17" s="3" t="s">
        <v>28</v>
      </c>
      <c r="J17" s="59">
        <v>44827</v>
      </c>
      <c r="L17" s="59" t="e" cm="1">
        <f t="array" ref="L17">INDEX($J$4:J1107, MATCH(1,(A17=$A$4:A1105)*(C17=$C$4:C1105)*("Y"=$K$4:K1107),0))</f>
        <v>#N/A</v>
      </c>
      <c r="M17" s="1">
        <v>10000</v>
      </c>
      <c r="N17">
        <v>58</v>
      </c>
      <c r="O17">
        <v>60</v>
      </c>
      <c r="P17"/>
      <c r="Q17" s="6">
        <f>(SUM(Pcfu4[[#This Row],[R1]:[R3]]))/(Pcfu4[[#This Row],[No. Reps]]*0.025)*Pcfu4[[#This Row],[Best DF]]</f>
        <v>23600000</v>
      </c>
      <c r="R17" s="1">
        <f>_xlfn.STDEV.S(Pcfu4[[#This Row],[R1]:[R3]])/0.025*Pcfu4[[#This Row],[Best DF]]</f>
        <v>565685.42494923808</v>
      </c>
      <c r="S17" s="6">
        <f>Pcfu4[[#This Row],[CFU/mL]]*Pcfu4[[#This Row],[mL]]/Pcfu4[[#This Row],[grams]]</f>
        <v>448400000</v>
      </c>
      <c r="T17" s="1">
        <f>Pcfu4[[#This Row],[SD CFU/mL]]*Pcfu4[[#This Row],[mL]]/Pcfu4[[#This Row],[grams]]</f>
        <v>10748023.074035523</v>
      </c>
      <c r="U17" s="7">
        <f>_xlfn.STDEV.S(Pcfu43[[#This Row],[R1]:[R3]])/AVERAGE(Pcfu43[[#This Row],[R1]:[R3]])</f>
        <v>0.12238386597459476</v>
      </c>
      <c r="V17" s="96"/>
      <c r="W17" s="7"/>
    </row>
    <row r="18" spans="1:24" x14ac:dyDescent="0.15">
      <c r="A18" s="69" t="s">
        <v>183</v>
      </c>
      <c r="B18" s="71" t="s">
        <v>184</v>
      </c>
      <c r="C18" s="71"/>
      <c r="D18" s="71" t="s">
        <v>185</v>
      </c>
      <c r="E18" s="72">
        <v>3</v>
      </c>
      <c r="G18" s="71">
        <v>0.3</v>
      </c>
      <c r="H18" s="75">
        <v>5.7</v>
      </c>
      <c r="I18" s="77" t="s">
        <v>98</v>
      </c>
      <c r="J18" s="79">
        <v>44827</v>
      </c>
      <c r="K18" s="77"/>
      <c r="L18" s="59" t="e" cm="1">
        <f t="array" ref="L18">INDEX($J$4:J1108, MATCH(1,(A18=$A$4:A1106)*(C18=$C$4:C1106)*("Y"=$K$4:K1108),0))</f>
        <v>#N/A</v>
      </c>
      <c r="M18" s="81">
        <v>10000000</v>
      </c>
      <c r="N18" s="71">
        <v>39</v>
      </c>
      <c r="O18" s="71">
        <v>33</v>
      </c>
      <c r="P18" s="71">
        <v>29</v>
      </c>
      <c r="Q18" s="6">
        <f>(SUM(Pcfu4[[#This Row],[R1]:[R3]]))/(Pcfu4[[#This Row],[No. Reps]]*0.025)*Pcfu4[[#This Row],[Best DF]]</f>
        <v>13466666666.666666</v>
      </c>
      <c r="R18" s="1">
        <f>_xlfn.STDEV.S(Pcfu4[[#This Row],[R1]:[R3]])/0.025*Pcfu4[[#This Row],[Best DF]]</f>
        <v>2013289182.7388637</v>
      </c>
      <c r="S18" s="6">
        <f>Pcfu4[[#This Row],[CFU/mL]]*Pcfu4[[#This Row],[mL]]/Pcfu4[[#This Row],[grams]]</f>
        <v>255866666666.66669</v>
      </c>
      <c r="T18" s="1">
        <f>Pcfu4[[#This Row],[SD CFU/mL]]*Pcfu4[[#This Row],[mL]]/Pcfu4[[#This Row],[grams]]</f>
        <v>38252494472.038414</v>
      </c>
      <c r="U18" s="7">
        <f>_xlfn.STDEV.S(Pcfu43[[#This Row],[R1]:[R3]])/AVERAGE(Pcfu43[[#This Row],[R1]:[R3]])</f>
        <v>7.6032987224359957E-2</v>
      </c>
      <c r="V18" s="96"/>
      <c r="W18" s="7"/>
      <c r="X18" s="63"/>
    </row>
    <row r="19" spans="1:24" x14ac:dyDescent="0.15">
      <c r="A19" s="69" t="s">
        <v>183</v>
      </c>
      <c r="B19" s="71" t="s">
        <v>184</v>
      </c>
      <c r="C19" s="71"/>
      <c r="D19" s="71" t="s">
        <v>185</v>
      </c>
      <c r="E19" s="72">
        <v>3</v>
      </c>
      <c r="G19" s="71">
        <v>0.3</v>
      </c>
      <c r="H19" s="75">
        <v>5.7</v>
      </c>
      <c r="I19" s="77" t="s">
        <v>170</v>
      </c>
      <c r="J19" s="79">
        <v>44827</v>
      </c>
      <c r="K19" s="77"/>
      <c r="L19" s="59" t="e" cm="1">
        <f t="array" ref="L19">INDEX($J$4:J1109, MATCH(1,(A19=$A$4:A1107)*(C19=$C$4:C1107)*("Y"=$K$4:K1109),0))</f>
        <v>#N/A</v>
      </c>
      <c r="M19" s="81">
        <v>10000000</v>
      </c>
      <c r="N19" s="71">
        <v>32</v>
      </c>
      <c r="O19" s="71">
        <v>40</v>
      </c>
      <c r="P19" s="71">
        <v>31</v>
      </c>
      <c r="Q19" s="6">
        <f>(SUM(Pcfu4[[#This Row],[R1]:[R3]]))/(Pcfu4[[#This Row],[No. Reps]]*0.025)*Pcfu4[[#This Row],[Best DF]]</f>
        <v>13733333333.33333</v>
      </c>
      <c r="R19" s="1">
        <f>_xlfn.STDEV.S(Pcfu4[[#This Row],[R1]:[R3]])/0.025*Pcfu4[[#This Row],[Best DF]]</f>
        <v>1973153144.9264958</v>
      </c>
      <c r="S19" s="6">
        <f>Pcfu4[[#This Row],[CFU/mL]]*Pcfu4[[#This Row],[mL]]/Pcfu4[[#This Row],[grams]]</f>
        <v>260933333333.33328</v>
      </c>
      <c r="T19" s="1">
        <f>Pcfu4[[#This Row],[SD CFU/mL]]*Pcfu4[[#This Row],[mL]]/Pcfu4[[#This Row],[grams]]</f>
        <v>37489909753.603424</v>
      </c>
      <c r="U19" s="7">
        <f>_xlfn.STDEV.S(Pcfu43[[#This Row],[R1]:[R3]])/AVERAGE(Pcfu43[[#This Row],[R1]:[R3]])</f>
        <v>5.9755502635482884E-2</v>
      </c>
      <c r="V19" s="96"/>
      <c r="W19" s="7"/>
    </row>
    <row r="20" spans="1:24" x14ac:dyDescent="0.15">
      <c r="A20" s="69" t="s">
        <v>186</v>
      </c>
      <c r="B20" s="71" t="s">
        <v>184</v>
      </c>
      <c r="C20" s="71"/>
      <c r="D20" s="71" t="s">
        <v>185</v>
      </c>
      <c r="E20" s="72">
        <v>3</v>
      </c>
      <c r="G20" s="71">
        <v>0.3</v>
      </c>
      <c r="H20" s="75">
        <v>5.7</v>
      </c>
      <c r="I20" s="77" t="s">
        <v>98</v>
      </c>
      <c r="J20" s="79">
        <v>44827</v>
      </c>
      <c r="K20" s="77"/>
      <c r="L20" s="59" t="e" cm="1">
        <f t="array" ref="L20">INDEX($J$4:J1110, MATCH(1,(A20=$A$4:A1108)*(C20=$C$4:C1108)*("Y"=$K$4:K1110),0))</f>
        <v>#N/A</v>
      </c>
      <c r="M20" s="81">
        <v>1000000</v>
      </c>
      <c r="N20" s="71">
        <v>189</v>
      </c>
      <c r="O20" s="71">
        <v>237</v>
      </c>
      <c r="P20" s="71">
        <v>162</v>
      </c>
      <c r="Q20" s="6">
        <f>(SUM(Pcfu4[[#This Row],[R1]:[R3]]))/(Pcfu4[[#This Row],[No. Reps]]*0.025)*Pcfu4[[#This Row],[Best DF]]</f>
        <v>7839999999.999999</v>
      </c>
      <c r="R20" s="1">
        <f>_xlfn.STDEV.S(Pcfu4[[#This Row],[R1]:[R3]])/0.025*Pcfu4[[#This Row],[Best DF]]</f>
        <v>1519473593.057806</v>
      </c>
      <c r="S20" s="6">
        <f>Pcfu4[[#This Row],[CFU/mL]]*Pcfu4[[#This Row],[mL]]/Pcfu4[[#This Row],[grams]]</f>
        <v>148959999999.99997</v>
      </c>
      <c r="T20" s="1">
        <f>Pcfu4[[#This Row],[SD CFU/mL]]*Pcfu4[[#This Row],[mL]]/Pcfu4[[#This Row],[grams]]</f>
        <v>28869998268.098316</v>
      </c>
      <c r="U20" s="7">
        <f>_xlfn.STDEV.S(Pcfu43[[#This Row],[R1]:[R3]])/AVERAGE(Pcfu43[[#This Row],[R1]:[R3]])</f>
        <v>7.3275314112595602E-3</v>
      </c>
      <c r="V20" s="96"/>
      <c r="W20" s="7"/>
      <c r="X20" s="63"/>
    </row>
    <row r="21" spans="1:24" x14ac:dyDescent="0.15">
      <c r="A21" s="69" t="s">
        <v>186</v>
      </c>
      <c r="B21" s="71" t="s">
        <v>184</v>
      </c>
      <c r="C21" s="71"/>
      <c r="D21" s="71" t="s">
        <v>185</v>
      </c>
      <c r="E21" s="72">
        <v>3</v>
      </c>
      <c r="G21" s="71">
        <v>0.3</v>
      </c>
      <c r="H21" s="75">
        <v>5.7</v>
      </c>
      <c r="I21" s="77" t="s">
        <v>170</v>
      </c>
      <c r="J21" s="79">
        <v>44827</v>
      </c>
      <c r="K21" s="77"/>
      <c r="L21" s="59" t="e" cm="1">
        <f t="array" ref="L21">INDEX($J$4:J1111, MATCH(1,(A21=$A$4:A1109)*(C21=$C$4:C1109)*("Y"=$K$4:K1111),0))</f>
        <v>#N/A</v>
      </c>
      <c r="M21" s="81">
        <v>1000000</v>
      </c>
      <c r="N21" s="71">
        <v>235</v>
      </c>
      <c r="O21" s="71">
        <v>196</v>
      </c>
      <c r="P21" s="71">
        <v>148</v>
      </c>
      <c r="Q21" s="6">
        <f>(SUM(Pcfu4[[#This Row],[R1]:[R3]]))/(Pcfu4[[#This Row],[No. Reps]]*0.025)*Pcfu4[[#This Row],[Best DF]]</f>
        <v>7719999999.999999</v>
      </c>
      <c r="R21" s="1">
        <f>_xlfn.STDEV.S(Pcfu4[[#This Row],[R1]:[R3]])/0.025*Pcfu4[[#This Row],[Best DF]]</f>
        <v>1743100685.5600739</v>
      </c>
      <c r="S21" s="6">
        <f>Pcfu4[[#This Row],[CFU/mL]]*Pcfu4[[#This Row],[mL]]/Pcfu4[[#This Row],[grams]]</f>
        <v>146679999999.99997</v>
      </c>
      <c r="T21" s="1">
        <f>Pcfu4[[#This Row],[SD CFU/mL]]*Pcfu4[[#This Row],[mL]]/Pcfu4[[#This Row],[grams]]</f>
        <v>33118913025.641403</v>
      </c>
      <c r="U21" s="7">
        <f>_xlfn.STDEV.S(Pcfu43[[#This Row],[R1]:[R3]])/AVERAGE(Pcfu43[[#This Row],[R1]:[R3]])</f>
        <v>8.8815344496861043E-2</v>
      </c>
      <c r="V21" s="96"/>
      <c r="W21" s="7"/>
    </row>
    <row r="22" spans="1:24" x14ac:dyDescent="0.15">
      <c r="A22" s="69" t="s">
        <v>187</v>
      </c>
      <c r="B22" s="71" t="s">
        <v>184</v>
      </c>
      <c r="C22" s="71"/>
      <c r="D22" s="71" t="s">
        <v>185</v>
      </c>
      <c r="E22" s="72">
        <v>3</v>
      </c>
      <c r="G22" s="71">
        <v>0.3</v>
      </c>
      <c r="H22" s="75">
        <v>5.7</v>
      </c>
      <c r="I22" s="77" t="s">
        <v>98</v>
      </c>
      <c r="J22" s="79">
        <v>44827</v>
      </c>
      <c r="K22" s="77"/>
      <c r="L22" s="59" t="e" cm="1">
        <f t="array" ref="L22">INDEX($J$4:J1112, MATCH(1,(A22=$A$4:A1110)*(C22=$C$4:C1110)*("Y"=$K$4:K1112),0))</f>
        <v>#N/A</v>
      </c>
      <c r="M22" s="81">
        <v>10000000</v>
      </c>
      <c r="N22" s="71">
        <v>73</v>
      </c>
      <c r="O22" s="71">
        <v>78</v>
      </c>
      <c r="P22" s="71">
        <v>66</v>
      </c>
      <c r="Q22" s="6">
        <f>(SUM(Pcfu4[[#This Row],[R1]:[R3]]))/(Pcfu4[[#This Row],[No. Reps]]*0.025)*Pcfu4[[#This Row],[Best DF]]</f>
        <v>28933333333.333332</v>
      </c>
      <c r="R22" s="1">
        <f>_xlfn.STDEV.S(Pcfu4[[#This Row],[R1]:[R3]])/0.025*Pcfu4[[#This Row],[Best DF]]</f>
        <v>2411085509.3366828</v>
      </c>
      <c r="S22" s="6">
        <f>Pcfu4[[#This Row],[CFU/mL]]*Pcfu4[[#This Row],[mL]]/Pcfu4[[#This Row],[grams]]</f>
        <v>549733333333.33337</v>
      </c>
      <c r="T22" s="1">
        <f>Pcfu4[[#This Row],[SD CFU/mL]]*Pcfu4[[#This Row],[mL]]/Pcfu4[[#This Row],[grams]]</f>
        <v>45810624677.396973</v>
      </c>
      <c r="U22" s="7">
        <f>_xlfn.STDEV.S(Pcfu43[[#This Row],[R1]:[R3]])/AVERAGE(Pcfu43[[#This Row],[R1]:[R3]])</f>
        <v>4.1076742475567078E-2</v>
      </c>
      <c r="V22" s="96"/>
      <c r="W22" s="7"/>
      <c r="X22" s="7"/>
    </row>
    <row r="23" spans="1:24" x14ac:dyDescent="0.15">
      <c r="A23" s="69" t="s">
        <v>187</v>
      </c>
      <c r="B23" s="71" t="s">
        <v>184</v>
      </c>
      <c r="C23" s="71"/>
      <c r="D23" s="71" t="s">
        <v>185</v>
      </c>
      <c r="E23" s="72">
        <v>3</v>
      </c>
      <c r="G23" s="71">
        <v>0.3</v>
      </c>
      <c r="H23" s="75">
        <v>5.7</v>
      </c>
      <c r="I23" s="77" t="s">
        <v>170</v>
      </c>
      <c r="J23" s="79">
        <v>44827</v>
      </c>
      <c r="K23" s="77"/>
      <c r="L23" s="59" t="e" cm="1">
        <f t="array" ref="L23">INDEX($J$4:J1113, MATCH(1,(A23=$A$4:A1111)*(C23=$C$4:C1111)*("Y"=$K$4:K1113),0))</f>
        <v>#N/A</v>
      </c>
      <c r="M23" s="81">
        <v>10000000</v>
      </c>
      <c r="N23" s="71">
        <v>74</v>
      </c>
      <c r="O23" s="71">
        <v>77</v>
      </c>
      <c r="P23" s="71">
        <v>106</v>
      </c>
      <c r="Q23" s="6">
        <f>(SUM(Pcfu4[[#This Row],[R1]:[R3]]))/(Pcfu4[[#This Row],[No. Reps]]*0.025)*Pcfu4[[#This Row],[Best DF]]</f>
        <v>34266666666.66666</v>
      </c>
      <c r="R23" s="1">
        <f>_xlfn.STDEV.S(Pcfu4[[#This Row],[R1]:[R3]])/0.025*Pcfu4[[#This Row],[Best DF]]</f>
        <v>7069181942.2995062</v>
      </c>
      <c r="S23" s="6">
        <f>Pcfu4[[#This Row],[CFU/mL]]*Pcfu4[[#This Row],[mL]]/Pcfu4[[#This Row],[grams]]</f>
        <v>651066666666.66663</v>
      </c>
      <c r="T23" s="1">
        <f>Pcfu4[[#This Row],[SD CFU/mL]]*Pcfu4[[#This Row],[mL]]/Pcfu4[[#This Row],[grams]]</f>
        <v>134314456903.69063</v>
      </c>
      <c r="U23" s="7">
        <f>_xlfn.STDEV.S(Pcfu43[[#This Row],[R1]:[R3]])/AVERAGE(Pcfu43[[#This Row],[R1]:[R3]])</f>
        <v>2.2809896167307987E-2</v>
      </c>
      <c r="V23" s="96"/>
      <c r="W23" s="7"/>
      <c r="X23" s="7"/>
    </row>
    <row r="24" spans="1:24" x14ac:dyDescent="0.15">
      <c r="A24" s="69" t="s">
        <v>188</v>
      </c>
      <c r="B24" s="71" t="s">
        <v>184</v>
      </c>
      <c r="C24" s="71"/>
      <c r="D24" s="71" t="s">
        <v>185</v>
      </c>
      <c r="E24" s="72">
        <v>3</v>
      </c>
      <c r="G24" s="71">
        <v>0.3</v>
      </c>
      <c r="H24" s="75">
        <v>5.7</v>
      </c>
      <c r="I24" s="77" t="s">
        <v>98</v>
      </c>
      <c r="J24" s="79">
        <v>44827</v>
      </c>
      <c r="K24" s="77"/>
      <c r="L24" s="59" t="e" cm="1">
        <f t="array" ref="L24">INDEX($J$4:J1114, MATCH(1,(A24=$A$4:A1112)*(C24=$C$4:C1112)*("Y"=$K$4:K1114),0))</f>
        <v>#N/A</v>
      </c>
      <c r="M24" s="81">
        <v>10000000</v>
      </c>
      <c r="N24" s="71">
        <v>58</v>
      </c>
      <c r="O24" s="71">
        <v>53</v>
      </c>
      <c r="P24" s="71">
        <v>63</v>
      </c>
      <c r="Q24" s="6">
        <f>(SUM(Pcfu4[[#This Row],[R1]:[R3]]))/(Pcfu4[[#This Row],[No. Reps]]*0.025)*Pcfu4[[#This Row],[Best DF]]</f>
        <v>23199999999.999996</v>
      </c>
      <c r="R24" s="1">
        <f>_xlfn.STDEV.S(Pcfu4[[#This Row],[R1]:[R3]])/0.025*Pcfu4[[#This Row],[Best DF]]</f>
        <v>2000000000</v>
      </c>
      <c r="S24" s="6">
        <f>Pcfu4[[#This Row],[CFU/mL]]*Pcfu4[[#This Row],[mL]]/Pcfu4[[#This Row],[grams]]</f>
        <v>440799999999.99994</v>
      </c>
      <c r="T24" s="1">
        <f>Pcfu4[[#This Row],[SD CFU/mL]]*Pcfu4[[#This Row],[mL]]/Pcfu4[[#This Row],[grams]]</f>
        <v>38000000000</v>
      </c>
      <c r="U24" s="7">
        <f>_xlfn.STDEV.S(Pcfu43[[#This Row],[R1]:[R3]])/AVERAGE(Pcfu43[[#This Row],[R1]:[R3]])</f>
        <v>1.790143749839361E-2</v>
      </c>
      <c r="V24" s="96"/>
      <c r="W24" s="7"/>
      <c r="X24" s="7"/>
    </row>
    <row r="25" spans="1:24" x14ac:dyDescent="0.15">
      <c r="A25" s="69" t="s">
        <v>188</v>
      </c>
      <c r="B25" s="71" t="s">
        <v>184</v>
      </c>
      <c r="C25" s="71"/>
      <c r="D25" s="71" t="s">
        <v>185</v>
      </c>
      <c r="E25" s="72">
        <v>3</v>
      </c>
      <c r="G25" s="71">
        <v>0.3</v>
      </c>
      <c r="H25" s="75">
        <v>5.7</v>
      </c>
      <c r="I25" s="77" t="s">
        <v>170</v>
      </c>
      <c r="J25" s="79">
        <v>44827</v>
      </c>
      <c r="K25" s="77"/>
      <c r="L25" s="59" t="e" cm="1">
        <f t="array" ref="L25">INDEX($J$4:J1115, MATCH(1,(A25=$A$4:A1113)*(C25=$C$4:C1113)*("Y"=$K$4:K1115),0))</f>
        <v>#N/A</v>
      </c>
      <c r="M25" s="81">
        <v>10000000</v>
      </c>
      <c r="N25" s="71">
        <v>79</v>
      </c>
      <c r="O25" s="71">
        <v>73</v>
      </c>
      <c r="P25" s="71">
        <v>56</v>
      </c>
      <c r="Q25" s="6">
        <f>(SUM(Pcfu4[[#This Row],[R1]:[R3]]))/(Pcfu4[[#This Row],[No. Reps]]*0.025)*Pcfu4[[#This Row],[Best DF]]</f>
        <v>27733333333.333332</v>
      </c>
      <c r="R25" s="1">
        <f>_xlfn.STDEV.S(Pcfu4[[#This Row],[R1]:[R3]])/0.025*Pcfu4[[#This Row],[Best DF]]</f>
        <v>4772141378.1795359</v>
      </c>
      <c r="S25" s="6">
        <f>Pcfu4[[#This Row],[CFU/mL]]*Pcfu4[[#This Row],[mL]]/Pcfu4[[#This Row],[grams]]</f>
        <v>526933333333.33337</v>
      </c>
      <c r="T25" s="1">
        <f>Pcfu4[[#This Row],[SD CFU/mL]]*Pcfu4[[#This Row],[mL]]/Pcfu4[[#This Row],[grams]]</f>
        <v>90670686185.411194</v>
      </c>
      <c r="U25" s="7">
        <f>_xlfn.STDEV.S(Pcfu43[[#This Row],[R1]:[R3]])/AVERAGE(Pcfu43[[#This Row],[R1]:[R3]])</f>
        <v>5.0962650896327753E-2</v>
      </c>
      <c r="V25" s="96"/>
      <c r="W25" s="7"/>
      <c r="X25" s="7"/>
    </row>
    <row r="26" spans="1:24" x14ac:dyDescent="0.15">
      <c r="A26" s="69" t="s">
        <v>189</v>
      </c>
      <c r="B26" s="71" t="s">
        <v>184</v>
      </c>
      <c r="C26" s="71"/>
      <c r="D26" s="71" t="s">
        <v>185</v>
      </c>
      <c r="E26" s="72">
        <v>3</v>
      </c>
      <c r="G26" s="71">
        <v>0.3</v>
      </c>
      <c r="H26" s="75">
        <v>5.7</v>
      </c>
      <c r="I26" s="77" t="s">
        <v>98</v>
      </c>
      <c r="J26" s="79">
        <v>44827</v>
      </c>
      <c r="K26" s="77"/>
      <c r="L26" s="59" t="e" cm="1">
        <f t="array" ref="L26">INDEX($J$4:J1116, MATCH(1,(A26=$A$4:A1114)*(C26=$C$4:C1114)*("Y"=$K$4:K1116),0))</f>
        <v>#N/A</v>
      </c>
      <c r="M26" s="81">
        <v>10000000</v>
      </c>
      <c r="N26" s="71">
        <v>76</v>
      </c>
      <c r="O26" s="71">
        <v>78</v>
      </c>
      <c r="P26" s="71">
        <v>84</v>
      </c>
      <c r="Q26" s="6">
        <f>(SUM(Pcfu4[[#This Row],[R1]:[R3]]))/(Pcfu4[[#This Row],[No. Reps]]*0.025)*Pcfu4[[#This Row],[Best DF]]</f>
        <v>31733333333.333332</v>
      </c>
      <c r="R26" s="1">
        <f>_xlfn.STDEV.S(Pcfu4[[#This Row],[R1]:[R3]])/0.025*Pcfu4[[#This Row],[Best DF]]</f>
        <v>1665332799.572906</v>
      </c>
      <c r="S26" s="6">
        <f>Pcfu4[[#This Row],[CFU/mL]]*Pcfu4[[#This Row],[mL]]/Pcfu4[[#This Row],[grams]]</f>
        <v>602933333333.33337</v>
      </c>
      <c r="T26" s="1">
        <f>Pcfu4[[#This Row],[SD CFU/mL]]*Pcfu4[[#This Row],[mL]]/Pcfu4[[#This Row],[grams]]</f>
        <v>31641323191.88522</v>
      </c>
      <c r="U26" s="7">
        <f>_xlfn.STDEV.S(Pcfu43[[#This Row],[R1]:[R3]])/AVERAGE(Pcfu43[[#This Row],[R1]:[R3]])</f>
        <v>2.0107301834688552E-2</v>
      </c>
      <c r="V26" s="96"/>
      <c r="W26" s="7"/>
      <c r="X26" s="7"/>
    </row>
    <row r="27" spans="1:24" x14ac:dyDescent="0.15">
      <c r="A27" s="69" t="s">
        <v>189</v>
      </c>
      <c r="B27" s="71" t="s">
        <v>184</v>
      </c>
      <c r="C27" s="71"/>
      <c r="D27" s="71" t="s">
        <v>185</v>
      </c>
      <c r="E27" s="72">
        <v>3</v>
      </c>
      <c r="G27" s="71">
        <v>0.3</v>
      </c>
      <c r="H27" s="75">
        <v>5.7</v>
      </c>
      <c r="I27" s="77" t="s">
        <v>170</v>
      </c>
      <c r="J27" s="79">
        <v>44827</v>
      </c>
      <c r="K27" s="77"/>
      <c r="L27" s="59" t="e" cm="1">
        <f t="array" ref="L27">INDEX($J$4:J1117, MATCH(1,(A27=$A$4:A1115)*(C27=$C$4:C1115)*("Y"=$K$4:K1117),0))</f>
        <v>#N/A</v>
      </c>
      <c r="M27" s="81">
        <v>10000000</v>
      </c>
      <c r="N27" s="71">
        <v>93</v>
      </c>
      <c r="O27" s="71">
        <v>93</v>
      </c>
      <c r="P27" s="71">
        <v>190</v>
      </c>
      <c r="Q27" s="6">
        <f>(SUM(Pcfu4[[#This Row],[R1]:[R3]]))/(Pcfu4[[#This Row],[No. Reps]]*0.025)*Pcfu4[[#This Row],[Best DF]]</f>
        <v>50133333333.333328</v>
      </c>
      <c r="R27" s="1">
        <f>_xlfn.STDEV.S(Pcfu4[[#This Row],[R1]:[R3]])/0.025*Pcfu4[[#This Row],[Best DF]]</f>
        <v>22401190444.557472</v>
      </c>
      <c r="S27" s="6">
        <f>Pcfu4[[#This Row],[CFU/mL]]*Pcfu4[[#This Row],[mL]]/Pcfu4[[#This Row],[grams]]</f>
        <v>952533333333.33337</v>
      </c>
      <c r="T27" s="1">
        <f>Pcfu4[[#This Row],[SD CFU/mL]]*Pcfu4[[#This Row],[mL]]/Pcfu4[[#This Row],[grams]]</f>
        <v>425622618446.59204</v>
      </c>
      <c r="U27" s="7">
        <f>_xlfn.STDEV.S(Pcfu43[[#This Row],[R1]:[R3]])/AVERAGE(Pcfu43[[#This Row],[R1]:[R3]])</f>
        <v>7.9006344266653351E-3</v>
      </c>
      <c r="V27" s="96"/>
      <c r="W27" s="7"/>
      <c r="X27" s="7"/>
    </row>
    <row r="28" spans="1:24" x14ac:dyDescent="0.15">
      <c r="A28" s="69" t="s">
        <v>190</v>
      </c>
      <c r="B28" s="71" t="s">
        <v>184</v>
      </c>
      <c r="C28" s="71"/>
      <c r="D28" s="71" t="s">
        <v>185</v>
      </c>
      <c r="E28" s="72">
        <v>3</v>
      </c>
      <c r="G28" s="71">
        <v>0.3</v>
      </c>
      <c r="H28" s="75">
        <v>5.7</v>
      </c>
      <c r="I28" s="77" t="s">
        <v>98</v>
      </c>
      <c r="J28" s="79">
        <v>44827</v>
      </c>
      <c r="K28" s="77"/>
      <c r="L28" s="59" t="e" cm="1">
        <f t="array" ref="L28">INDEX($J$4:J1118, MATCH(1,(A28=$A$4:A1116)*(C28=$C$4:C1116)*("Y"=$K$4:K1118),0))</f>
        <v>#N/A</v>
      </c>
      <c r="M28" s="81">
        <v>10000000</v>
      </c>
      <c r="N28" s="71">
        <v>29</v>
      </c>
      <c r="O28" s="71">
        <v>35</v>
      </c>
      <c r="P28" s="71">
        <v>28</v>
      </c>
      <c r="Q28" s="6">
        <f>(SUM(Pcfu4[[#This Row],[R1]:[R3]]))/(Pcfu4[[#This Row],[No. Reps]]*0.025)*Pcfu4[[#This Row],[Best DF]]</f>
        <v>12266666666.666666</v>
      </c>
      <c r="R28" s="1">
        <f>_xlfn.STDEV.S(Pcfu4[[#This Row],[R1]:[R3]])/0.025*Pcfu4[[#This Row],[Best DF]]</f>
        <v>1514375558.8800688</v>
      </c>
      <c r="S28" s="6">
        <f>Pcfu4[[#This Row],[CFU/mL]]*Pcfu4[[#This Row],[mL]]/Pcfu4[[#This Row],[grams]]</f>
        <v>233066666666.66669</v>
      </c>
      <c r="T28" s="1">
        <f>Pcfu4[[#This Row],[SD CFU/mL]]*Pcfu4[[#This Row],[mL]]/Pcfu4[[#This Row],[grams]]</f>
        <v>28773135618.72131</v>
      </c>
      <c r="U28" s="7">
        <f>_xlfn.STDEV.S(Pcfu43[[#This Row],[R1]:[R3]])/AVERAGE(Pcfu43[[#This Row],[R1]:[R3]])</f>
        <v>6.7343502970147393E-2</v>
      </c>
      <c r="V28" s="96"/>
      <c r="W28" s="7"/>
      <c r="X28" s="7"/>
    </row>
    <row r="29" spans="1:24" x14ac:dyDescent="0.15">
      <c r="A29" s="69" t="s">
        <v>190</v>
      </c>
      <c r="B29" s="71" t="s">
        <v>184</v>
      </c>
      <c r="C29" s="71"/>
      <c r="D29" s="71" t="s">
        <v>185</v>
      </c>
      <c r="E29" s="72">
        <v>3</v>
      </c>
      <c r="G29" s="71">
        <v>0.3</v>
      </c>
      <c r="H29" s="75">
        <v>5.7</v>
      </c>
      <c r="I29" s="77" t="s">
        <v>170</v>
      </c>
      <c r="J29" s="79">
        <v>44827</v>
      </c>
      <c r="K29" s="77"/>
      <c r="L29" s="59" t="e" cm="1">
        <f t="array" ref="L29">INDEX($J$4:J1119, MATCH(1,(A29=$A$4:A1117)*(C29=$C$4:C1117)*("Y"=$K$4:K1119),0))</f>
        <v>#N/A</v>
      </c>
      <c r="M29" s="81">
        <v>10000000</v>
      </c>
      <c r="N29" s="71">
        <v>36</v>
      </c>
      <c r="O29" s="71">
        <v>35</v>
      </c>
      <c r="P29" s="71">
        <v>38</v>
      </c>
      <c r="Q29" s="6">
        <f>(SUM(Pcfu4[[#This Row],[R1]:[R3]]))/(Pcfu4[[#This Row],[No. Reps]]*0.025)*Pcfu4[[#This Row],[Best DF]]</f>
        <v>14533333333.33333</v>
      </c>
      <c r="R29" s="1">
        <f>_xlfn.STDEV.S(Pcfu4[[#This Row],[R1]:[R3]])/0.025*Pcfu4[[#This Row],[Best DF]]</f>
        <v>611010092.66077864</v>
      </c>
      <c r="S29" s="6">
        <f>Pcfu4[[#This Row],[CFU/mL]]*Pcfu4[[#This Row],[mL]]/Pcfu4[[#This Row],[grams]]</f>
        <v>276133333333.33331</v>
      </c>
      <c r="T29" s="1">
        <f>Pcfu4[[#This Row],[SD CFU/mL]]*Pcfu4[[#This Row],[mL]]/Pcfu4[[#This Row],[grams]]</f>
        <v>11609191760.554796</v>
      </c>
      <c r="U29" s="7">
        <f>_xlfn.STDEV.S(Pcfu43[[#This Row],[R1]:[R3]])/AVERAGE(Pcfu43[[#This Row],[R1]:[R3]])</f>
        <v>0.16162440712835374</v>
      </c>
      <c r="V29" s="96"/>
      <c r="W29" s="7"/>
      <c r="X29" s="7"/>
    </row>
    <row r="30" spans="1:24" x14ac:dyDescent="0.15">
      <c r="A30" s="69" t="s">
        <v>191</v>
      </c>
      <c r="B30" s="71" t="s">
        <v>184</v>
      </c>
      <c r="C30" s="71"/>
      <c r="D30" s="71" t="s">
        <v>185</v>
      </c>
      <c r="E30" s="72">
        <v>3</v>
      </c>
      <c r="G30" s="71">
        <v>0.3</v>
      </c>
      <c r="H30" s="75">
        <v>5.7</v>
      </c>
      <c r="I30" s="77" t="s">
        <v>98</v>
      </c>
      <c r="J30" s="79">
        <v>44827</v>
      </c>
      <c r="K30" s="77"/>
      <c r="L30" s="59" t="e" cm="1">
        <f t="array" ref="L30">INDEX($J$4:J1120, MATCH(1,(A30=$A$4:A1118)*(C30=$C$4:C1118)*("Y"=$K$4:K1120),0))</f>
        <v>#N/A</v>
      </c>
      <c r="M30" s="81">
        <v>10000000</v>
      </c>
      <c r="N30" s="71">
        <v>75</v>
      </c>
      <c r="O30" s="71">
        <v>64</v>
      </c>
      <c r="P30" s="71">
        <v>67</v>
      </c>
      <c r="Q30" s="6">
        <f>(SUM(Pcfu4[[#This Row],[R1]:[R3]]))/(Pcfu4[[#This Row],[No. Reps]]*0.025)*Pcfu4[[#This Row],[Best DF]]</f>
        <v>27466666666.66666</v>
      </c>
      <c r="R30" s="1">
        <f>_xlfn.STDEV.S(Pcfu4[[#This Row],[R1]:[R3]])/0.025*Pcfu4[[#This Row],[Best DF]]</f>
        <v>2274496281.2309303</v>
      </c>
      <c r="S30" s="6">
        <f>Pcfu4[[#This Row],[CFU/mL]]*Pcfu4[[#This Row],[mL]]/Pcfu4[[#This Row],[grams]]</f>
        <v>521866666666.66656</v>
      </c>
      <c r="T30" s="1">
        <f>Pcfu4[[#This Row],[SD CFU/mL]]*Pcfu4[[#This Row],[mL]]/Pcfu4[[#This Row],[grams]]</f>
        <v>43215429343.38768</v>
      </c>
      <c r="U30" s="7">
        <f>_xlfn.STDEV.S(Pcfu43[[#This Row],[R1]:[R3]])/AVERAGE(Pcfu43[[#This Row],[R1]:[R3]])</f>
        <v>8.8607594936708861E-2</v>
      </c>
      <c r="V30" s="96"/>
      <c r="W30" s="7"/>
      <c r="X30" s="7"/>
    </row>
    <row r="31" spans="1:24" x14ac:dyDescent="0.15">
      <c r="A31" s="69" t="s">
        <v>191</v>
      </c>
      <c r="B31" s="71" t="s">
        <v>184</v>
      </c>
      <c r="C31" s="71"/>
      <c r="D31" s="71" t="s">
        <v>185</v>
      </c>
      <c r="E31" s="72">
        <v>3</v>
      </c>
      <c r="G31" s="71">
        <v>0.3</v>
      </c>
      <c r="H31" s="75">
        <v>5.7</v>
      </c>
      <c r="I31" s="77" t="s">
        <v>170</v>
      </c>
      <c r="J31" s="79">
        <v>44827</v>
      </c>
      <c r="K31" s="77"/>
      <c r="L31" s="59" t="e" cm="1">
        <f t="array" ref="L31">INDEX($J$4:J1121, MATCH(1,(A31=$A$4:A1119)*(C31=$C$4:C1119)*("Y"=$K$4:K1121),0))</f>
        <v>#N/A</v>
      </c>
      <c r="M31" s="81">
        <v>10000000</v>
      </c>
      <c r="N31" s="71">
        <v>60</v>
      </c>
      <c r="O31" s="71">
        <v>64</v>
      </c>
      <c r="P31" s="71">
        <v>66</v>
      </c>
      <c r="Q31" s="6">
        <f>(SUM(Pcfu4[[#This Row],[R1]:[R3]]))/(Pcfu4[[#This Row],[No. Reps]]*0.025)*Pcfu4[[#This Row],[Best DF]]</f>
        <v>25333333333.333332</v>
      </c>
      <c r="R31" s="1">
        <f>_xlfn.STDEV.S(Pcfu4[[#This Row],[R1]:[R3]])/0.025*Pcfu4[[#This Row],[Best DF]]</f>
        <v>1222020185.3215573</v>
      </c>
      <c r="S31" s="6">
        <f>Pcfu4[[#This Row],[CFU/mL]]*Pcfu4[[#This Row],[mL]]/Pcfu4[[#This Row],[grams]]</f>
        <v>481333333333.33337</v>
      </c>
      <c r="T31" s="1">
        <f>Pcfu4[[#This Row],[SD CFU/mL]]*Pcfu4[[#This Row],[mL]]/Pcfu4[[#This Row],[grams]]</f>
        <v>23218383521.109592</v>
      </c>
      <c r="U31" s="7">
        <f>_xlfn.STDEV.S(Pcfu43[[#This Row],[R1]:[R3]])/AVERAGE(Pcfu43[[#This Row],[R1]:[R3]])</f>
        <v>0.10729033533674225</v>
      </c>
      <c r="V31" s="96"/>
      <c r="W31" s="7"/>
      <c r="X31" s="7"/>
    </row>
    <row r="32" spans="1:24" x14ac:dyDescent="0.15">
      <c r="A32" s="69" t="s">
        <v>192</v>
      </c>
      <c r="B32" s="71" t="s">
        <v>184</v>
      </c>
      <c r="C32" s="71"/>
      <c r="D32" s="71" t="s">
        <v>185</v>
      </c>
      <c r="E32" s="72">
        <v>3</v>
      </c>
      <c r="G32" s="71">
        <v>0.3</v>
      </c>
      <c r="H32" s="75">
        <v>5.7</v>
      </c>
      <c r="I32" s="77" t="s">
        <v>98</v>
      </c>
      <c r="J32" s="79">
        <v>44827</v>
      </c>
      <c r="K32" s="77"/>
      <c r="L32" s="59" t="e" cm="1">
        <f t="array" ref="L32">INDEX($J$4:J1122, MATCH(1,(A32=$A$4:A1120)*(C32=$C$4:C1120)*("Y"=$K$4:K1122),0))</f>
        <v>#N/A</v>
      </c>
      <c r="M32" s="81">
        <v>10000000</v>
      </c>
      <c r="N32" s="71">
        <v>70</v>
      </c>
      <c r="O32" s="71">
        <v>80</v>
      </c>
      <c r="P32" s="71">
        <v>81</v>
      </c>
      <c r="Q32" s="6">
        <f>(SUM(Pcfu4[[#This Row],[R1]:[R3]]))/(Pcfu4[[#This Row],[No. Reps]]*0.025)*Pcfu4[[#This Row],[Best DF]]</f>
        <v>30799999999.999996</v>
      </c>
      <c r="R32" s="1">
        <f>_xlfn.STDEV.S(Pcfu4[[#This Row],[R1]:[R3]])/0.025*Pcfu4[[#This Row],[Best DF]]</f>
        <v>2433105012.1192875</v>
      </c>
      <c r="S32" s="6">
        <f>Pcfu4[[#This Row],[CFU/mL]]*Pcfu4[[#This Row],[mL]]/Pcfu4[[#This Row],[grams]]</f>
        <v>585199999999.99988</v>
      </c>
      <c r="T32" s="1">
        <f>Pcfu4[[#This Row],[SD CFU/mL]]*Pcfu4[[#This Row],[mL]]/Pcfu4[[#This Row],[grams]]</f>
        <v>46228995230.266464</v>
      </c>
      <c r="U32" s="7">
        <f>_xlfn.STDEV.S(Pcfu43[[#This Row],[R1]:[R3]])/AVERAGE(Pcfu43[[#This Row],[R1]:[R3]])</f>
        <v>8.1181015433018811E-2</v>
      </c>
      <c r="V32" s="96"/>
      <c r="W32" s="7"/>
      <c r="X32" s="7"/>
    </row>
    <row r="33" spans="1:24" x14ac:dyDescent="0.15">
      <c r="A33" s="70" t="s">
        <v>192</v>
      </c>
      <c r="B33" s="71" t="s">
        <v>184</v>
      </c>
      <c r="C33" s="74"/>
      <c r="D33" s="71" t="s">
        <v>185</v>
      </c>
      <c r="E33" s="73">
        <v>3</v>
      </c>
      <c r="G33" s="74">
        <v>0.3</v>
      </c>
      <c r="H33" s="76">
        <v>5.7</v>
      </c>
      <c r="I33" s="78" t="s">
        <v>170</v>
      </c>
      <c r="J33" s="80">
        <v>44827</v>
      </c>
      <c r="K33" s="78"/>
      <c r="L33" s="59" t="e" cm="1">
        <f t="array" ref="L33">INDEX($J$4:J1123, MATCH(1,(A33=$A$4:A1121)*(C33=$C$4:C1121)*("Y"=$K$4:K1123),0))</f>
        <v>#N/A</v>
      </c>
      <c r="M33" s="82">
        <v>10000000</v>
      </c>
      <c r="N33" s="74">
        <v>91</v>
      </c>
      <c r="O33" s="74">
        <v>86</v>
      </c>
      <c r="P33" s="74">
        <v>68</v>
      </c>
      <c r="Q33" s="6">
        <f>(SUM(Pcfu4[[#This Row],[R1]:[R3]]))/(Pcfu4[[#This Row],[No. Reps]]*0.025)*Pcfu4[[#This Row],[Best DF]]</f>
        <v>32666666666.66666</v>
      </c>
      <c r="R33" s="1">
        <f>_xlfn.STDEV.S(Pcfu4[[#This Row],[R1]:[R3]])/0.025*Pcfu4[[#This Row],[Best DF]]</f>
        <v>4838732616.4330912</v>
      </c>
      <c r="S33" s="6">
        <f>Pcfu4[[#This Row],[CFU/mL]]*Pcfu4[[#This Row],[mL]]/Pcfu4[[#This Row],[grams]]</f>
        <v>620666666666.66663</v>
      </c>
      <c r="T33" s="1">
        <f>Pcfu4[[#This Row],[SD CFU/mL]]*Pcfu4[[#This Row],[mL]]/Pcfu4[[#This Row],[grams]]</f>
        <v>91935919712.228745</v>
      </c>
      <c r="U33" s="7">
        <f>_xlfn.STDEV.S(Pcfu43[[#This Row],[R1]:[R3]])/AVERAGE(Pcfu43[[#This Row],[R1]:[R3]])</f>
        <v>9.3096858127873355E-2</v>
      </c>
      <c r="V33" s="96"/>
      <c r="W33" s="7"/>
      <c r="X33" s="38"/>
    </row>
    <row r="34" spans="1:24" x14ac:dyDescent="0.15">
      <c r="A34" t="s">
        <v>193</v>
      </c>
      <c r="B34" t="s">
        <v>184</v>
      </c>
      <c r="D34" t="s">
        <v>194</v>
      </c>
      <c r="E34" s="3">
        <v>2</v>
      </c>
      <c r="G34">
        <v>0.3</v>
      </c>
      <c r="H34" s="5">
        <f>19*Pcfu4[[#This Row],[grams]]</f>
        <v>5.7</v>
      </c>
      <c r="I34" s="3" t="s">
        <v>170</v>
      </c>
      <c r="J34" s="59">
        <v>44831</v>
      </c>
      <c r="L34" s="59" t="e" cm="1">
        <f t="array" ref="L34">INDEX($J$4:J1124, MATCH(1,(A34=$A$4:A1122)*(C34=$C$4:C1122)*("Y"=$K$4:K1124),0))</f>
        <v>#N/A</v>
      </c>
      <c r="M34" s="1">
        <v>10000000</v>
      </c>
      <c r="N34">
        <v>77</v>
      </c>
      <c r="O34">
        <v>86</v>
      </c>
      <c r="P34"/>
      <c r="Q34" s="6">
        <f>(SUM(Pcfu4[[#This Row],[R1]:[R3]]))/(Pcfu4[[#This Row],[No. Reps]]*0.025)*Pcfu4[[#This Row],[Best DF]]</f>
        <v>32600000000</v>
      </c>
      <c r="R34" s="1">
        <f>_xlfn.STDEV.S(Pcfu4[[#This Row],[R1]:[R3]])/0.025*Pcfu4[[#This Row],[Best DF]]</f>
        <v>2545584412.2715707</v>
      </c>
      <c r="S34" s="6">
        <f>Pcfu4[[#This Row],[CFU/mL]]*Pcfu4[[#This Row],[mL]]/Pcfu4[[#This Row],[grams]]</f>
        <v>619400000000</v>
      </c>
      <c r="T34" s="1">
        <f>Pcfu4[[#This Row],[SD CFU/mL]]*Pcfu4[[#This Row],[mL]]/Pcfu4[[#This Row],[grams]]</f>
        <v>48366103833.159851</v>
      </c>
      <c r="U34" s="7">
        <f>_xlfn.STDEV.S(Pcfu43[[#This Row],[R1]:[R3]])/AVERAGE(Pcfu43[[#This Row],[R1]:[R3]])</f>
        <v>7.8567420131838608E-2</v>
      </c>
      <c r="V34" s="96"/>
      <c r="W34" s="7"/>
    </row>
    <row r="35" spans="1:24" x14ac:dyDescent="0.15">
      <c r="A35" t="s">
        <v>193</v>
      </c>
      <c r="B35" t="s">
        <v>184</v>
      </c>
      <c r="D35" t="s">
        <v>194</v>
      </c>
      <c r="E35" s="3">
        <v>2</v>
      </c>
      <c r="G35">
        <v>0.3</v>
      </c>
      <c r="H35" s="5">
        <f>19*Pcfu4[[#This Row],[grams]]</f>
        <v>5.7</v>
      </c>
      <c r="I35" s="3" t="s">
        <v>87</v>
      </c>
      <c r="J35" s="59">
        <v>44831</v>
      </c>
      <c r="L35" s="59" t="e" cm="1">
        <f t="array" ref="L35">INDEX($J$4:J1125, MATCH(1,(A35=$A$4:A1123)*(C35=$C$4:C1123)*("Y"=$K$4:K1125),0))</f>
        <v>#N/A</v>
      </c>
      <c r="M35" s="1">
        <v>10000000</v>
      </c>
      <c r="N35">
        <v>78</v>
      </c>
      <c r="O35">
        <v>75</v>
      </c>
      <c r="P35"/>
      <c r="Q35" s="6">
        <f>(SUM(Pcfu4[[#This Row],[R1]:[R3]]))/(Pcfu4[[#This Row],[No. Reps]]*0.025)*Pcfu4[[#This Row],[Best DF]]</f>
        <v>30600000000</v>
      </c>
      <c r="R35" s="1">
        <f>_xlfn.STDEV.S(Pcfu4[[#This Row],[R1]:[R3]])/0.025*Pcfu4[[#This Row],[Best DF]]</f>
        <v>848528137.42385697</v>
      </c>
      <c r="S35" s="6">
        <f>Pcfu4[[#This Row],[CFU/mL]]*Pcfu4[[#This Row],[mL]]/Pcfu4[[#This Row],[grams]]</f>
        <v>581400000000</v>
      </c>
      <c r="T35" s="1">
        <f>Pcfu4[[#This Row],[SD CFU/mL]]*Pcfu4[[#This Row],[mL]]/Pcfu4[[#This Row],[grams]]</f>
        <v>16122034611.053284</v>
      </c>
      <c r="U35" s="7">
        <f>_xlfn.STDEV.S(Pcfu43[[#This Row],[R1]:[R3]])/AVERAGE(Pcfu43[[#This Row],[R1]:[R3]])</f>
        <v>0.10878565864408424</v>
      </c>
      <c r="V35" s="96"/>
      <c r="W35" s="7"/>
    </row>
    <row r="36" spans="1:24" x14ac:dyDescent="0.15">
      <c r="A36" t="s">
        <v>195</v>
      </c>
      <c r="B36" t="s">
        <v>92</v>
      </c>
      <c r="D36" t="s">
        <v>136</v>
      </c>
      <c r="E36" s="3">
        <v>2</v>
      </c>
      <c r="G36">
        <v>0.3</v>
      </c>
      <c r="H36" s="5">
        <f>19*Pcfu4[[#This Row],[grams]]</f>
        <v>5.7</v>
      </c>
      <c r="I36" s="3" t="s">
        <v>170</v>
      </c>
      <c r="J36" s="59">
        <v>44833</v>
      </c>
      <c r="L36" s="59" t="e" cm="1">
        <f t="array" ref="L36">INDEX($J$4:J1126, MATCH(1,(A36=$A$4:A1124)*(C36=$C$4:C1124)*("Y"=$K$4:K1126),0))</f>
        <v>#N/A</v>
      </c>
      <c r="M36" s="1">
        <v>100000000</v>
      </c>
      <c r="N36">
        <v>30</v>
      </c>
      <c r="O36">
        <v>38</v>
      </c>
      <c r="P36"/>
      <c r="Q36" s="6">
        <f>(SUM(Pcfu4[[#This Row],[R1]:[R3]]))/(Pcfu4[[#This Row],[No. Reps]]*0.025)*Pcfu4[[#This Row],[Best DF]]</f>
        <v>136000000000</v>
      </c>
      <c r="R36" s="1">
        <f>_xlfn.STDEV.S(Pcfu4[[#This Row],[R1]:[R3]])/0.025*Pcfu4[[#This Row],[Best DF]]</f>
        <v>22627416997.969521</v>
      </c>
      <c r="S36" s="6"/>
      <c r="T36" s="1"/>
      <c r="U36" s="7">
        <f>_xlfn.STDEV.S(Pcfu43[[#This Row],[R1]:[R3]])/AVERAGE(Pcfu43[[#This Row],[R1]:[R3]])</f>
        <v>0.23271868747911689</v>
      </c>
      <c r="V36" s="96"/>
      <c r="W36" s="7"/>
      <c r="X36" t="s">
        <v>27</v>
      </c>
    </row>
    <row r="37" spans="1:24" x14ac:dyDescent="0.15">
      <c r="A37" t="s">
        <v>195</v>
      </c>
      <c r="B37" t="s">
        <v>92</v>
      </c>
      <c r="D37" t="s">
        <v>136</v>
      </c>
      <c r="E37" s="3">
        <v>2</v>
      </c>
      <c r="G37">
        <v>0.3</v>
      </c>
      <c r="H37" s="5">
        <f>19*Pcfu4[[#This Row],[grams]]</f>
        <v>5.7</v>
      </c>
      <c r="I37" s="3" t="s">
        <v>87</v>
      </c>
      <c r="J37" s="59">
        <v>44833</v>
      </c>
      <c r="L37" s="59" t="e" cm="1">
        <f t="array" ref="L37">INDEX($J$4:J1127, MATCH(1,(A37=$A$4:A1125)*(C37=$C$4:C1125)*("Y"=$K$4:K1127),0))</f>
        <v>#N/A</v>
      </c>
      <c r="M37" s="1">
        <v>100000000</v>
      </c>
      <c r="N37">
        <v>49</v>
      </c>
      <c r="O37">
        <v>35</v>
      </c>
      <c r="P37"/>
      <c r="Q37" s="6">
        <f>(SUM(Pcfu4[[#This Row],[R1]:[R3]]))/(Pcfu4[[#This Row],[No. Reps]]*0.025)*Pcfu4[[#This Row],[Best DF]]</f>
        <v>168000000000</v>
      </c>
      <c r="R37" s="1">
        <f>_xlfn.STDEV.S(Pcfu4[[#This Row],[R1]:[R3]])/0.025*Pcfu4[[#This Row],[Best DF]]</f>
        <v>39597979746.446655</v>
      </c>
      <c r="S37" s="6"/>
      <c r="T37" s="1"/>
      <c r="U37" s="7">
        <f>_xlfn.STDEV.S(Pcfu43[[#This Row],[R1]:[R3]])/AVERAGE(Pcfu43[[#This Row],[R1]:[R3]])</f>
        <v>0.20951312035156966</v>
      </c>
      <c r="V37" s="96"/>
      <c r="W37" s="7"/>
      <c r="X37" t="s">
        <v>27</v>
      </c>
    </row>
    <row r="38" spans="1:24" x14ac:dyDescent="0.15">
      <c r="A38" t="s">
        <v>196</v>
      </c>
      <c r="B38" t="s">
        <v>92</v>
      </c>
      <c r="D38" t="s">
        <v>136</v>
      </c>
      <c r="E38" s="3">
        <v>2</v>
      </c>
      <c r="G38">
        <v>0.3</v>
      </c>
      <c r="H38" s="5">
        <f>19*Pcfu4[[#This Row],[grams]]</f>
        <v>5.7</v>
      </c>
      <c r="I38" s="3" t="s">
        <v>170</v>
      </c>
      <c r="J38" s="59">
        <v>44833</v>
      </c>
      <c r="L38" s="59" t="e" cm="1">
        <f t="array" ref="L38">INDEX($J$4:J1128, MATCH(1,(A38=$A$4:A1126)*(C38=$C$4:C1126)*("Y"=$K$4:K1128),0))</f>
        <v>#N/A</v>
      </c>
      <c r="M38" s="1">
        <v>100000000</v>
      </c>
      <c r="N38">
        <v>34</v>
      </c>
      <c r="O38">
        <v>37</v>
      </c>
      <c r="P38"/>
      <c r="Q38" s="6">
        <f>(SUM(Pcfu4[[#This Row],[R1]:[R3]]))/(Pcfu4[[#This Row],[No. Reps]]*0.025)*Pcfu4[[#This Row],[Best DF]]</f>
        <v>142000000000</v>
      </c>
      <c r="R38" s="1">
        <f>_xlfn.STDEV.S(Pcfu4[[#This Row],[R1]:[R3]])/0.025*Pcfu4[[#This Row],[Best DF]]</f>
        <v>8485281374.2385693</v>
      </c>
      <c r="S38" s="6"/>
      <c r="T38" s="1"/>
      <c r="U38" s="7">
        <f>_xlfn.STDEV.S(Pcfu43[[#This Row],[R1]:[R3]])/AVERAGE(Pcfu43[[#This Row],[R1]:[R3]])</f>
        <v>1.3730228760903837E-2</v>
      </c>
      <c r="V38" s="96"/>
      <c r="W38" s="7"/>
      <c r="X38" t="s">
        <v>27</v>
      </c>
    </row>
    <row r="39" spans="1:24" x14ac:dyDescent="0.15">
      <c r="A39" t="s">
        <v>196</v>
      </c>
      <c r="B39" t="s">
        <v>92</v>
      </c>
      <c r="D39" t="s">
        <v>136</v>
      </c>
      <c r="E39" s="3">
        <v>2</v>
      </c>
      <c r="G39">
        <v>0.3</v>
      </c>
      <c r="H39" s="5">
        <f>19*Pcfu4[[#This Row],[grams]]</f>
        <v>5.7</v>
      </c>
      <c r="I39" s="3" t="s">
        <v>87</v>
      </c>
      <c r="J39" s="59">
        <v>44833</v>
      </c>
      <c r="L39" s="59" t="e" cm="1">
        <f t="array" ref="L39">INDEX($J$4:J1129, MATCH(1,(A39=$A$4:A1127)*(C39=$C$4:C1127)*("Y"=$K$4:K1129),0))</f>
        <v>#N/A</v>
      </c>
      <c r="M39" s="1">
        <v>100000000</v>
      </c>
      <c r="N39">
        <v>35</v>
      </c>
      <c r="O39">
        <v>39</v>
      </c>
      <c r="P39"/>
      <c r="Q39" s="6">
        <f>(SUM(Pcfu4[[#This Row],[R1]:[R3]]))/(Pcfu4[[#This Row],[No. Reps]]*0.025)*Pcfu4[[#This Row],[Best DF]]</f>
        <v>148000000000</v>
      </c>
      <c r="R39" s="1">
        <f>_xlfn.STDEV.S(Pcfu4[[#This Row],[R1]:[R3]])/0.025*Pcfu4[[#This Row],[Best DF]]</f>
        <v>11313708498.98476</v>
      </c>
      <c r="S39" s="6"/>
      <c r="T39" s="1"/>
      <c r="U39" s="7">
        <f>_xlfn.STDEV.S(Pcfu43[[#This Row],[R1]:[R3]])/AVERAGE(Pcfu43[[#This Row],[R1]:[R3]])</f>
        <v>0.11785113019775791</v>
      </c>
      <c r="V39" s="96"/>
      <c r="W39" s="7"/>
      <c r="X39" t="s">
        <v>27</v>
      </c>
    </row>
    <row r="40" spans="1:24" x14ac:dyDescent="0.15">
      <c r="A40" t="s">
        <v>197</v>
      </c>
      <c r="B40" t="s">
        <v>92</v>
      </c>
      <c r="D40" t="s">
        <v>136</v>
      </c>
      <c r="E40" s="3">
        <v>2</v>
      </c>
      <c r="G40">
        <v>0.3</v>
      </c>
      <c r="H40" s="5">
        <f>19*Pcfu4[[#This Row],[grams]]</f>
        <v>5.7</v>
      </c>
      <c r="I40" s="3" t="s">
        <v>170</v>
      </c>
      <c r="J40" s="59">
        <v>44833</v>
      </c>
      <c r="L40" s="59" t="e" cm="1">
        <f t="array" ref="L40">INDEX($J$4:J1130, MATCH(1,(A40=$A$4:A1128)*(C40=$C$4:C1128)*("Y"=$K$4:K1130),0))</f>
        <v>#N/A</v>
      </c>
      <c r="M40" s="1">
        <v>100000000</v>
      </c>
      <c r="N40">
        <v>51</v>
      </c>
      <c r="O40">
        <v>552</v>
      </c>
      <c r="P40"/>
      <c r="Q40" s="6">
        <f>(SUM(Pcfu4[[#This Row],[R1]:[R3]]))/(Pcfu4[[#This Row],[No. Reps]]*0.025)*Pcfu4[[#This Row],[Best DF]]</f>
        <v>1206000000000</v>
      </c>
      <c r="R40" s="1">
        <f>_xlfn.STDEV.S(Pcfu4[[#This Row],[R1]:[R3]])/0.025*Pcfu4[[#This Row],[Best DF]]</f>
        <v>1417041989497.8413</v>
      </c>
      <c r="S40" s="6"/>
      <c r="T40" s="1"/>
      <c r="U40" s="7">
        <f>_xlfn.STDEV.S(Pcfu43[[#This Row],[R1]:[R3]])/AVERAGE(Pcfu43[[#This Row],[R1]:[R3]])</f>
        <v>0.18608073189119673</v>
      </c>
      <c r="V40" s="96"/>
      <c r="W40" s="7"/>
      <c r="X40" t="s">
        <v>27</v>
      </c>
    </row>
    <row r="41" spans="1:24" x14ac:dyDescent="0.15">
      <c r="A41" t="s">
        <v>197</v>
      </c>
      <c r="B41" t="s">
        <v>92</v>
      </c>
      <c r="D41" t="s">
        <v>136</v>
      </c>
      <c r="E41" s="3">
        <v>2</v>
      </c>
      <c r="G41">
        <v>0.3</v>
      </c>
      <c r="H41" s="5">
        <f>19*Pcfu4[[#This Row],[grams]]</f>
        <v>5.7</v>
      </c>
      <c r="I41" s="3" t="s">
        <v>87</v>
      </c>
      <c r="J41" s="59">
        <v>44833</v>
      </c>
      <c r="L41" s="59" t="e" cm="1">
        <f t="array" ref="L41">INDEX($J$4:J1131, MATCH(1,(A41=$A$4:A1129)*(C41=$C$4:C1129)*("Y"=$K$4:K1131),0))</f>
        <v>#N/A</v>
      </c>
      <c r="M41" s="1">
        <v>100000000</v>
      </c>
      <c r="N41">
        <v>34</v>
      </c>
      <c r="O41">
        <v>66</v>
      </c>
      <c r="P41"/>
      <c r="Q41" s="6">
        <f>(SUM(Pcfu4[[#This Row],[R1]:[R3]]))/(Pcfu4[[#This Row],[No. Reps]]*0.025)*Pcfu4[[#This Row],[Best DF]]</f>
        <v>200000000000</v>
      </c>
      <c r="R41" s="1">
        <f>_xlfn.STDEV.S(Pcfu4[[#This Row],[R1]:[R3]])/0.025*Pcfu4[[#This Row],[Best DF]]</f>
        <v>90509667991.878082</v>
      </c>
      <c r="S41" s="6"/>
      <c r="T41" s="1"/>
      <c r="U41" s="7">
        <f>_xlfn.STDEV.S(Pcfu43[[#This Row],[R1]:[R3]])/AVERAGE(Pcfu43[[#This Row],[R1]:[R3]])</f>
        <v>2.3183828891362217E-2</v>
      </c>
      <c r="V41" s="96"/>
      <c r="W41" s="7"/>
      <c r="X41" t="s">
        <v>27</v>
      </c>
    </row>
    <row r="42" spans="1:24" x14ac:dyDescent="0.15">
      <c r="A42" t="s">
        <v>198</v>
      </c>
      <c r="B42" t="s">
        <v>199</v>
      </c>
      <c r="D42" t="s">
        <v>200</v>
      </c>
      <c r="E42" s="3">
        <v>3</v>
      </c>
      <c r="H42" s="5"/>
      <c r="I42" s="3" t="s">
        <v>28</v>
      </c>
      <c r="J42" s="59">
        <v>44833</v>
      </c>
      <c r="L42" s="59" t="e" cm="1">
        <f t="array" ref="L42">INDEX($J$4:J1132, MATCH(1,(A42=$A$4:A1130)*(C42=$C$4:C1130)*("Y"=$K$4:K1132),0))</f>
        <v>#N/A</v>
      </c>
      <c r="M42" s="1">
        <v>1000000</v>
      </c>
      <c r="N42">
        <v>131</v>
      </c>
      <c r="O42">
        <v>130</v>
      </c>
      <c r="P42">
        <v>103</v>
      </c>
      <c r="Q42" s="6">
        <f>(SUM(Pcfu4[[#This Row],[R1]:[R3]]))/(Pcfu4[[#This Row],[No. Reps]]*0.025)*Pcfu4[[#This Row],[Best DF]]</f>
        <v>4853333333.333333</v>
      </c>
      <c r="R42" s="1">
        <f>_xlfn.STDEV.S(Pcfu4[[#This Row],[R1]:[R3]])/0.025*Pcfu4[[#This Row],[Best DF]]</f>
        <v>635400136.39700413</v>
      </c>
      <c r="S42" s="6" t="e">
        <f>Pcfu4[[#This Row],[CFU/mL]]*Pcfu4[[#This Row],[mL]]/Pcfu4[[#This Row],[grams]]</f>
        <v>#DIV/0!</v>
      </c>
      <c r="T42" s="1" t="e">
        <f>Pcfu4[[#This Row],[SD CFU/mL]]*Pcfu4[[#This Row],[mL]]/Pcfu4[[#This Row],[grams]]</f>
        <v>#DIV/0!</v>
      </c>
      <c r="U42" s="7">
        <f>_xlfn.STDEV.S(Pcfu43[[#This Row],[R1]:[R3]])/AVERAGE(Pcfu43[[#This Row],[R1]:[R3]])</f>
        <v>6.2260974444098525E-2</v>
      </c>
      <c r="V42" s="96"/>
      <c r="W42" s="7"/>
      <c r="X42" t="s">
        <v>201</v>
      </c>
    </row>
    <row r="43" spans="1:24" x14ac:dyDescent="0.15">
      <c r="A43" t="s">
        <v>202</v>
      </c>
      <c r="B43" t="s">
        <v>199</v>
      </c>
      <c r="D43" t="s">
        <v>200</v>
      </c>
      <c r="E43" s="3">
        <v>3</v>
      </c>
      <c r="H43" s="5"/>
      <c r="I43" s="3" t="s">
        <v>28</v>
      </c>
      <c r="J43" s="59">
        <v>44833</v>
      </c>
      <c r="L43" s="59" t="e" cm="1">
        <f t="array" ref="L43">INDEX($J$4:J1133, MATCH(1,(A43=$A$4:A1131)*(C43=$C$4:C1131)*("Y"=$K$4:K1133),0))</f>
        <v>#N/A</v>
      </c>
      <c r="M43" s="1">
        <v>1000000</v>
      </c>
      <c r="N43">
        <v>134</v>
      </c>
      <c r="O43">
        <v>90</v>
      </c>
      <c r="P43">
        <v>110</v>
      </c>
      <c r="Q43" s="6">
        <f>(SUM(Pcfu4[[#This Row],[R1]:[R3]]))/(Pcfu4[[#This Row],[No. Reps]]*0.025)*Pcfu4[[#This Row],[Best DF]]</f>
        <v>4453333333.333333</v>
      </c>
      <c r="R43" s="1">
        <f>_xlfn.STDEV.S(Pcfu4[[#This Row],[R1]:[R3]])/0.025*Pcfu4[[#This Row],[Best DF]]</f>
        <v>881211287.56577516</v>
      </c>
      <c r="S43" s="6" t="e">
        <f>Pcfu4[[#This Row],[CFU/mL]]*Pcfu4[[#This Row],[mL]]/Pcfu4[[#This Row],[grams]]</f>
        <v>#DIV/0!</v>
      </c>
      <c r="T43" s="1" t="e">
        <f>Pcfu4[[#This Row],[SD CFU/mL]]*Pcfu4[[#This Row],[mL]]/Pcfu4[[#This Row],[grams]]</f>
        <v>#DIV/0!</v>
      </c>
      <c r="U43" s="7">
        <f>_xlfn.STDEV.S(Pcfu43[[#This Row],[R1]:[R3]])/AVERAGE(Pcfu43[[#This Row],[R1]:[R3]])</f>
        <v>4.5619792334615973E-2</v>
      </c>
      <c r="V43" s="96"/>
      <c r="W43" s="7"/>
      <c r="X43" t="s">
        <v>201</v>
      </c>
    </row>
    <row r="44" spans="1:24" x14ac:dyDescent="0.15">
      <c r="A44" t="s">
        <v>165</v>
      </c>
      <c r="B44" t="s">
        <v>168</v>
      </c>
      <c r="D44" t="s">
        <v>37</v>
      </c>
      <c r="E44" s="3">
        <v>2</v>
      </c>
      <c r="G44">
        <v>0.3</v>
      </c>
      <c r="H44" s="5">
        <f>19*Pcfu4[[#This Row],[grams]]</f>
        <v>5.7</v>
      </c>
      <c r="I44" s="3" t="s">
        <v>170</v>
      </c>
      <c r="J44" s="59">
        <v>44833</v>
      </c>
      <c r="L44" s="59" t="e" cm="1">
        <f t="array" ref="L44">INDEX($J$4:J1134, MATCH(1,(A44=$A$4:A1132)*(C44=$C$4:C1132)*("Y"=$K$4:K1134),0))</f>
        <v>#N/A</v>
      </c>
      <c r="M44" s="1">
        <v>100000</v>
      </c>
      <c r="N44">
        <v>52</v>
      </c>
      <c r="O44">
        <v>44</v>
      </c>
      <c r="P44"/>
      <c r="Q44" s="6">
        <f>(SUM(Pcfu4[[#This Row],[R1]:[R3]]))/(Pcfu4[[#This Row],[No. Reps]]*0.025)*Pcfu4[[#This Row],[Best DF]]</f>
        <v>192000000</v>
      </c>
      <c r="R44" s="1">
        <f>_xlfn.STDEV.S(Pcfu4[[#This Row],[R1]:[R3]])/0.025*Pcfu4[[#This Row],[Best DF]]</f>
        <v>22627416.997969523</v>
      </c>
      <c r="S44" s="6">
        <f>Pcfu4[[#This Row],[CFU/mL]]*Pcfu4[[#This Row],[mL]]/Pcfu4[[#This Row],[grams]]</f>
        <v>3648000000</v>
      </c>
      <c r="T44" s="1">
        <f>Pcfu4[[#This Row],[SD CFU/mL]]*Pcfu4[[#This Row],[mL]]/Pcfu4[[#This Row],[grams]]</f>
        <v>429920922.96142095</v>
      </c>
      <c r="U44" s="7">
        <f>_xlfn.STDEV.S(Pcfu43[[#This Row],[R1]:[R3]])/AVERAGE(Pcfu43[[#This Row],[R1]:[R3]])</f>
        <v>0.18678292333229557</v>
      </c>
      <c r="V44" s="96"/>
      <c r="W44" s="7"/>
      <c r="X44" t="s">
        <v>27</v>
      </c>
    </row>
    <row r="45" spans="1:24" x14ac:dyDescent="0.15">
      <c r="A45" t="s">
        <v>165</v>
      </c>
      <c r="B45" t="s">
        <v>168</v>
      </c>
      <c r="D45" t="s">
        <v>37</v>
      </c>
      <c r="E45" s="3">
        <v>2</v>
      </c>
      <c r="G45">
        <v>0.3</v>
      </c>
      <c r="H45" s="5">
        <f>19*Pcfu4[[#This Row],[grams]]</f>
        <v>5.7</v>
      </c>
      <c r="I45" s="3" t="s">
        <v>87</v>
      </c>
      <c r="J45" s="59">
        <v>44833</v>
      </c>
      <c r="L45" s="59" t="e" cm="1">
        <f t="array" ref="L45">INDEX($J$4:J1135, MATCH(1,(A45=$A$4:A1133)*(C45=$C$4:C1133)*("Y"=$K$4:K1135),0))</f>
        <v>#N/A</v>
      </c>
      <c r="M45" s="1">
        <v>100001</v>
      </c>
      <c r="N45">
        <v>37</v>
      </c>
      <c r="O45">
        <v>38</v>
      </c>
      <c r="P45"/>
      <c r="Q45" s="6">
        <f>(SUM(Pcfu4[[#This Row],[R1]:[R3]]))/(Pcfu4[[#This Row],[No. Reps]]*0.025)*Pcfu4[[#This Row],[Best DF]]</f>
        <v>150001500</v>
      </c>
      <c r="R45" s="1">
        <f>_xlfn.STDEV.S(Pcfu4[[#This Row],[R1]:[R3]])/0.025*Pcfu4[[#This Row],[Best DF]]</f>
        <v>2828455.4090174376</v>
      </c>
      <c r="S45" s="6">
        <f>Pcfu4[[#This Row],[CFU/mL]]*Pcfu4[[#This Row],[mL]]/Pcfu4[[#This Row],[grams]]</f>
        <v>2850028500</v>
      </c>
      <c r="T45" s="1">
        <f>Pcfu4[[#This Row],[SD CFU/mL]]*Pcfu4[[#This Row],[mL]]/Pcfu4[[#This Row],[grams]]</f>
        <v>53740652.771331318</v>
      </c>
      <c r="U45" s="7">
        <f>_xlfn.STDEV.S(Pcfu43[[#This Row],[R1]:[R3]])/AVERAGE(Pcfu43[[#This Row],[R1]:[R3]])</f>
        <v>1.5890040026663992E-2</v>
      </c>
      <c r="V45" s="96"/>
      <c r="W45" s="7"/>
      <c r="X45" t="s">
        <v>27</v>
      </c>
    </row>
    <row r="46" spans="1:24" x14ac:dyDescent="0.15">
      <c r="A46" t="s">
        <v>203</v>
      </c>
      <c r="B46" t="s">
        <v>204</v>
      </c>
      <c r="D46" t="s">
        <v>205</v>
      </c>
      <c r="E46" s="3">
        <v>2</v>
      </c>
      <c r="G46">
        <v>0.1</v>
      </c>
      <c r="H46" s="5">
        <f>19*Pcfu4[[#This Row],[grams]]</f>
        <v>1.9000000000000001</v>
      </c>
      <c r="I46" s="3" t="s">
        <v>170</v>
      </c>
      <c r="J46" s="59">
        <v>44834</v>
      </c>
      <c r="L46" s="59" t="e" cm="1">
        <f t="array" ref="L46">INDEX($J$4:J1136, MATCH(1,(A46=$A$4:A1134)*(C46=$C$4:C1134)*("Y"=$K$4:K1136),0))</f>
        <v>#N/A</v>
      </c>
      <c r="M46" s="1">
        <v>1000</v>
      </c>
      <c r="N46">
        <v>3</v>
      </c>
      <c r="O46">
        <v>1</v>
      </c>
      <c r="P46"/>
      <c r="Q46" s="6">
        <f>(SUM(Pcfu4[[#This Row],[R1]:[R3]]))/(Pcfu4[[#This Row],[No. Reps]]*0.025)*Pcfu4[[#This Row],[Best DF]]</f>
        <v>80000</v>
      </c>
      <c r="R46" s="1">
        <f>_xlfn.STDEV.S(Pcfu4[[#This Row],[R1]:[R3]])/0.025*Pcfu4[[#This Row],[Best DF]]</f>
        <v>56568.542494923808</v>
      </c>
      <c r="S46" s="6">
        <f>Pcfu4[[#This Row],[CFU/mL]]*Pcfu4[[#This Row],[mL]]/Pcfu4[[#This Row],[grams]]</f>
        <v>1520000</v>
      </c>
      <c r="T46" s="1">
        <f>Pcfu4[[#This Row],[SD CFU/mL]]*Pcfu4[[#This Row],[mL]]/Pcfu4[[#This Row],[grams]]</f>
        <v>1074802.3074035523</v>
      </c>
      <c r="U46" s="7">
        <f>_xlfn.STDEV.S(Pcfu43[[#This Row],[R1]:[R3]])/AVERAGE(Pcfu43[[#This Row],[R1]:[R3]])</f>
        <v>0.13131983079178738</v>
      </c>
      <c r="V46" s="96"/>
      <c r="W46" s="7" t="s">
        <v>206</v>
      </c>
      <c r="X46" t="s">
        <v>207</v>
      </c>
    </row>
    <row r="47" spans="1:24" x14ac:dyDescent="0.15">
      <c r="A47" t="s">
        <v>208</v>
      </c>
      <c r="B47" t="s">
        <v>204</v>
      </c>
      <c r="D47" t="s">
        <v>205</v>
      </c>
      <c r="E47" s="3">
        <v>2</v>
      </c>
      <c r="G47">
        <v>0.1</v>
      </c>
      <c r="H47" s="5">
        <f>19*Pcfu4[[#This Row],[grams]]</f>
        <v>1.9000000000000001</v>
      </c>
      <c r="I47" s="3" t="s">
        <v>170</v>
      </c>
      <c r="J47" s="59">
        <v>44834</v>
      </c>
      <c r="L47" s="59" t="e" cm="1">
        <f t="array" ref="L47">INDEX($J$4:J1137, MATCH(1,(A47=$A$4:A1135)*(C47=$C$4:C1135)*("Y"=$K$4:K1137),0))</f>
        <v>#N/A</v>
      </c>
      <c r="M47" s="1">
        <v>1000</v>
      </c>
      <c r="N47">
        <v>19</v>
      </c>
      <c r="O47">
        <v>28</v>
      </c>
      <c r="P47"/>
      <c r="Q47" s="6">
        <f>(SUM(Pcfu4[[#This Row],[R1]:[R3]]))/(Pcfu4[[#This Row],[No. Reps]]*0.025)*Pcfu4[[#This Row],[Best DF]]</f>
        <v>940000</v>
      </c>
      <c r="R47" s="1">
        <f>_xlfn.STDEV.S(Pcfu4[[#This Row],[R1]:[R3]])/0.025*Pcfu4[[#This Row],[Best DF]]</f>
        <v>254558.44122715708</v>
      </c>
      <c r="S47" s="6">
        <f>Pcfu4[[#This Row],[CFU/mL]]*Pcfu4[[#This Row],[mL]]/Pcfu4[[#This Row],[grams]]</f>
        <v>17860000</v>
      </c>
      <c r="T47" s="1">
        <f>Pcfu4[[#This Row],[SD CFU/mL]]*Pcfu4[[#This Row],[mL]]/Pcfu4[[#This Row],[grams]]</f>
        <v>4836610.3833159842</v>
      </c>
      <c r="U47" s="7">
        <f>_xlfn.STDEV.S(Pcfu43[[#This Row],[R1]:[R3]])/AVERAGE(Pcfu43[[#This Row],[R1]:[R3]])</f>
        <v>7.5884630176117296E-2</v>
      </c>
      <c r="V47" s="96"/>
      <c r="W47" s="7" t="s">
        <v>206</v>
      </c>
      <c r="X47" t="s">
        <v>207</v>
      </c>
    </row>
    <row r="48" spans="1:24" x14ac:dyDescent="0.15">
      <c r="A48" t="s">
        <v>209</v>
      </c>
      <c r="B48" t="s">
        <v>204</v>
      </c>
      <c r="D48" t="s">
        <v>205</v>
      </c>
      <c r="E48" s="3">
        <v>2</v>
      </c>
      <c r="G48">
        <v>0.1</v>
      </c>
      <c r="H48" s="5">
        <f>19*Pcfu4[[#This Row],[grams]]</f>
        <v>1.9000000000000001</v>
      </c>
      <c r="I48" s="3" t="s">
        <v>170</v>
      </c>
      <c r="J48" s="59">
        <v>44834</v>
      </c>
      <c r="L48" s="59" t="e" cm="1">
        <f t="array" ref="L48">INDEX($J$4:J1138, MATCH(1,(A48=$A$4:A1136)*(C48=$C$4:C1136)*("Y"=$K$4:K1138),0))</f>
        <v>#N/A</v>
      </c>
      <c r="M48" s="1">
        <v>1000</v>
      </c>
      <c r="N48">
        <v>4</v>
      </c>
      <c r="O48">
        <v>1</v>
      </c>
      <c r="P48"/>
      <c r="Q48" s="6">
        <f>(SUM(Pcfu4[[#This Row],[R1]:[R3]]))/(Pcfu4[[#This Row],[No. Reps]]*0.025)*Pcfu4[[#This Row],[Best DF]]</f>
        <v>100000</v>
      </c>
      <c r="R48" s="1">
        <f>_xlfn.STDEV.S(Pcfu4[[#This Row],[R1]:[R3]])/0.025*Pcfu4[[#This Row],[Best DF]]</f>
        <v>84852.813742385697</v>
      </c>
      <c r="S48" s="6">
        <f>Pcfu4[[#This Row],[CFU/mL]]*Pcfu4[[#This Row],[mL]]/Pcfu4[[#This Row],[grams]]</f>
        <v>1900000</v>
      </c>
      <c r="T48" s="1">
        <f>Pcfu4[[#This Row],[SD CFU/mL]]*Pcfu4[[#This Row],[mL]]/Pcfu4[[#This Row],[grams]]</f>
        <v>1612203.4611053283</v>
      </c>
      <c r="U48" s="7">
        <f>_xlfn.STDEV.S(Pcfu43[[#This Row],[R1]:[R3]])/AVERAGE(Pcfu43[[#This Row],[R1]:[R3]])</f>
        <v>9.5257908346374279E-2</v>
      </c>
      <c r="V48" s="96"/>
      <c r="W48" s="7" t="s">
        <v>206</v>
      </c>
      <c r="X48" t="s">
        <v>207</v>
      </c>
    </row>
    <row r="49" spans="1:24" x14ac:dyDescent="0.15">
      <c r="A49" t="s">
        <v>210</v>
      </c>
      <c r="B49" t="s">
        <v>204</v>
      </c>
      <c r="D49" t="s">
        <v>205</v>
      </c>
      <c r="E49" s="3">
        <v>2</v>
      </c>
      <c r="G49">
        <v>0.1</v>
      </c>
      <c r="H49" s="5">
        <f>19*Pcfu4[[#This Row],[grams]]</f>
        <v>1.9000000000000001</v>
      </c>
      <c r="I49" s="3" t="s">
        <v>170</v>
      </c>
      <c r="J49" s="59">
        <v>44834</v>
      </c>
      <c r="L49" s="59" t="e" cm="1">
        <f t="array" ref="L49">INDEX($J$4:J1139, MATCH(1,(A49=$A$4:A1137)*(C49=$C$4:C1137)*("Y"=$K$4:K1139),0))</f>
        <v>#N/A</v>
      </c>
      <c r="M49" s="1">
        <v>1000</v>
      </c>
      <c r="N49">
        <v>8</v>
      </c>
      <c r="O49">
        <v>7</v>
      </c>
      <c r="P49"/>
      <c r="Q49" s="6">
        <f>(SUM(Pcfu4[[#This Row],[R1]:[R3]]))/(Pcfu4[[#This Row],[No. Reps]]*0.025)*Pcfu4[[#This Row],[Best DF]]</f>
        <v>300000</v>
      </c>
      <c r="R49" s="1">
        <f>_xlfn.STDEV.S(Pcfu4[[#This Row],[R1]:[R3]])/0.025*Pcfu4[[#This Row],[Best DF]]</f>
        <v>28284.271247461904</v>
      </c>
      <c r="S49" s="6">
        <f>Pcfu4[[#This Row],[CFU/mL]]*Pcfu4[[#This Row],[mL]]/Pcfu4[[#This Row],[grams]]</f>
        <v>5700000</v>
      </c>
      <c r="T49" s="1">
        <f>Pcfu4[[#This Row],[SD CFU/mL]]*Pcfu4[[#This Row],[mL]]/Pcfu4[[#This Row],[grams]]</f>
        <v>537401.15370177617</v>
      </c>
      <c r="U49" s="7">
        <f>_xlfn.STDEV.S(Pcfu43[[#This Row],[R1]:[R3]])/AVERAGE(Pcfu43[[#This Row],[R1]:[R3]])</f>
        <v>8.6049451179177602E-2</v>
      </c>
      <c r="V49" s="96"/>
      <c r="W49" s="7" t="s">
        <v>206</v>
      </c>
      <c r="X49" t="s">
        <v>207</v>
      </c>
    </row>
    <row r="50" spans="1:24" x14ac:dyDescent="0.15">
      <c r="A50" t="s">
        <v>211</v>
      </c>
      <c r="B50" t="s">
        <v>204</v>
      </c>
      <c r="D50" t="s">
        <v>205</v>
      </c>
      <c r="E50" s="3">
        <v>2</v>
      </c>
      <c r="G50">
        <v>0.1</v>
      </c>
      <c r="H50" s="5">
        <f>19*Pcfu4[[#This Row],[grams]]</f>
        <v>1.9000000000000001</v>
      </c>
      <c r="I50" s="3" t="s">
        <v>170</v>
      </c>
      <c r="J50" s="59">
        <v>44834</v>
      </c>
      <c r="L50" s="59" t="e" cm="1">
        <f t="array" ref="L50">INDEX($J$4:J1140, MATCH(1,(A50=$A$4:A1138)*(C50=$C$4:C1138)*("Y"=$K$4:K1140),0))</f>
        <v>#N/A</v>
      </c>
      <c r="M50" s="1">
        <v>10000</v>
      </c>
      <c r="N50">
        <v>70</v>
      </c>
      <c r="O50">
        <v>84</v>
      </c>
      <c r="P50"/>
      <c r="Q50" s="6">
        <f>(SUM(Pcfu4[[#This Row],[R1]:[R3]]))/(Pcfu4[[#This Row],[No. Reps]]*0.025)*Pcfu4[[#This Row],[Best DF]]</f>
        <v>30800000</v>
      </c>
      <c r="R50" s="1">
        <f>_xlfn.STDEV.S(Pcfu4[[#This Row],[R1]:[R3]])/0.025*Pcfu4[[#This Row],[Best DF]]</f>
        <v>3959797.9746446656</v>
      </c>
      <c r="S50" s="6">
        <f>Pcfu4[[#This Row],[CFU/mL]]*Pcfu4[[#This Row],[mL]]/Pcfu4[[#This Row],[grams]]</f>
        <v>585200000</v>
      </c>
      <c r="T50" s="1">
        <f>Pcfu4[[#This Row],[SD CFU/mL]]*Pcfu4[[#This Row],[mL]]/Pcfu4[[#This Row],[grams]]</f>
        <v>75236161.518248647</v>
      </c>
      <c r="U50" s="7">
        <f>_xlfn.STDEV.S(Pcfu43[[#This Row],[R1]:[R3]])/AVERAGE(Pcfu43[[#This Row],[R1]:[R3]])</f>
        <v>9.9990868830734755E-2</v>
      </c>
      <c r="V50" s="96"/>
      <c r="W50" s="7" t="s">
        <v>206</v>
      </c>
      <c r="X50" t="s">
        <v>207</v>
      </c>
    </row>
    <row r="51" spans="1:24" x14ac:dyDescent="0.15">
      <c r="A51" t="s">
        <v>212</v>
      </c>
      <c r="B51" t="s">
        <v>204</v>
      </c>
      <c r="D51" t="s">
        <v>205</v>
      </c>
      <c r="E51" s="3">
        <v>2</v>
      </c>
      <c r="G51">
        <v>0.1</v>
      </c>
      <c r="H51" s="5">
        <f>19*Pcfu4[[#This Row],[grams]]</f>
        <v>1.9000000000000001</v>
      </c>
      <c r="I51" s="3" t="s">
        <v>170</v>
      </c>
      <c r="J51" s="59">
        <v>44834</v>
      </c>
      <c r="L51" s="59" t="e" cm="1">
        <f t="array" ref="L51">INDEX($J$4:J1141, MATCH(1,(A51=$A$4:A1139)*(C51=$C$4:C1139)*("Y"=$K$4:K1141),0))</f>
        <v>#N/A</v>
      </c>
      <c r="M51" s="1">
        <v>1000</v>
      </c>
      <c r="N51">
        <v>5</v>
      </c>
      <c r="O51">
        <v>3</v>
      </c>
      <c r="P51"/>
      <c r="Q51" s="6">
        <f>(SUM(Pcfu4[[#This Row],[R1]:[R3]]))/(Pcfu4[[#This Row],[No. Reps]]*0.025)*Pcfu4[[#This Row],[Best DF]]</f>
        <v>160000</v>
      </c>
      <c r="R51" s="1">
        <f>_xlfn.STDEV.S(Pcfu4[[#This Row],[R1]:[R3]])/0.025*Pcfu4[[#This Row],[Best DF]]</f>
        <v>56568.542494923808</v>
      </c>
      <c r="S51" s="6">
        <f>Pcfu4[[#This Row],[CFU/mL]]*Pcfu4[[#This Row],[mL]]/Pcfu4[[#This Row],[grams]]</f>
        <v>3040000</v>
      </c>
      <c r="T51" s="1">
        <f>Pcfu4[[#This Row],[SD CFU/mL]]*Pcfu4[[#This Row],[mL]]/Pcfu4[[#This Row],[grams]]</f>
        <v>1074802.3074035523</v>
      </c>
      <c r="U51" s="7">
        <f>_xlfn.STDEV.S(Pcfu43[[#This Row],[R1]:[R3]])/AVERAGE(Pcfu43[[#This Row],[R1]:[R3]])</f>
        <v>0.20268679663040035</v>
      </c>
      <c r="V51" s="96"/>
      <c r="W51" s="7" t="s">
        <v>206</v>
      </c>
      <c r="X51" t="s">
        <v>207</v>
      </c>
    </row>
    <row r="52" spans="1:24" x14ac:dyDescent="0.15">
      <c r="A52" t="s">
        <v>213</v>
      </c>
      <c r="B52" t="s">
        <v>214</v>
      </c>
      <c r="D52" t="s">
        <v>215</v>
      </c>
      <c r="E52" s="3">
        <v>2</v>
      </c>
      <c r="G52">
        <v>0.3</v>
      </c>
      <c r="H52" s="5">
        <f>19*Pcfu4[[#This Row],[grams]]</f>
        <v>5.7</v>
      </c>
      <c r="I52" s="3" t="s">
        <v>170</v>
      </c>
      <c r="J52" s="59">
        <v>44837</v>
      </c>
      <c r="L52" s="59" t="e" cm="1">
        <f t="array" ref="L52">INDEX($J$4:J1142, MATCH(1,(A52=$A$4:A1140)*(C52=$C$4:C1140)*("Y"=$K$4:K1142),0))</f>
        <v>#N/A</v>
      </c>
      <c r="M52" s="1">
        <v>1000000</v>
      </c>
      <c r="N52">
        <v>88</v>
      </c>
      <c r="O52">
        <v>75</v>
      </c>
      <c r="P52"/>
      <c r="Q52" s="6">
        <f>(SUM(Pcfu4[[#This Row],[R1]:[R3]]))/(Pcfu4[[#This Row],[No. Reps]]*0.025)*Pcfu4[[#This Row],[Best DF]]</f>
        <v>3260000000</v>
      </c>
      <c r="R52" s="1">
        <f>_xlfn.STDEV.S(Pcfu4[[#This Row],[R1]:[R3]])/0.025*Pcfu4[[#This Row],[Best DF]]</f>
        <v>367695526.21700466</v>
      </c>
      <c r="S52" s="6">
        <f>Pcfu4[[#This Row],[CFU/mL]]*Pcfu4[[#This Row],[mL]]/Pcfu4[[#This Row],[grams]]</f>
        <v>61940000000</v>
      </c>
      <c r="T52" s="1">
        <f>Pcfu4[[#This Row],[SD CFU/mL]]*Pcfu4[[#This Row],[mL]]/Pcfu4[[#This Row],[grams]]</f>
        <v>6986214998.1230888</v>
      </c>
      <c r="U52" s="7">
        <f>_xlfn.STDEV.S(Pcfu43[[#This Row],[R1]:[R3]])/AVERAGE(Pcfu43[[#This Row],[R1]:[R3]])</f>
        <v>7.8852373370960432E-2</v>
      </c>
      <c r="V52" s="96"/>
      <c r="W52" s="7" t="s">
        <v>206</v>
      </c>
      <c r="X52" t="s">
        <v>207</v>
      </c>
    </row>
    <row r="53" spans="1:24" x14ac:dyDescent="0.15">
      <c r="A53" t="s">
        <v>216</v>
      </c>
      <c r="B53" t="s">
        <v>214</v>
      </c>
      <c r="D53" t="s">
        <v>217</v>
      </c>
      <c r="E53" s="3">
        <v>2</v>
      </c>
      <c r="G53">
        <v>0.3</v>
      </c>
      <c r="H53" s="5">
        <v>5.7</v>
      </c>
      <c r="I53" s="3" t="s">
        <v>170</v>
      </c>
      <c r="J53" s="59">
        <v>44839</v>
      </c>
      <c r="L53" s="59" t="e" cm="1">
        <f t="array" ref="L53">INDEX($J$4:J1143, MATCH(1,(A53=$A$4:A1141)*(C53=$C$4:C1141)*("Y"=$K$4:K1143),0))</f>
        <v>#N/A</v>
      </c>
      <c r="M53" s="1">
        <v>10000</v>
      </c>
      <c r="N53">
        <v>42</v>
      </c>
      <c r="O53">
        <v>44</v>
      </c>
      <c r="P53"/>
      <c r="Q53" s="6">
        <f>(SUM(Pcfu4[[#This Row],[R1]:[R3]]))/(Pcfu4[[#This Row],[No. Reps]]*0.025)*Pcfu4[[#This Row],[Best DF]]</f>
        <v>17200000</v>
      </c>
      <c r="R53" s="1">
        <f>_xlfn.STDEV.S(Pcfu4[[#This Row],[R1]:[R3]])/0.025*Pcfu4[[#This Row],[Best DF]]</f>
        <v>565685.42494923808</v>
      </c>
      <c r="S53" s="6">
        <f>Pcfu4[[#This Row],[CFU/mL]]*Pcfu4[[#This Row],[mL]]/Pcfu4[[#This Row],[grams]]</f>
        <v>326800000</v>
      </c>
      <c r="T53" s="1">
        <f>Pcfu4[[#This Row],[SD CFU/mL]]*Pcfu4[[#This Row],[mL]]/Pcfu4[[#This Row],[grams]]</f>
        <v>10748023.074035523</v>
      </c>
      <c r="U53" s="7">
        <f>_xlfn.STDEV.S(Pcfu43[[#This Row],[R1]:[R3]])/AVERAGE(Pcfu43[[#This Row],[R1]:[R3]])</f>
        <v>4.3372972312534272E-2</v>
      </c>
      <c r="V53" s="96"/>
      <c r="W53" s="7"/>
      <c r="X53" s="1"/>
    </row>
    <row r="54" spans="1:24" x14ac:dyDescent="0.15">
      <c r="A54" t="s">
        <v>216</v>
      </c>
      <c r="B54" t="s">
        <v>214</v>
      </c>
      <c r="D54" t="s">
        <v>217</v>
      </c>
      <c r="E54" s="3">
        <v>2</v>
      </c>
      <c r="G54">
        <v>0.1</v>
      </c>
      <c r="H54" s="5">
        <f>19*Pcfu4[[#This Row],[grams]]</f>
        <v>1.9000000000000001</v>
      </c>
      <c r="I54" s="3" t="s">
        <v>98</v>
      </c>
      <c r="J54" s="59">
        <v>44839</v>
      </c>
      <c r="L54" s="59" t="e" cm="1">
        <f t="array" ref="L54">INDEX($J$4:J1144, MATCH(1,(A54=$A$4:A1142)*(C54=$C$4:C1142)*("Y"=$K$4:K1144),0))</f>
        <v>#N/A</v>
      </c>
      <c r="M54" s="1">
        <v>10000</v>
      </c>
      <c r="N54">
        <v>37</v>
      </c>
      <c r="O54">
        <v>45</v>
      </c>
      <c r="P54"/>
      <c r="Q54" s="6">
        <f>(SUM(Pcfu4[[#This Row],[R1]:[R3]]))/(Pcfu4[[#This Row],[No. Reps]]*0.025)*Pcfu4[[#This Row],[Best DF]]</f>
        <v>16400000</v>
      </c>
      <c r="R54" s="1">
        <f>_xlfn.STDEV.S(Pcfu4[[#This Row],[R1]:[R3]])/0.025*Pcfu4[[#This Row],[Best DF]]</f>
        <v>2262741.6997969523</v>
      </c>
      <c r="S54" s="6">
        <f>Pcfu4[[#This Row],[CFU/mL]]*Pcfu4[[#This Row],[mL]]/Pcfu4[[#This Row],[grams]]</f>
        <v>311600000</v>
      </c>
      <c r="T54" s="1">
        <f>Pcfu4[[#This Row],[SD CFU/mL]]*Pcfu4[[#This Row],[mL]]/Pcfu4[[#This Row],[grams]]</f>
        <v>42992092.296142094</v>
      </c>
      <c r="U54" s="7">
        <f>_xlfn.STDEV.S(Pcfu43[[#This Row],[R1]:[R3]])/AVERAGE(Pcfu43[[#This Row],[R1]:[R3]])</f>
        <v>9.1392523703385936E-2</v>
      </c>
      <c r="V54" s="96"/>
      <c r="W54" s="7"/>
      <c r="X54" s="7">
        <f>(Pcfu4[[#This Row],[CFU/g]]-S60)/Pcfu4[[#This Row],[CFU/g]]</f>
        <v>0.96609756097560973</v>
      </c>
    </row>
    <row r="55" spans="1:24" x14ac:dyDescent="0.15">
      <c r="A55" t="s">
        <v>218</v>
      </c>
      <c r="B55" t="s">
        <v>214</v>
      </c>
      <c r="D55" t="s">
        <v>217</v>
      </c>
      <c r="E55" s="3">
        <v>2</v>
      </c>
      <c r="G55">
        <v>0.3</v>
      </c>
      <c r="H55" s="5">
        <v>5.7</v>
      </c>
      <c r="I55" s="3" t="s">
        <v>170</v>
      </c>
      <c r="J55" s="59">
        <v>44839</v>
      </c>
      <c r="L55" s="59" t="e" cm="1">
        <f t="array" ref="L55">INDEX($J$4:J1145, MATCH(1,(A55=$A$4:A1143)*(C55=$C$4:C1143)*("Y"=$K$4:K1145),0))</f>
        <v>#N/A</v>
      </c>
      <c r="M55" s="1">
        <v>10000</v>
      </c>
      <c r="N55">
        <v>23</v>
      </c>
      <c r="O55">
        <v>15</v>
      </c>
      <c r="P55"/>
      <c r="Q55" s="6">
        <f>(SUM(Pcfu4[[#This Row],[R1]:[R3]]))/(Pcfu4[[#This Row],[No. Reps]]*0.025)*Pcfu4[[#This Row],[Best DF]]</f>
        <v>7600000</v>
      </c>
      <c r="R55" s="1">
        <f>_xlfn.STDEV.S(Pcfu4[[#This Row],[R1]:[R3]])/0.025*Pcfu4[[#This Row],[Best DF]]</f>
        <v>2262741.6997969523</v>
      </c>
      <c r="S55" s="6">
        <f>Pcfu4[[#This Row],[CFU/mL]]*Pcfu4[[#This Row],[mL]]/Pcfu4[[#This Row],[grams]]</f>
        <v>144400000</v>
      </c>
      <c r="T55" s="1">
        <f>Pcfu4[[#This Row],[SD CFU/mL]]*Pcfu4[[#This Row],[mL]]/Pcfu4[[#This Row],[grams]]</f>
        <v>42992092.296142094</v>
      </c>
      <c r="U55" s="7">
        <f>_xlfn.STDEV.S(Pcfu43[[#This Row],[R1]:[R3]])/AVERAGE(Pcfu43[[#This Row],[R1]:[R3]])</f>
        <v>3.6021302932883081E-2</v>
      </c>
      <c r="V55" s="96"/>
      <c r="W55" s="7"/>
      <c r="X55" s="1"/>
    </row>
    <row r="56" spans="1:24" x14ac:dyDescent="0.15">
      <c r="A56" t="s">
        <v>218</v>
      </c>
      <c r="B56" t="s">
        <v>214</v>
      </c>
      <c r="D56" t="s">
        <v>217</v>
      </c>
      <c r="E56" s="3">
        <v>2</v>
      </c>
      <c r="G56">
        <v>0.1</v>
      </c>
      <c r="H56" s="5">
        <f>19*Pcfu4[[#This Row],[grams]]</f>
        <v>1.9000000000000001</v>
      </c>
      <c r="I56" s="3" t="s">
        <v>98</v>
      </c>
      <c r="J56" s="59">
        <v>44839</v>
      </c>
      <c r="L56" s="59" t="e" cm="1">
        <f t="array" ref="L56">INDEX($J$4:J1146, MATCH(1,(A56=$A$4:A1144)*(C56=$C$4:C1144)*("Y"=$K$4:K1146),0))</f>
        <v>#N/A</v>
      </c>
      <c r="M56" s="1">
        <v>10000</v>
      </c>
      <c r="N56">
        <v>25</v>
      </c>
      <c r="O56">
        <v>17</v>
      </c>
      <c r="P56"/>
      <c r="Q56" s="6">
        <f>(SUM(Pcfu4[[#This Row],[R1]:[R3]]))/(Pcfu4[[#This Row],[No. Reps]]*0.025)*Pcfu4[[#This Row],[Best DF]]</f>
        <v>8400000</v>
      </c>
      <c r="R56" s="1">
        <f>_xlfn.STDEV.S(Pcfu4[[#This Row],[R1]:[R3]])/0.025*Pcfu4[[#This Row],[Best DF]]</f>
        <v>2262741.6997969523</v>
      </c>
      <c r="S56" s="6">
        <f>Pcfu4[[#This Row],[CFU/mL]]*Pcfu4[[#This Row],[mL]]/Pcfu4[[#This Row],[grams]]</f>
        <v>159600000</v>
      </c>
      <c r="T56" s="1">
        <f>Pcfu4[[#This Row],[SD CFU/mL]]*Pcfu4[[#This Row],[mL]]/Pcfu4[[#This Row],[grams]]</f>
        <v>42992092.296142094</v>
      </c>
      <c r="U56" s="7">
        <f>_xlfn.STDEV.S(Pcfu43[[#This Row],[R1]:[R3]])/AVERAGE(Pcfu43[[#This Row],[R1]:[R3]])</f>
        <v>0.13178647448893599</v>
      </c>
      <c r="V56" s="96"/>
      <c r="W56" s="7"/>
      <c r="X56" s="7">
        <f>(Pcfu4[[#This Row],[CFU/g]]-S62)/Pcfu4[[#This Row],[CFU/g]]</f>
        <v>0.95642857142857141</v>
      </c>
    </row>
    <row r="57" spans="1:24" x14ac:dyDescent="0.15">
      <c r="A57" t="s">
        <v>219</v>
      </c>
      <c r="B57" t="s">
        <v>214</v>
      </c>
      <c r="D57" t="s">
        <v>217</v>
      </c>
      <c r="E57" s="3">
        <v>2</v>
      </c>
      <c r="G57">
        <v>0.3</v>
      </c>
      <c r="H57" s="5">
        <v>5.7</v>
      </c>
      <c r="I57" s="3" t="s">
        <v>170</v>
      </c>
      <c r="J57" s="59">
        <v>44839</v>
      </c>
      <c r="L57" s="59" t="e" cm="1">
        <f t="array" ref="L57">INDEX($J$4:J1147, MATCH(1,(A57=$A$4:A1145)*(C57=$C$4:C1145)*("Y"=$K$4:K1147),0))</f>
        <v>#N/A</v>
      </c>
      <c r="M57" s="1">
        <v>10000</v>
      </c>
      <c r="N57">
        <v>50</v>
      </c>
      <c r="O57">
        <v>63</v>
      </c>
      <c r="P57"/>
      <c r="Q57" s="6">
        <f>(SUM(Pcfu4[[#This Row],[R1]:[R3]]))/(Pcfu4[[#This Row],[No. Reps]]*0.025)*Pcfu4[[#This Row],[Best DF]]</f>
        <v>22600000</v>
      </c>
      <c r="R57" s="1">
        <f>_xlfn.STDEV.S(Pcfu4[[#This Row],[R1]:[R3]])/0.025*Pcfu4[[#This Row],[Best DF]]</f>
        <v>3676955.2621700466</v>
      </c>
      <c r="S57" s="6">
        <f>Pcfu4[[#This Row],[CFU/mL]]*Pcfu4[[#This Row],[mL]]/Pcfu4[[#This Row],[grams]]</f>
        <v>429400000</v>
      </c>
      <c r="T57" s="1">
        <f>Pcfu4[[#This Row],[SD CFU/mL]]*Pcfu4[[#This Row],[mL]]/Pcfu4[[#This Row],[grams]]</f>
        <v>69862149.981230885</v>
      </c>
      <c r="U57" s="7">
        <f>_xlfn.STDEV.S(Pcfu43[[#This Row],[R1]:[R3]])/AVERAGE(Pcfu43[[#This Row],[R1]:[R3]])</f>
        <v>7.5932576611630082E-2</v>
      </c>
      <c r="V57" s="96"/>
      <c r="W57" s="7"/>
      <c r="X57" s="1"/>
    </row>
    <row r="58" spans="1:24" x14ac:dyDescent="0.15">
      <c r="A58" t="s">
        <v>219</v>
      </c>
      <c r="B58" t="s">
        <v>214</v>
      </c>
      <c r="D58" t="s">
        <v>217</v>
      </c>
      <c r="E58" s="3">
        <v>2</v>
      </c>
      <c r="G58">
        <v>0.1</v>
      </c>
      <c r="H58" s="5">
        <f>19*Pcfu4[[#This Row],[grams]]</f>
        <v>1.9000000000000001</v>
      </c>
      <c r="I58" s="3" t="s">
        <v>98</v>
      </c>
      <c r="J58" s="59">
        <v>44839</v>
      </c>
      <c r="L58" s="59" t="e" cm="1">
        <f t="array" ref="L58">INDEX($J$4:J1148, MATCH(1,(A58=$A$4:A1146)*(C58=$C$4:C1146)*("Y"=$K$4:K1148),0))</f>
        <v>#N/A</v>
      </c>
      <c r="M58" s="1">
        <v>10000</v>
      </c>
      <c r="N58">
        <v>56</v>
      </c>
      <c r="O58">
        <v>55</v>
      </c>
      <c r="P58"/>
      <c r="Q58" s="6">
        <f>(SUM(Pcfu4[[#This Row],[R1]:[R3]]))/(Pcfu4[[#This Row],[No. Reps]]*0.025)*Pcfu4[[#This Row],[Best DF]]</f>
        <v>22200000</v>
      </c>
      <c r="R58" s="1">
        <f>_xlfn.STDEV.S(Pcfu4[[#This Row],[R1]:[R3]])/0.025*Pcfu4[[#This Row],[Best DF]]</f>
        <v>282842.71247461904</v>
      </c>
      <c r="S58" s="6">
        <f>Pcfu4[[#This Row],[CFU/mL]]*Pcfu4[[#This Row],[mL]]/Pcfu4[[#This Row],[grams]]</f>
        <v>421800000</v>
      </c>
      <c r="T58" s="1">
        <f>Pcfu4[[#This Row],[SD CFU/mL]]*Pcfu4[[#This Row],[mL]]/Pcfu4[[#This Row],[grams]]</f>
        <v>5374011.5370177617</v>
      </c>
      <c r="U58" s="7">
        <f>_xlfn.STDEV.S(Pcfu43[[#This Row],[R1]:[R3]])/AVERAGE(Pcfu43[[#This Row],[R1]:[R3]])</f>
        <v>8.2171026294715774E-2</v>
      </c>
      <c r="V58" s="96"/>
      <c r="W58" s="7"/>
      <c r="X58" s="7">
        <f>(Pcfu4[[#This Row],[CFU/g]]-S64)/Pcfu4[[#This Row],[CFU/g]]</f>
        <v>0.93153153153153156</v>
      </c>
    </row>
    <row r="59" spans="1:24" x14ac:dyDescent="0.15">
      <c r="A59" t="s">
        <v>220</v>
      </c>
      <c r="B59" t="s">
        <v>214</v>
      </c>
      <c r="D59" t="s">
        <v>217</v>
      </c>
      <c r="E59" s="3">
        <v>2</v>
      </c>
      <c r="G59">
        <v>0.3</v>
      </c>
      <c r="H59" s="5">
        <v>5.7</v>
      </c>
      <c r="I59" s="3" t="s">
        <v>170</v>
      </c>
      <c r="J59" s="59">
        <v>44839</v>
      </c>
      <c r="L59" s="59" t="e" cm="1">
        <f t="array" ref="L59">INDEX($J$4:J1149, MATCH(1,(A59=$A$4:A1147)*(C59=$C$4:C1147)*("Y"=$K$4:K1149),0))</f>
        <v>#N/A</v>
      </c>
      <c r="M59" s="1">
        <v>100</v>
      </c>
      <c r="N59">
        <v>172</v>
      </c>
      <c r="O59">
        <v>146</v>
      </c>
      <c r="P59"/>
      <c r="Q59" s="6">
        <f>(SUM(Pcfu4[[#This Row],[R1]:[R3]]))/(Pcfu4[[#This Row],[No. Reps]]*0.025)*Pcfu4[[#This Row],[Best DF]]</f>
        <v>636000</v>
      </c>
      <c r="R59" s="1">
        <f>_xlfn.STDEV.S(Pcfu4[[#This Row],[R1]:[R3]])/0.025*Pcfu4[[#This Row],[Best DF]]</f>
        <v>73539.105243400933</v>
      </c>
      <c r="S59" s="6">
        <f>Pcfu4[[#This Row],[CFU/mL]]*Pcfu4[[#This Row],[mL]]/Pcfu4[[#This Row],[grams]]</f>
        <v>12084000</v>
      </c>
      <c r="T59" s="1">
        <f>Pcfu4[[#This Row],[SD CFU/mL]]*Pcfu4[[#This Row],[mL]]/Pcfu4[[#This Row],[grams]]</f>
        <v>1397242.9996246179</v>
      </c>
      <c r="U59" s="7">
        <f>_xlfn.STDEV.S(Pcfu43[[#This Row],[R1]:[R3]])/AVERAGE(Pcfu43[[#This Row],[R1]:[R3]])</f>
        <v>0.16035315292336588</v>
      </c>
      <c r="V59" s="96"/>
      <c r="W59" s="7"/>
      <c r="X59" s="1"/>
    </row>
    <row r="60" spans="1:24" x14ac:dyDescent="0.15">
      <c r="A60" t="s">
        <v>220</v>
      </c>
      <c r="B60" t="s">
        <v>214</v>
      </c>
      <c r="D60" t="s">
        <v>217</v>
      </c>
      <c r="E60" s="3">
        <v>2</v>
      </c>
      <c r="G60">
        <v>0.1</v>
      </c>
      <c r="H60" s="5">
        <f>19*Pcfu4[[#This Row],[grams]]</f>
        <v>1.9000000000000001</v>
      </c>
      <c r="I60" s="3" t="s">
        <v>98</v>
      </c>
      <c r="J60" s="59">
        <v>44839</v>
      </c>
      <c r="L60" s="59" t="e" cm="1">
        <f t="array" ref="L60">INDEX($J$4:J1150, MATCH(1,(A60=$A$4:A1148)*(C60=$C$4:C1148)*("Y"=$K$4:K1150),0))</f>
        <v>#N/A</v>
      </c>
      <c r="M60" s="1">
        <v>100</v>
      </c>
      <c r="N60">
        <v>143</v>
      </c>
      <c r="O60">
        <v>135</v>
      </c>
      <c r="P60"/>
      <c r="Q60" s="6">
        <f>(SUM(Pcfu4[[#This Row],[R1]:[R3]]))/(Pcfu4[[#This Row],[No. Reps]]*0.025)*Pcfu4[[#This Row],[Best DF]]</f>
        <v>556000</v>
      </c>
      <c r="R60" s="1">
        <f>_xlfn.STDEV.S(Pcfu4[[#This Row],[R1]:[R3]])/0.025*Pcfu4[[#This Row],[Best DF]]</f>
        <v>22627.416997969522</v>
      </c>
      <c r="S60" s="6">
        <f>Pcfu4[[#This Row],[CFU/mL]]*Pcfu4[[#This Row],[mL]]/Pcfu4[[#This Row],[grams]]</f>
        <v>10564000</v>
      </c>
      <c r="T60" s="1">
        <f>Pcfu4[[#This Row],[SD CFU/mL]]*Pcfu4[[#This Row],[mL]]/Pcfu4[[#This Row],[grams]]</f>
        <v>429920.9229614209</v>
      </c>
      <c r="U60" s="7">
        <f>_xlfn.STDEV.S(Pcfu43[[#This Row],[R1]:[R3]])/AVERAGE(Pcfu43[[#This Row],[R1]:[R3]])</f>
        <v>6.0143827834064814E-2</v>
      </c>
      <c r="V60" s="96"/>
      <c r="W60" s="7"/>
      <c r="X60" s="7">
        <f>(Pcfu4[[#This Row],[CFU/g]]-S66)/Pcfu4[[#This Row],[CFU/g]]</f>
        <v>-30.414868105515584</v>
      </c>
    </row>
    <row r="61" spans="1:24" x14ac:dyDescent="0.15">
      <c r="A61" t="s">
        <v>221</v>
      </c>
      <c r="B61" t="s">
        <v>214</v>
      </c>
      <c r="D61" t="s">
        <v>217</v>
      </c>
      <c r="E61" s="3">
        <v>2</v>
      </c>
      <c r="G61">
        <v>0.3</v>
      </c>
      <c r="H61" s="5">
        <v>5.7</v>
      </c>
      <c r="I61" s="3" t="s">
        <v>170</v>
      </c>
      <c r="J61" s="59">
        <v>44839</v>
      </c>
      <c r="L61" s="59" t="e" cm="1">
        <f t="array" ref="L61">INDEX($J$4:J1151, MATCH(1,(A61=$A$4:A1149)*(C61=$C$4:C1149)*("Y"=$K$4:K1151),0))</f>
        <v>#N/A</v>
      </c>
      <c r="M61" s="1">
        <v>100</v>
      </c>
      <c r="N61">
        <v>88</v>
      </c>
      <c r="O61">
        <v>63</v>
      </c>
      <c r="P61"/>
      <c r="Q61" s="6">
        <f>(SUM(Pcfu4[[#This Row],[R1]:[R3]]))/(Pcfu4[[#This Row],[No. Reps]]*0.025)*Pcfu4[[#This Row],[Best DF]]</f>
        <v>302000</v>
      </c>
      <c r="R61" s="1">
        <f>_xlfn.STDEV.S(Pcfu4[[#This Row],[R1]:[R3]])/0.025*Pcfu4[[#This Row],[Best DF]]</f>
        <v>70710.67811865476</v>
      </c>
      <c r="S61" s="6">
        <f>Pcfu4[[#This Row],[CFU/mL]]*Pcfu4[[#This Row],[mL]]/Pcfu4[[#This Row],[grams]]</f>
        <v>5738000</v>
      </c>
      <c r="T61" s="1">
        <f>Pcfu4[[#This Row],[SD CFU/mL]]*Pcfu4[[#This Row],[mL]]/Pcfu4[[#This Row],[grams]]</f>
        <v>1343502.8842544404</v>
      </c>
      <c r="U61" s="7">
        <f>_xlfn.STDEV.S(Pcfu43[[#This Row],[R1]:[R3]])/AVERAGE(Pcfu43[[#This Row],[R1]:[R3]])</f>
        <v>0.21534475856546223</v>
      </c>
      <c r="V61" s="96"/>
      <c r="W61" s="7"/>
      <c r="X61" s="1"/>
    </row>
    <row r="62" spans="1:24" x14ac:dyDescent="0.15">
      <c r="A62" t="s">
        <v>221</v>
      </c>
      <c r="B62" t="s">
        <v>214</v>
      </c>
      <c r="D62" t="s">
        <v>217</v>
      </c>
      <c r="E62" s="3">
        <v>2</v>
      </c>
      <c r="G62">
        <v>0.1</v>
      </c>
      <c r="H62" s="5">
        <f>19*Pcfu4[[#This Row],[grams]]</f>
        <v>1.9000000000000001</v>
      </c>
      <c r="I62" s="3" t="s">
        <v>98</v>
      </c>
      <c r="J62" s="59">
        <v>44839</v>
      </c>
      <c r="L62" s="59" t="e" cm="1">
        <f t="array" ref="L62">INDEX($J$4:J1152, MATCH(1,(A62=$A$4:A1150)*(C62=$C$4:C1150)*("Y"=$K$4:K1152),0))</f>
        <v>#N/A</v>
      </c>
      <c r="M62" s="1">
        <v>100</v>
      </c>
      <c r="N62">
        <v>95</v>
      </c>
      <c r="O62">
        <v>88</v>
      </c>
      <c r="P62"/>
      <c r="Q62" s="6">
        <f>(SUM(Pcfu4[[#This Row],[R1]:[R3]]))/(Pcfu4[[#This Row],[No. Reps]]*0.025)*Pcfu4[[#This Row],[Best DF]]</f>
        <v>366000</v>
      </c>
      <c r="R62" s="1">
        <f>_xlfn.STDEV.S(Pcfu4[[#This Row],[R1]:[R3]])/0.025*Pcfu4[[#This Row],[Best DF]]</f>
        <v>19798.989873223327</v>
      </c>
      <c r="S62" s="6">
        <f>Pcfu4[[#This Row],[CFU/mL]]*Pcfu4[[#This Row],[mL]]/Pcfu4[[#This Row],[grams]]</f>
        <v>6954000</v>
      </c>
      <c r="T62" s="1">
        <f>Pcfu4[[#This Row],[SD CFU/mL]]*Pcfu4[[#This Row],[mL]]/Pcfu4[[#This Row],[grams]]</f>
        <v>376180.80759124318</v>
      </c>
      <c r="U62" s="7">
        <f>_xlfn.STDEV.S(Pcfu43[[#This Row],[R1]:[R3]])/AVERAGE(Pcfu43[[#This Row],[R1]:[R3]])</f>
        <v>0.18732466565757874</v>
      </c>
      <c r="V62" s="96"/>
      <c r="W62" s="7"/>
      <c r="X62" s="7">
        <f>(Pcfu4[[#This Row],[CFU/g]]-S68)/Pcfu4[[#This Row],[CFU/g]]</f>
        <v>-1.1857923497267757</v>
      </c>
    </row>
    <row r="63" spans="1:24" x14ac:dyDescent="0.15">
      <c r="A63" t="s">
        <v>222</v>
      </c>
      <c r="B63" t="s">
        <v>214</v>
      </c>
      <c r="D63" t="s">
        <v>217</v>
      </c>
      <c r="E63" s="3">
        <v>2</v>
      </c>
      <c r="G63">
        <v>0.3</v>
      </c>
      <c r="H63" s="5">
        <v>5.7</v>
      </c>
      <c r="I63" s="3" t="s">
        <v>170</v>
      </c>
      <c r="J63" s="59">
        <v>44839</v>
      </c>
      <c r="L63" s="59" t="e" cm="1">
        <f t="array" ref="L63">INDEX($J$4:J1153, MATCH(1,(A63=$A$4:A1151)*(C63=$C$4:C1151)*("Y"=$K$4:K1153),0))</f>
        <v>#N/A</v>
      </c>
      <c r="M63" s="1">
        <v>100</v>
      </c>
      <c r="N63">
        <v>388</v>
      </c>
      <c r="O63">
        <v>377</v>
      </c>
      <c r="P63"/>
      <c r="Q63" s="6">
        <f>(SUM(Pcfu4[[#This Row],[R1]:[R3]]))/(Pcfu4[[#This Row],[No. Reps]]*0.025)*Pcfu4[[#This Row],[Best DF]]</f>
        <v>1530000</v>
      </c>
      <c r="R63" s="1">
        <f>_xlfn.STDEV.S(Pcfu4[[#This Row],[R1]:[R3]])/0.025*Pcfu4[[#This Row],[Best DF]]</f>
        <v>31112.698372208088</v>
      </c>
      <c r="S63" s="6">
        <f>Pcfu4[[#This Row],[CFU/mL]]*Pcfu4[[#This Row],[mL]]/Pcfu4[[#This Row],[grams]]</f>
        <v>29070000</v>
      </c>
      <c r="T63" s="1">
        <f>Pcfu4[[#This Row],[SD CFU/mL]]*Pcfu4[[#This Row],[mL]]/Pcfu4[[#This Row],[grams]]</f>
        <v>591141.26907195372</v>
      </c>
      <c r="U63" s="7">
        <f>_xlfn.STDEV.S(Pcfu43[[#This Row],[R1]:[R3]])/AVERAGE(Pcfu43[[#This Row],[R1]:[R3]])</f>
        <v>0.14363348160327252</v>
      </c>
      <c r="V63" s="96"/>
      <c r="W63" s="7"/>
      <c r="X63" s="1"/>
    </row>
    <row r="64" spans="1:24" x14ac:dyDescent="0.15">
      <c r="A64" t="s">
        <v>222</v>
      </c>
      <c r="B64" t="s">
        <v>214</v>
      </c>
      <c r="D64" t="s">
        <v>217</v>
      </c>
      <c r="E64" s="3">
        <v>2</v>
      </c>
      <c r="G64">
        <v>0.1</v>
      </c>
      <c r="H64" s="5">
        <f>19*Pcfu4[[#This Row],[grams]]</f>
        <v>1.9000000000000001</v>
      </c>
      <c r="I64" s="3" t="s">
        <v>98</v>
      </c>
      <c r="J64" s="59">
        <v>44839</v>
      </c>
      <c r="L64" s="59" t="e" cm="1">
        <f t="array" ref="L64">INDEX($J$4:J1154, MATCH(1,(A64=$A$4:A1152)*(C64=$C$4:C1152)*("Y"=$K$4:K1154),0))</f>
        <v>#N/A</v>
      </c>
      <c r="M64" s="1">
        <v>100</v>
      </c>
      <c r="N64">
        <v>419</v>
      </c>
      <c r="O64">
        <v>341</v>
      </c>
      <c r="P64"/>
      <c r="Q64" s="6">
        <f>(SUM(Pcfu4[[#This Row],[R1]:[R3]]))/(Pcfu4[[#This Row],[No. Reps]]*0.025)*Pcfu4[[#This Row],[Best DF]]</f>
        <v>1520000</v>
      </c>
      <c r="R64" s="1">
        <f>_xlfn.STDEV.S(Pcfu4[[#This Row],[R1]:[R3]])/0.025*Pcfu4[[#This Row],[Best DF]]</f>
        <v>220617.3157302028</v>
      </c>
      <c r="S64" s="6">
        <f>Pcfu4[[#This Row],[CFU/mL]]*Pcfu4[[#This Row],[mL]]/Pcfu4[[#This Row],[grams]]</f>
        <v>28880000</v>
      </c>
      <c r="T64" s="1">
        <f>Pcfu4[[#This Row],[SD CFU/mL]]*Pcfu4[[#This Row],[mL]]/Pcfu4[[#This Row],[grams]]</f>
        <v>4191728.9988738536</v>
      </c>
      <c r="U64" s="7">
        <f>_xlfn.STDEV.S(Pcfu43[[#This Row],[R1]:[R3]])/AVERAGE(Pcfu43[[#This Row],[R1]:[R3]])</f>
        <v>0.27936303347885133</v>
      </c>
      <c r="V64" s="96"/>
      <c r="W64" s="7"/>
      <c r="X64" s="7">
        <f>(Pcfu4[[#This Row],[CFU/g]]-S70)/Pcfu4[[#This Row],[CFU/g]]</f>
        <v>-28.82456140350877</v>
      </c>
    </row>
    <row r="65" spans="1:24" x14ac:dyDescent="0.15">
      <c r="A65" t="s">
        <v>176</v>
      </c>
      <c r="B65" t="s">
        <v>223</v>
      </c>
      <c r="D65" t="s">
        <v>26</v>
      </c>
      <c r="E65" s="3">
        <v>3</v>
      </c>
      <c r="G65">
        <v>0.3</v>
      </c>
      <c r="H65" s="5">
        <v>5.7</v>
      </c>
      <c r="I65" s="3" t="s">
        <v>170</v>
      </c>
      <c r="J65" s="59">
        <v>44846</v>
      </c>
      <c r="L65" s="59" t="e" cm="1">
        <f t="array" ref="L65">INDEX($J$4:J1155, MATCH(1,(A65=$A$4:A1153)*(C65=$C$4:C1153)*("Y"=$K$4:K1155),0))</f>
        <v>#N/A</v>
      </c>
      <c r="M65" s="1">
        <v>10000</v>
      </c>
      <c r="N65">
        <v>70</v>
      </c>
      <c r="O65">
        <v>64</v>
      </c>
      <c r="P65">
        <v>69</v>
      </c>
      <c r="Q65" s="6">
        <f>(SUM(Pcfu4[[#This Row],[R1]:[R3]]))/(Pcfu4[[#This Row],[No. Reps]]*0.025)*Pcfu4[[#This Row],[Best DF]]</f>
        <v>27066666.66666666</v>
      </c>
      <c r="R65" s="1">
        <f>_xlfn.STDEV.S(Pcfu4[[#This Row],[R1]:[R3]])/0.025*Pcfu4[[#This Row],[Best DF]]</f>
        <v>1285820.1014657272</v>
      </c>
      <c r="S65" s="6">
        <f>Pcfu4[[#This Row],[CFU/mL]]*Pcfu4[[#This Row],[mL]]/Pcfu4[[#This Row],[grams]]</f>
        <v>514266666.66666657</v>
      </c>
      <c r="T65" s="1">
        <f>Pcfu4[[#This Row],[SD CFU/mL]]*Pcfu4[[#This Row],[mL]]/Pcfu4[[#This Row],[grams]]</f>
        <v>24430581.92784882</v>
      </c>
      <c r="U65" s="7">
        <f>_xlfn.STDEV.S(Pcfu43[[#This Row],[R1]:[R3]])/AVERAGE(Pcfu43[[#This Row],[R1]:[R3]])</f>
        <v>2.175713172881685E-2</v>
      </c>
      <c r="V65" s="96"/>
      <c r="W65" s="7"/>
    </row>
    <row r="66" spans="1:24" x14ac:dyDescent="0.15">
      <c r="A66" t="s">
        <v>165</v>
      </c>
      <c r="B66" t="s">
        <v>223</v>
      </c>
      <c r="D66" t="s">
        <v>26</v>
      </c>
      <c r="E66" s="3">
        <v>3</v>
      </c>
      <c r="G66">
        <v>0.3</v>
      </c>
      <c r="H66" s="5">
        <v>5.7</v>
      </c>
      <c r="I66" s="3" t="s">
        <v>170</v>
      </c>
      <c r="J66" s="59">
        <v>44846</v>
      </c>
      <c r="L66" s="59" t="e" cm="1">
        <f t="array" ref="L66">INDEX($J$4:J1156, MATCH(1,(A66=$A$4:A1154)*(C66=$C$4:C1154)*("Y"=$K$4:K1156),0))</f>
        <v>#N/A</v>
      </c>
      <c r="M66" s="1">
        <v>10000</v>
      </c>
      <c r="N66">
        <v>46</v>
      </c>
      <c r="O66">
        <v>43</v>
      </c>
      <c r="P66">
        <v>42</v>
      </c>
      <c r="Q66" s="6">
        <f>(SUM(Pcfu4[[#This Row],[R1]:[R3]]))/(Pcfu4[[#This Row],[No. Reps]]*0.025)*Pcfu4[[#This Row],[Best DF]]</f>
        <v>17466666.666666664</v>
      </c>
      <c r="R66" s="1">
        <f>_xlfn.STDEV.S(Pcfu4[[#This Row],[R1]:[R3]])/0.025*Pcfu4[[#This Row],[Best DF]]</f>
        <v>832666.399786453</v>
      </c>
      <c r="S66" s="6">
        <f>Pcfu4[[#This Row],[CFU/mL]]*Pcfu4[[#This Row],[mL]]/Pcfu4[[#This Row],[grams]]</f>
        <v>331866666.66666663</v>
      </c>
      <c r="T66" s="1">
        <f>Pcfu4[[#This Row],[SD CFU/mL]]*Pcfu4[[#This Row],[mL]]/Pcfu4[[#This Row],[grams]]</f>
        <v>15820661.595942609</v>
      </c>
      <c r="U66" s="7">
        <f>_xlfn.STDEV.S(Pcfu43[[#This Row],[R1]:[R3]])/AVERAGE(Pcfu43[[#This Row],[R1]:[R3]])</f>
        <v>0.19733212498229233</v>
      </c>
      <c r="V66" s="96"/>
      <c r="W66" s="7"/>
    </row>
    <row r="67" spans="1:24" x14ac:dyDescent="0.15">
      <c r="A67" t="s">
        <v>169</v>
      </c>
      <c r="B67" t="s">
        <v>223</v>
      </c>
      <c r="D67" t="s">
        <v>26</v>
      </c>
      <c r="E67" s="3">
        <v>3</v>
      </c>
      <c r="G67">
        <v>0.3</v>
      </c>
      <c r="H67" s="5">
        <f>19*Pcfu4[[#This Row],[grams]]</f>
        <v>5.7</v>
      </c>
      <c r="I67" s="3" t="s">
        <v>170</v>
      </c>
      <c r="J67" s="59">
        <v>44846</v>
      </c>
      <c r="L67" s="59" t="e" cm="1">
        <f t="array" ref="L67">INDEX($J$4:J1157, MATCH(1,(A67=$A$4:A1155)*(C67=$C$4:C1155)*("Y"=$K$4:K1157),0))</f>
        <v>#N/A</v>
      </c>
      <c r="M67" s="1">
        <v>100000</v>
      </c>
      <c r="N67">
        <v>127</v>
      </c>
      <c r="O67">
        <v>133</v>
      </c>
      <c r="P67">
        <v>123</v>
      </c>
      <c r="Q67" s="6">
        <f>(SUM(Pcfu4[[#This Row],[R1]:[R3]]))/(Pcfu4[[#This Row],[No. Reps]]*0.025)*Pcfu4[[#This Row],[Best DF]]</f>
        <v>510666666.66666663</v>
      </c>
      <c r="R67" s="1">
        <f>_xlfn.STDEV.S(Pcfu4[[#This Row],[R1]:[R3]])/0.025*Pcfu4[[#This Row],[Best DF]]</f>
        <v>20132891.827388663</v>
      </c>
      <c r="S67" s="6">
        <f>Pcfu4[[#This Row],[CFU/mL]]*Pcfu4[[#This Row],[mL]]/Pcfu4[[#This Row],[grams]]</f>
        <v>9702666666.6666679</v>
      </c>
      <c r="T67" s="1">
        <f>Pcfu4[[#This Row],[SD CFU/mL]]*Pcfu4[[#This Row],[mL]]/Pcfu4[[#This Row],[grams]]</f>
        <v>382524944.72038466</v>
      </c>
      <c r="U67" s="7">
        <f>_xlfn.STDEV.S(Pcfu43[[#This Row],[R1]:[R3]])/AVERAGE(Pcfu43[[#This Row],[R1]:[R3]])</f>
        <v>1.5713484026367724E-2</v>
      </c>
      <c r="V67" s="96"/>
      <c r="W67" s="7"/>
    </row>
    <row r="68" spans="1:24" x14ac:dyDescent="0.15">
      <c r="A68" t="s">
        <v>179</v>
      </c>
      <c r="B68" t="s">
        <v>223</v>
      </c>
      <c r="D68" t="s">
        <v>26</v>
      </c>
      <c r="E68" s="3">
        <v>3</v>
      </c>
      <c r="G68">
        <v>0.3</v>
      </c>
      <c r="H68" s="5">
        <f>19*Pcfu4[[#This Row],[grams]]</f>
        <v>5.7</v>
      </c>
      <c r="I68" s="3" t="s">
        <v>170</v>
      </c>
      <c r="J68" s="59">
        <v>44846</v>
      </c>
      <c r="L68" s="59" t="e" cm="1">
        <f t="array" ref="L68">INDEX($J$4:J1158, MATCH(1,(A68=$A$4:A1156)*(C68=$C$4:C1156)*("Y"=$K$4:K1158),0))</f>
        <v>#N/A</v>
      </c>
      <c r="M68" s="1">
        <v>10000</v>
      </c>
      <c r="N68">
        <v>2</v>
      </c>
      <c r="O68">
        <v>1</v>
      </c>
      <c r="P68">
        <v>3</v>
      </c>
      <c r="Q68" s="6">
        <f>(SUM(Pcfu4[[#This Row],[R1]:[R3]]))/(Pcfu4[[#This Row],[No. Reps]]*0.025)*Pcfu4[[#This Row],[Best DF]]</f>
        <v>799999.99999999988</v>
      </c>
      <c r="R68" s="1">
        <f>_xlfn.STDEV.S(Pcfu4[[#This Row],[R1]:[R3]])/0.025*Pcfu4[[#This Row],[Best DF]]</f>
        <v>400000</v>
      </c>
      <c r="S68" s="6">
        <f>Pcfu4[[#This Row],[CFU/mL]]*Pcfu4[[#This Row],[mL]]/Pcfu4[[#This Row],[grams]]</f>
        <v>15199999.999999998</v>
      </c>
      <c r="T68" s="1">
        <f>Pcfu4[[#This Row],[SD CFU/mL]]*Pcfu4[[#This Row],[mL]]/Pcfu4[[#This Row],[grams]]</f>
        <v>7600000</v>
      </c>
      <c r="U68" s="7">
        <f>_xlfn.STDEV.S(Pcfu43[[#This Row],[R1]:[R3]])/AVERAGE(Pcfu43[[#This Row],[R1]:[R3]])</f>
        <v>4.0406101782088436E-2</v>
      </c>
      <c r="V68" s="96"/>
      <c r="W68" s="7"/>
    </row>
    <row r="69" spans="1:24" x14ac:dyDescent="0.15">
      <c r="A69" t="s">
        <v>73</v>
      </c>
      <c r="B69" t="s">
        <v>223</v>
      </c>
      <c r="D69" t="s">
        <v>26</v>
      </c>
      <c r="E69" s="3">
        <v>3</v>
      </c>
      <c r="G69">
        <v>0.3</v>
      </c>
      <c r="H69" s="5">
        <f>19*Pcfu4[[#This Row],[grams]]</f>
        <v>5.7</v>
      </c>
      <c r="I69" s="3" t="s">
        <v>170</v>
      </c>
      <c r="J69" s="59">
        <v>44846</v>
      </c>
      <c r="L69" s="59" t="e" cm="1">
        <f t="array" ref="L69">INDEX($J$4:J1159, MATCH(1,(A69=$A$4:A1157)*(C69=$C$4:C1157)*("Y"=$K$4:K1159),0))</f>
        <v>#N/A</v>
      </c>
      <c r="M69" s="1">
        <v>10000</v>
      </c>
      <c r="N69">
        <v>21</v>
      </c>
      <c r="O69">
        <v>18</v>
      </c>
      <c r="P69">
        <v>24</v>
      </c>
      <c r="Q69" s="6">
        <f>(SUM(Pcfu4[[#This Row],[R1]:[R3]]))/(Pcfu4[[#This Row],[No. Reps]]*0.025)*Pcfu4[[#This Row],[Best DF]]</f>
        <v>8399999.9999999981</v>
      </c>
      <c r="R69" s="1">
        <f>_xlfn.STDEV.S(Pcfu4[[#This Row],[R1]:[R3]])/0.025*Pcfu4[[#This Row],[Best DF]]</f>
        <v>1200000</v>
      </c>
      <c r="S69" s="6">
        <f>Pcfu4[[#This Row],[CFU/mL]]*Pcfu4[[#This Row],[mL]]/Pcfu4[[#This Row],[grams]]</f>
        <v>159599999.99999997</v>
      </c>
      <c r="T69" s="1">
        <f>Pcfu4[[#This Row],[SD CFU/mL]]*Pcfu4[[#This Row],[mL]]/Pcfu4[[#This Row],[grams]]</f>
        <v>22800000</v>
      </c>
      <c r="U69" s="7">
        <f>_xlfn.STDEV.S(Pcfu43[[#This Row],[R1]:[R3]])/AVERAGE(Pcfu43[[#This Row],[R1]:[R3]])</f>
        <v>2.1982594233778678E-2</v>
      </c>
      <c r="V69" s="96"/>
      <c r="W69" s="7"/>
    </row>
    <row r="70" spans="1:24" x14ac:dyDescent="0.15">
      <c r="A70" t="s">
        <v>165</v>
      </c>
      <c r="B70" t="s">
        <v>75</v>
      </c>
      <c r="D70" t="s">
        <v>26</v>
      </c>
      <c r="E70" s="3">
        <v>3</v>
      </c>
      <c r="G70">
        <v>0.3</v>
      </c>
      <c r="H70" s="5">
        <v>5.7</v>
      </c>
      <c r="I70" s="3" t="s">
        <v>170</v>
      </c>
      <c r="J70" s="59">
        <v>44846</v>
      </c>
      <c r="L70" s="59" t="e" cm="1">
        <f t="array" ref="L70">INDEX($J$4:J1160, MATCH(1,(A70=$A$4:A1158)*(C70=$C$4:C1158)*("Y"=$K$4:K1160),0))</f>
        <v>#N/A</v>
      </c>
      <c r="M70" s="1">
        <v>10000</v>
      </c>
      <c r="N70">
        <v>104</v>
      </c>
      <c r="O70">
        <v>121</v>
      </c>
      <c r="P70">
        <v>115</v>
      </c>
      <c r="Q70" s="6">
        <f>(SUM(Pcfu4[[#This Row],[R1]:[R3]]))/(Pcfu4[[#This Row],[No. Reps]]*0.025)*Pcfu4[[#This Row],[Best DF]]</f>
        <v>45333333.333333328</v>
      </c>
      <c r="R70" s="1">
        <f>_xlfn.STDEV.S(Pcfu4[[#This Row],[R1]:[R3]])/0.025*Pcfu4[[#This Row],[Best DF]]</f>
        <v>3448671.2417006833</v>
      </c>
      <c r="S70" s="6">
        <f>Pcfu4[[#This Row],[CFU/mL]]*Pcfu4[[#This Row],[mL]]/Pcfu4[[#This Row],[grams]]</f>
        <v>861333333.33333325</v>
      </c>
      <c r="T70" s="1">
        <f>Pcfu4[[#This Row],[SD CFU/mL]]*Pcfu4[[#This Row],[mL]]/Pcfu4[[#This Row],[grams]]</f>
        <v>65524753.592312984</v>
      </c>
      <c r="U70" s="7">
        <f>_xlfn.STDEV.S(Pcfu43[[#This Row],[R1]:[R3]])/AVERAGE(Pcfu43[[#This Row],[R1]:[R3]])</f>
        <v>6.7343502970147379E-2</v>
      </c>
      <c r="V70" s="96"/>
      <c r="W70" s="7"/>
    </row>
    <row r="71" spans="1:24" x14ac:dyDescent="0.15">
      <c r="A71" t="s">
        <v>165</v>
      </c>
      <c r="B71" t="s">
        <v>75</v>
      </c>
      <c r="D71" t="s">
        <v>26</v>
      </c>
      <c r="E71" s="3">
        <v>3</v>
      </c>
      <c r="G71">
        <v>0.3</v>
      </c>
      <c r="H71" s="5">
        <v>5.7</v>
      </c>
      <c r="I71" s="3" t="s">
        <v>170</v>
      </c>
      <c r="J71" s="59">
        <v>44846</v>
      </c>
      <c r="L71" s="59" t="e" cm="1">
        <f t="array" ref="L71">INDEX($J$4:J1161, MATCH(1,(A71=$A$4:A1159)*(C71=$C$4:C1159)*("Y"=$K$4:K1161),0))</f>
        <v>#N/A</v>
      </c>
      <c r="M71" s="1">
        <v>10000</v>
      </c>
      <c r="N71">
        <v>232</v>
      </c>
      <c r="O71">
        <v>228</v>
      </c>
      <c r="P71">
        <v>192</v>
      </c>
      <c r="Q71" s="6">
        <f>(SUM(Pcfu4[[#This Row],[R1]:[R3]]))/(Pcfu4[[#This Row],[No. Reps]]*0.025)*Pcfu4[[#This Row],[Best DF]]</f>
        <v>86933333.333333328</v>
      </c>
      <c r="R71" s="1">
        <f>_xlfn.STDEV.S(Pcfu4[[#This Row],[R1]:[R3]])/0.025*Pcfu4[[#This Row],[Best DF]]</f>
        <v>8812112.8756577633</v>
      </c>
      <c r="S71" s="6">
        <f>Pcfu4[[#This Row],[CFU/mL]]*Pcfu4[[#This Row],[mL]]/Pcfu4[[#This Row],[grams]]</f>
        <v>1651733333.3333335</v>
      </c>
      <c r="T71" s="1">
        <f>Pcfu4[[#This Row],[SD CFU/mL]]*Pcfu4[[#This Row],[mL]]/Pcfu4[[#This Row],[grams]]</f>
        <v>167430144.63749751</v>
      </c>
      <c r="U71" s="7">
        <f>_xlfn.STDEV.S(Pcfu43[[#This Row],[R1]:[R3]])/AVERAGE(Pcfu43[[#This Row],[R1]:[R3]])</f>
        <v>3.2386570130681566E-2</v>
      </c>
      <c r="V71" s="96"/>
      <c r="W71" s="7"/>
    </row>
    <row r="72" spans="1:24" x14ac:dyDescent="0.15">
      <c r="A72" t="s">
        <v>169</v>
      </c>
      <c r="B72" t="s">
        <v>75</v>
      </c>
      <c r="D72" t="s">
        <v>26</v>
      </c>
      <c r="E72" s="3">
        <v>3</v>
      </c>
      <c r="G72">
        <v>0.3</v>
      </c>
      <c r="H72" s="5">
        <f>19*Pcfu4[[#This Row],[grams]]</f>
        <v>5.7</v>
      </c>
      <c r="I72" s="3" t="s">
        <v>170</v>
      </c>
      <c r="J72" s="59">
        <v>44846</v>
      </c>
      <c r="L72" s="59" t="e" cm="1">
        <f t="array" ref="L72">INDEX($J$4:J1162, MATCH(1,(A72=$A$4:A1160)*(C72=$C$4:C1160)*("Y"=$K$4:K1162),0))</f>
        <v>#N/A</v>
      </c>
      <c r="M72" s="1">
        <v>100000</v>
      </c>
      <c r="N72">
        <v>141</v>
      </c>
      <c r="O72">
        <v>133</v>
      </c>
      <c r="P72">
        <v>135</v>
      </c>
      <c r="Q72" s="6">
        <f>(SUM(Pcfu4[[#This Row],[R1]:[R3]]))/(Pcfu4[[#This Row],[No. Reps]]*0.025)*Pcfu4[[#This Row],[Best DF]]</f>
        <v>545333333.33333325</v>
      </c>
      <c r="R72" s="1">
        <f>_xlfn.STDEV.S(Pcfu4[[#This Row],[R1]:[R3]])/0.025*Pcfu4[[#This Row],[Best DF]]</f>
        <v>16653327.995729061</v>
      </c>
      <c r="S72" s="6">
        <f>Pcfu4[[#This Row],[CFU/mL]]*Pcfu4[[#This Row],[mL]]/Pcfu4[[#This Row],[grams]]</f>
        <v>10361333333.333332</v>
      </c>
      <c r="T72" s="1">
        <f>Pcfu4[[#This Row],[SD CFU/mL]]*Pcfu4[[#This Row],[mL]]/Pcfu4[[#This Row],[grams]]</f>
        <v>316413231.91885221</v>
      </c>
      <c r="U72" s="7">
        <f>_xlfn.STDEV.S(Pcfu43[[#This Row],[R1]:[R3]])/AVERAGE(Pcfu43[[#This Row],[R1]:[R3]])</f>
        <v>5.2378280087892408E-2</v>
      </c>
      <c r="V72" s="96"/>
      <c r="W72" s="7"/>
    </row>
    <row r="73" spans="1:24" x14ac:dyDescent="0.15">
      <c r="A73" t="s">
        <v>179</v>
      </c>
      <c r="B73" t="s">
        <v>75</v>
      </c>
      <c r="D73" t="s">
        <v>26</v>
      </c>
      <c r="E73" s="3">
        <v>3</v>
      </c>
      <c r="G73">
        <v>0.3</v>
      </c>
      <c r="H73" s="5">
        <f>19*Pcfu4[[#This Row],[grams]]</f>
        <v>5.7</v>
      </c>
      <c r="I73" s="3" t="s">
        <v>170</v>
      </c>
      <c r="J73" s="59">
        <v>44846</v>
      </c>
      <c r="L73" s="59" t="e" cm="1">
        <f t="array" ref="L73">INDEX($J$4:J1163, MATCH(1,(A73=$A$4:A1161)*(C73=$C$4:C1161)*("Y"=$K$4:K1163),0))</f>
        <v>#N/A</v>
      </c>
      <c r="M73" s="1">
        <v>10000</v>
      </c>
      <c r="N73">
        <v>3</v>
      </c>
      <c r="O73">
        <v>3</v>
      </c>
      <c r="P73">
        <v>3</v>
      </c>
      <c r="Q73" s="6">
        <f>(SUM(Pcfu4[[#This Row],[R1]:[R3]]))/(Pcfu4[[#This Row],[No. Reps]]*0.025)*Pcfu4[[#This Row],[Best DF]]</f>
        <v>1199999.9999999998</v>
      </c>
      <c r="R73" s="1">
        <f>_xlfn.STDEV.S(Pcfu4[[#This Row],[R1]:[R3]])/0.025*Pcfu4[[#This Row],[Best DF]]</f>
        <v>0</v>
      </c>
      <c r="S73" s="6">
        <f>Pcfu4[[#This Row],[CFU/mL]]*Pcfu4[[#This Row],[mL]]/Pcfu4[[#This Row],[grams]]</f>
        <v>22799999.999999996</v>
      </c>
      <c r="T73" s="1">
        <f>Pcfu4[[#This Row],[SD CFU/mL]]*Pcfu4[[#This Row],[mL]]/Pcfu4[[#This Row],[grams]]</f>
        <v>0</v>
      </c>
      <c r="U73" s="7">
        <f>_xlfn.STDEV.S(Pcfu43[[#This Row],[R1]:[R3]])/AVERAGE(Pcfu43[[#This Row],[R1]:[R3]])</f>
        <v>6.3959407343506816E-2</v>
      </c>
      <c r="V73" s="96"/>
      <c r="W73" s="7"/>
    </row>
    <row r="74" spans="1:24" x14ac:dyDescent="0.15">
      <c r="A74" t="s">
        <v>73</v>
      </c>
      <c r="B74" t="s">
        <v>75</v>
      </c>
      <c r="D74" t="s">
        <v>26</v>
      </c>
      <c r="E74" s="3">
        <v>3</v>
      </c>
      <c r="G74">
        <v>0.3</v>
      </c>
      <c r="H74" s="5">
        <f>19*Pcfu4[[#This Row],[grams]]</f>
        <v>5.7</v>
      </c>
      <c r="I74" s="3" t="s">
        <v>170</v>
      </c>
      <c r="J74" s="59">
        <v>44846</v>
      </c>
      <c r="L74" s="59" t="e" cm="1">
        <f t="array" ref="L74">INDEX($J$4:J1164, MATCH(1,(A74=$A$4:A1162)*(C74=$C$4:C1162)*("Y"=$K$4:K1164),0))</f>
        <v>#N/A</v>
      </c>
      <c r="M74" s="1">
        <v>10000</v>
      </c>
      <c r="N74">
        <v>28</v>
      </c>
      <c r="O74">
        <v>38</v>
      </c>
      <c r="P74">
        <v>36</v>
      </c>
      <c r="Q74" s="6">
        <f>(SUM(Pcfu4[[#This Row],[R1]:[R3]]))/(Pcfu4[[#This Row],[No. Reps]]*0.025)*Pcfu4[[#This Row],[Best DF]]</f>
        <v>13599999.999999998</v>
      </c>
      <c r="R74" s="1">
        <f>_xlfn.STDEV.S(Pcfu4[[#This Row],[R1]:[R3]])/0.025*Pcfu4[[#This Row],[Best DF]]</f>
        <v>2116601.0488516726</v>
      </c>
      <c r="S74" s="6">
        <f>Pcfu4[[#This Row],[CFU/mL]]*Pcfu4[[#This Row],[mL]]/Pcfu4[[#This Row],[grams]]</f>
        <v>258399999.99999997</v>
      </c>
      <c r="T74" s="1">
        <f>Pcfu4[[#This Row],[SD CFU/mL]]*Pcfu4[[#This Row],[mL]]/Pcfu4[[#This Row],[grams]]</f>
        <v>40215419.928181782</v>
      </c>
      <c r="U74" s="7">
        <f>_xlfn.STDEV.S(Pcfu43[[#This Row],[R1]:[R3]])/AVERAGE(Pcfu43[[#This Row],[R1]:[R3]])</f>
        <v>2.5481325448163877E-2</v>
      </c>
      <c r="V74" s="96"/>
      <c r="W74" s="7"/>
    </row>
    <row r="75" spans="1:24" x14ac:dyDescent="0.15">
      <c r="A75" s="58" t="s">
        <v>224</v>
      </c>
      <c r="B75" t="s">
        <v>214</v>
      </c>
      <c r="D75" t="s">
        <v>194</v>
      </c>
      <c r="E75" s="3">
        <v>2</v>
      </c>
      <c r="G75">
        <v>0.1084</v>
      </c>
      <c r="H75" s="5">
        <f>19*Pcfu4[[#This Row],[grams]]</f>
        <v>2.0596000000000001</v>
      </c>
      <c r="I75" s="3" t="s">
        <v>28</v>
      </c>
      <c r="J75" s="59">
        <v>44846</v>
      </c>
      <c r="L75" s="59" t="e" cm="1">
        <f t="array" ref="L75">INDEX($J$4:J1165, MATCH(1,(A75=$A$4:A1163)*(C75=$C$4:C1163)*("Y"=$K$4:K1165),0))</f>
        <v>#N/A</v>
      </c>
      <c r="M75" s="1">
        <v>1000000</v>
      </c>
      <c r="N75">
        <v>158</v>
      </c>
      <c r="O75">
        <v>56</v>
      </c>
      <c r="P75"/>
      <c r="Q75" s="6">
        <f>(SUM(Pcfu4[[#This Row],[R1]:[R3]]))/(Pcfu4[[#This Row],[No. Reps]]*0.025)*Pcfu4[[#This Row],[Best DF]]</f>
        <v>4280000000</v>
      </c>
      <c r="R75" s="1">
        <f>_xlfn.STDEV.S(Pcfu4[[#This Row],[R1]:[R3]])/0.025*Pcfu4[[#This Row],[Best DF]]</f>
        <v>2884995667.2411137</v>
      </c>
      <c r="S75" s="6">
        <f>Pcfu4[[#This Row],[CFU/mL]]*Pcfu4[[#This Row],[mL]]/Pcfu4[[#This Row],[grams]]</f>
        <v>81320000000</v>
      </c>
      <c r="T75" s="1">
        <f>Pcfu4[[#This Row],[SD CFU/mL]]*Pcfu4[[#This Row],[mL]]/Pcfu4[[#This Row],[grams]]</f>
        <v>54814917677.581161</v>
      </c>
      <c r="U75" s="7">
        <f>_xlfn.STDEV.S(Pcfu43[[#This Row],[R1]:[R3]])/AVERAGE(Pcfu43[[#This Row],[R1]:[R3]])</f>
        <v>2.3701903279996005E-2</v>
      </c>
      <c r="V75" s="96"/>
      <c r="W75" s="7" t="s">
        <v>206</v>
      </c>
      <c r="X75" t="s">
        <v>225</v>
      </c>
    </row>
    <row r="76" spans="1:24" x14ac:dyDescent="0.15">
      <c r="A76" t="s">
        <v>226</v>
      </c>
      <c r="B76" t="s">
        <v>214</v>
      </c>
      <c r="D76" t="s">
        <v>194</v>
      </c>
      <c r="E76" s="3">
        <v>2</v>
      </c>
      <c r="G76">
        <v>0.10290000000000001</v>
      </c>
      <c r="H76" s="5">
        <f>19*Pcfu4[[#This Row],[grams]]</f>
        <v>1.9551000000000001</v>
      </c>
      <c r="I76" s="3" t="s">
        <v>28</v>
      </c>
      <c r="J76" s="59">
        <v>44846</v>
      </c>
      <c r="L76" s="59" t="e" cm="1">
        <f t="array" ref="L76">INDEX($J$4:J1166, MATCH(1,(A76=$A$4:A1164)*(C76=$C$4:C1164)*("Y"=$K$4:K1166),0))</f>
        <v>#N/A</v>
      </c>
      <c r="M76" s="1">
        <v>10000000</v>
      </c>
      <c r="N76">
        <v>28</v>
      </c>
      <c r="O76">
        <v>31</v>
      </c>
      <c r="P76"/>
      <c r="Q76" s="6">
        <f>(SUM(Pcfu4[[#This Row],[R1]:[R3]]))/(Pcfu4[[#This Row],[No. Reps]]*0.025)*Pcfu4[[#This Row],[Best DF]]</f>
        <v>11800000000</v>
      </c>
      <c r="R76" s="1">
        <f>_xlfn.STDEV.S(Pcfu4[[#This Row],[R1]:[R3]])/0.025*Pcfu4[[#This Row],[Best DF]]</f>
        <v>848528137.42385697</v>
      </c>
      <c r="S76" s="6">
        <f>Pcfu4[[#This Row],[CFU/mL]]*Pcfu4[[#This Row],[mL]]/Pcfu4[[#This Row],[grams]]</f>
        <v>224200000000</v>
      </c>
      <c r="T76" s="1">
        <f>Pcfu4[[#This Row],[SD CFU/mL]]*Pcfu4[[#This Row],[mL]]/Pcfu4[[#This Row],[grams]]</f>
        <v>16122034611.053284</v>
      </c>
      <c r="U76" s="7">
        <f>_xlfn.STDEV.S(Pcfu43[[#This Row],[R1]:[R3]])/AVERAGE(Pcfu43[[#This Row],[R1]:[R3]])</f>
        <v>3.6637657056297804E-2</v>
      </c>
      <c r="V76" s="96"/>
      <c r="W76" s="7"/>
    </row>
    <row r="77" spans="1:24" x14ac:dyDescent="0.15">
      <c r="A77" t="s">
        <v>227</v>
      </c>
      <c r="B77" t="s">
        <v>214</v>
      </c>
      <c r="D77" t="s">
        <v>194</v>
      </c>
      <c r="E77" s="3">
        <v>2</v>
      </c>
      <c r="G77">
        <v>0.10829999999999999</v>
      </c>
      <c r="H77" s="5">
        <f>19*Pcfu4[[#This Row],[grams]]</f>
        <v>2.0577000000000001</v>
      </c>
      <c r="I77" s="3" t="s">
        <v>28</v>
      </c>
      <c r="J77" s="59">
        <v>44846</v>
      </c>
      <c r="L77" s="59" t="e" cm="1">
        <f t="array" ref="L77">INDEX($J$4:J1167, MATCH(1,(A77=$A$4:A1165)*(C77=$C$4:C1165)*("Y"=$K$4:K1167),0))</f>
        <v>#N/A</v>
      </c>
      <c r="M77" s="1">
        <v>100000</v>
      </c>
      <c r="N77">
        <v>51</v>
      </c>
      <c r="O77">
        <v>65</v>
      </c>
      <c r="P77"/>
      <c r="Q77" s="6">
        <f>(SUM(Pcfu4[[#This Row],[R1]:[R3]]))/(Pcfu4[[#This Row],[No. Reps]]*0.025)*Pcfu4[[#This Row],[Best DF]]</f>
        <v>232000000</v>
      </c>
      <c r="R77" s="1">
        <f>_xlfn.STDEV.S(Pcfu4[[#This Row],[R1]:[R3]])/0.025*Pcfu4[[#This Row],[Best DF]]</f>
        <v>39597979.746446654</v>
      </c>
      <c r="S77" s="6">
        <f>Pcfu4[[#This Row],[CFU/mL]]*Pcfu4[[#This Row],[mL]]/Pcfu4[[#This Row],[grams]]</f>
        <v>4408000000</v>
      </c>
      <c r="T77" s="1">
        <f>Pcfu4[[#This Row],[SD CFU/mL]]*Pcfu4[[#This Row],[mL]]/Pcfu4[[#This Row],[grams]]</f>
        <v>752361615.18248653</v>
      </c>
      <c r="U77" s="7">
        <f>_xlfn.STDEV.S(Pcfu43[[#This Row],[R1]:[R3]])/AVERAGE(Pcfu43[[#This Row],[R1]:[R3]])</f>
        <v>0.20741798914805393</v>
      </c>
      <c r="V77" s="96"/>
      <c r="W77" s="7"/>
    </row>
    <row r="78" spans="1:24" x14ac:dyDescent="0.15">
      <c r="A78" t="s">
        <v>228</v>
      </c>
      <c r="B78" t="s">
        <v>214</v>
      </c>
      <c r="D78" t="s">
        <v>194</v>
      </c>
      <c r="E78" s="3">
        <v>2</v>
      </c>
      <c r="G78">
        <v>9.7600000000000006E-2</v>
      </c>
      <c r="H78" s="5">
        <f>19*Pcfu4[[#This Row],[grams]]</f>
        <v>1.8544</v>
      </c>
      <c r="I78" s="3" t="s">
        <v>28</v>
      </c>
      <c r="J78" s="59">
        <v>44846</v>
      </c>
      <c r="L78" s="59" t="e" cm="1">
        <f t="array" ref="L78">INDEX($J$4:J1168, MATCH(1,(A78=$A$4:A1166)*(C78=$C$4:C1166)*("Y"=$K$4:K1168),0))</f>
        <v>#N/A</v>
      </c>
      <c r="M78" s="1">
        <v>100000</v>
      </c>
      <c r="N78">
        <v>1</v>
      </c>
      <c r="O78">
        <v>0</v>
      </c>
      <c r="P78"/>
      <c r="Q78" s="6">
        <f>(SUM(Pcfu4[[#This Row],[R1]:[R3]]))/(Pcfu4[[#This Row],[No. Reps]]*0.025)*Pcfu4[[#This Row],[Best DF]]</f>
        <v>2000000</v>
      </c>
      <c r="R78" s="1">
        <f>_xlfn.STDEV.S(Pcfu4[[#This Row],[R1]:[R3]])/0.025*Pcfu4[[#This Row],[Best DF]]</f>
        <v>2828427.1247461904</v>
      </c>
      <c r="S78" s="6">
        <f>Pcfu4[[#This Row],[CFU/mL]]*Pcfu4[[#This Row],[mL]]/Pcfu4[[#This Row],[grams]]</f>
        <v>38000000</v>
      </c>
      <c r="T78" s="1">
        <f>Pcfu4[[#This Row],[SD CFU/mL]]*Pcfu4[[#This Row],[mL]]/Pcfu4[[#This Row],[grams]]</f>
        <v>53740115.370177612</v>
      </c>
      <c r="U78" s="7">
        <f>_xlfn.STDEV.S(Pcfu43[[#This Row],[R1]:[R3]])/AVERAGE(Pcfu43[[#This Row],[R1]:[R3]])</f>
        <v>0.18446263857040371</v>
      </c>
      <c r="V78" s="96"/>
      <c r="W78" s="7" t="s">
        <v>206</v>
      </c>
      <c r="X78" t="s">
        <v>229</v>
      </c>
    </row>
    <row r="79" spans="1:24" x14ac:dyDescent="0.15">
      <c r="A79" t="s">
        <v>230</v>
      </c>
      <c r="B79" t="s">
        <v>214</v>
      </c>
      <c r="D79" t="s">
        <v>194</v>
      </c>
      <c r="E79" s="3">
        <v>2</v>
      </c>
      <c r="G79">
        <v>0.1002</v>
      </c>
      <c r="H79" s="5">
        <f>19*Pcfu4[[#This Row],[grams]]</f>
        <v>1.9037999999999999</v>
      </c>
      <c r="I79" s="3" t="s">
        <v>28</v>
      </c>
      <c r="J79" s="59">
        <v>44846</v>
      </c>
      <c r="L79" s="59" t="e" cm="1">
        <f t="array" ref="L79">INDEX($J$4:J1169, MATCH(1,(A79=$A$4:A1167)*(C79=$C$4:C1167)*("Y"=$K$4:K1169),0))</f>
        <v>#N/A</v>
      </c>
      <c r="M79" s="1">
        <v>100000</v>
      </c>
      <c r="N79">
        <v>426</v>
      </c>
      <c r="O79">
        <v>330</v>
      </c>
      <c r="P79"/>
      <c r="Q79" s="6">
        <f>(SUM(Pcfu4[[#This Row],[R1]:[R3]]))/(Pcfu4[[#This Row],[No. Reps]]*0.025)*Pcfu4[[#This Row],[Best DF]]</f>
        <v>1512000000</v>
      </c>
      <c r="R79" s="1">
        <f>_xlfn.STDEV.S(Pcfu4[[#This Row],[R1]:[R3]])/0.025*Pcfu4[[#This Row],[Best DF]]</f>
        <v>271529003.97563422</v>
      </c>
      <c r="S79" s="6">
        <f>Pcfu4[[#This Row],[CFU/mL]]*Pcfu4[[#This Row],[mL]]/Pcfu4[[#This Row],[grams]]</f>
        <v>28728000000</v>
      </c>
      <c r="T79" s="1">
        <f>Pcfu4[[#This Row],[SD CFU/mL]]*Pcfu4[[#This Row],[mL]]/Pcfu4[[#This Row],[grams]]</f>
        <v>5159051075.5370502</v>
      </c>
      <c r="U79" s="7">
        <f>_xlfn.STDEV.S(Pcfu43[[#This Row],[R1]:[R3]])/AVERAGE(Pcfu43[[#This Row],[R1]:[R3]])</f>
        <v>0.12357205884813452</v>
      </c>
      <c r="V79" s="96"/>
      <c r="W79" s="7"/>
    </row>
    <row r="80" spans="1:24" x14ac:dyDescent="0.15">
      <c r="A80" t="s">
        <v>231</v>
      </c>
      <c r="B80" t="s">
        <v>214</v>
      </c>
      <c r="D80" t="s">
        <v>194</v>
      </c>
      <c r="E80" s="3">
        <v>2</v>
      </c>
      <c r="G80" s="60">
        <v>0.1</v>
      </c>
      <c r="H80" s="5">
        <f>19*Pcfu4[[#This Row],[grams]]</f>
        <v>1.9000000000000001</v>
      </c>
      <c r="I80" s="3" t="s">
        <v>28</v>
      </c>
      <c r="J80" s="59">
        <v>44846</v>
      </c>
      <c r="L80" s="59" t="e" cm="1">
        <f t="array" ref="L80">INDEX($J$4:J1170, MATCH(1,(A80=$A$4:A1168)*(C80=$C$4:C1168)*("Y"=$K$4:K1170),0))</f>
        <v>#N/A</v>
      </c>
      <c r="M80" s="1">
        <v>100000</v>
      </c>
      <c r="N80">
        <v>7</v>
      </c>
      <c r="O80">
        <v>12</v>
      </c>
      <c r="P80"/>
      <c r="Q80" s="6">
        <f>(SUM(Pcfu4[[#This Row],[R1]:[R3]]))/(Pcfu4[[#This Row],[No. Reps]]*0.025)*Pcfu4[[#This Row],[Best DF]]</f>
        <v>38000000</v>
      </c>
      <c r="R80" s="1">
        <f>_xlfn.STDEV.S(Pcfu4[[#This Row],[R1]:[R3]])/0.025*Pcfu4[[#This Row],[Best DF]]</f>
        <v>14142135.623730952</v>
      </c>
      <c r="S80" s="6">
        <f>Pcfu4[[#This Row],[CFU/mL]]*Pcfu4[[#This Row],[mL]]/Pcfu4[[#This Row],[grams]]</f>
        <v>722000000</v>
      </c>
      <c r="T80" s="1">
        <f>Pcfu4[[#This Row],[SD CFU/mL]]*Pcfu4[[#This Row],[mL]]/Pcfu4[[#This Row],[grams]]</f>
        <v>268700576.85088807</v>
      </c>
      <c r="U80" s="7">
        <f>_xlfn.STDEV.S(Pcfu43[[#This Row],[R1]:[R3]])/AVERAGE(Pcfu43[[#This Row],[R1]:[R3]])</f>
        <v>0</v>
      </c>
      <c r="V80" s="96"/>
      <c r="W80" s="7" t="s">
        <v>206</v>
      </c>
      <c r="X80" t="s">
        <v>229</v>
      </c>
    </row>
    <row r="81" spans="1:24" x14ac:dyDescent="0.15">
      <c r="A81" t="s">
        <v>232</v>
      </c>
      <c r="B81" t="s">
        <v>92</v>
      </c>
      <c r="D81" t="s">
        <v>136</v>
      </c>
      <c r="E81" s="3">
        <v>3</v>
      </c>
      <c r="H81" s="5"/>
      <c r="I81" s="3" t="s">
        <v>170</v>
      </c>
      <c r="J81" s="59">
        <v>44847</v>
      </c>
      <c r="L81" s="59" t="e" cm="1">
        <f t="array" ref="L81">INDEX($J$4:J1171, MATCH(1,(A81=$A$4:A1169)*(C81=$C$4:C1169)*("Y"=$K$4:K1171),0))</f>
        <v>#N/A</v>
      </c>
      <c r="M81" s="1">
        <v>100000000</v>
      </c>
      <c r="N81">
        <v>77</v>
      </c>
      <c r="O81">
        <v>60</v>
      </c>
      <c r="P81">
        <v>125</v>
      </c>
      <c r="Q81" s="6">
        <f>(SUM(Pcfu4[[#This Row],[R1]:[R3]]))/(Pcfu4[[#This Row],[No. Reps]]*0.025)*Pcfu4[[#This Row],[Best DF]]</f>
        <v>349333333333.33331</v>
      </c>
      <c r="R81" s="1">
        <f>_xlfn.STDEV.S(Pcfu4[[#This Row],[R1]:[R3]])/0.025*Pcfu4[[#This Row],[Best DF]]</f>
        <v>134838174614.36263</v>
      </c>
      <c r="S81" s="6" t="e">
        <f>Pcfu4[[#This Row],[CFU/mL]]*Pcfu4[[#This Row],[mL]]/Pcfu4[[#This Row],[grams]]</f>
        <v>#DIV/0!</v>
      </c>
      <c r="T81" s="1" t="e">
        <f>Pcfu4[[#This Row],[SD CFU/mL]]*Pcfu4[[#This Row],[mL]]/Pcfu4[[#This Row],[grams]]</f>
        <v>#DIV/0!</v>
      </c>
      <c r="U81" s="7">
        <f>_xlfn.STDEV.S(Pcfu43[[#This Row],[R1]:[R3]])/AVERAGE(Pcfu43[[#This Row],[R1]:[R3]])</f>
        <v>2.8004228957883071E-2</v>
      </c>
      <c r="V81" s="96"/>
      <c r="W81" s="7"/>
      <c r="X81" t="s">
        <v>233</v>
      </c>
    </row>
    <row r="82" spans="1:24" x14ac:dyDescent="0.15">
      <c r="A82" t="s">
        <v>234</v>
      </c>
      <c r="B82" t="s">
        <v>214</v>
      </c>
      <c r="D82" t="s">
        <v>86</v>
      </c>
      <c r="E82" s="3">
        <v>2</v>
      </c>
      <c r="G82">
        <v>0.3</v>
      </c>
      <c r="H82" s="5">
        <f>19*Pcfu4[[#This Row],[grams]]</f>
        <v>5.7</v>
      </c>
      <c r="I82" s="3" t="s">
        <v>87</v>
      </c>
      <c r="J82" s="59">
        <v>44851</v>
      </c>
      <c r="L82" s="59" t="e" cm="1">
        <f t="array" ref="L82">INDEX($J$4:J1172, MATCH(1,(A82=$A$4:A1170)*(C82=$C$4:C1170)*("Y"=$K$4:K1172),0))</f>
        <v>#N/A</v>
      </c>
      <c r="M82" s="62">
        <v>10000000</v>
      </c>
      <c r="N82">
        <v>99</v>
      </c>
      <c r="O82">
        <v>58</v>
      </c>
      <c r="P82"/>
      <c r="Q82" s="6">
        <f>(SUM(Pcfu4[[#This Row],[R1]:[R3]]))/(Pcfu4[[#This Row],[No. Reps]]*0.025)*Pcfu4[[#This Row],[Best DF]]</f>
        <v>31400000000</v>
      </c>
      <c r="R82" s="1">
        <f>_xlfn.STDEV.S(Pcfu4[[#This Row],[R1]:[R3]])/0.025*Pcfu4[[#This Row],[Best DF]]</f>
        <v>11596551211.459377</v>
      </c>
      <c r="S82" s="6">
        <f>Pcfu4[[#This Row],[CFU/mL]]*Pcfu4[[#This Row],[mL]]/Pcfu4[[#This Row],[grams]]</f>
        <v>596600000000</v>
      </c>
      <c r="T82" s="1">
        <f>Pcfu4[[#This Row],[SD CFU/mL]]*Pcfu4[[#This Row],[mL]]/Pcfu4[[#This Row],[grams]]</f>
        <v>220334473017.72818</v>
      </c>
      <c r="U82" s="7">
        <f>_xlfn.STDEV.S(Pcfu43[[#This Row],[R1]:[R3]])/AVERAGE(Pcfu43[[#This Row],[R1]:[R3]])</f>
        <v>7.6032987224359957E-2</v>
      </c>
      <c r="V82" s="96"/>
      <c r="W82" s="7"/>
      <c r="X82" t="s">
        <v>235</v>
      </c>
    </row>
    <row r="83" spans="1:24" x14ac:dyDescent="0.15">
      <c r="A83" t="s">
        <v>236</v>
      </c>
      <c r="B83" t="s">
        <v>214</v>
      </c>
      <c r="D83" t="s">
        <v>86</v>
      </c>
      <c r="E83" s="3">
        <v>2</v>
      </c>
      <c r="G83">
        <v>0.3</v>
      </c>
      <c r="H83" s="5">
        <f>19*Pcfu4[[#This Row],[grams]]</f>
        <v>5.7</v>
      </c>
      <c r="I83" s="3" t="s">
        <v>87</v>
      </c>
      <c r="J83" s="59">
        <v>44851</v>
      </c>
      <c r="L83" s="59" t="e" cm="1">
        <f t="array" ref="L83">INDEX($J$4:J1173, MATCH(1,(A83=$A$4:A1171)*(C83=$C$4:C1171)*("Y"=$K$4:K1173),0))</f>
        <v>#N/A</v>
      </c>
      <c r="M83" s="62">
        <v>10000000</v>
      </c>
      <c r="N83">
        <v>54</v>
      </c>
      <c r="O83">
        <v>91</v>
      </c>
      <c r="P83"/>
      <c r="Q83" s="6">
        <f>(SUM(Pcfu4[[#This Row],[R1]:[R3]]))/(Pcfu4[[#This Row],[No. Reps]]*0.025)*Pcfu4[[#This Row],[Best DF]]</f>
        <v>29000000000</v>
      </c>
      <c r="R83" s="1">
        <f>_xlfn.STDEV.S(Pcfu4[[#This Row],[R1]:[R3]])/0.025*Pcfu4[[#This Row],[Best DF]]</f>
        <v>10465180361.560904</v>
      </c>
      <c r="S83" s="6">
        <f>Pcfu4[[#This Row],[CFU/mL]]*Pcfu4[[#This Row],[mL]]/Pcfu4[[#This Row],[grams]]</f>
        <v>551000000000</v>
      </c>
      <c r="T83" s="1">
        <f>Pcfu4[[#This Row],[SD CFU/mL]]*Pcfu4[[#This Row],[mL]]/Pcfu4[[#This Row],[grams]]</f>
        <v>198838426869.6572</v>
      </c>
      <c r="U83" s="7">
        <f>_xlfn.STDEV.S(Pcfu43[[#This Row],[R1]:[R3]])/AVERAGE(Pcfu43[[#This Row],[R1]:[R3]])</f>
        <v>0.20203050891044216</v>
      </c>
      <c r="V83" s="96"/>
      <c r="W83" s="7"/>
      <c r="X83" t="s">
        <v>235</v>
      </c>
    </row>
    <row r="84" spans="1:24" x14ac:dyDescent="0.15">
      <c r="A84" t="s">
        <v>237</v>
      </c>
      <c r="B84" t="s">
        <v>214</v>
      </c>
      <c r="D84" t="s">
        <v>86</v>
      </c>
      <c r="E84" s="3">
        <v>2</v>
      </c>
      <c r="G84">
        <v>0.3</v>
      </c>
      <c r="H84" s="5">
        <f>19*Pcfu4[[#This Row],[grams]]</f>
        <v>5.7</v>
      </c>
      <c r="I84" s="3" t="s">
        <v>87</v>
      </c>
      <c r="J84" s="59">
        <v>44851</v>
      </c>
      <c r="L84" s="59" t="e" cm="1">
        <f t="array" ref="L84">INDEX($J$4:J1174, MATCH(1,(A84=$A$4:A1172)*(C84=$C$4:C1172)*("Y"=$K$4:K1174),0))</f>
        <v>#N/A</v>
      </c>
      <c r="M84" s="62">
        <v>10000000</v>
      </c>
      <c r="N84">
        <v>151</v>
      </c>
      <c r="O84">
        <v>63</v>
      </c>
      <c r="P84"/>
      <c r="Q84" s="6">
        <f>(SUM(Pcfu4[[#This Row],[R1]:[R3]]))/(Pcfu4[[#This Row],[No. Reps]]*0.025)*Pcfu4[[#This Row],[Best DF]]</f>
        <v>42800000000</v>
      </c>
      <c r="R84" s="1">
        <f>_xlfn.STDEV.S(Pcfu4[[#This Row],[R1]:[R3]])/0.025*Pcfu4[[#This Row],[Best DF]]</f>
        <v>24890158697.766468</v>
      </c>
      <c r="S84" s="6">
        <f>Pcfu4[[#This Row],[CFU/mL]]*Pcfu4[[#This Row],[mL]]/Pcfu4[[#This Row],[grams]]</f>
        <v>813200000000</v>
      </c>
      <c r="T84" s="1">
        <f>Pcfu4[[#This Row],[SD CFU/mL]]*Pcfu4[[#This Row],[mL]]/Pcfu4[[#This Row],[grams]]</f>
        <v>472913015257.56287</v>
      </c>
      <c r="U84" s="7">
        <f>_xlfn.STDEV.S(Pcfu43[[#This Row],[R1]:[R3]])/AVERAGE(Pcfu43[[#This Row],[R1]:[R3]])</f>
        <v>5.2378280087892415E-2</v>
      </c>
      <c r="V84" s="96"/>
      <c r="W84" s="7"/>
      <c r="X84" t="s">
        <v>235</v>
      </c>
    </row>
    <row r="85" spans="1:24" x14ac:dyDescent="0.15">
      <c r="A85" t="s">
        <v>238</v>
      </c>
      <c r="D85" t="s">
        <v>194</v>
      </c>
      <c r="E85" s="3">
        <v>3</v>
      </c>
      <c r="H85" s="5"/>
      <c r="I85" s="3" t="s">
        <v>170</v>
      </c>
      <c r="J85" s="59">
        <v>44851</v>
      </c>
      <c r="L85" s="59" t="e" cm="1">
        <f t="array" ref="L85">INDEX($J$4:J1175, MATCH(1,(A85=$A$4:A1173)*(C85=$C$4:C1173)*("Y"=$K$4:K1175),0))</f>
        <v>#N/A</v>
      </c>
      <c r="M85" s="1">
        <v>1000000</v>
      </c>
      <c r="N85">
        <v>142</v>
      </c>
      <c r="O85">
        <v>176</v>
      </c>
      <c r="P85">
        <v>141</v>
      </c>
      <c r="Q85" s="6">
        <f>(SUM(Pcfu4[[#This Row],[R1]:[R3]]))/(Pcfu4[[#This Row],[No. Reps]]*0.025)*Pcfu4[[#This Row],[Best DF]]</f>
        <v>6119999999.999999</v>
      </c>
      <c r="R85" s="1">
        <f>_xlfn.STDEV.S(Pcfu4[[#This Row],[R1]:[R3]])/0.025*Pcfu4[[#This Row],[Best DF]]</f>
        <v>796994353.80685103</v>
      </c>
      <c r="S85" s="6"/>
      <c r="T85" s="1"/>
      <c r="U85" s="7">
        <f>_xlfn.STDEV.S(Pcfu43[[#This Row],[R1]:[R3]])/AVERAGE(Pcfu43[[#This Row],[R1]:[R3]])</f>
        <v>2.0299716206312369E-2</v>
      </c>
      <c r="V85" s="96"/>
      <c r="W85" s="7"/>
    </row>
    <row r="86" spans="1:24" x14ac:dyDescent="0.15">
      <c r="A86" t="s">
        <v>239</v>
      </c>
      <c r="D86" t="s">
        <v>194</v>
      </c>
      <c r="E86" s="3">
        <v>3</v>
      </c>
      <c r="H86" s="5"/>
      <c r="I86" s="3" t="s">
        <v>170</v>
      </c>
      <c r="J86" s="59">
        <v>44851</v>
      </c>
      <c r="L86" s="59" t="e" cm="1">
        <f t="array" ref="L86">INDEX($J$4:J1176, MATCH(1,(A86=$A$4:A1174)*(C86=$C$4:C1174)*("Y"=$K$4:K1176),0))</f>
        <v>#N/A</v>
      </c>
      <c r="M86" s="1">
        <v>1000000</v>
      </c>
      <c r="N86">
        <v>152</v>
      </c>
      <c r="O86">
        <v>139</v>
      </c>
      <c r="P86">
        <v>161</v>
      </c>
      <c r="Q86" s="6">
        <f>(SUM(Pcfu4[[#This Row],[R1]:[R3]]))/(Pcfu4[[#This Row],[No. Reps]]*0.025)*Pcfu4[[#This Row],[Best DF]]</f>
        <v>6026666666.666666</v>
      </c>
      <c r="R86" s="1">
        <f>_xlfn.STDEV.S(Pcfu4[[#This Row],[R1]:[R3]])/0.025*Pcfu4[[#This Row],[Best DF]]</f>
        <v>442417600.61432147</v>
      </c>
      <c r="S86" s="6"/>
      <c r="T86" s="1"/>
      <c r="U86" s="7">
        <f>_xlfn.STDEV.S(Pcfu43[[#This Row],[R1]:[R3]])/AVERAGE(Pcfu43[[#This Row],[R1]:[R3]])</f>
        <v>2.4382992454708537E-2</v>
      </c>
      <c r="V86" s="96"/>
      <c r="W86" s="7"/>
    </row>
    <row r="87" spans="1:24" x14ac:dyDescent="0.15">
      <c r="A87" t="s">
        <v>234</v>
      </c>
      <c r="B87" t="s">
        <v>214</v>
      </c>
      <c r="D87" s="66">
        <v>7</v>
      </c>
      <c r="E87" s="3">
        <v>3</v>
      </c>
      <c r="G87">
        <v>0.3</v>
      </c>
      <c r="H87" s="5">
        <f>19*Pcfu4[[#This Row],[grams]]</f>
        <v>5.7</v>
      </c>
      <c r="I87" s="3" t="s">
        <v>170</v>
      </c>
      <c r="J87" s="59">
        <v>44852</v>
      </c>
      <c r="L87" s="59" t="e" cm="1">
        <f t="array" ref="L87">INDEX($J$4:J1177, MATCH(1,(A87=$A$4:A1175)*(C87=$C$4:C1175)*("Y"=$K$4:K1177),0))</f>
        <v>#N/A</v>
      </c>
      <c r="M87" s="62">
        <v>10000000</v>
      </c>
      <c r="N87">
        <v>64</v>
      </c>
      <c r="O87">
        <v>69</v>
      </c>
      <c r="P87">
        <v>57</v>
      </c>
      <c r="Q87" s="6">
        <f>(SUM(Pcfu4[[#This Row],[R1]:[R3]]))/(Pcfu4[[#This Row],[No. Reps]]*0.025)*Pcfu4[[#This Row],[Best DF]]</f>
        <v>25333333333.333332</v>
      </c>
      <c r="R87" s="1">
        <f>_xlfn.STDEV.S(Pcfu4[[#This Row],[R1]:[R3]])/0.025*Pcfu4[[#This Row],[Best DF]]</f>
        <v>2411085509.3366833</v>
      </c>
      <c r="S87" s="6">
        <f>Pcfu4[[#This Row],[CFU/mL]]*Pcfu4[[#This Row],[mL]]/Pcfu4[[#This Row],[grams]]</f>
        <v>481333333333.33337</v>
      </c>
      <c r="T87" s="1">
        <f>Pcfu4[[#This Row],[SD CFU/mL]]*Pcfu4[[#This Row],[mL]]/Pcfu4[[#This Row],[grams]]</f>
        <v>45810624677.396988</v>
      </c>
      <c r="U87" s="7">
        <f>_xlfn.STDEV.S(Pcfu43[[#This Row],[R1]:[R3]])/AVERAGE(Pcfu43[[#This Row],[R1]:[R3]])</f>
        <v>0.1363962319040041</v>
      </c>
      <c r="V87" s="96"/>
      <c r="W87" s="7"/>
    </row>
    <row r="88" spans="1:24" x14ac:dyDescent="0.15">
      <c r="A88" t="s">
        <v>236</v>
      </c>
      <c r="B88" t="s">
        <v>214</v>
      </c>
      <c r="D88" s="66">
        <v>7</v>
      </c>
      <c r="E88" s="3">
        <v>3</v>
      </c>
      <c r="G88">
        <v>0.3</v>
      </c>
      <c r="H88" s="5">
        <f>19*Pcfu4[[#This Row],[grams]]</f>
        <v>5.7</v>
      </c>
      <c r="I88" s="3" t="s">
        <v>170</v>
      </c>
      <c r="J88" s="59">
        <v>44852</v>
      </c>
      <c r="L88" s="59" t="e" cm="1">
        <f t="array" ref="L88">INDEX($J$4:J1178, MATCH(1,(A88=$A$4:A1176)*(C88=$C$4:C1176)*("Y"=$K$4:K1178),0))</f>
        <v>#N/A</v>
      </c>
      <c r="M88" s="62">
        <v>10000000</v>
      </c>
      <c r="N88">
        <v>81</v>
      </c>
      <c r="O88">
        <v>79</v>
      </c>
      <c r="P88">
        <v>76</v>
      </c>
      <c r="Q88" s="6">
        <f>(SUM(Pcfu4[[#This Row],[R1]:[R3]]))/(Pcfu4[[#This Row],[No. Reps]]*0.025)*Pcfu4[[#This Row],[Best DF]]</f>
        <v>31466666666.66666</v>
      </c>
      <c r="R88" s="1">
        <f>_xlfn.STDEV.S(Pcfu4[[#This Row],[R1]:[R3]])/0.025*Pcfu4[[#This Row],[Best DF]]</f>
        <v>1006644591.3694334</v>
      </c>
      <c r="S88" s="6">
        <f>Pcfu4[[#This Row],[CFU/mL]]*Pcfu4[[#This Row],[mL]]/Pcfu4[[#This Row],[grams]]</f>
        <v>597866666666.66663</v>
      </c>
      <c r="T88" s="1">
        <f>Pcfu4[[#This Row],[SD CFU/mL]]*Pcfu4[[#This Row],[mL]]/Pcfu4[[#This Row],[grams]]</f>
        <v>19126247236.019238</v>
      </c>
      <c r="U88" s="7">
        <f>_xlfn.STDEV.S(Pcfu43[[#This Row],[R1]:[R3]])/AVERAGE(Pcfu43[[#This Row],[R1]:[R3]])</f>
        <v>2.2447834323382463E-2</v>
      </c>
      <c r="V88" s="96"/>
      <c r="W88" s="7"/>
    </row>
    <row r="89" spans="1:24" x14ac:dyDescent="0.15">
      <c r="A89" t="s">
        <v>237</v>
      </c>
      <c r="B89" t="s">
        <v>214</v>
      </c>
      <c r="D89" s="66">
        <v>7</v>
      </c>
      <c r="E89" s="3">
        <v>3</v>
      </c>
      <c r="G89">
        <v>0.3</v>
      </c>
      <c r="H89" s="5">
        <f>19*Pcfu4[[#This Row],[grams]]</f>
        <v>5.7</v>
      </c>
      <c r="I89" s="3" t="s">
        <v>170</v>
      </c>
      <c r="J89" s="59">
        <v>44852</v>
      </c>
      <c r="L89" s="59" t="e" cm="1">
        <f t="array" ref="L89">INDEX($J$4:J1179, MATCH(1,(A89=$A$4:A1177)*(C89=$C$4:C1177)*("Y"=$K$4:K1179),0))</f>
        <v>#N/A</v>
      </c>
      <c r="M89" s="62">
        <v>10000000</v>
      </c>
      <c r="N89">
        <v>58</v>
      </c>
      <c r="O89">
        <v>73</v>
      </c>
      <c r="P89">
        <v>71</v>
      </c>
      <c r="Q89" s="6">
        <f>(SUM(Pcfu4[[#This Row],[R1]:[R3]]))/(Pcfu4[[#This Row],[No. Reps]]*0.025)*Pcfu4[[#This Row],[Best DF]]</f>
        <v>26933333333.333332</v>
      </c>
      <c r="R89" s="1">
        <f>_xlfn.STDEV.S(Pcfu4[[#This Row],[R1]:[R3]])/0.025*Pcfu4[[#This Row],[Best DF]]</f>
        <v>3257811126.0988312</v>
      </c>
      <c r="S89" s="6">
        <f>Pcfu4[[#This Row],[CFU/mL]]*Pcfu4[[#This Row],[mL]]/Pcfu4[[#This Row],[grams]]</f>
        <v>511733333333.33337</v>
      </c>
      <c r="T89" s="1">
        <f>Pcfu4[[#This Row],[SD CFU/mL]]*Pcfu4[[#This Row],[mL]]/Pcfu4[[#This Row],[grams]]</f>
        <v>61898411395.8778</v>
      </c>
      <c r="U89" s="7">
        <f>_xlfn.STDEV.S(Pcfu43[[#This Row],[R1]:[R3]])/AVERAGE(Pcfu43[[#This Row],[R1]:[R3]])</f>
        <v>2.3969721396154154E-2</v>
      </c>
      <c r="V89" s="96"/>
      <c r="W89" s="7"/>
    </row>
    <row r="90" spans="1:24" x14ac:dyDescent="0.15">
      <c r="A90" t="s">
        <v>240</v>
      </c>
      <c r="D90" t="s">
        <v>86</v>
      </c>
      <c r="E90" s="3">
        <v>3</v>
      </c>
      <c r="G90">
        <v>0.1</v>
      </c>
      <c r="H90" s="5">
        <f>19*Pcfu4[[#This Row],[grams]]</f>
        <v>1.9000000000000001</v>
      </c>
      <c r="I90" s="3" t="s">
        <v>170</v>
      </c>
      <c r="J90" s="59">
        <v>44852</v>
      </c>
      <c r="L90" s="59" t="e" cm="1">
        <f t="array" ref="L90">INDEX($J$4:J1180, MATCH(1,(A90=$A$4:A1178)*(C90=$C$4:C1178)*("Y"=$K$4:K1180),0))</f>
        <v>#N/A</v>
      </c>
      <c r="M90" s="1">
        <v>10000000</v>
      </c>
      <c r="N90">
        <v>47</v>
      </c>
      <c r="O90">
        <v>52</v>
      </c>
      <c r="P90">
        <v>44</v>
      </c>
      <c r="Q90" s="6">
        <f>(SUM(Pcfu4[[#This Row],[R1]:[R3]]))/(Pcfu4[[#This Row],[No. Reps]]*0.025)*Pcfu4[[#This Row],[Best DF]]</f>
        <v>19066666666.666664</v>
      </c>
      <c r="R90" s="1">
        <f>_xlfn.STDEV.S(Pcfu4[[#This Row],[R1]:[R3]])/0.025*Pcfu4[[#This Row],[Best DF]]</f>
        <v>1616580753.7309523</v>
      </c>
      <c r="S90" s="6">
        <f>Pcfu4[[#This Row],[CFU/mL]]*Pcfu4[[#This Row],[mL]]/Pcfu4[[#This Row],[grams]]</f>
        <v>362266666666.66663</v>
      </c>
      <c r="T90" s="1">
        <f>Pcfu4[[#This Row],[SD CFU/mL]]*Pcfu4[[#This Row],[mL]]/Pcfu4[[#This Row],[grams]]</f>
        <v>30715034320.888092</v>
      </c>
      <c r="U90" s="7">
        <f>_xlfn.STDEV.S(Pcfu43[[#This Row],[R1]:[R3]])/AVERAGE(Pcfu43[[#This Row],[R1]:[R3]])</f>
        <v>2.3343002797424219E-2</v>
      </c>
      <c r="V90" s="96"/>
      <c r="W90" s="7"/>
    </row>
    <row r="91" spans="1:24" x14ac:dyDescent="0.15">
      <c r="A91" t="s">
        <v>34</v>
      </c>
      <c r="B91" t="s">
        <v>223</v>
      </c>
      <c r="D91" t="s">
        <v>37</v>
      </c>
      <c r="E91" s="3">
        <v>3</v>
      </c>
      <c r="G91">
        <v>0.3</v>
      </c>
      <c r="H91" s="5">
        <f>19*Pcfu4[[#This Row],[grams]]</f>
        <v>5.7</v>
      </c>
      <c r="I91" s="3" t="s">
        <v>170</v>
      </c>
      <c r="J91" s="59">
        <v>44853</v>
      </c>
      <c r="L91" s="59" t="e" cm="1">
        <f t="array" ref="L91">INDEX($J$4:J1181, MATCH(1,(A91=$A$4:A1179)*(C91=$C$4:C1179)*("Y"=$K$4:K1181),0))</f>
        <v>#N/A</v>
      </c>
      <c r="M91" s="1">
        <v>1000000</v>
      </c>
      <c r="N91">
        <v>42</v>
      </c>
      <c r="O91">
        <v>32</v>
      </c>
      <c r="P91">
        <v>30</v>
      </c>
      <c r="Q91" s="6">
        <f>(SUM(Pcfu4[[#This Row],[R1]:[R3]]))/(Pcfu4[[#This Row],[No. Reps]]*0.025)*Pcfu4[[#This Row],[Best DF]]</f>
        <v>1386666666.6666665</v>
      </c>
      <c r="R91" s="1">
        <f>_xlfn.STDEV.S(Pcfu4[[#This Row],[R1]:[R3]])/0.025*Pcfu4[[#This Row],[Best DF]]</f>
        <v>257164020.29314521</v>
      </c>
      <c r="S91" s="6">
        <f>Pcfu4[[#This Row],[CFU/mL]]*Pcfu4[[#This Row],[mL]]/Pcfu4[[#This Row],[grams]]</f>
        <v>26346666666.666664</v>
      </c>
      <c r="T91" s="1">
        <f>Pcfu4[[#This Row],[SD CFU/mL]]*Pcfu4[[#This Row],[mL]]/Pcfu4[[#This Row],[grams]]</f>
        <v>4886116385.5697594</v>
      </c>
      <c r="U91" s="7" t="e">
        <f>_xlfn.STDEV.S(Pcfu43[[#This Row],[R1]:[R3]])/AVERAGE(Pcfu43[[#This Row],[R1]:[R3]])</f>
        <v>#DIV/0!</v>
      </c>
      <c r="V91" s="96"/>
      <c r="W91" s="7"/>
    </row>
    <row r="92" spans="1:24" x14ac:dyDescent="0.15">
      <c r="A92" t="s">
        <v>40</v>
      </c>
      <c r="B92" t="s">
        <v>223</v>
      </c>
      <c r="D92" t="s">
        <v>37</v>
      </c>
      <c r="E92" s="3">
        <v>3</v>
      </c>
      <c r="G92">
        <v>0.3</v>
      </c>
      <c r="H92" s="5">
        <f>19*Pcfu4[[#This Row],[grams]]</f>
        <v>5.7</v>
      </c>
      <c r="I92" s="3" t="s">
        <v>170</v>
      </c>
      <c r="J92" s="59">
        <v>44853</v>
      </c>
      <c r="L92" s="59" t="e" cm="1">
        <f t="array" ref="L92">INDEX($J$4:J1182, MATCH(1,(A92=$A$4:A1180)*(C92=$C$4:C1180)*("Y"=$K$4:K1182),0))</f>
        <v>#N/A</v>
      </c>
      <c r="M92" s="1">
        <v>100000</v>
      </c>
      <c r="N92">
        <v>80</v>
      </c>
      <c r="O92">
        <v>114</v>
      </c>
      <c r="P92">
        <v>97</v>
      </c>
      <c r="Q92" s="6">
        <f>(SUM(Pcfu4[[#This Row],[R1]:[R3]]))/(Pcfu4[[#This Row],[No. Reps]]*0.025)*Pcfu4[[#This Row],[Best DF]]</f>
        <v>387999999.99999994</v>
      </c>
      <c r="R92" s="1">
        <f>_xlfn.STDEV.S(Pcfu4[[#This Row],[R1]:[R3]])/0.025*Pcfu4[[#This Row],[Best DF]]</f>
        <v>68000000</v>
      </c>
      <c r="S92" s="6">
        <f>Pcfu4[[#This Row],[CFU/mL]]*Pcfu4[[#This Row],[mL]]/Pcfu4[[#This Row],[grams]]</f>
        <v>7371999999.999999</v>
      </c>
      <c r="T92" s="1">
        <f>Pcfu4[[#This Row],[SD CFU/mL]]*Pcfu4[[#This Row],[mL]]/Pcfu4[[#This Row],[grams]]</f>
        <v>1292000000</v>
      </c>
      <c r="U92" s="7" t="e">
        <f>_xlfn.STDEV.S(Pcfu43[[#This Row],[R1]:[R3]])/AVERAGE(Pcfu43[[#This Row],[R1]:[R3]])</f>
        <v>#DIV/0!</v>
      </c>
      <c r="V92" s="96"/>
      <c r="W92" s="7"/>
    </row>
    <row r="93" spans="1:24" x14ac:dyDescent="0.15">
      <c r="A93" t="s">
        <v>34</v>
      </c>
      <c r="B93" t="s">
        <v>75</v>
      </c>
      <c r="D93" t="s">
        <v>37</v>
      </c>
      <c r="E93" s="3">
        <v>3</v>
      </c>
      <c r="G93">
        <v>0.3</v>
      </c>
      <c r="H93" s="5">
        <f>19*Pcfu4[[#This Row],[grams]]</f>
        <v>5.7</v>
      </c>
      <c r="I93" s="3" t="s">
        <v>170</v>
      </c>
      <c r="J93" s="59">
        <v>44853</v>
      </c>
      <c r="L93" s="59" t="e" cm="1">
        <f t="array" ref="L93">INDEX($J$4:J1183, MATCH(1,(A93=$A$4:A1181)*(C93=$C$4:C1181)*("Y"=$K$4:K1183),0))</f>
        <v>#N/A</v>
      </c>
      <c r="M93" s="1">
        <v>1000000</v>
      </c>
      <c r="N93">
        <v>32</v>
      </c>
      <c r="O93">
        <v>43</v>
      </c>
      <c r="P93">
        <v>44</v>
      </c>
      <c r="Q93" s="6">
        <f>(SUM(Pcfu4[[#This Row],[R1]:[R3]]))/(Pcfu4[[#This Row],[No. Reps]]*0.025)*Pcfu4[[#This Row],[Best DF]]</f>
        <v>1586666666.6666665</v>
      </c>
      <c r="R93" s="1">
        <f>_xlfn.STDEV.S(Pcfu4[[#This Row],[R1]:[R3]])/0.025*Pcfu4[[#This Row],[Best DF]]</f>
        <v>266333124.73917612</v>
      </c>
      <c r="S93" s="6">
        <f>Pcfu4[[#This Row],[CFU/mL]]*Pcfu4[[#This Row],[mL]]/Pcfu4[[#This Row],[grams]]</f>
        <v>30146666666.666668</v>
      </c>
      <c r="T93" s="1">
        <f>Pcfu4[[#This Row],[SD CFU/mL]]*Pcfu4[[#This Row],[mL]]/Pcfu4[[#This Row],[grams]]</f>
        <v>5060329370.0443468</v>
      </c>
      <c r="U93" s="7">
        <f>_xlfn.STDEV.S(Pcfu43[[#This Row],[R1]:[R3]])/AVERAGE(Pcfu43[[#This Row],[R1]:[R3]])</f>
        <v>0.11835354425057565</v>
      </c>
      <c r="V93" s="96"/>
      <c r="W93" s="7"/>
    </row>
    <row r="94" spans="1:24" x14ac:dyDescent="0.15">
      <c r="A94" t="s">
        <v>241</v>
      </c>
      <c r="B94" t="s">
        <v>242</v>
      </c>
      <c r="D94" t="s">
        <v>243</v>
      </c>
      <c r="E94" s="3">
        <v>2</v>
      </c>
      <c r="G94">
        <v>0.1</v>
      </c>
      <c r="H94" s="5">
        <f>19*Pcfu4[[#This Row],[grams]]</f>
        <v>1.9000000000000001</v>
      </c>
      <c r="I94" s="3" t="s">
        <v>170</v>
      </c>
      <c r="J94" s="59">
        <v>44854</v>
      </c>
      <c r="L94" s="59" t="e" cm="1">
        <f t="array" ref="L94">INDEX($J$4:J1184, MATCH(1,(A94=$A$4:A1182)*(C94=$C$4:C1182)*("Y"=$K$4:K1184),0))</f>
        <v>#N/A</v>
      </c>
      <c r="M94" s="1">
        <v>10</v>
      </c>
      <c r="N94">
        <v>218</v>
      </c>
      <c r="O94">
        <v>238</v>
      </c>
      <c r="P94"/>
      <c r="Q94" s="6">
        <f>(SUM(Pcfu4[[#This Row],[R1]:[R3]]))/(Pcfu4[[#This Row],[No. Reps]]*0.025)*Pcfu4[[#This Row],[Best DF]]</f>
        <v>91200</v>
      </c>
      <c r="R94" s="1">
        <f>_xlfn.STDEV.S(Pcfu4[[#This Row],[R1]:[R3]])/0.025*Pcfu4[[#This Row],[Best DF]]</f>
        <v>5656.8542494923804</v>
      </c>
      <c r="S94" s="6">
        <f>Pcfu4[[#This Row],[CFU/mL]]*Pcfu4[[#This Row],[mL]]/Pcfu4[[#This Row],[grams]]</f>
        <v>1732800</v>
      </c>
      <c r="T94" s="1">
        <f>Pcfu4[[#This Row],[SD CFU/mL]]*Pcfu4[[#This Row],[mL]]/Pcfu4[[#This Row],[grams]]</f>
        <v>107480.23074035523</v>
      </c>
      <c r="U94" s="7" t="e">
        <f>_xlfn.STDEV.S(Pcfu43[[#This Row],[R1]:[R3]])/AVERAGE(Pcfu43[[#This Row],[R1]:[R3]])</f>
        <v>#DIV/0!</v>
      </c>
      <c r="V94" s="96"/>
      <c r="W94" s="7"/>
    </row>
    <row r="95" spans="1:24" x14ac:dyDescent="0.15">
      <c r="A95" t="s">
        <v>244</v>
      </c>
      <c r="B95" t="s">
        <v>242</v>
      </c>
      <c r="D95" t="s">
        <v>243</v>
      </c>
      <c r="E95" s="3">
        <v>2</v>
      </c>
      <c r="G95">
        <v>0.1</v>
      </c>
      <c r="H95" s="5">
        <f>19*Pcfu4[[#This Row],[grams]]</f>
        <v>1.9000000000000001</v>
      </c>
      <c r="I95" s="3" t="s">
        <v>170</v>
      </c>
      <c r="J95" s="59">
        <v>44854</v>
      </c>
      <c r="L95" s="59" t="e" cm="1">
        <f t="array" ref="L95">INDEX($J$4:J1185, MATCH(1,(A95=$A$4:A1183)*(C95=$C$4:C1183)*("Y"=$K$4:K1185),0))</f>
        <v>#N/A</v>
      </c>
      <c r="M95" s="1">
        <v>10</v>
      </c>
      <c r="N95">
        <v>59</v>
      </c>
      <c r="O95">
        <v>46</v>
      </c>
      <c r="P95"/>
      <c r="Q95" s="6">
        <f>(SUM(Pcfu4[[#This Row],[R1]:[R3]]))/(Pcfu4[[#This Row],[No. Reps]]*0.025)*Pcfu4[[#This Row],[Best DF]]</f>
        <v>21000</v>
      </c>
      <c r="R95" s="1">
        <f>_xlfn.STDEV.S(Pcfu4[[#This Row],[R1]:[R3]])/0.025*Pcfu4[[#This Row],[Best DF]]</f>
        <v>3676.9552621700468</v>
      </c>
      <c r="S95" s="6">
        <f>Pcfu4[[#This Row],[CFU/mL]]*Pcfu4[[#This Row],[mL]]/Pcfu4[[#This Row],[grams]]</f>
        <v>399000</v>
      </c>
      <c r="T95" s="1">
        <f>Pcfu4[[#This Row],[SD CFU/mL]]*Pcfu4[[#This Row],[mL]]/Pcfu4[[#This Row],[grams]]</f>
        <v>69862.14998123089</v>
      </c>
      <c r="U95" s="7" t="e">
        <f>_xlfn.STDEV.S(Pcfu43[[#This Row],[R1]:[R3]])/AVERAGE(Pcfu43[[#This Row],[R1]:[R3]])</f>
        <v>#DIV/0!</v>
      </c>
      <c r="V95" s="96"/>
      <c r="W95" s="7"/>
    </row>
    <row r="96" spans="1:24" x14ac:dyDescent="0.15">
      <c r="A96" t="s">
        <v>245</v>
      </c>
      <c r="B96" t="s">
        <v>242</v>
      </c>
      <c r="D96" t="s">
        <v>246</v>
      </c>
      <c r="E96" s="3">
        <v>2</v>
      </c>
      <c r="G96">
        <v>0.1</v>
      </c>
      <c r="H96" s="5">
        <f>19*Pcfu4[[#This Row],[grams]]</f>
        <v>1.9000000000000001</v>
      </c>
      <c r="I96" s="3" t="s">
        <v>170</v>
      </c>
      <c r="J96" s="59">
        <v>44854</v>
      </c>
      <c r="L96" s="59" t="e" cm="1">
        <f t="array" ref="L96">INDEX($J$4:J1186, MATCH(1,(A96=$A$4:A1184)*(C96=$C$4:C1184)*("Y"=$K$4:K1186),0))</f>
        <v>#N/A</v>
      </c>
      <c r="M96" s="1">
        <v>1000</v>
      </c>
      <c r="N96">
        <v>40</v>
      </c>
      <c r="O96">
        <v>42</v>
      </c>
      <c r="P96"/>
      <c r="Q96" s="6">
        <f>(SUM(Pcfu4[[#This Row],[R1]:[R3]]))/(Pcfu4[[#This Row],[No. Reps]]*0.025)*Pcfu4[[#This Row],[Best DF]]</f>
        <v>1640000</v>
      </c>
      <c r="R96" s="1">
        <f>_xlfn.STDEV.S(Pcfu4[[#This Row],[R1]:[R3]])/0.025*Pcfu4[[#This Row],[Best DF]]</f>
        <v>56568.542494923808</v>
      </c>
      <c r="S96" s="6">
        <f>Pcfu4[[#This Row],[CFU/mL]]*Pcfu4[[#This Row],[mL]]/Pcfu4[[#This Row],[grams]]</f>
        <v>31160000</v>
      </c>
      <c r="T96" s="1">
        <f>Pcfu4[[#This Row],[SD CFU/mL]]*Pcfu4[[#This Row],[mL]]/Pcfu4[[#This Row],[grams]]</f>
        <v>1074802.3074035523</v>
      </c>
      <c r="U96" s="7">
        <f>_xlfn.STDEV.S(Pcfu43[[#This Row],[R1]:[R3]])/AVERAGE(Pcfu43[[#This Row],[R1]:[R3]])</f>
        <v>0.32012031269897223</v>
      </c>
      <c r="V96" s="96"/>
      <c r="W96" s="7"/>
    </row>
    <row r="97" spans="1:23" x14ac:dyDescent="0.15">
      <c r="A97" t="s">
        <v>247</v>
      </c>
      <c r="B97" t="s">
        <v>242</v>
      </c>
      <c r="D97" t="s">
        <v>246</v>
      </c>
      <c r="E97" s="3">
        <v>2</v>
      </c>
      <c r="G97">
        <v>0.1</v>
      </c>
      <c r="H97" s="5">
        <f>19*Pcfu4[[#This Row],[grams]]</f>
        <v>1.9000000000000001</v>
      </c>
      <c r="I97" s="3" t="s">
        <v>170</v>
      </c>
      <c r="J97" s="59">
        <v>44854</v>
      </c>
      <c r="L97" s="59" t="e" cm="1">
        <f t="array" ref="L97">INDEX($J$4:J1187, MATCH(1,(A97=$A$4:A1185)*(C97=$C$4:C1185)*("Y"=$K$4:K1187),0))</f>
        <v>#N/A</v>
      </c>
      <c r="M97" s="1">
        <v>100</v>
      </c>
      <c r="N97">
        <v>248</v>
      </c>
      <c r="O97">
        <v>263</v>
      </c>
      <c r="P97"/>
      <c r="Q97" s="6">
        <f>(SUM(Pcfu4[[#This Row],[R1]:[R3]]))/(Pcfu4[[#This Row],[No. Reps]]*0.025)*Pcfu4[[#This Row],[Best DF]]</f>
        <v>1022000</v>
      </c>
      <c r="R97" s="1">
        <f>_xlfn.STDEV.S(Pcfu4[[#This Row],[R1]:[R3]])/0.025*Pcfu4[[#This Row],[Best DF]]</f>
        <v>42426.406871192856</v>
      </c>
      <c r="S97" s="6">
        <f>Pcfu4[[#This Row],[CFU/mL]]*Pcfu4[[#This Row],[mL]]/Pcfu4[[#This Row],[grams]]</f>
        <v>19418000</v>
      </c>
      <c r="T97" s="1">
        <f>Pcfu4[[#This Row],[SD CFU/mL]]*Pcfu4[[#This Row],[mL]]/Pcfu4[[#This Row],[grams]]</f>
        <v>806101.73055266438</v>
      </c>
      <c r="U97" s="7" t="e">
        <f>_xlfn.STDEV.S(Pcfu43[[#This Row],[R1]:[R3]])/AVERAGE(Pcfu43[[#This Row],[R1]:[R3]])</f>
        <v>#DIV/0!</v>
      </c>
      <c r="V97" s="96"/>
      <c r="W97" s="7"/>
    </row>
    <row r="98" spans="1:23" x14ac:dyDescent="0.15">
      <c r="A98" t="s">
        <v>248</v>
      </c>
      <c r="B98" t="s">
        <v>242</v>
      </c>
      <c r="D98" t="s">
        <v>246</v>
      </c>
      <c r="E98" s="3">
        <v>3</v>
      </c>
      <c r="G98">
        <v>0.1</v>
      </c>
      <c r="H98" s="5">
        <f>19*Pcfu4[[#This Row],[grams]]</f>
        <v>1.9000000000000001</v>
      </c>
      <c r="I98" s="3" t="s">
        <v>170</v>
      </c>
      <c r="J98" s="59">
        <v>44854</v>
      </c>
      <c r="L98" s="59" t="e" cm="1">
        <f t="array" ref="L98">INDEX($J$4:J1188, MATCH(1,(A98=$A$4:A1186)*(C98=$C$4:C1186)*("Y"=$K$4:K1188),0))</f>
        <v>#N/A</v>
      </c>
      <c r="M98" s="1">
        <v>1000</v>
      </c>
      <c r="N98">
        <v>41</v>
      </c>
      <c r="O98">
        <v>40</v>
      </c>
      <c r="P98"/>
      <c r="Q98" s="6">
        <f>(SUM(Pcfu4[[#This Row],[R1]:[R3]]))/(Pcfu4[[#This Row],[No. Reps]]*0.025)*Pcfu4[[#This Row],[Best DF]]</f>
        <v>1079999.9999999998</v>
      </c>
      <c r="R98" s="1">
        <f>_xlfn.STDEV.S(Pcfu4[[#This Row],[R1]:[R3]])/0.025*Pcfu4[[#This Row],[Best DF]]</f>
        <v>28284.271247461904</v>
      </c>
      <c r="S98" s="6">
        <f>Pcfu4[[#This Row],[CFU/mL]]*Pcfu4[[#This Row],[mL]]/Pcfu4[[#This Row],[grams]]</f>
        <v>20519999.999999996</v>
      </c>
      <c r="T98" s="1">
        <f>Pcfu4[[#This Row],[SD CFU/mL]]*Pcfu4[[#This Row],[mL]]/Pcfu4[[#This Row],[grams]]</f>
        <v>537401.15370177617</v>
      </c>
      <c r="U98" s="7" t="e">
        <f>_xlfn.STDEV.S(Pcfu43[[#This Row],[R1]:[R3]])/AVERAGE(Pcfu43[[#This Row],[R1]:[R3]])</f>
        <v>#DIV/0!</v>
      </c>
      <c r="V98" s="96"/>
      <c r="W98" s="7"/>
    </row>
    <row r="99" spans="1:23" x14ac:dyDescent="0.15">
      <c r="A99" t="s">
        <v>249</v>
      </c>
      <c r="B99" t="s">
        <v>242</v>
      </c>
      <c r="D99" t="s">
        <v>26</v>
      </c>
      <c r="E99" s="3">
        <v>2</v>
      </c>
      <c r="G99">
        <v>0.1</v>
      </c>
      <c r="H99" s="5">
        <f>19*Pcfu4[[#This Row],[grams]]</f>
        <v>1.9000000000000001</v>
      </c>
      <c r="I99" s="3" t="s">
        <v>170</v>
      </c>
      <c r="J99" s="59">
        <v>44854</v>
      </c>
      <c r="L99" s="59" t="e" cm="1">
        <f t="array" ref="L99">INDEX($J$4:J1189, MATCH(1,(A99=$A$4:A1187)*(C99=$C$4:C1187)*("Y"=$K$4:K1189),0))</f>
        <v>#N/A</v>
      </c>
      <c r="M99" s="1">
        <v>100000</v>
      </c>
      <c r="N99">
        <v>100</v>
      </c>
      <c r="O99">
        <v>90</v>
      </c>
      <c r="P99"/>
      <c r="Q99" s="6">
        <f>(SUM(Pcfu4[[#This Row],[R1]:[R3]]))/(Pcfu4[[#This Row],[No. Reps]]*0.025)*Pcfu4[[#This Row],[Best DF]]</f>
        <v>380000000</v>
      </c>
      <c r="R99" s="1">
        <f>_xlfn.STDEV.S(Pcfu4[[#This Row],[R1]:[R3]])/0.025*Pcfu4[[#This Row],[Best DF]]</f>
        <v>28284271.247461904</v>
      </c>
      <c r="S99" s="6">
        <f>Pcfu4[[#This Row],[CFU/mL]]*Pcfu4[[#This Row],[mL]]/Pcfu4[[#This Row],[grams]]</f>
        <v>7220000000</v>
      </c>
      <c r="T99" s="1">
        <f>Pcfu4[[#This Row],[SD CFU/mL]]*Pcfu4[[#This Row],[mL]]/Pcfu4[[#This Row],[grams]]</f>
        <v>537401153.70177615</v>
      </c>
      <c r="U99" s="7">
        <f>_xlfn.STDEV.S(Pcfu43[[#This Row],[R1]:[R3]])/AVERAGE(Pcfu43[[#This Row],[R1]:[R3]])</f>
        <v>0.10651771069660379</v>
      </c>
      <c r="V99" s="96"/>
      <c r="W99" s="7"/>
    </row>
    <row r="100" spans="1:23" x14ac:dyDescent="0.15">
      <c r="A100" t="s">
        <v>250</v>
      </c>
      <c r="B100" t="s">
        <v>242</v>
      </c>
      <c r="D100" s="66">
        <v>0</v>
      </c>
      <c r="E100" s="3">
        <v>3</v>
      </c>
      <c r="G100">
        <v>0.1</v>
      </c>
      <c r="H100" s="5">
        <f>19*Pcfu4[[#This Row],[grams]]</f>
        <v>1.9000000000000001</v>
      </c>
      <c r="I100" s="3" t="s">
        <v>170</v>
      </c>
      <c r="J100" s="59">
        <v>44858</v>
      </c>
      <c r="L100" s="59" t="e" cm="1">
        <f t="array" ref="L100">INDEX($J$4:J1190, MATCH(1,(A100=$A$4:A1188)*(C100=$C$4:C1188)*("Y"=$K$4:K1190),0))</f>
        <v>#N/A</v>
      </c>
      <c r="M100" s="1">
        <v>1</v>
      </c>
      <c r="N100">
        <v>450</v>
      </c>
      <c r="O100">
        <v>466</v>
      </c>
      <c r="P100">
        <v>461</v>
      </c>
      <c r="Q100" s="6">
        <f>(SUM(Pcfu4[[#This Row],[R1]:[R3]]))/(Pcfu4[[#This Row],[No. Reps]]*0.025)*Pcfu4[[#This Row],[Best DF]]</f>
        <v>18359.999999999996</v>
      </c>
      <c r="R100" s="1">
        <f>_xlfn.STDEV.S(Pcfu4[[#This Row],[R1]:[R3]])/0.025*Pcfu4[[#This Row],[Best DF]]</f>
        <v>327.41411087489797</v>
      </c>
      <c r="S100" s="6">
        <f>Pcfu4[[#This Row],[CFU/mL]]*Pcfu4[[#This Row],[mL]]/Pcfu4[[#This Row],[grams]]</f>
        <v>348839.99999999988</v>
      </c>
      <c r="T100" s="1">
        <f>Pcfu4[[#This Row],[SD CFU/mL]]*Pcfu4[[#This Row],[mL]]/Pcfu4[[#This Row],[grams]]</f>
        <v>6220.868106623062</v>
      </c>
      <c r="U100" s="7" t="e">
        <f>_xlfn.STDEV.S(Pcfu43[[#This Row],[R1]:[R3]])/AVERAGE(Pcfu43[[#This Row],[R1]:[R3]])</f>
        <v>#DIV/0!</v>
      </c>
      <c r="V100" s="96"/>
      <c r="W100" s="7"/>
    </row>
    <row r="101" spans="1:23" x14ac:dyDescent="0.15">
      <c r="A101" t="s">
        <v>251</v>
      </c>
      <c r="B101" t="s">
        <v>242</v>
      </c>
      <c r="D101" s="66">
        <v>0</v>
      </c>
      <c r="E101" s="3">
        <v>3</v>
      </c>
      <c r="G101">
        <v>0.1</v>
      </c>
      <c r="H101" s="5">
        <f>19*Pcfu4[[#This Row],[grams]]</f>
        <v>1.9000000000000001</v>
      </c>
      <c r="I101" s="3" t="s">
        <v>170</v>
      </c>
      <c r="J101" s="59">
        <v>44858</v>
      </c>
      <c r="L101" s="59" t="e" cm="1">
        <f t="array" ref="L101">INDEX($J$4:J1191, MATCH(1,(A101=$A$4:A1189)*(C101=$C$4:C1189)*("Y"=$K$4:K1191),0))</f>
        <v>#N/A</v>
      </c>
      <c r="M101" s="1">
        <v>1</v>
      </c>
      <c r="N101">
        <v>238</v>
      </c>
      <c r="O101">
        <v>221</v>
      </c>
      <c r="P101">
        <v>236</v>
      </c>
      <c r="Q101" s="6">
        <f>(SUM(Pcfu4[[#This Row],[R1]:[R3]]))/(Pcfu4[[#This Row],[No. Reps]]*0.025)*Pcfu4[[#This Row],[Best DF]]</f>
        <v>9266.6666666666661</v>
      </c>
      <c r="R101" s="1">
        <f>_xlfn.STDEV.S(Pcfu4[[#This Row],[R1]:[R3]])/0.025*Pcfu4[[#This Row],[Best DF]]</f>
        <v>371.66292972710272</v>
      </c>
      <c r="S101" s="6">
        <f>Pcfu4[[#This Row],[CFU/mL]]*Pcfu4[[#This Row],[mL]]/Pcfu4[[#This Row],[grams]]</f>
        <v>176066.66666666666</v>
      </c>
      <c r="T101" s="1">
        <f>Pcfu4[[#This Row],[SD CFU/mL]]*Pcfu4[[#This Row],[mL]]/Pcfu4[[#This Row],[grams]]</f>
        <v>7061.5956648149513</v>
      </c>
      <c r="U101" s="7" t="e">
        <f>_xlfn.STDEV.S(Pcfu43[[#This Row],[R1]:[R3]])/AVERAGE(Pcfu43[[#This Row],[R1]:[R3]])</f>
        <v>#DIV/0!</v>
      </c>
      <c r="V101" s="96"/>
      <c r="W101" s="7"/>
    </row>
    <row r="102" spans="1:23" x14ac:dyDescent="0.15">
      <c r="A102" t="s">
        <v>252</v>
      </c>
      <c r="B102" t="s">
        <v>242</v>
      </c>
      <c r="D102" t="s">
        <v>253</v>
      </c>
      <c r="E102" s="3">
        <v>3</v>
      </c>
      <c r="G102">
        <v>0.1</v>
      </c>
      <c r="H102" s="5">
        <f>19*Pcfu4[[#This Row],[grams]]</f>
        <v>1.9000000000000001</v>
      </c>
      <c r="I102" s="3" t="s">
        <v>170</v>
      </c>
      <c r="J102" s="59">
        <v>44858</v>
      </c>
      <c r="L102" s="59" t="e" cm="1">
        <f t="array" ref="L102">INDEX($J$4:J1192, MATCH(1,(A102=$A$4:A1190)*(C102=$C$4:C1190)*("Y"=$K$4:K1192),0))</f>
        <v>#N/A</v>
      </c>
      <c r="M102" s="1">
        <v>1</v>
      </c>
      <c r="N102">
        <v>243</v>
      </c>
      <c r="O102">
        <v>198</v>
      </c>
      <c r="P102">
        <v>244</v>
      </c>
      <c r="Q102" s="6">
        <f>(SUM(Pcfu4[[#This Row],[R1]:[R3]]))/(Pcfu4[[#This Row],[No. Reps]]*0.025)*Pcfu4[[#This Row],[Best DF]]</f>
        <v>9133.3333333333321</v>
      </c>
      <c r="R102" s="1">
        <f>_xlfn.STDEV.S(Pcfu4[[#This Row],[R1]:[R3]])/0.025*Pcfu4[[#This Row],[Best DF]]</f>
        <v>1050.9678079433895</v>
      </c>
      <c r="S102" s="6">
        <f>Pcfu4[[#This Row],[CFU/mL]]*Pcfu4[[#This Row],[mL]]/Pcfu4[[#This Row],[grams]]</f>
        <v>173533.33333333331</v>
      </c>
      <c r="T102" s="1">
        <f>Pcfu4[[#This Row],[SD CFU/mL]]*Pcfu4[[#This Row],[mL]]/Pcfu4[[#This Row],[grams]]</f>
        <v>19968.388350924401</v>
      </c>
      <c r="U102" s="7">
        <f>_xlfn.STDEV.S(Pcfu43[[#This Row],[R1]:[R3]])/AVERAGE(Pcfu43[[#This Row],[R1]:[R3]])</f>
        <v>2.9411764705882353E-2</v>
      </c>
      <c r="V102" s="96"/>
      <c r="W102" s="7"/>
    </row>
    <row r="103" spans="1:23" x14ac:dyDescent="0.15">
      <c r="A103" t="s">
        <v>254</v>
      </c>
      <c r="B103" t="s">
        <v>242</v>
      </c>
      <c r="D103" t="s">
        <v>253</v>
      </c>
      <c r="E103" s="3">
        <v>3</v>
      </c>
      <c r="G103">
        <v>0.1</v>
      </c>
      <c r="H103" s="5">
        <f>19*Pcfu4[[#This Row],[grams]]</f>
        <v>1.9000000000000001</v>
      </c>
      <c r="I103" s="3" t="s">
        <v>170</v>
      </c>
      <c r="J103" s="59">
        <v>44858</v>
      </c>
      <c r="L103" s="59" t="e" cm="1">
        <f t="array" ref="L103">INDEX($J$4:J1193, MATCH(1,(A103=$A$4:A1191)*(C103=$C$4:C1191)*("Y"=$K$4:K1193),0))</f>
        <v>#N/A</v>
      </c>
      <c r="M103" s="1">
        <v>10</v>
      </c>
      <c r="N103">
        <v>482</v>
      </c>
      <c r="O103">
        <v>442</v>
      </c>
      <c r="P103">
        <v>440</v>
      </c>
      <c r="Q103" s="6">
        <f>(SUM(Pcfu4[[#This Row],[R1]:[R3]]))/(Pcfu4[[#This Row],[No. Reps]]*0.025)*Pcfu4[[#This Row],[Best DF]]</f>
        <v>181866.66666666663</v>
      </c>
      <c r="R103" s="1">
        <f>_xlfn.STDEV.S(Pcfu4[[#This Row],[R1]:[R3]])/0.025*Pcfu4[[#This Row],[Best DF]]</f>
        <v>9476.9896767556584</v>
      </c>
      <c r="S103" s="6">
        <f>Pcfu4[[#This Row],[CFU/mL]]*Pcfu4[[#This Row],[mL]]/Pcfu4[[#This Row],[grams]]</f>
        <v>3455466.666666666</v>
      </c>
      <c r="T103" s="1">
        <f>Pcfu4[[#This Row],[SD CFU/mL]]*Pcfu4[[#This Row],[mL]]/Pcfu4[[#This Row],[grams]]</f>
        <v>180062.80385835751</v>
      </c>
      <c r="U103" s="7">
        <f>_xlfn.STDEV.S(Pcfu43[[#This Row],[R1]:[R3]])/AVERAGE(Pcfu43[[#This Row],[R1]:[R3]])</f>
        <v>0.1574591643244434</v>
      </c>
      <c r="V103" s="96"/>
      <c r="W103" s="7"/>
    </row>
    <row r="104" spans="1:23" x14ac:dyDescent="0.15">
      <c r="A104" t="s">
        <v>255</v>
      </c>
      <c r="B104" t="s">
        <v>242</v>
      </c>
      <c r="D104" t="s">
        <v>243</v>
      </c>
      <c r="E104" s="3">
        <v>3</v>
      </c>
      <c r="G104">
        <v>0.1</v>
      </c>
      <c r="H104" s="5">
        <f>19*Pcfu4[[#This Row],[grams]]</f>
        <v>1.9000000000000001</v>
      </c>
      <c r="I104" s="3" t="s">
        <v>170</v>
      </c>
      <c r="J104" s="59">
        <v>44858</v>
      </c>
      <c r="L104" s="59" t="e" cm="1">
        <f t="array" ref="L104">INDEX($J$4:J1194, MATCH(1,(A104=$A$4:A1192)*(C104=$C$4:C1192)*("Y"=$K$4:K1194),0))</f>
        <v>#N/A</v>
      </c>
      <c r="M104" s="1">
        <v>10</v>
      </c>
      <c r="N104">
        <v>4</v>
      </c>
      <c r="O104">
        <v>1</v>
      </c>
      <c r="P104">
        <v>1</v>
      </c>
      <c r="Q104" s="6">
        <f>(SUM(Pcfu4[[#This Row],[R1]:[R3]]))/(Pcfu4[[#This Row],[No. Reps]]*0.025)*Pcfu4[[#This Row],[Best DF]]</f>
        <v>799.99999999999989</v>
      </c>
      <c r="R104" s="1">
        <f>_xlfn.STDEV.S(Pcfu4[[#This Row],[R1]:[R3]])/0.025*Pcfu4[[#This Row],[Best DF]]</f>
        <v>692.82032302755078</v>
      </c>
      <c r="S104" s="6">
        <f>Pcfu4[[#This Row],[CFU/mL]]*Pcfu4[[#This Row],[mL]]/Pcfu4[[#This Row],[grams]]</f>
        <v>15200</v>
      </c>
      <c r="T104" s="1">
        <f>Pcfu4[[#This Row],[SD CFU/mL]]*Pcfu4[[#This Row],[mL]]/Pcfu4[[#This Row],[grams]]</f>
        <v>13163.586137523465</v>
      </c>
      <c r="U104" s="7">
        <f>_xlfn.STDEV.S(Pcfu43[[#This Row],[R1]:[R3]])/AVERAGE(Pcfu43[[#This Row],[R1]:[R3]])</f>
        <v>1.749546270271593E-2</v>
      </c>
      <c r="V104" s="96"/>
      <c r="W104" s="7"/>
    </row>
    <row r="105" spans="1:23" x14ac:dyDescent="0.15">
      <c r="A105" t="s">
        <v>256</v>
      </c>
      <c r="B105" t="s">
        <v>242</v>
      </c>
      <c r="D105" t="s">
        <v>205</v>
      </c>
      <c r="E105" s="3">
        <v>3</v>
      </c>
      <c r="G105">
        <v>0.1</v>
      </c>
      <c r="H105" s="5">
        <f>19*Pcfu4[[#This Row],[grams]]</f>
        <v>1.9000000000000001</v>
      </c>
      <c r="I105" s="3" t="s">
        <v>170</v>
      </c>
      <c r="J105" s="59">
        <v>44858</v>
      </c>
      <c r="L105" s="59" t="e" cm="1">
        <f t="array" ref="L105">INDEX($J$4:J1195, MATCH(1,(A105=$A$4:A1193)*(C105=$C$4:C1193)*("Y"=$K$4:K1195),0))</f>
        <v>#N/A</v>
      </c>
      <c r="M105" s="1">
        <v>1000</v>
      </c>
      <c r="N105">
        <v>1</v>
      </c>
      <c r="O105">
        <v>1</v>
      </c>
      <c r="P105">
        <v>5</v>
      </c>
      <c r="Q105" s="6">
        <f>(SUM(Pcfu4[[#This Row],[R1]:[R3]]))/(Pcfu4[[#This Row],[No. Reps]]*0.025)*Pcfu4[[#This Row],[Best DF]]</f>
        <v>93333.333333333314</v>
      </c>
      <c r="R105" s="1">
        <f>_xlfn.STDEV.S(Pcfu4[[#This Row],[R1]:[R3]])/0.025*Pcfu4[[#This Row],[Best DF]]</f>
        <v>92376.043070340136</v>
      </c>
      <c r="S105" s="6">
        <f>Pcfu4[[#This Row],[CFU/mL]]*Pcfu4[[#This Row],[mL]]/Pcfu4[[#This Row],[grams]]</f>
        <v>1773333.333333333</v>
      </c>
      <c r="T105" s="1">
        <f>Pcfu4[[#This Row],[SD CFU/mL]]*Pcfu4[[#This Row],[mL]]/Pcfu4[[#This Row],[grams]]</f>
        <v>1755144.8183364626</v>
      </c>
      <c r="U105" s="7">
        <f>_xlfn.STDEV.S(Pcfu43[[#This Row],[R1]:[R3]])/AVERAGE(Pcfu43[[#This Row],[R1]:[R3]])</f>
        <v>9.1239584669231946E-2</v>
      </c>
      <c r="V105" s="96"/>
      <c r="W105" s="7"/>
    </row>
    <row r="106" spans="1:23" x14ac:dyDescent="0.15">
      <c r="A106" t="s">
        <v>257</v>
      </c>
      <c r="B106" t="s">
        <v>242</v>
      </c>
      <c r="D106" t="s">
        <v>26</v>
      </c>
      <c r="E106" s="3">
        <v>3</v>
      </c>
      <c r="G106">
        <v>0.1</v>
      </c>
      <c r="H106" s="5">
        <f>19*Pcfu4[[#This Row],[grams]]</f>
        <v>1.9000000000000001</v>
      </c>
      <c r="I106" s="3" t="s">
        <v>170</v>
      </c>
      <c r="J106" s="59">
        <v>44858</v>
      </c>
      <c r="L106" s="59" t="e" cm="1">
        <f t="array" ref="L106">INDEX($J$4:J1196, MATCH(1,(A106=$A$4:A1194)*(C106=$C$4:C1194)*("Y"=$K$4:K1196),0))</f>
        <v>#N/A</v>
      </c>
      <c r="M106" s="1">
        <v>100000</v>
      </c>
      <c r="N106">
        <v>31</v>
      </c>
      <c r="O106">
        <v>36</v>
      </c>
      <c r="P106">
        <v>43</v>
      </c>
      <c r="Q106" s="6">
        <f>(SUM(Pcfu4[[#This Row],[R1]:[R3]]))/(Pcfu4[[#This Row],[No. Reps]]*0.025)*Pcfu4[[#This Row],[Best DF]]</f>
        <v>146666666.66666666</v>
      </c>
      <c r="R106" s="1">
        <f>_xlfn.STDEV.S(Pcfu4[[#This Row],[R1]:[R3]])/0.025*Pcfu4[[#This Row],[Best DF]]</f>
        <v>24110855.093366809</v>
      </c>
      <c r="S106" s="6">
        <f>Pcfu4[[#This Row],[CFU/mL]]*Pcfu4[[#This Row],[mL]]/Pcfu4[[#This Row],[grams]]</f>
        <v>2786666666.6666665</v>
      </c>
      <c r="T106" s="1">
        <f>Pcfu4[[#This Row],[SD CFU/mL]]*Pcfu4[[#This Row],[mL]]/Pcfu4[[#This Row],[grams]]</f>
        <v>458106246.77396935</v>
      </c>
      <c r="U106" s="7">
        <f>_xlfn.STDEV.S(Pcfu43[[#This Row],[R1]:[R3]])/AVERAGE(Pcfu43[[#This Row],[R1]:[R3]])</f>
        <v>0.18414230329928657</v>
      </c>
      <c r="V106" s="96"/>
      <c r="W106" s="7"/>
    </row>
    <row r="107" spans="1:23" x14ac:dyDescent="0.15">
      <c r="A107" t="s">
        <v>258</v>
      </c>
      <c r="B107" t="s">
        <v>242</v>
      </c>
      <c r="D107" t="s">
        <v>37</v>
      </c>
      <c r="E107" s="3">
        <v>3</v>
      </c>
      <c r="G107">
        <v>0.1</v>
      </c>
      <c r="H107" s="5">
        <f>19*Pcfu4[[#This Row],[grams]]</f>
        <v>1.9000000000000001</v>
      </c>
      <c r="I107" s="3" t="s">
        <v>170</v>
      </c>
      <c r="J107" s="59">
        <v>44858</v>
      </c>
      <c r="L107" s="59" t="e" cm="1">
        <f t="array" ref="L107">INDEX($J$4:J1197, MATCH(1,(A107=$A$4:A1195)*(C107=$C$4:C1195)*("Y"=$K$4:K1197),0))</f>
        <v>#N/A</v>
      </c>
      <c r="M107" s="1">
        <v>100000</v>
      </c>
      <c r="N107">
        <v>152</v>
      </c>
      <c r="O107">
        <v>146</v>
      </c>
      <c r="P107">
        <v>154</v>
      </c>
      <c r="Q107" s="6">
        <f>(SUM(Pcfu4[[#This Row],[R1]:[R3]]))/(Pcfu4[[#This Row],[No. Reps]]*0.025)*Pcfu4[[#This Row],[Best DF]]</f>
        <v>602666666.66666663</v>
      </c>
      <c r="R107" s="1">
        <f>_xlfn.STDEV.S(Pcfu4[[#This Row],[R1]:[R3]])/0.025*Pcfu4[[#This Row],[Best DF]]</f>
        <v>16653327.995729063</v>
      </c>
      <c r="S107" s="6">
        <f>Pcfu4[[#This Row],[CFU/mL]]*Pcfu4[[#This Row],[mL]]/Pcfu4[[#This Row],[grams]]</f>
        <v>11450666666.666666</v>
      </c>
      <c r="T107" s="1">
        <f>Pcfu4[[#This Row],[SD CFU/mL]]*Pcfu4[[#This Row],[mL]]/Pcfu4[[#This Row],[grams]]</f>
        <v>316413231.91885221</v>
      </c>
      <c r="U107" s="7">
        <f>_xlfn.STDEV.S(Pcfu43[[#This Row],[R1]:[R3]])/AVERAGE(Pcfu43[[#This Row],[R1]:[R3]])</f>
        <v>0.15801985155020171</v>
      </c>
      <c r="V107" s="96"/>
      <c r="W107" s="7"/>
    </row>
    <row r="108" spans="1:23" x14ac:dyDescent="0.15">
      <c r="A108" t="s">
        <v>47</v>
      </c>
      <c r="B108" t="s">
        <v>259</v>
      </c>
      <c r="D108" t="s">
        <v>86</v>
      </c>
      <c r="E108" s="3">
        <v>3</v>
      </c>
      <c r="G108">
        <v>0.1</v>
      </c>
      <c r="H108" s="5">
        <f>19*Pcfu4[[#This Row],[grams]]</f>
        <v>1.9000000000000001</v>
      </c>
      <c r="I108" s="3" t="s">
        <v>170</v>
      </c>
      <c r="J108" s="59">
        <v>44860</v>
      </c>
      <c r="L108" s="59" t="e" cm="1">
        <f t="array" ref="L108">INDEX($J$4:J1198, MATCH(1,(A108=$A$4:A1196)*(C108=$C$4:C1196)*("Y"=$K$4:K1198),0))</f>
        <v>#N/A</v>
      </c>
      <c r="M108" s="62">
        <v>10000000</v>
      </c>
      <c r="N108">
        <v>43</v>
      </c>
      <c r="O108">
        <v>69</v>
      </c>
      <c r="P108">
        <v>48</v>
      </c>
      <c r="Q108" s="6">
        <f>(SUM(Pcfu4[[#This Row],[R1]:[R3]]))/(Pcfu4[[#This Row],[No. Reps]]*0.025)*Pcfu4[[#This Row],[Best DF]]</f>
        <v>21333333333.333332</v>
      </c>
      <c r="R108" s="1">
        <f>_xlfn.STDEV.S(Pcfu4[[#This Row],[R1]:[R3]])/0.025*Pcfu4[[#This Row],[Best DF]]</f>
        <v>5518453889.7532959</v>
      </c>
      <c r="S108" s="6">
        <f>Pcfu4[[#This Row],[CFU/mL]]*Pcfu4[[#This Row],[mL]]/Pcfu4[[#This Row],[grams]]</f>
        <v>405333333333.33331</v>
      </c>
      <c r="T108" s="1">
        <f>Pcfu4[[#This Row],[SD CFU/mL]]*Pcfu4[[#This Row],[mL]]/Pcfu4[[#This Row],[grams]]</f>
        <v>104850623905.31262</v>
      </c>
      <c r="U108" s="7">
        <f>_xlfn.STDEV.S(Pcfu43[[#This Row],[R1]:[R3]])/AVERAGE(Pcfu43[[#This Row],[R1]:[R3]])</f>
        <v>4.4491026164619807E-2</v>
      </c>
      <c r="V108" s="96"/>
      <c r="W108" s="7"/>
    </row>
    <row r="109" spans="1:23" x14ac:dyDescent="0.15">
      <c r="A109" t="s">
        <v>53</v>
      </c>
      <c r="B109" t="s">
        <v>259</v>
      </c>
      <c r="D109" t="s">
        <v>86</v>
      </c>
      <c r="E109" s="3">
        <v>3</v>
      </c>
      <c r="G109">
        <v>0.1</v>
      </c>
      <c r="H109" s="5">
        <f>19*Pcfu4[[#This Row],[grams]]</f>
        <v>1.9000000000000001</v>
      </c>
      <c r="I109" s="3" t="s">
        <v>170</v>
      </c>
      <c r="J109" s="59">
        <v>44860</v>
      </c>
      <c r="L109" s="59" t="e" cm="1">
        <f t="array" ref="L109">INDEX($J$4:J1199, MATCH(1,(A109=$A$4:A1197)*(C109=$C$4:C1197)*("Y"=$K$4:K1199),0))</f>
        <v>#N/A</v>
      </c>
      <c r="M109" s="62">
        <v>10000000</v>
      </c>
      <c r="N109">
        <v>45</v>
      </c>
      <c r="O109">
        <v>49</v>
      </c>
      <c r="P109">
        <v>64</v>
      </c>
      <c r="Q109" s="6">
        <f>(SUM(Pcfu4[[#This Row],[R1]:[R3]]))/(Pcfu4[[#This Row],[No. Reps]]*0.025)*Pcfu4[[#This Row],[Best DF]]</f>
        <v>21066666666.666664</v>
      </c>
      <c r="R109" s="1">
        <f>_xlfn.STDEV.S(Pcfu4[[#This Row],[R1]:[R3]])/0.025*Pcfu4[[#This Row],[Best DF]]</f>
        <v>4006661120.351119</v>
      </c>
      <c r="S109" s="6">
        <f>Pcfu4[[#This Row],[CFU/mL]]*Pcfu4[[#This Row],[mL]]/Pcfu4[[#This Row],[grams]]</f>
        <v>400266666666.66663</v>
      </c>
      <c r="T109" s="1">
        <f>Pcfu4[[#This Row],[SD CFU/mL]]*Pcfu4[[#This Row],[mL]]/Pcfu4[[#This Row],[grams]]</f>
        <v>76126561286.671265</v>
      </c>
      <c r="U109" s="7">
        <f>_xlfn.STDEV.S(Pcfu43[[#This Row],[R1]:[R3]])/AVERAGE(Pcfu43[[#This Row],[R1]:[R3]])</f>
        <v>4.5619792334615973E-2</v>
      </c>
      <c r="V109" s="96"/>
      <c r="W109" s="7"/>
    </row>
    <row r="110" spans="1:23" x14ac:dyDescent="0.15">
      <c r="A110" t="s">
        <v>55</v>
      </c>
      <c r="B110" t="s">
        <v>259</v>
      </c>
      <c r="D110" t="s">
        <v>86</v>
      </c>
      <c r="E110" s="3">
        <v>3</v>
      </c>
      <c r="G110">
        <v>0.1</v>
      </c>
      <c r="H110" s="5">
        <f>19*Pcfu4[[#This Row],[grams]]</f>
        <v>1.9000000000000001</v>
      </c>
      <c r="I110" s="3" t="s">
        <v>170</v>
      </c>
      <c r="J110" s="59">
        <v>44860</v>
      </c>
      <c r="L110" s="59" t="e" cm="1">
        <f t="array" ref="L110">INDEX($J$4:J1200, MATCH(1,(A110=$A$4:A1198)*(C110=$C$4:C1198)*("Y"=$K$4:K1200),0))</f>
        <v>#N/A</v>
      </c>
      <c r="M110" s="1">
        <v>1000000</v>
      </c>
      <c r="N110">
        <v>230</v>
      </c>
      <c r="O110">
        <v>279</v>
      </c>
      <c r="P110">
        <v>224</v>
      </c>
      <c r="Q110" s="6">
        <f>(SUM(Pcfu4[[#This Row],[R1]:[R3]]))/(Pcfu4[[#This Row],[No. Reps]]*0.025)*Pcfu4[[#This Row],[Best DF]]</f>
        <v>9773333333.3333321</v>
      </c>
      <c r="R110" s="1">
        <f>_xlfn.STDEV.S(Pcfu4[[#This Row],[R1]:[R3]])/0.025*Pcfu4[[#This Row],[Best DF]]</f>
        <v>1206869227.9337168</v>
      </c>
      <c r="S110" s="6">
        <f>Pcfu4[[#This Row],[CFU/mL]]*Pcfu4[[#This Row],[mL]]/Pcfu4[[#This Row],[grams]]</f>
        <v>185693333333.33331</v>
      </c>
      <c r="T110" s="1">
        <f>Pcfu4[[#This Row],[SD CFU/mL]]*Pcfu4[[#This Row],[mL]]/Pcfu4[[#This Row],[grams]]</f>
        <v>22930515330.740616</v>
      </c>
      <c r="U110" s="7">
        <f>_xlfn.STDEV.S(Pcfu43[[#This Row],[R1]:[R3]])/AVERAGE(Pcfu43[[#This Row],[R1]:[R3]])</f>
        <v>0.16444343748524362</v>
      </c>
      <c r="V110" s="96"/>
      <c r="W110" s="7"/>
    </row>
    <row r="111" spans="1:23" x14ac:dyDescent="0.15">
      <c r="A111" t="s">
        <v>260</v>
      </c>
      <c r="B111" t="s">
        <v>259</v>
      </c>
      <c r="D111" t="s">
        <v>86</v>
      </c>
      <c r="E111" s="3">
        <v>3</v>
      </c>
      <c r="G111">
        <v>0.1</v>
      </c>
      <c r="H111" s="5">
        <f>19*Pcfu4[[#This Row],[grams]]</f>
        <v>1.9000000000000001</v>
      </c>
      <c r="I111" s="3" t="s">
        <v>170</v>
      </c>
      <c r="J111" s="59">
        <v>44860</v>
      </c>
      <c r="L111" s="59" t="e" cm="1">
        <f t="array" ref="L111">INDEX($J$4:J1201, MATCH(1,(A111=$A$4:A1199)*(C111=$C$4:C1199)*("Y"=$K$4:K1201),0))</f>
        <v>#N/A</v>
      </c>
      <c r="M111" s="62">
        <v>10000000</v>
      </c>
      <c r="N111">
        <v>32</v>
      </c>
      <c r="O111">
        <v>29</v>
      </c>
      <c r="P111">
        <v>33</v>
      </c>
      <c r="Q111" s="6">
        <f>(SUM(Pcfu4[[#This Row],[R1]:[R3]]))/(Pcfu4[[#This Row],[No. Reps]]*0.025)*Pcfu4[[#This Row],[Best DF]]</f>
        <v>12533333333.333332</v>
      </c>
      <c r="R111" s="1">
        <f>_xlfn.STDEV.S(Pcfu4[[#This Row],[R1]:[R3]])/0.025*Pcfu4[[#This Row],[Best DF]]</f>
        <v>832666399.78645313</v>
      </c>
      <c r="S111" s="6">
        <f>Pcfu4[[#This Row],[CFU/mL]]*Pcfu4[[#This Row],[mL]]/Pcfu4[[#This Row],[grams]]</f>
        <v>238133333333.33331</v>
      </c>
      <c r="T111" s="1">
        <f>Pcfu4[[#This Row],[SD CFU/mL]]*Pcfu4[[#This Row],[mL]]/Pcfu4[[#This Row],[grams]]</f>
        <v>15820661595.942612</v>
      </c>
      <c r="U111" s="7">
        <f>_xlfn.STDEV.S(Pcfu43[[#This Row],[R1]:[R3]])/AVERAGE(Pcfu43[[#This Row],[R1]:[R3]])</f>
        <v>0.15713484026367724</v>
      </c>
      <c r="V111" s="96"/>
      <c r="W111" s="7"/>
    </row>
    <row r="112" spans="1:23" x14ac:dyDescent="0.15">
      <c r="A112" t="s">
        <v>45</v>
      </c>
      <c r="B112" t="s">
        <v>181</v>
      </c>
      <c r="D112" t="s">
        <v>26</v>
      </c>
      <c r="E112" s="3">
        <v>3</v>
      </c>
      <c r="G112">
        <v>0.1</v>
      </c>
      <c r="H112" s="5">
        <f>19*Pcfu4[[#This Row],[grams]]</f>
        <v>1.9000000000000001</v>
      </c>
      <c r="I112" s="3" t="s">
        <v>170</v>
      </c>
      <c r="J112" s="59">
        <v>44861</v>
      </c>
      <c r="L112" s="59" t="e" cm="1">
        <f t="array" ref="L112">INDEX($J$4:J1202, MATCH(1,(A112=$A$4:A1200)*(C112=$C$4:C1200)*("Y"=$K$4:K1202),0))</f>
        <v>#N/A</v>
      </c>
      <c r="M112" s="1">
        <v>100000</v>
      </c>
      <c r="N112">
        <v>79</v>
      </c>
      <c r="O112">
        <v>76</v>
      </c>
      <c r="P112">
        <v>52</v>
      </c>
      <c r="Q112" s="6">
        <f>(SUM(Pcfu4[[#This Row],[R1]:[R3]]))/(Pcfu4[[#This Row],[No. Reps]]*0.025)*Pcfu4[[#This Row],[Best DF]]</f>
        <v>275999999.99999994</v>
      </c>
      <c r="R112" s="1">
        <f>_xlfn.STDEV.S(Pcfu4[[#This Row],[R1]:[R3]])/0.025*Pcfu4[[#This Row],[Best DF]]</f>
        <v>59194594.347794965</v>
      </c>
      <c r="S112" s="6">
        <f>Pcfu4[[#This Row],[CFU/mL]]*Pcfu4[[#This Row],[mL]]/Pcfu4[[#This Row],[grams]]</f>
        <v>5243999999.999999</v>
      </c>
      <c r="T112" s="1">
        <f>Pcfu4[[#This Row],[SD CFU/mL]]*Pcfu4[[#This Row],[mL]]/Pcfu4[[#This Row],[grams]]</f>
        <v>1124697292.6081042</v>
      </c>
      <c r="U112" s="7">
        <f>_xlfn.STDEV.S(Pcfu43[[#This Row],[R1]:[R3]])/AVERAGE(Pcfu43[[#This Row],[R1]:[R3]])</f>
        <v>0.32635697593225266</v>
      </c>
      <c r="V112" s="96"/>
      <c r="W112" s="7"/>
    </row>
    <row r="113" spans="1:23" x14ac:dyDescent="0.15">
      <c r="A113" t="s">
        <v>51</v>
      </c>
      <c r="B113" t="s">
        <v>181</v>
      </c>
      <c r="D113" t="s">
        <v>26</v>
      </c>
      <c r="E113" s="3">
        <v>3</v>
      </c>
      <c r="G113">
        <v>0.1</v>
      </c>
      <c r="H113" s="5">
        <f>19*Pcfu4[[#This Row],[grams]]</f>
        <v>1.9000000000000001</v>
      </c>
      <c r="I113" s="3" t="s">
        <v>170</v>
      </c>
      <c r="J113" s="59">
        <v>44861</v>
      </c>
      <c r="L113" s="59" t="e" cm="1">
        <f t="array" ref="L113">INDEX($J$4:J1203, MATCH(1,(A113=$A$4:A1201)*(C113=$C$4:C1201)*("Y"=$K$4:K1203),0))</f>
        <v>#N/A</v>
      </c>
      <c r="M113" s="1">
        <v>10000</v>
      </c>
      <c r="N113">
        <v>136</v>
      </c>
      <c r="O113">
        <v>164</v>
      </c>
      <c r="P113">
        <v>162</v>
      </c>
      <c r="Q113" s="6">
        <f>(SUM(Pcfu4[[#This Row],[R1]:[R3]]))/(Pcfu4[[#This Row],[No. Reps]]*0.025)*Pcfu4[[#This Row],[Best DF]]</f>
        <v>61599999.999999993</v>
      </c>
      <c r="R113" s="1">
        <f>_xlfn.STDEV.S(Pcfu4[[#This Row],[R1]:[R3]])/0.025*Pcfu4[[#This Row],[Best DF]]</f>
        <v>6248199.7407253236</v>
      </c>
      <c r="S113" s="6">
        <f>Pcfu4[[#This Row],[CFU/mL]]*Pcfu4[[#This Row],[mL]]/Pcfu4[[#This Row],[grams]]</f>
        <v>1170400000</v>
      </c>
      <c r="T113" s="1">
        <f>Pcfu4[[#This Row],[SD CFU/mL]]*Pcfu4[[#This Row],[mL]]/Pcfu4[[#This Row],[grams]]</f>
        <v>118715795.07378116</v>
      </c>
      <c r="U113" s="7">
        <f>_xlfn.STDEV.S(Pcfu43[[#This Row],[R1]:[R3]])/AVERAGE(Pcfu43[[#This Row],[R1]:[R3]])</f>
        <v>0.10347904114925084</v>
      </c>
      <c r="V113" s="96"/>
      <c r="W113" s="7"/>
    </row>
    <row r="114" spans="1:23" x14ac:dyDescent="0.15">
      <c r="A114" t="s">
        <v>56</v>
      </c>
      <c r="B114" t="s">
        <v>181</v>
      </c>
      <c r="D114" t="s">
        <v>26</v>
      </c>
      <c r="E114" s="3">
        <v>3</v>
      </c>
      <c r="G114">
        <v>0.1</v>
      </c>
      <c r="H114" s="5">
        <f>19*Pcfu4[[#This Row],[grams]]</f>
        <v>1.9000000000000001</v>
      </c>
      <c r="I114" s="3" t="s">
        <v>170</v>
      </c>
      <c r="J114" s="59">
        <v>44861</v>
      </c>
      <c r="L114" s="59" t="e" cm="1">
        <f t="array" ref="L114">INDEX($J$4:J1204, MATCH(1,(A114=$A$4:A1202)*(C114=$C$4:C1202)*("Y"=$K$4:K1204),0))</f>
        <v>#N/A</v>
      </c>
      <c r="M114" s="1">
        <v>10000</v>
      </c>
      <c r="N114">
        <v>41</v>
      </c>
      <c r="O114">
        <v>52</v>
      </c>
      <c r="P114">
        <v>52</v>
      </c>
      <c r="Q114" s="6">
        <f>(SUM(Pcfu4[[#This Row],[R1]:[R3]]))/(Pcfu4[[#This Row],[No. Reps]]*0.025)*Pcfu4[[#This Row],[Best DF]]</f>
        <v>19333333.333333332</v>
      </c>
      <c r="R114" s="1">
        <f>_xlfn.STDEV.S(Pcfu4[[#This Row],[R1]:[R3]])/0.025*Pcfu4[[#This Row],[Best DF]]</f>
        <v>2540341.184434358</v>
      </c>
      <c r="S114" s="6">
        <f>Pcfu4[[#This Row],[CFU/mL]]*Pcfu4[[#This Row],[mL]]/Pcfu4[[#This Row],[grams]]</f>
        <v>367333333.33333331</v>
      </c>
      <c r="T114" s="1">
        <f>Pcfu4[[#This Row],[SD CFU/mL]]*Pcfu4[[#This Row],[mL]]/Pcfu4[[#This Row],[grams]]</f>
        <v>48266482.504252806</v>
      </c>
      <c r="U114" s="7">
        <f>_xlfn.STDEV.S(Pcfu43[[#This Row],[R1]:[R3]])/AVERAGE(Pcfu43[[#This Row],[R1]:[R3]])</f>
        <v>0.11984860698077077</v>
      </c>
      <c r="V114" s="96"/>
      <c r="W114" s="7"/>
    </row>
    <row r="115" spans="1:23" x14ac:dyDescent="0.15">
      <c r="A115" t="s">
        <v>45</v>
      </c>
      <c r="B115" t="s">
        <v>182</v>
      </c>
      <c r="D115" t="s">
        <v>26</v>
      </c>
      <c r="E115" s="3">
        <v>3</v>
      </c>
      <c r="G115">
        <v>0.1</v>
      </c>
      <c r="H115" s="5">
        <f>19*Pcfu4[[#This Row],[grams]]</f>
        <v>1.9000000000000001</v>
      </c>
      <c r="I115" s="3" t="s">
        <v>170</v>
      </c>
      <c r="J115" s="59">
        <v>44861</v>
      </c>
      <c r="L115" s="59" t="e" cm="1">
        <f t="array" ref="L115">INDEX($J$4:J1205, MATCH(1,(A115=$A$4:A1203)*(C115=$C$4:C1203)*("Y"=$K$4:K1205),0))</f>
        <v>#N/A</v>
      </c>
      <c r="M115" s="1">
        <v>100000</v>
      </c>
      <c r="N115">
        <v>94</v>
      </c>
      <c r="O115">
        <v>121</v>
      </c>
      <c r="P115">
        <v>101</v>
      </c>
      <c r="Q115" s="6">
        <f>(SUM(Pcfu4[[#This Row],[R1]:[R3]]))/(Pcfu4[[#This Row],[No. Reps]]*0.025)*Pcfu4[[#This Row],[Best DF]]</f>
        <v>421333333.33333331</v>
      </c>
      <c r="R115" s="1">
        <f>_xlfn.STDEV.S(Pcfu4[[#This Row],[R1]:[R3]])/0.025*Pcfu4[[#This Row],[Best DF]]</f>
        <v>56047598.818623021</v>
      </c>
      <c r="S115" s="6">
        <f>Pcfu4[[#This Row],[CFU/mL]]*Pcfu4[[#This Row],[mL]]/Pcfu4[[#This Row],[grams]]</f>
        <v>8005333333.333333</v>
      </c>
      <c r="T115" s="1">
        <f>Pcfu4[[#This Row],[SD CFU/mL]]*Pcfu4[[#This Row],[mL]]/Pcfu4[[#This Row],[grams]]</f>
        <v>1064904377.5538374</v>
      </c>
      <c r="U115" s="7">
        <f>_xlfn.STDEV.S(Pcfu43[[#This Row],[R1]:[R3]])/AVERAGE(Pcfu43[[#This Row],[R1]:[R3]])</f>
        <v>0.52527932316714954</v>
      </c>
      <c r="V115" s="96"/>
      <c r="W115" s="7"/>
    </row>
    <row r="116" spans="1:23" x14ac:dyDescent="0.15">
      <c r="A116" t="s">
        <v>51</v>
      </c>
      <c r="B116" t="s">
        <v>182</v>
      </c>
      <c r="D116" t="s">
        <v>26</v>
      </c>
      <c r="E116" s="3">
        <v>3</v>
      </c>
      <c r="G116">
        <v>0.1</v>
      </c>
      <c r="H116" s="5">
        <f>19*Pcfu4[[#This Row],[grams]]</f>
        <v>1.9000000000000001</v>
      </c>
      <c r="I116" s="3" t="s">
        <v>170</v>
      </c>
      <c r="J116" s="59">
        <v>44861</v>
      </c>
      <c r="L116" s="59" t="e" cm="1">
        <f t="array" ref="L116">INDEX($J$4:J1206, MATCH(1,(A116=$A$4:A1204)*(C116=$C$4:C1204)*("Y"=$K$4:K1206),0))</f>
        <v>#N/A</v>
      </c>
      <c r="M116" s="1">
        <v>10000</v>
      </c>
      <c r="N116">
        <v>148</v>
      </c>
      <c r="O116">
        <v>152</v>
      </c>
      <c r="P116">
        <v>125</v>
      </c>
      <c r="Q116" s="6">
        <f>(SUM(Pcfu4[[#This Row],[R1]:[R3]]))/(Pcfu4[[#This Row],[No. Reps]]*0.025)*Pcfu4[[#This Row],[Best DF]]</f>
        <v>56666666.666666664</v>
      </c>
      <c r="R116" s="1">
        <f>_xlfn.STDEV.S(Pcfu4[[#This Row],[R1]:[R3]])/0.025*Pcfu4[[#This Row],[Best DF]]</f>
        <v>5828664.7985051703</v>
      </c>
      <c r="S116" s="6">
        <f>Pcfu4[[#This Row],[CFU/mL]]*Pcfu4[[#This Row],[mL]]/Pcfu4[[#This Row],[grams]]</f>
        <v>1076666666.6666667</v>
      </c>
      <c r="T116" s="1">
        <f>Pcfu4[[#This Row],[SD CFU/mL]]*Pcfu4[[#This Row],[mL]]/Pcfu4[[#This Row],[grams]]</f>
        <v>110744631.17159824</v>
      </c>
      <c r="U116" s="7">
        <f>_xlfn.STDEV.S(Pcfu43[[#This Row],[R1]:[R3]])/AVERAGE(Pcfu43[[#This Row],[R1]:[R3]])</f>
        <v>0.13468700594029479</v>
      </c>
      <c r="V116" s="96"/>
      <c r="W116" s="7"/>
    </row>
    <row r="117" spans="1:23" x14ac:dyDescent="0.15">
      <c r="A117" t="s">
        <v>56</v>
      </c>
      <c r="B117" t="s">
        <v>182</v>
      </c>
      <c r="D117" t="s">
        <v>26</v>
      </c>
      <c r="E117" s="3">
        <v>3</v>
      </c>
      <c r="G117">
        <v>0.1</v>
      </c>
      <c r="H117" s="5">
        <f>19*Pcfu4[[#This Row],[grams]]</f>
        <v>1.9000000000000001</v>
      </c>
      <c r="I117" s="3" t="s">
        <v>170</v>
      </c>
      <c r="J117" s="59">
        <v>44861</v>
      </c>
      <c r="L117" s="59" t="e" cm="1">
        <f t="array" ref="L117">INDEX($J$4:J1207, MATCH(1,(A117=$A$4:A1205)*(C117=$C$4:C1205)*("Y"=$K$4:K1207),0))</f>
        <v>#N/A</v>
      </c>
      <c r="M117" s="1">
        <v>10000</v>
      </c>
      <c r="N117">
        <v>30</v>
      </c>
      <c r="O117">
        <v>25</v>
      </c>
      <c r="P117">
        <v>22</v>
      </c>
      <c r="Q117" s="6">
        <f>(SUM(Pcfu4[[#This Row],[R1]:[R3]]))/(Pcfu4[[#This Row],[No. Reps]]*0.025)*Pcfu4[[#This Row],[Best DF]]</f>
        <v>10266666.666666666</v>
      </c>
      <c r="R117" s="1">
        <f>_xlfn.STDEV.S(Pcfu4[[#This Row],[R1]:[R3]])/0.025*Pcfu4[[#This Row],[Best DF]]</f>
        <v>1616580.7537309539</v>
      </c>
      <c r="S117" s="6">
        <f>Pcfu4[[#This Row],[CFU/mL]]*Pcfu4[[#This Row],[mL]]/Pcfu4[[#This Row],[grams]]</f>
        <v>195066666.66666666</v>
      </c>
      <c r="T117" s="1">
        <f>Pcfu4[[#This Row],[SD CFU/mL]]*Pcfu4[[#This Row],[mL]]/Pcfu4[[#This Row],[grams]]</f>
        <v>30715034.320888128</v>
      </c>
      <c r="U117" s="7">
        <f>_xlfn.STDEV.S(Pcfu43[[#This Row],[R1]:[R3]])/AVERAGE(Pcfu43[[#This Row],[R1]:[R3]])</f>
        <v>0.47140452079103168</v>
      </c>
      <c r="V117" s="96"/>
      <c r="W117" s="7"/>
    </row>
    <row r="118" spans="1:23" x14ac:dyDescent="0.15">
      <c r="A118" t="s">
        <v>80</v>
      </c>
      <c r="B118" t="s">
        <v>204</v>
      </c>
      <c r="D118" t="s">
        <v>261</v>
      </c>
      <c r="E118" s="3">
        <v>3</v>
      </c>
      <c r="G118">
        <v>0.1</v>
      </c>
      <c r="H118" s="5">
        <f>19*Pcfu4[[#This Row],[grams]]</f>
        <v>1.9000000000000001</v>
      </c>
      <c r="I118" s="3" t="s">
        <v>170</v>
      </c>
      <c r="J118" s="59">
        <v>44861</v>
      </c>
      <c r="L118" s="59" t="e" cm="1">
        <f t="array" ref="L118">INDEX($J$4:J1208, MATCH(1,(A118=$A$4:A1206)*(C118=$C$4:C1206)*("Y"=$K$4:K1208),0))</f>
        <v>#N/A</v>
      </c>
      <c r="M118" s="1">
        <v>1000</v>
      </c>
      <c r="N118">
        <v>0</v>
      </c>
      <c r="O118">
        <v>0</v>
      </c>
      <c r="P118">
        <v>2</v>
      </c>
      <c r="Q118" s="6">
        <f>(SUM(Pcfu4[[#This Row],[R1]:[R3]]))/(Pcfu4[[#This Row],[No. Reps]]*0.025)*Pcfu4[[#This Row],[Best DF]]</f>
        <v>26666.666666666664</v>
      </c>
      <c r="R118" s="1">
        <f>_xlfn.STDEV.S(Pcfu4[[#This Row],[R1]:[R3]])/0.025*Pcfu4[[#This Row],[Best DF]]</f>
        <v>46188.021535170068</v>
      </c>
      <c r="S118" s="6">
        <f>Pcfu4[[#This Row],[CFU/mL]]*Pcfu4[[#This Row],[mL]]/Pcfu4[[#This Row],[grams]]</f>
        <v>506666.66666666663</v>
      </c>
      <c r="T118" s="1">
        <f>Pcfu4[[#This Row],[SD CFU/mL]]*Pcfu4[[#This Row],[mL]]/Pcfu4[[#This Row],[grams]]</f>
        <v>877572.4091682313</v>
      </c>
      <c r="U118" s="7">
        <f>_xlfn.STDEV.S(Pcfu43[[#This Row],[R1]:[R3]])/AVERAGE(Pcfu43[[#This Row],[R1]:[R3]])</f>
        <v>0.15713484026367724</v>
      </c>
      <c r="V118" s="96"/>
      <c r="W118" s="7"/>
    </row>
    <row r="119" spans="1:23" x14ac:dyDescent="0.15">
      <c r="A119" t="s">
        <v>83</v>
      </c>
      <c r="B119" t="s">
        <v>204</v>
      </c>
      <c r="D119" t="s">
        <v>261</v>
      </c>
      <c r="E119" s="3">
        <v>3</v>
      </c>
      <c r="G119">
        <v>0.1</v>
      </c>
      <c r="H119" s="5">
        <f>19*Pcfu4[[#This Row],[grams]]</f>
        <v>1.9000000000000001</v>
      </c>
      <c r="I119" s="3" t="s">
        <v>170</v>
      </c>
      <c r="J119" s="59">
        <v>44861</v>
      </c>
      <c r="L119" s="59" t="e" cm="1">
        <f t="array" ref="L119">INDEX($J$4:J1209, MATCH(1,(A119=$A$4:A1207)*(C119=$C$4:C1207)*("Y"=$K$4:K1209),0))</f>
        <v>#N/A</v>
      </c>
      <c r="M119" s="1">
        <v>100000</v>
      </c>
      <c r="N119">
        <v>69</v>
      </c>
      <c r="O119">
        <v>69</v>
      </c>
      <c r="P119">
        <v>75</v>
      </c>
      <c r="Q119" s="6">
        <f>(SUM(Pcfu4[[#This Row],[R1]:[R3]]))/(Pcfu4[[#This Row],[No. Reps]]*0.025)*Pcfu4[[#This Row],[Best DF]]</f>
        <v>283999999.99999994</v>
      </c>
      <c r="R119" s="1">
        <f>_xlfn.STDEV.S(Pcfu4[[#This Row],[R1]:[R3]])/0.025*Pcfu4[[#This Row],[Best DF]]</f>
        <v>13856406.460551016</v>
      </c>
      <c r="S119" s="6">
        <f>Pcfu4[[#This Row],[CFU/mL]]*Pcfu4[[#This Row],[mL]]/Pcfu4[[#This Row],[grams]]</f>
        <v>5395999999.9999981</v>
      </c>
      <c r="T119" s="1">
        <f>Pcfu4[[#This Row],[SD CFU/mL]]*Pcfu4[[#This Row],[mL]]/Pcfu4[[#This Row],[grams]]</f>
        <v>263271722.75046933</v>
      </c>
      <c r="U119" s="7">
        <f>_xlfn.STDEV.S(Pcfu43[[#This Row],[R1]:[R3]])/AVERAGE(Pcfu43[[#This Row],[R1]:[R3]])</f>
        <v>3.6261886214694748E-2</v>
      </c>
      <c r="V119" s="96"/>
      <c r="W119" s="7"/>
    </row>
    <row r="120" spans="1:23" x14ac:dyDescent="0.15">
      <c r="A120" t="s">
        <v>262</v>
      </c>
      <c r="B120" t="s">
        <v>204</v>
      </c>
      <c r="D120" t="s">
        <v>253</v>
      </c>
      <c r="E120" s="3">
        <v>2</v>
      </c>
      <c r="G120">
        <v>0.1</v>
      </c>
      <c r="H120" s="5">
        <f>19*Pcfu4[[#This Row],[grams]]</f>
        <v>1.9000000000000001</v>
      </c>
      <c r="I120" s="3" t="s">
        <v>170</v>
      </c>
      <c r="J120" s="59">
        <v>44868</v>
      </c>
      <c r="L120" s="59" t="e" cm="1">
        <f t="array" ref="L120">INDEX($J$4:J1210, MATCH(1,(A120=$A$4:A1208)*(C120=$C$4:C1208)*("Y"=$K$4:K1210),0))</f>
        <v>#N/A</v>
      </c>
      <c r="M120" s="1">
        <v>1</v>
      </c>
      <c r="N120">
        <v>28</v>
      </c>
      <c r="O120">
        <v>23</v>
      </c>
      <c r="P120"/>
      <c r="Q120" s="6">
        <f>(SUM(Pcfu4[[#This Row],[R1]:[R3]]))/(Pcfu4[[#This Row],[No. Reps]]*0.025)*Pcfu4[[#This Row],[Best DF]]</f>
        <v>1020</v>
      </c>
      <c r="R120" s="1">
        <f>_xlfn.STDEV.S(Pcfu4[[#This Row],[R1]:[R3]])/0.025*Pcfu4[[#This Row],[Best DF]]</f>
        <v>141.42135623730951</v>
      </c>
      <c r="S120" s="6">
        <f>Pcfu4[[#This Row],[CFU/mL]]*Pcfu4[[#This Row],[mL]]/Pcfu4[[#This Row],[grams]]</f>
        <v>19380</v>
      </c>
      <c r="T120" s="1">
        <f>Pcfu4[[#This Row],[SD CFU/mL]]*Pcfu4[[#This Row],[mL]]/Pcfu4[[#This Row],[grams]]</f>
        <v>2687.0057685088805</v>
      </c>
      <c r="U120" s="7">
        <f>_xlfn.STDEV.S(Pcfu43[[#This Row],[R1]:[R3]])/AVERAGE(Pcfu43[[#This Row],[R1]:[R3]])</f>
        <v>3.4493013716416956E-2</v>
      </c>
      <c r="V120" s="96"/>
      <c r="W120" s="7"/>
    </row>
    <row r="121" spans="1:23" x14ac:dyDescent="0.15">
      <c r="A121" t="s">
        <v>263</v>
      </c>
      <c r="B121" t="s">
        <v>204</v>
      </c>
      <c r="D121" t="s">
        <v>253</v>
      </c>
      <c r="E121" s="3">
        <v>2</v>
      </c>
      <c r="G121">
        <v>0.1</v>
      </c>
      <c r="H121" s="5">
        <f>19*Pcfu4[[#This Row],[grams]]</f>
        <v>1.9000000000000001</v>
      </c>
      <c r="I121" s="3" t="s">
        <v>170</v>
      </c>
      <c r="J121" s="59">
        <v>44868</v>
      </c>
      <c r="L121" s="59" t="e" cm="1">
        <f t="array" ref="L121">INDEX($J$4:J1211, MATCH(1,(A121=$A$4:A1209)*(C121=$C$4:C1209)*("Y"=$K$4:K1211),0))</f>
        <v>#N/A</v>
      </c>
      <c r="M121" s="1">
        <v>10</v>
      </c>
      <c r="N121">
        <v>86</v>
      </c>
      <c r="O121">
        <v>70</v>
      </c>
      <c r="P121"/>
      <c r="Q121" s="6">
        <f>(SUM(Pcfu4[[#This Row],[R1]:[R3]]))/(Pcfu4[[#This Row],[No. Reps]]*0.025)*Pcfu4[[#This Row],[Best DF]]</f>
        <v>31200</v>
      </c>
      <c r="R121" s="1">
        <f>_xlfn.STDEV.S(Pcfu4[[#This Row],[R1]:[R3]])/0.025*Pcfu4[[#This Row],[Best DF]]</f>
        <v>4525.4833995939043</v>
      </c>
      <c r="S121" s="6">
        <f>Pcfu4[[#This Row],[CFU/mL]]*Pcfu4[[#This Row],[mL]]/Pcfu4[[#This Row],[grams]]</f>
        <v>592800</v>
      </c>
      <c r="T121" s="1">
        <f>Pcfu4[[#This Row],[SD CFU/mL]]*Pcfu4[[#This Row],[mL]]/Pcfu4[[#This Row],[grams]]</f>
        <v>85984.184592284175</v>
      </c>
      <c r="U121" s="7">
        <f>_xlfn.STDEV.S(Pcfu43[[#This Row],[R1]:[R3]])/AVERAGE(Pcfu43[[#This Row],[R1]:[R3]])</f>
        <v>3.1426968052735448E-2</v>
      </c>
      <c r="V121" s="96"/>
      <c r="W121" s="7"/>
    </row>
    <row r="122" spans="1:23" x14ac:dyDescent="0.15">
      <c r="A122" t="s">
        <v>255</v>
      </c>
      <c r="B122" t="s">
        <v>204</v>
      </c>
      <c r="D122" t="s">
        <v>253</v>
      </c>
      <c r="E122" s="3">
        <v>2</v>
      </c>
      <c r="G122">
        <v>0.1</v>
      </c>
      <c r="H122" s="5">
        <f>19*Pcfu4[[#This Row],[grams]]</f>
        <v>1.9000000000000001</v>
      </c>
      <c r="I122" s="3" t="s">
        <v>170</v>
      </c>
      <c r="J122" s="59">
        <v>44868</v>
      </c>
      <c r="L122" s="59" t="e" cm="1">
        <f t="array" ref="L122">INDEX($J$4:J1212, MATCH(1,(A122=$A$4:A1210)*(C122=$C$4:C1210)*("Y"=$K$4:K1212),0))</f>
        <v>#N/A</v>
      </c>
      <c r="M122" s="1">
        <v>10</v>
      </c>
      <c r="N122">
        <v>43</v>
      </c>
      <c r="O122">
        <v>58</v>
      </c>
      <c r="P122"/>
      <c r="Q122" s="6">
        <f>(SUM(Pcfu4[[#This Row],[R1]:[R3]]))/(Pcfu4[[#This Row],[No. Reps]]*0.025)*Pcfu4[[#This Row],[Best DF]]</f>
        <v>20200</v>
      </c>
      <c r="R122" s="1">
        <f>_xlfn.STDEV.S(Pcfu4[[#This Row],[R1]:[R3]])/0.025*Pcfu4[[#This Row],[Best DF]]</f>
        <v>4242.6406871192848</v>
      </c>
      <c r="S122" s="6">
        <f>Pcfu4[[#This Row],[CFU/mL]]*Pcfu4[[#This Row],[mL]]/Pcfu4[[#This Row],[grams]]</f>
        <v>383800</v>
      </c>
      <c r="T122" s="1">
        <f>Pcfu4[[#This Row],[SD CFU/mL]]*Pcfu4[[#This Row],[mL]]/Pcfu4[[#This Row],[grams]]</f>
        <v>80610.173055266408</v>
      </c>
      <c r="U122" s="7">
        <f>_xlfn.STDEV.S(Pcfu43[[#This Row],[R1]:[R3]])/AVERAGE(Pcfu43[[#This Row],[R1]:[R3]])</f>
        <v>0.75130095501070671</v>
      </c>
      <c r="V122" s="96"/>
      <c r="W122" s="7"/>
    </row>
    <row r="123" spans="1:23" x14ac:dyDescent="0.15">
      <c r="A123" t="s">
        <v>251</v>
      </c>
      <c r="B123" t="s">
        <v>204</v>
      </c>
      <c r="D123" t="s">
        <v>243</v>
      </c>
      <c r="E123" s="3">
        <v>2</v>
      </c>
      <c r="G123">
        <v>0.1</v>
      </c>
      <c r="H123" s="5">
        <f>19*Pcfu4[[#This Row],[grams]]</f>
        <v>1.9000000000000001</v>
      </c>
      <c r="I123" s="3" t="s">
        <v>170</v>
      </c>
      <c r="J123" s="59">
        <v>44868</v>
      </c>
      <c r="L123" s="59" t="e" cm="1">
        <f t="array" ref="L123">INDEX($J$4:J1213, MATCH(1,(A123=$A$4:A1211)*(C123=$C$4:C1211)*("Y"=$K$4:K1213),0))</f>
        <v>#N/A</v>
      </c>
      <c r="M123" s="1">
        <v>10</v>
      </c>
      <c r="N123">
        <v>51</v>
      </c>
      <c r="O123">
        <v>48</v>
      </c>
      <c r="P123"/>
      <c r="Q123" s="6">
        <f>(SUM(Pcfu4[[#This Row],[R1]:[R3]]))/(Pcfu4[[#This Row],[No. Reps]]*0.025)*Pcfu4[[#This Row],[Best DF]]</f>
        <v>19800</v>
      </c>
      <c r="R123" s="1">
        <f>_xlfn.STDEV.S(Pcfu4[[#This Row],[R1]:[R3]])/0.025*Pcfu4[[#This Row],[Best DF]]</f>
        <v>848.52813742385695</v>
      </c>
      <c r="S123" s="6">
        <f>Pcfu4[[#This Row],[CFU/mL]]*Pcfu4[[#This Row],[mL]]/Pcfu4[[#This Row],[grams]]</f>
        <v>376200</v>
      </c>
      <c r="T123" s="1">
        <f>Pcfu4[[#This Row],[SD CFU/mL]]*Pcfu4[[#This Row],[mL]]/Pcfu4[[#This Row],[grams]]</f>
        <v>16122.034611053283</v>
      </c>
      <c r="U123" s="7">
        <f>_xlfn.STDEV.S(Pcfu43[[#This Row],[R1]:[R3]])/AVERAGE(Pcfu43[[#This Row],[R1]:[R3]])</f>
        <v>8.8388347648318447E-2</v>
      </c>
      <c r="V123" s="96"/>
      <c r="W123" s="7"/>
    </row>
    <row r="124" spans="1:23" x14ac:dyDescent="0.15">
      <c r="A124" t="s">
        <v>264</v>
      </c>
      <c r="B124" t="s">
        <v>204</v>
      </c>
      <c r="D124" t="s">
        <v>243</v>
      </c>
      <c r="E124" s="3">
        <v>2</v>
      </c>
      <c r="G124">
        <v>0.1</v>
      </c>
      <c r="H124" s="5">
        <f>19*Pcfu4[[#This Row],[grams]]</f>
        <v>1.9000000000000001</v>
      </c>
      <c r="I124" s="3" t="s">
        <v>170</v>
      </c>
      <c r="J124" s="59">
        <v>44868</v>
      </c>
      <c r="L124" s="59" t="e" cm="1">
        <f t="array" ref="L124">INDEX($J$4:J1214, MATCH(1,(A124=$A$4:A1212)*(C124=$C$4:C1212)*("Y"=$K$4:K1214),0))</f>
        <v>#N/A</v>
      </c>
      <c r="M124" s="1">
        <v>100</v>
      </c>
      <c r="N124">
        <v>283</v>
      </c>
      <c r="O124">
        <v>300</v>
      </c>
      <c r="P124"/>
      <c r="Q124" s="6">
        <f>(SUM(Pcfu4[[#This Row],[R1]:[R3]]))/(Pcfu4[[#This Row],[No. Reps]]*0.025)*Pcfu4[[#This Row],[Best DF]]</f>
        <v>1166000</v>
      </c>
      <c r="R124" s="1">
        <f>_xlfn.STDEV.S(Pcfu4[[#This Row],[R1]:[R3]])/0.025*Pcfu4[[#This Row],[Best DF]]</f>
        <v>48083.261120685231</v>
      </c>
      <c r="S124" s="6">
        <f>Pcfu4[[#This Row],[CFU/mL]]*Pcfu4[[#This Row],[mL]]/Pcfu4[[#This Row],[grams]]</f>
        <v>22154000</v>
      </c>
      <c r="T124" s="1">
        <f>Pcfu4[[#This Row],[SD CFU/mL]]*Pcfu4[[#This Row],[mL]]/Pcfu4[[#This Row],[grams]]</f>
        <v>913581.96129301935</v>
      </c>
      <c r="U124" s="7">
        <f>_xlfn.STDEV.S(Pcfu43[[#This Row],[R1]:[R3]])/AVERAGE(Pcfu43[[#This Row],[R1]:[R3]])</f>
        <v>0.1368593770038479</v>
      </c>
      <c r="V124" s="96"/>
      <c r="W124" s="7"/>
    </row>
    <row r="125" spans="1:23" x14ac:dyDescent="0.15">
      <c r="A125" t="s">
        <v>265</v>
      </c>
      <c r="B125" t="s">
        <v>204</v>
      </c>
      <c r="D125" t="s">
        <v>243</v>
      </c>
      <c r="E125" s="3">
        <v>2</v>
      </c>
      <c r="G125">
        <v>0.1</v>
      </c>
      <c r="H125" s="5">
        <f>19*Pcfu4[[#This Row],[grams]]</f>
        <v>1.9000000000000001</v>
      </c>
      <c r="I125" s="3" t="s">
        <v>170</v>
      </c>
      <c r="J125" s="59">
        <v>44868</v>
      </c>
      <c r="L125" s="59" t="e" cm="1">
        <f t="array" ref="L125">INDEX($J$4:J1215, MATCH(1,(A125=$A$4:A1213)*(C125=$C$4:C1213)*("Y"=$K$4:K1215),0))</f>
        <v>#N/A</v>
      </c>
      <c r="M125" s="1">
        <v>100</v>
      </c>
      <c r="N125">
        <v>47</v>
      </c>
      <c r="O125">
        <v>43</v>
      </c>
      <c r="P125"/>
      <c r="Q125" s="6">
        <f>(SUM(Pcfu4[[#This Row],[R1]:[R3]]))/(Pcfu4[[#This Row],[No. Reps]]*0.025)*Pcfu4[[#This Row],[Best DF]]</f>
        <v>180000</v>
      </c>
      <c r="R125" s="1">
        <f>_xlfn.STDEV.S(Pcfu4[[#This Row],[R1]:[R3]])/0.025*Pcfu4[[#This Row],[Best DF]]</f>
        <v>11313.708498984761</v>
      </c>
      <c r="S125" s="6">
        <f>Pcfu4[[#This Row],[CFU/mL]]*Pcfu4[[#This Row],[mL]]/Pcfu4[[#This Row],[grams]]</f>
        <v>3420000</v>
      </c>
      <c r="T125" s="1">
        <f>Pcfu4[[#This Row],[SD CFU/mL]]*Pcfu4[[#This Row],[mL]]/Pcfu4[[#This Row],[grams]]</f>
        <v>214960.46148071045</v>
      </c>
      <c r="U125" s="7">
        <f>_xlfn.STDEV.S(Pcfu43[[#This Row],[R1]:[R3]])/AVERAGE(Pcfu43[[#This Row],[R1]:[R3]])</f>
        <v>4.5619792334615973E-2</v>
      </c>
      <c r="V125" s="96"/>
      <c r="W125" s="7"/>
    </row>
    <row r="126" spans="1:23" x14ac:dyDescent="0.15">
      <c r="A126" t="s">
        <v>256</v>
      </c>
      <c r="B126" t="s">
        <v>204</v>
      </c>
      <c r="D126" t="s">
        <v>243</v>
      </c>
      <c r="E126" s="3">
        <v>2</v>
      </c>
      <c r="G126">
        <v>0.1</v>
      </c>
      <c r="H126" s="5">
        <f>19*Pcfu4[[#This Row],[grams]]</f>
        <v>1.9000000000000001</v>
      </c>
      <c r="I126" s="3" t="s">
        <v>170</v>
      </c>
      <c r="J126" s="59">
        <v>44868</v>
      </c>
      <c r="L126" s="59" t="e" cm="1">
        <f t="array" ref="L126">INDEX($J$4:J1216, MATCH(1,(A126=$A$4:A1214)*(C126=$C$4:C1214)*("Y"=$K$4:K1216),0))</f>
        <v>#N/A</v>
      </c>
      <c r="M126" s="1">
        <v>10</v>
      </c>
      <c r="N126">
        <v>572</v>
      </c>
      <c r="O126">
        <v>585</v>
      </c>
      <c r="P126"/>
      <c r="Q126" s="6">
        <f>(SUM(Pcfu4[[#This Row],[R1]:[R3]]))/(Pcfu4[[#This Row],[No. Reps]]*0.025)*Pcfu4[[#This Row],[Best DF]]</f>
        <v>231400</v>
      </c>
      <c r="R126" s="1">
        <f>_xlfn.STDEV.S(Pcfu4[[#This Row],[R1]:[R3]])/0.025*Pcfu4[[#This Row],[Best DF]]</f>
        <v>3676.9552621700468</v>
      </c>
      <c r="S126" s="6">
        <f>Pcfu4[[#This Row],[CFU/mL]]*Pcfu4[[#This Row],[mL]]/Pcfu4[[#This Row],[grams]]</f>
        <v>4396600</v>
      </c>
      <c r="T126" s="1">
        <f>Pcfu4[[#This Row],[SD CFU/mL]]*Pcfu4[[#This Row],[mL]]/Pcfu4[[#This Row],[grams]]</f>
        <v>69862.14998123089</v>
      </c>
      <c r="U126" s="7">
        <f>_xlfn.STDEV.S(Pcfu43[[#This Row],[R1]:[R3]])/AVERAGE(Pcfu43[[#This Row],[R1]:[R3]])</f>
        <v>3.4493013716416956E-2</v>
      </c>
      <c r="V126" s="96"/>
      <c r="W126" s="7"/>
    </row>
    <row r="127" spans="1:23" x14ac:dyDescent="0.15">
      <c r="A127" t="s">
        <v>266</v>
      </c>
      <c r="B127" t="s">
        <v>204</v>
      </c>
      <c r="D127" t="s">
        <v>246</v>
      </c>
      <c r="E127" s="3">
        <v>2</v>
      </c>
      <c r="G127">
        <v>0.1</v>
      </c>
      <c r="H127" s="5">
        <f>19*Pcfu4[[#This Row],[grams]]</f>
        <v>1.9000000000000001</v>
      </c>
      <c r="I127" s="3" t="s">
        <v>170</v>
      </c>
      <c r="J127" s="59">
        <v>44868</v>
      </c>
      <c r="L127" s="59" t="e" cm="1">
        <f t="array" ref="L127">INDEX($J$4:J1217, MATCH(1,(A127=$A$4:A1215)*(C127=$C$4:C1215)*("Y"=$K$4:K1217),0))</f>
        <v>#N/A</v>
      </c>
      <c r="M127" s="1">
        <v>100</v>
      </c>
      <c r="N127">
        <v>151</v>
      </c>
      <c r="O127">
        <v>168</v>
      </c>
      <c r="P127"/>
      <c r="Q127" s="6">
        <f>(SUM(Pcfu4[[#This Row],[R1]:[R3]]))/(Pcfu4[[#This Row],[No. Reps]]*0.025)*Pcfu4[[#This Row],[Best DF]]</f>
        <v>638000</v>
      </c>
      <c r="R127" s="1">
        <f>_xlfn.STDEV.S(Pcfu4[[#This Row],[R1]:[R3]])/0.025*Pcfu4[[#This Row],[Best DF]]</f>
        <v>48083.261120685231</v>
      </c>
      <c r="S127" s="6">
        <f>Pcfu4[[#This Row],[CFU/mL]]*Pcfu4[[#This Row],[mL]]/Pcfu4[[#This Row],[grams]]</f>
        <v>12122000</v>
      </c>
      <c r="T127" s="1">
        <f>Pcfu4[[#This Row],[SD CFU/mL]]*Pcfu4[[#This Row],[mL]]/Pcfu4[[#This Row],[grams]]</f>
        <v>913581.96129301935</v>
      </c>
      <c r="U127" s="7">
        <f>_xlfn.STDEV.S(Pcfu43[[#This Row],[R1]:[R3]])/AVERAGE(Pcfu43[[#This Row],[R1]:[R3]])</f>
        <v>0.91507936388847322</v>
      </c>
      <c r="V127" s="96"/>
      <c r="W127" s="7"/>
    </row>
    <row r="128" spans="1:23" x14ac:dyDescent="0.15">
      <c r="A128" t="s">
        <v>248</v>
      </c>
      <c r="B128" t="s">
        <v>204</v>
      </c>
      <c r="D128" t="s">
        <v>246</v>
      </c>
      <c r="E128" s="3">
        <v>2</v>
      </c>
      <c r="G128">
        <v>0.1</v>
      </c>
      <c r="H128" s="5">
        <f>19*Pcfu4[[#This Row],[grams]]</f>
        <v>1.9000000000000001</v>
      </c>
      <c r="I128" s="3" t="s">
        <v>170</v>
      </c>
      <c r="J128" s="59">
        <v>44868</v>
      </c>
      <c r="L128" s="59" t="e" cm="1">
        <f t="array" ref="L128">INDEX($J$4:J1218, MATCH(1,(A128=$A$4:A1216)*(C128=$C$4:C1216)*("Y"=$K$4:K1218),0))</f>
        <v>#N/A</v>
      </c>
      <c r="M128" s="1">
        <v>1000</v>
      </c>
      <c r="N128">
        <v>66</v>
      </c>
      <c r="O128">
        <v>76</v>
      </c>
      <c r="P128"/>
      <c r="Q128" s="6">
        <f>(SUM(Pcfu4[[#This Row],[R1]:[R3]]))/(Pcfu4[[#This Row],[No. Reps]]*0.025)*Pcfu4[[#This Row],[Best DF]]</f>
        <v>2840000</v>
      </c>
      <c r="R128" s="1">
        <f>_xlfn.STDEV.S(Pcfu4[[#This Row],[R1]:[R3]])/0.025*Pcfu4[[#This Row],[Best DF]]</f>
        <v>282842.71247461904</v>
      </c>
      <c r="S128" s="6">
        <f>Pcfu4[[#This Row],[CFU/mL]]*Pcfu4[[#This Row],[mL]]/Pcfu4[[#This Row],[grams]]</f>
        <v>53960000</v>
      </c>
      <c r="T128" s="1">
        <f>Pcfu4[[#This Row],[SD CFU/mL]]*Pcfu4[[#This Row],[mL]]/Pcfu4[[#This Row],[grams]]</f>
        <v>5374011.5370177617</v>
      </c>
      <c r="U128" s="7">
        <f>_xlfn.STDEV.S(Pcfu43[[#This Row],[R1]:[R3]])/AVERAGE(Pcfu43[[#This Row],[R1]:[R3]])</f>
        <v>0.30304576336566319</v>
      </c>
      <c r="V128" s="96"/>
      <c r="W128" s="7"/>
    </row>
    <row r="129" spans="1:23" x14ac:dyDescent="0.15">
      <c r="A129" t="s">
        <v>245</v>
      </c>
      <c r="B129" t="s">
        <v>204</v>
      </c>
      <c r="D129" t="s">
        <v>246</v>
      </c>
      <c r="E129" s="3">
        <v>2</v>
      </c>
      <c r="G129">
        <v>0.1</v>
      </c>
      <c r="H129" s="5">
        <f>19*Pcfu4[[#This Row],[grams]]</f>
        <v>1.9000000000000001</v>
      </c>
      <c r="I129" s="3" t="s">
        <v>170</v>
      </c>
      <c r="J129" s="59">
        <v>44868</v>
      </c>
      <c r="L129" s="59" t="e" cm="1">
        <f t="array" ref="L129">INDEX($J$4:J1219, MATCH(1,(A129=$A$4:A1217)*(C129=$C$4:C1217)*("Y"=$K$4:K1219),0))</f>
        <v>#N/A</v>
      </c>
      <c r="M129" s="1">
        <v>1000</v>
      </c>
      <c r="N129">
        <v>272</v>
      </c>
      <c r="O129">
        <v>267</v>
      </c>
      <c r="P129"/>
      <c r="Q129" s="6">
        <f>(SUM(Pcfu4[[#This Row],[R1]:[R3]]))/(Pcfu4[[#This Row],[No. Reps]]*0.025)*Pcfu4[[#This Row],[Best DF]]</f>
        <v>10780000</v>
      </c>
      <c r="R129" s="1">
        <f>_xlfn.STDEV.S(Pcfu4[[#This Row],[R1]:[R3]])/0.025*Pcfu4[[#This Row],[Best DF]]</f>
        <v>141421.35623730952</v>
      </c>
      <c r="S129" s="6">
        <f>Pcfu4[[#This Row],[CFU/mL]]*Pcfu4[[#This Row],[mL]]/Pcfu4[[#This Row],[grams]]</f>
        <v>204820000</v>
      </c>
      <c r="T129" s="1">
        <f>Pcfu4[[#This Row],[SD CFU/mL]]*Pcfu4[[#This Row],[mL]]/Pcfu4[[#This Row],[grams]]</f>
        <v>2687005.7685088809</v>
      </c>
      <c r="U129" s="7">
        <f>_xlfn.STDEV.S(Pcfu43[[#This Row],[R1]:[R3]])/AVERAGE(Pcfu43[[#This Row],[R1]:[R3]])</f>
        <v>7.2523772429389496E-2</v>
      </c>
      <c r="V129" s="96"/>
      <c r="W129" s="7"/>
    </row>
    <row r="130" spans="1:23" x14ac:dyDescent="0.15">
      <c r="A130" t="s">
        <v>257</v>
      </c>
      <c r="B130" t="s">
        <v>204</v>
      </c>
      <c r="D130" t="s">
        <v>246</v>
      </c>
      <c r="E130" s="3">
        <v>2</v>
      </c>
      <c r="G130">
        <v>0.1</v>
      </c>
      <c r="H130" s="5">
        <f>19*Pcfu4[[#This Row],[grams]]</f>
        <v>1.9000000000000001</v>
      </c>
      <c r="I130" s="3" t="s">
        <v>170</v>
      </c>
      <c r="J130" s="59">
        <v>44868</v>
      </c>
      <c r="L130" s="59" t="e" cm="1">
        <f t="array" ref="L130">INDEX($J$4:J1220, MATCH(1,(A130=$A$4:A1218)*(C130=$C$4:C1218)*("Y"=$K$4:K1220),0))</f>
        <v>#N/A</v>
      </c>
      <c r="M130" s="1">
        <v>1000</v>
      </c>
      <c r="N130">
        <v>318</v>
      </c>
      <c r="O130">
        <v>323</v>
      </c>
      <c r="P130"/>
      <c r="Q130" s="6">
        <f>(SUM(Pcfu4[[#This Row],[R1]:[R3]]))/(Pcfu4[[#This Row],[No. Reps]]*0.025)*Pcfu4[[#This Row],[Best DF]]</f>
        <v>12820000</v>
      </c>
      <c r="R130" s="1">
        <f>_xlfn.STDEV.S(Pcfu4[[#This Row],[R1]:[R3]])/0.025*Pcfu4[[#This Row],[Best DF]]</f>
        <v>141421.35623730952</v>
      </c>
      <c r="S130" s="6">
        <f>Pcfu4[[#This Row],[CFU/mL]]*Pcfu4[[#This Row],[mL]]/Pcfu4[[#This Row],[grams]]</f>
        <v>243580000</v>
      </c>
      <c r="T130" s="1">
        <f>Pcfu4[[#This Row],[SD CFU/mL]]*Pcfu4[[#This Row],[mL]]/Pcfu4[[#This Row],[grams]]</f>
        <v>2687005.7685088809</v>
      </c>
      <c r="U130" s="7">
        <f>_xlfn.STDEV.S(Pcfu43[[#This Row],[R1]:[R3]])/AVERAGE(Pcfu43[[#This Row],[R1]:[R3]])</f>
        <v>0.14865658525789735</v>
      </c>
      <c r="V130" s="96"/>
      <c r="W130" s="7"/>
    </row>
    <row r="131" spans="1:23" x14ac:dyDescent="0.15">
      <c r="A131" t="s">
        <v>249</v>
      </c>
      <c r="B131" t="s">
        <v>204</v>
      </c>
      <c r="D131" t="s">
        <v>26</v>
      </c>
      <c r="E131" s="3">
        <v>2</v>
      </c>
      <c r="G131">
        <v>0.1</v>
      </c>
      <c r="H131" s="5">
        <f>19*Pcfu4[[#This Row],[grams]]</f>
        <v>1.9000000000000001</v>
      </c>
      <c r="I131" s="3" t="s">
        <v>170</v>
      </c>
      <c r="J131" s="59">
        <v>44868</v>
      </c>
      <c r="L131" s="59" t="e" cm="1">
        <f t="array" ref="L131">INDEX($J$4:J1221, MATCH(1,(A131=$A$4:A1219)*(C131=$C$4:C1219)*("Y"=$K$4:K1221),0))</f>
        <v>#N/A</v>
      </c>
      <c r="M131" s="1">
        <v>100000</v>
      </c>
      <c r="N131">
        <v>572</v>
      </c>
      <c r="O131">
        <v>604</v>
      </c>
      <c r="P131"/>
      <c r="Q131" s="6">
        <f>(SUM(Pcfu4[[#This Row],[R1]:[R3]]))/(Pcfu4[[#This Row],[No. Reps]]*0.025)*Pcfu4[[#This Row],[Best DF]]</f>
        <v>2352000000</v>
      </c>
      <c r="R131" s="1">
        <f>_xlfn.STDEV.S(Pcfu4[[#This Row],[R1]:[R3]])/0.025*Pcfu4[[#This Row],[Best DF]]</f>
        <v>90509667.991878092</v>
      </c>
      <c r="S131" s="6">
        <f>Pcfu4[[#This Row],[CFU/mL]]*Pcfu4[[#This Row],[mL]]/Pcfu4[[#This Row],[grams]]</f>
        <v>44688000000</v>
      </c>
      <c r="T131" s="1">
        <f>Pcfu4[[#This Row],[SD CFU/mL]]*Pcfu4[[#This Row],[mL]]/Pcfu4[[#This Row],[grams]]</f>
        <v>1719683691.8456836</v>
      </c>
      <c r="U131" s="7">
        <f>_xlfn.STDEV.S(Pcfu43[[#This Row],[R1]:[R3]])/AVERAGE(Pcfu43[[#This Row],[R1]:[R3]])</f>
        <v>0.11042351072182748</v>
      </c>
      <c r="V131" s="96"/>
      <c r="W131" s="7"/>
    </row>
    <row r="132" spans="1:23" x14ac:dyDescent="0.15">
      <c r="A132" t="s">
        <v>267</v>
      </c>
      <c r="B132" t="s">
        <v>268</v>
      </c>
      <c r="D132" t="s">
        <v>136</v>
      </c>
      <c r="E132" s="3">
        <v>3</v>
      </c>
      <c r="G132">
        <v>0.1</v>
      </c>
      <c r="H132" s="5">
        <f>19*Pcfu4[[#This Row],[grams]]</f>
        <v>1.9000000000000001</v>
      </c>
      <c r="I132" s="3" t="s">
        <v>170</v>
      </c>
      <c r="J132" s="59">
        <v>44868</v>
      </c>
      <c r="L132" s="59" t="e" cm="1">
        <f t="array" ref="L132">INDEX($J$4:J1222, MATCH(1,(A132=$A$4:A1220)*(C132=$C$4:C1220)*("Y"=$K$4:K1222),0))</f>
        <v>#N/A</v>
      </c>
      <c r="M132" s="1">
        <v>100000000</v>
      </c>
      <c r="N132">
        <v>81</v>
      </c>
      <c r="O132">
        <v>50</v>
      </c>
      <c r="P132">
        <v>78</v>
      </c>
      <c r="Q132" s="6">
        <f>(SUM(Pcfu4[[#This Row],[R1]:[R3]]))/(Pcfu4[[#This Row],[No. Reps]]*0.025)*Pcfu4[[#This Row],[Best DF]]</f>
        <v>278666666666.66663</v>
      </c>
      <c r="R132" s="1">
        <f>_xlfn.STDEV.S(Pcfu4[[#This Row],[R1]:[R3]])/0.025*Pcfu4[[#This Row],[Best DF]]</f>
        <v>68391032550.57148</v>
      </c>
      <c r="S132" s="6">
        <f>Pcfu4[[#This Row],[CFU/mL]]*Pcfu4[[#This Row],[mL]]/Pcfu4[[#This Row],[grams]]</f>
        <v>5294666666666.666</v>
      </c>
      <c r="T132" s="1">
        <f>Pcfu4[[#This Row],[SD CFU/mL]]*Pcfu4[[#This Row],[mL]]/Pcfu4[[#This Row],[grams]]</f>
        <v>1299429618460.8582</v>
      </c>
      <c r="U132" s="7">
        <f>_xlfn.STDEV.S(Pcfu43[[#This Row],[R1]:[R3]])/AVERAGE(Pcfu43[[#This Row],[R1]:[R3]])</f>
        <v>0.82448733064701796</v>
      </c>
      <c r="V132" s="96"/>
      <c r="W132" s="7"/>
    </row>
    <row r="133" spans="1:23" x14ac:dyDescent="0.15">
      <c r="A133" t="s">
        <v>269</v>
      </c>
      <c r="B133" t="s">
        <v>268</v>
      </c>
      <c r="D133" t="s">
        <v>136</v>
      </c>
      <c r="E133" s="3">
        <v>3</v>
      </c>
      <c r="G133">
        <v>0.1</v>
      </c>
      <c r="H133" s="5">
        <f>19*Pcfu4[[#This Row],[grams]]</f>
        <v>1.9000000000000001</v>
      </c>
      <c r="I133" s="3" t="s">
        <v>170</v>
      </c>
      <c r="J133" s="59">
        <v>44868</v>
      </c>
      <c r="L133" s="59" t="e" cm="1">
        <f t="array" ref="L133">INDEX($J$4:J1223, MATCH(1,(A133=$A$4:A1221)*(C133=$C$4:C1221)*("Y"=$K$4:K1223),0))</f>
        <v>#N/A</v>
      </c>
      <c r="M133" s="1">
        <v>100000000</v>
      </c>
      <c r="N133">
        <v>50</v>
      </c>
      <c r="O133">
        <v>44</v>
      </c>
      <c r="P133">
        <v>45</v>
      </c>
      <c r="Q133" s="6">
        <f>(SUM(Pcfu4[[#This Row],[R1]:[R3]]))/(Pcfu4[[#This Row],[No. Reps]]*0.025)*Pcfu4[[#This Row],[Best DF]]</f>
        <v>185333333333.33331</v>
      </c>
      <c r="R133" s="1">
        <f>_xlfn.STDEV.S(Pcfu4[[#This Row],[R1]:[R3]])/0.025*Pcfu4[[#This Row],[Best DF]]</f>
        <v>12858201014.657274</v>
      </c>
      <c r="S133" s="6">
        <f>Pcfu4[[#This Row],[CFU/mL]]*Pcfu4[[#This Row],[mL]]/Pcfu4[[#This Row],[grams]]</f>
        <v>3521333333333.333</v>
      </c>
      <c r="T133" s="1">
        <f>Pcfu4[[#This Row],[SD CFU/mL]]*Pcfu4[[#This Row],[mL]]/Pcfu4[[#This Row],[grams]]</f>
        <v>244305819278.48822</v>
      </c>
      <c r="U133" s="7">
        <f>_xlfn.STDEV.S(Pcfu43[[#This Row],[R1]:[R3]])/AVERAGE(Pcfu43[[#This Row],[R1]:[R3]])</f>
        <v>0.21786917253042296</v>
      </c>
      <c r="V133" s="96"/>
      <c r="W133" s="7"/>
    </row>
    <row r="134" spans="1:23" x14ac:dyDescent="0.15">
      <c r="A134" t="s">
        <v>270</v>
      </c>
      <c r="B134" t="s">
        <v>268</v>
      </c>
      <c r="D134" t="s">
        <v>136</v>
      </c>
      <c r="E134" s="3">
        <v>3</v>
      </c>
      <c r="G134">
        <v>0.1</v>
      </c>
      <c r="H134" s="5">
        <f>19*Pcfu4[[#This Row],[grams]]</f>
        <v>1.9000000000000001</v>
      </c>
      <c r="I134" s="3" t="s">
        <v>170</v>
      </c>
      <c r="J134" s="59">
        <v>44868</v>
      </c>
      <c r="L134" s="59" t="e" cm="1">
        <f t="array" ref="L134">INDEX($J$4:J1224, MATCH(1,(A134=$A$4:A1222)*(C134=$C$4:C1222)*("Y"=$K$4:K1224),0))</f>
        <v>#N/A</v>
      </c>
      <c r="M134" s="1">
        <v>100000000</v>
      </c>
      <c r="N134">
        <v>160</v>
      </c>
      <c r="O134">
        <v>99</v>
      </c>
      <c r="P134">
        <v>93</v>
      </c>
      <c r="Q134" s="6">
        <f>(SUM(Pcfu4[[#This Row],[R1]:[R3]]))/(Pcfu4[[#This Row],[No. Reps]]*0.025)*Pcfu4[[#This Row],[Best DF]]</f>
        <v>469333333333.33331</v>
      </c>
      <c r="R134" s="1">
        <f>_xlfn.STDEV.S(Pcfu4[[#This Row],[R1]:[R3]])/0.025*Pcfu4[[#This Row],[Best DF]]</f>
        <v>148288008056.39447</v>
      </c>
      <c r="S134" s="6">
        <f>Pcfu4[[#This Row],[CFU/mL]]*Pcfu4[[#This Row],[mL]]/Pcfu4[[#This Row],[grams]]</f>
        <v>8917333333333.334</v>
      </c>
      <c r="T134" s="1">
        <f>Pcfu4[[#This Row],[SD CFU/mL]]*Pcfu4[[#This Row],[mL]]/Pcfu4[[#This Row],[grams]]</f>
        <v>2817472153071.4951</v>
      </c>
      <c r="U134" s="7">
        <f>_xlfn.STDEV.S(Pcfu43[[#This Row],[R1]:[R3]])/AVERAGE(Pcfu43[[#This Row],[R1]:[R3]])</f>
        <v>0.11783015091317732</v>
      </c>
      <c r="V134" s="96"/>
      <c r="W134" s="7"/>
    </row>
    <row r="135" spans="1:23" x14ac:dyDescent="0.15">
      <c r="A135" t="s">
        <v>271</v>
      </c>
      <c r="B135" t="s">
        <v>268</v>
      </c>
      <c r="D135" t="s">
        <v>136</v>
      </c>
      <c r="E135" s="3">
        <v>3</v>
      </c>
      <c r="G135">
        <v>0.1</v>
      </c>
      <c r="H135" s="5">
        <f>19*Pcfu4[[#This Row],[grams]]</f>
        <v>1.9000000000000001</v>
      </c>
      <c r="I135" s="3" t="s">
        <v>170</v>
      </c>
      <c r="J135" s="59">
        <v>44868</v>
      </c>
      <c r="L135" s="59" t="e" cm="1">
        <f t="array" ref="L135">INDEX($J$4:J1225, MATCH(1,(A135=$A$4:A1223)*(C135=$C$4:C1223)*("Y"=$K$4:K1225),0))</f>
        <v>#N/A</v>
      </c>
      <c r="M135" s="1">
        <v>100000000</v>
      </c>
      <c r="N135">
        <v>101</v>
      </c>
      <c r="O135">
        <v>111</v>
      </c>
      <c r="P135">
        <v>91</v>
      </c>
      <c r="Q135" s="6">
        <f>(SUM(Pcfu4[[#This Row],[R1]:[R3]]))/(Pcfu4[[#This Row],[No. Reps]]*0.025)*Pcfu4[[#This Row],[Best DF]]</f>
        <v>403999999999.99994</v>
      </c>
      <c r="R135" s="1">
        <f>_xlfn.STDEV.S(Pcfu4[[#This Row],[R1]:[R3]])/0.025*Pcfu4[[#This Row],[Best DF]]</f>
        <v>40000000000</v>
      </c>
      <c r="S135" s="6">
        <f>Pcfu4[[#This Row],[CFU/mL]]*Pcfu4[[#This Row],[mL]]/Pcfu4[[#This Row],[grams]]</f>
        <v>7675999999999.998</v>
      </c>
      <c r="T135" s="1">
        <f>Pcfu4[[#This Row],[SD CFU/mL]]*Pcfu4[[#This Row],[mL]]/Pcfu4[[#This Row],[grams]]</f>
        <v>760000000000</v>
      </c>
      <c r="U135" s="7" t="e">
        <f>_xlfn.STDEV.S(Pcfu43[[#This Row],[R1]:[R3]])/AVERAGE(Pcfu43[[#This Row],[R1]:[R3]])</f>
        <v>#DIV/0!</v>
      </c>
      <c r="V135" s="96"/>
      <c r="W135" s="7"/>
    </row>
    <row r="136" spans="1:23" x14ac:dyDescent="0.15">
      <c r="A136" t="s">
        <v>267</v>
      </c>
      <c r="B136" t="s">
        <v>272</v>
      </c>
      <c r="D136" t="s">
        <v>136</v>
      </c>
      <c r="E136" s="3">
        <v>3</v>
      </c>
      <c r="G136">
        <v>0.1</v>
      </c>
      <c r="H136" s="5">
        <f>19*Pcfu4[[#This Row],[grams]]</f>
        <v>1.9000000000000001</v>
      </c>
      <c r="I136" s="3" t="s">
        <v>170</v>
      </c>
      <c r="J136" s="59">
        <v>44868</v>
      </c>
      <c r="L136" s="59" t="e" cm="1">
        <f t="array" ref="L136">INDEX($J$4:J1226, MATCH(1,(A136=$A$4:A1224)*(C136=$C$4:C1224)*("Y"=$K$4:K1226),0))</f>
        <v>#N/A</v>
      </c>
      <c r="M136" s="1">
        <v>100000000</v>
      </c>
      <c r="N136">
        <v>52</v>
      </c>
      <c r="O136">
        <v>60</v>
      </c>
      <c r="P136">
        <v>55</v>
      </c>
      <c r="Q136" s="6">
        <f>(SUM(Pcfu4[[#This Row],[R1]:[R3]]))/(Pcfu4[[#This Row],[No. Reps]]*0.025)*Pcfu4[[#This Row],[Best DF]]</f>
        <v>222666666666.66666</v>
      </c>
      <c r="R136" s="1">
        <f>_xlfn.STDEV.S(Pcfu4[[#This Row],[R1]:[R3]])/0.025*Pcfu4[[#This Row],[Best DF]]</f>
        <v>16165807537.309521</v>
      </c>
      <c r="S136" s="6">
        <f>Pcfu4[[#This Row],[CFU/mL]]*Pcfu4[[#This Row],[mL]]/Pcfu4[[#This Row],[grams]]</f>
        <v>4230666666666.6665</v>
      </c>
      <c r="T136" s="1">
        <f>Pcfu4[[#This Row],[SD CFU/mL]]*Pcfu4[[#This Row],[mL]]/Pcfu4[[#This Row],[grams]]</f>
        <v>307150343208.88092</v>
      </c>
      <c r="U136" s="7" t="e">
        <f>_xlfn.STDEV.S(Pcfu43[[#This Row],[R1]:[R3]])/AVERAGE(Pcfu43[[#This Row],[R1]:[R3]])</f>
        <v>#DIV/0!</v>
      </c>
      <c r="V136" s="96"/>
      <c r="W136" s="7"/>
    </row>
    <row r="137" spans="1:23" x14ac:dyDescent="0.15">
      <c r="A137" t="s">
        <v>269</v>
      </c>
      <c r="B137" t="s">
        <v>272</v>
      </c>
      <c r="D137" t="s">
        <v>136</v>
      </c>
      <c r="E137" s="3">
        <v>3</v>
      </c>
      <c r="G137">
        <v>0.1</v>
      </c>
      <c r="H137" s="5">
        <f>19*Pcfu4[[#This Row],[grams]]</f>
        <v>1.9000000000000001</v>
      </c>
      <c r="I137" s="3" t="s">
        <v>170</v>
      </c>
      <c r="J137" s="59">
        <v>44868</v>
      </c>
      <c r="L137" s="59" t="e" cm="1">
        <f t="array" ref="L137">INDEX($J$4:J1227, MATCH(1,(A137=$A$4:A1225)*(C137=$C$4:C1225)*("Y"=$K$4:K1227),0))</f>
        <v>#N/A</v>
      </c>
      <c r="M137" s="1">
        <v>100000000</v>
      </c>
      <c r="N137">
        <v>32</v>
      </c>
      <c r="O137">
        <v>43</v>
      </c>
      <c r="P137">
        <v>53</v>
      </c>
      <c r="Q137" s="6">
        <f>(SUM(Pcfu4[[#This Row],[R1]:[R3]]))/(Pcfu4[[#This Row],[No. Reps]]*0.025)*Pcfu4[[#This Row],[Best DF]]</f>
        <v>170666666666.66666</v>
      </c>
      <c r="R137" s="1">
        <f>_xlfn.STDEV.S(Pcfu4[[#This Row],[R1]:[R3]])/0.025*Pcfu4[[#This Row],[Best DF]]</f>
        <v>42015870017.569977</v>
      </c>
      <c r="S137" s="6">
        <f>Pcfu4[[#This Row],[CFU/mL]]*Pcfu4[[#This Row],[mL]]/Pcfu4[[#This Row],[grams]]</f>
        <v>3242666666666.6665</v>
      </c>
      <c r="T137" s="1">
        <f>Pcfu4[[#This Row],[SD CFU/mL]]*Pcfu4[[#This Row],[mL]]/Pcfu4[[#This Row],[grams]]</f>
        <v>798301530333.82959</v>
      </c>
      <c r="U137" s="7">
        <f>_xlfn.STDEV.S(Pcfu43[[#This Row],[R1]:[R3]])/AVERAGE(Pcfu43[[#This Row],[R1]:[R3]])</f>
        <v>0.10778095882869904</v>
      </c>
      <c r="V137" s="96"/>
      <c r="W137" s="7"/>
    </row>
    <row r="138" spans="1:23" x14ac:dyDescent="0.15">
      <c r="A138" t="s">
        <v>273</v>
      </c>
      <c r="B138" t="s">
        <v>204</v>
      </c>
      <c r="D138" t="s">
        <v>243</v>
      </c>
      <c r="E138" s="3">
        <v>2</v>
      </c>
      <c r="G138">
        <v>0.1</v>
      </c>
      <c r="H138" s="5">
        <f>19*Pcfu4[[#This Row],[grams]]</f>
        <v>1.9000000000000001</v>
      </c>
      <c r="I138" s="3" t="s">
        <v>170</v>
      </c>
      <c r="J138" s="59">
        <v>44869</v>
      </c>
      <c r="L138" s="59" t="e" cm="1">
        <f t="array" ref="L138">INDEX($J$4:J1228, MATCH(1,(A138=$A$4:A1226)*(C138=$C$4:C1226)*("Y"=$K$4:K1228),0))</f>
        <v>#N/A</v>
      </c>
      <c r="M138" s="1">
        <v>100</v>
      </c>
      <c r="N138">
        <v>862</v>
      </c>
      <c r="O138">
        <v>814</v>
      </c>
      <c r="P138"/>
      <c r="Q138" s="6">
        <f>(SUM(Pcfu4[[#This Row],[R1]:[R3]]))/(Pcfu4[[#This Row],[No. Reps]]*0.025)*Pcfu4[[#This Row],[Best DF]]</f>
        <v>3352000</v>
      </c>
      <c r="R138" s="1">
        <f>_xlfn.STDEV.S(Pcfu4[[#This Row],[R1]:[R3]])/0.025*Pcfu4[[#This Row],[Best DF]]</f>
        <v>135764.50198781712</v>
      </c>
      <c r="S138" s="6">
        <f>Pcfu4[[#This Row],[CFU/mL]]*Pcfu4[[#This Row],[mL]]/Pcfu4[[#This Row],[grams]]</f>
        <v>63688000</v>
      </c>
      <c r="T138" s="1">
        <f>Pcfu4[[#This Row],[SD CFU/mL]]*Pcfu4[[#This Row],[mL]]/Pcfu4[[#This Row],[grams]]</f>
        <v>2579525.5377685251</v>
      </c>
      <c r="U138" s="7" t="e">
        <f>_xlfn.STDEV.S(Pcfu43[[#This Row],[R1]:[R3]])/AVERAGE(Pcfu43[[#This Row],[R1]:[R3]])</f>
        <v>#DIV/0!</v>
      </c>
      <c r="V138" s="96"/>
      <c r="W138" s="7"/>
    </row>
    <row r="139" spans="1:23" x14ac:dyDescent="0.15">
      <c r="A139" t="s">
        <v>274</v>
      </c>
      <c r="B139" t="s">
        <v>204</v>
      </c>
      <c r="D139" t="s">
        <v>243</v>
      </c>
      <c r="E139" s="3">
        <v>2</v>
      </c>
      <c r="G139">
        <v>0.1</v>
      </c>
      <c r="H139" s="5">
        <f>19*Pcfu4[[#This Row],[grams]]</f>
        <v>1.9000000000000001</v>
      </c>
      <c r="I139" s="3" t="s">
        <v>170</v>
      </c>
      <c r="J139" s="59">
        <v>44869</v>
      </c>
      <c r="L139" s="59" t="e" cm="1">
        <f t="array" ref="L139">INDEX($J$4:J1229, MATCH(1,(A139=$A$4:A1227)*(C139=$C$4:C1227)*("Y"=$K$4:K1229),0))</f>
        <v>#N/A</v>
      </c>
      <c r="M139" s="1">
        <v>10</v>
      </c>
      <c r="N139">
        <v>136</v>
      </c>
      <c r="O139">
        <v>138</v>
      </c>
      <c r="P139"/>
      <c r="Q139" s="6">
        <f>(SUM(Pcfu4[[#This Row],[R1]:[R3]]))/(Pcfu4[[#This Row],[No. Reps]]*0.025)*Pcfu4[[#This Row],[Best DF]]</f>
        <v>54800</v>
      </c>
      <c r="R139" s="1">
        <f>_xlfn.STDEV.S(Pcfu4[[#This Row],[R1]:[R3]])/0.025*Pcfu4[[#This Row],[Best DF]]</f>
        <v>565.68542494923804</v>
      </c>
      <c r="S139" s="6">
        <f>Pcfu4[[#This Row],[CFU/mL]]*Pcfu4[[#This Row],[mL]]/Pcfu4[[#This Row],[grams]]</f>
        <v>1041200.0000000001</v>
      </c>
      <c r="T139" s="1">
        <f>Pcfu4[[#This Row],[SD CFU/mL]]*Pcfu4[[#This Row],[mL]]/Pcfu4[[#This Row],[grams]]</f>
        <v>10748.023074035522</v>
      </c>
      <c r="U139" s="7" t="e">
        <f>_xlfn.STDEV.S(Pcfu43[[#This Row],[R1]:[R3]])/AVERAGE(Pcfu43[[#This Row],[R1]:[R3]])</f>
        <v>#DIV/0!</v>
      </c>
      <c r="V139" s="96"/>
      <c r="W139" s="7"/>
    </row>
    <row r="140" spans="1:23" x14ac:dyDescent="0.15">
      <c r="A140" t="s">
        <v>275</v>
      </c>
      <c r="B140" t="s">
        <v>204</v>
      </c>
      <c r="D140" t="s">
        <v>243</v>
      </c>
      <c r="E140" s="3">
        <v>2</v>
      </c>
      <c r="G140">
        <v>0.1</v>
      </c>
      <c r="H140" s="5">
        <f>19*Pcfu4[[#This Row],[grams]]</f>
        <v>1.9000000000000001</v>
      </c>
      <c r="I140" s="3" t="s">
        <v>170</v>
      </c>
      <c r="J140" s="59">
        <v>44869</v>
      </c>
      <c r="L140" s="59" t="e" cm="1">
        <f t="array" ref="L140">INDEX($J$4:J1230, MATCH(1,(A140=$A$4:A1228)*(C140=$C$4:C1228)*("Y"=$K$4:K1230),0))</f>
        <v>#N/A</v>
      </c>
      <c r="M140" s="1">
        <v>10</v>
      </c>
      <c r="N140">
        <v>100</v>
      </c>
      <c r="O140">
        <v>117</v>
      </c>
      <c r="P140"/>
      <c r="Q140" s="6">
        <f>(SUM(Pcfu4[[#This Row],[R1]:[R3]]))/(Pcfu4[[#This Row],[No. Reps]]*0.025)*Pcfu4[[#This Row],[Best DF]]</f>
        <v>43400</v>
      </c>
      <c r="R140" s="1">
        <f>_xlfn.STDEV.S(Pcfu4[[#This Row],[R1]:[R3]])/0.025*Pcfu4[[#This Row],[Best DF]]</f>
        <v>4808.3261120685229</v>
      </c>
      <c r="S140" s="6">
        <f>Pcfu4[[#This Row],[CFU/mL]]*Pcfu4[[#This Row],[mL]]/Pcfu4[[#This Row],[grams]]</f>
        <v>824600</v>
      </c>
      <c r="T140" s="1">
        <f>Pcfu4[[#This Row],[SD CFU/mL]]*Pcfu4[[#This Row],[mL]]/Pcfu4[[#This Row],[grams]]</f>
        <v>91358.196129301941</v>
      </c>
      <c r="U140" s="7">
        <f>_xlfn.STDEV.S(Pcfu43[[#This Row],[R1]:[R3]])/AVERAGE(Pcfu43[[#This Row],[R1]:[R3]])</f>
        <v>8.9160981596096742E-2</v>
      </c>
      <c r="V140" s="96"/>
      <c r="W140" s="7"/>
    </row>
    <row r="141" spans="1:23" x14ac:dyDescent="0.15">
      <c r="A141" t="s">
        <v>276</v>
      </c>
      <c r="B141" t="s">
        <v>204</v>
      </c>
      <c r="D141" t="s">
        <v>243</v>
      </c>
      <c r="E141" s="3">
        <v>2</v>
      </c>
      <c r="G141">
        <v>0.1</v>
      </c>
      <c r="H141" s="5">
        <f>19*Pcfu4[[#This Row],[grams]]</f>
        <v>1.9000000000000001</v>
      </c>
      <c r="I141" s="3" t="s">
        <v>170</v>
      </c>
      <c r="J141" s="59">
        <v>44869</v>
      </c>
      <c r="L141" s="59" t="e" cm="1">
        <f t="array" ref="L141">INDEX($J$4:J1231, MATCH(1,(A141=$A$4:A1229)*(C141=$C$4:C1229)*("Y"=$K$4:K1231),0))</f>
        <v>#N/A</v>
      </c>
      <c r="M141" s="1">
        <v>10</v>
      </c>
      <c r="N141">
        <v>192</v>
      </c>
      <c r="O141">
        <v>194</v>
      </c>
      <c r="P141"/>
      <c r="Q141" s="6">
        <f>(SUM(Pcfu4[[#This Row],[R1]:[R3]]))/(Pcfu4[[#This Row],[No. Reps]]*0.025)*Pcfu4[[#This Row],[Best DF]]</f>
        <v>77200</v>
      </c>
      <c r="R141" s="1">
        <f>_xlfn.STDEV.S(Pcfu4[[#This Row],[R1]:[R3]])/0.025*Pcfu4[[#This Row],[Best DF]]</f>
        <v>565.68542494923804</v>
      </c>
      <c r="S141" s="6">
        <f>Pcfu4[[#This Row],[CFU/mL]]*Pcfu4[[#This Row],[mL]]/Pcfu4[[#This Row],[grams]]</f>
        <v>1466800</v>
      </c>
      <c r="T141" s="1">
        <f>Pcfu4[[#This Row],[SD CFU/mL]]*Pcfu4[[#This Row],[mL]]/Pcfu4[[#This Row],[grams]]</f>
        <v>10748.023074035522</v>
      </c>
      <c r="U141" s="7" t="e">
        <f>_xlfn.STDEV.S(Pcfu43[[#This Row],[R1]:[R3]])/AVERAGE(Pcfu43[[#This Row],[R1]:[R3]])</f>
        <v>#DIV/0!</v>
      </c>
      <c r="V141" s="96"/>
      <c r="W141" s="7"/>
    </row>
    <row r="142" spans="1:23" x14ac:dyDescent="0.15">
      <c r="A142" t="s">
        <v>277</v>
      </c>
      <c r="B142" t="s">
        <v>204</v>
      </c>
      <c r="D142" t="s">
        <v>243</v>
      </c>
      <c r="E142" s="3">
        <v>2</v>
      </c>
      <c r="G142">
        <v>0.1</v>
      </c>
      <c r="H142" s="5">
        <f>19*Pcfu4[[#This Row],[grams]]</f>
        <v>1.9000000000000001</v>
      </c>
      <c r="I142" s="3" t="s">
        <v>170</v>
      </c>
      <c r="J142" s="59">
        <v>44869</v>
      </c>
      <c r="L142" s="59" t="e" cm="1">
        <f t="array" ref="L142">INDEX($J$4:J1232, MATCH(1,(A142=$A$4:A1230)*(C142=$C$4:C1230)*("Y"=$K$4:K1232),0))</f>
        <v>#N/A</v>
      </c>
      <c r="M142" s="1">
        <v>100</v>
      </c>
      <c r="N142">
        <v>183</v>
      </c>
      <c r="O142">
        <v>203</v>
      </c>
      <c r="P142"/>
      <c r="Q142" s="6">
        <f>(SUM(Pcfu4[[#This Row],[R1]:[R3]]))/(Pcfu4[[#This Row],[No. Reps]]*0.025)*Pcfu4[[#This Row],[Best DF]]</f>
        <v>772000</v>
      </c>
      <c r="R142" s="1">
        <f>_xlfn.STDEV.S(Pcfu4[[#This Row],[R1]:[R3]])/0.025*Pcfu4[[#This Row],[Best DF]]</f>
        <v>56568.542494923808</v>
      </c>
      <c r="S142" s="6">
        <f>Pcfu4[[#This Row],[CFU/mL]]*Pcfu4[[#This Row],[mL]]/Pcfu4[[#This Row],[grams]]</f>
        <v>14668000</v>
      </c>
      <c r="T142" s="1">
        <f>Pcfu4[[#This Row],[SD CFU/mL]]*Pcfu4[[#This Row],[mL]]/Pcfu4[[#This Row],[grams]]</f>
        <v>1074802.3074035523</v>
      </c>
      <c r="U142" s="7" t="e">
        <f>_xlfn.STDEV.S(Pcfu43[[#This Row],[R1]:[R3]])/AVERAGE(Pcfu43[[#This Row],[R1]:[R3]])</f>
        <v>#DIV/0!</v>
      </c>
      <c r="V142" s="96"/>
      <c r="W142" s="7"/>
    </row>
    <row r="143" spans="1:23" x14ac:dyDescent="0.15">
      <c r="A143" t="s">
        <v>278</v>
      </c>
      <c r="B143" t="s">
        <v>204</v>
      </c>
      <c r="D143" t="s">
        <v>246</v>
      </c>
      <c r="E143" s="3">
        <v>2</v>
      </c>
      <c r="G143">
        <v>0.1</v>
      </c>
      <c r="H143" s="5">
        <f>19*Pcfu4[[#This Row],[grams]]</f>
        <v>1.9000000000000001</v>
      </c>
      <c r="I143" s="3" t="s">
        <v>170</v>
      </c>
      <c r="J143" s="59">
        <v>44869</v>
      </c>
      <c r="L143" s="59" t="e" cm="1">
        <f t="array" ref="L143">INDEX($J$4:J1233, MATCH(1,(A143=$A$4:A1231)*(C143=$C$4:C1231)*("Y"=$K$4:K1233),0))</f>
        <v>#N/A</v>
      </c>
      <c r="M143" s="1">
        <v>100</v>
      </c>
      <c r="N143">
        <v>26</v>
      </c>
      <c r="O143">
        <v>27</v>
      </c>
      <c r="P143"/>
      <c r="Q143" s="6">
        <f>(SUM(Pcfu4[[#This Row],[R1]:[R3]]))/(Pcfu4[[#This Row],[No. Reps]]*0.025)*Pcfu4[[#This Row],[Best DF]]</f>
        <v>106000</v>
      </c>
      <c r="R143" s="1">
        <f>_xlfn.STDEV.S(Pcfu4[[#This Row],[R1]:[R3]])/0.025*Pcfu4[[#This Row],[Best DF]]</f>
        <v>2828.4271247461902</v>
      </c>
      <c r="S143" s="6">
        <f>Pcfu4[[#This Row],[CFU/mL]]*Pcfu4[[#This Row],[mL]]/Pcfu4[[#This Row],[grams]]</f>
        <v>2014000</v>
      </c>
      <c r="T143" s="1">
        <f>Pcfu4[[#This Row],[SD CFU/mL]]*Pcfu4[[#This Row],[mL]]/Pcfu4[[#This Row],[grams]]</f>
        <v>53740.115370177613</v>
      </c>
      <c r="U143" s="7">
        <f>_xlfn.STDEV.S(Pcfu43[[#This Row],[R1]:[R3]])/AVERAGE(Pcfu43[[#This Row],[R1]:[R3]])</f>
        <v>6.0662552728559117E-2</v>
      </c>
      <c r="V143" s="96"/>
      <c r="W143" s="7"/>
    </row>
    <row r="144" spans="1:23" x14ac:dyDescent="0.15">
      <c r="A144" t="s">
        <v>279</v>
      </c>
      <c r="B144" t="s">
        <v>204</v>
      </c>
      <c r="D144" t="s">
        <v>246</v>
      </c>
      <c r="E144" s="3">
        <v>2</v>
      </c>
      <c r="G144">
        <v>0.1</v>
      </c>
      <c r="H144" s="5">
        <f>19*Pcfu4[[#This Row],[grams]]</f>
        <v>1.9000000000000001</v>
      </c>
      <c r="I144" s="3" t="s">
        <v>170</v>
      </c>
      <c r="J144" s="59">
        <v>44869</v>
      </c>
      <c r="L144" s="59" t="e" cm="1">
        <f t="array" ref="L144">INDEX($J$4:J1234, MATCH(1,(A144=$A$4:A1232)*(C144=$C$4:C1232)*("Y"=$K$4:K1234),0))</f>
        <v>#N/A</v>
      </c>
      <c r="M144" s="1">
        <v>1000</v>
      </c>
      <c r="N144">
        <v>529</v>
      </c>
      <c r="O144">
        <v>505</v>
      </c>
      <c r="P144"/>
      <c r="Q144" s="6">
        <f>(SUM(Pcfu4[[#This Row],[R1]:[R3]]))/(Pcfu4[[#This Row],[No. Reps]]*0.025)*Pcfu4[[#This Row],[Best DF]]</f>
        <v>20680000</v>
      </c>
      <c r="R144" s="1">
        <f>_xlfn.STDEV.S(Pcfu4[[#This Row],[R1]:[R3]])/0.025*Pcfu4[[#This Row],[Best DF]]</f>
        <v>678822.50993908558</v>
      </c>
      <c r="S144" s="6">
        <f>Pcfu4[[#This Row],[CFU/mL]]*Pcfu4[[#This Row],[mL]]/Pcfu4[[#This Row],[grams]]</f>
        <v>392920000</v>
      </c>
      <c r="T144" s="1">
        <f>Pcfu4[[#This Row],[SD CFU/mL]]*Pcfu4[[#This Row],[mL]]/Pcfu4[[#This Row],[grams]]</f>
        <v>12897627.688842626</v>
      </c>
      <c r="U144" s="7" t="e">
        <f>_xlfn.STDEV.S(Pcfu43[[#This Row],[R1]:[R3]])/AVERAGE(Pcfu43[[#This Row],[R1]:[R3]])</f>
        <v>#DIV/0!</v>
      </c>
      <c r="V144" s="96"/>
      <c r="W144" s="7"/>
    </row>
    <row r="145" spans="1:23" x14ac:dyDescent="0.15">
      <c r="A145" t="s">
        <v>280</v>
      </c>
      <c r="B145" t="s">
        <v>204</v>
      </c>
      <c r="D145" t="s">
        <v>246</v>
      </c>
      <c r="E145" s="3">
        <v>2</v>
      </c>
      <c r="G145">
        <v>0.1</v>
      </c>
      <c r="H145" s="5">
        <f>19*Pcfu4[[#This Row],[grams]]</f>
        <v>1.9000000000000001</v>
      </c>
      <c r="I145" s="3" t="s">
        <v>170</v>
      </c>
      <c r="J145" s="59">
        <v>44869</v>
      </c>
      <c r="L145" s="59" t="e" cm="1">
        <f t="array" ref="L145">INDEX($J$4:J1235, MATCH(1,(A145=$A$4:A1233)*(C145=$C$4:C1233)*("Y"=$K$4:K1235),0))</f>
        <v>#N/A</v>
      </c>
      <c r="M145" s="1">
        <v>1000</v>
      </c>
      <c r="N145">
        <v>386</v>
      </c>
      <c r="O145">
        <v>380</v>
      </c>
      <c r="P145"/>
      <c r="Q145" s="6">
        <f>(SUM(Pcfu4[[#This Row],[R1]:[R3]]))/(Pcfu4[[#This Row],[No. Reps]]*0.025)*Pcfu4[[#This Row],[Best DF]]</f>
        <v>15320000</v>
      </c>
      <c r="R145" s="1">
        <f>_xlfn.STDEV.S(Pcfu4[[#This Row],[R1]:[R3]])/0.025*Pcfu4[[#This Row],[Best DF]]</f>
        <v>169705.62748477139</v>
      </c>
      <c r="S145" s="6">
        <f>Pcfu4[[#This Row],[CFU/mL]]*Pcfu4[[#This Row],[mL]]/Pcfu4[[#This Row],[grams]]</f>
        <v>291080000</v>
      </c>
      <c r="T145" s="1">
        <f>Pcfu4[[#This Row],[SD CFU/mL]]*Pcfu4[[#This Row],[mL]]/Pcfu4[[#This Row],[grams]]</f>
        <v>3224406.9222106566</v>
      </c>
      <c r="U145" s="7" t="e">
        <f>_xlfn.STDEV.S(Pcfu43[[#This Row],[R1]:[R3]])/AVERAGE(Pcfu43[[#This Row],[R1]:[R3]])</f>
        <v>#DIV/0!</v>
      </c>
      <c r="V145" s="96"/>
      <c r="W145" s="7"/>
    </row>
    <row r="146" spans="1:23" x14ac:dyDescent="0.15">
      <c r="A146" t="s">
        <v>281</v>
      </c>
      <c r="B146" t="s">
        <v>204</v>
      </c>
      <c r="D146" t="s">
        <v>246</v>
      </c>
      <c r="E146" s="3">
        <v>2</v>
      </c>
      <c r="G146">
        <v>0.1</v>
      </c>
      <c r="H146" s="5">
        <f>19*Pcfu4[[#This Row],[grams]]</f>
        <v>1.9000000000000001</v>
      </c>
      <c r="I146" s="3" t="s">
        <v>170</v>
      </c>
      <c r="J146" s="59">
        <v>44869</v>
      </c>
      <c r="L146" s="59" t="e" cm="1">
        <f t="array" ref="L146">INDEX($J$4:J1236, MATCH(1,(A146=$A$4:A1234)*(C146=$C$4:C1234)*("Y"=$K$4:K1236),0))</f>
        <v>#N/A</v>
      </c>
      <c r="M146" s="1">
        <v>1000</v>
      </c>
      <c r="N146">
        <v>447</v>
      </c>
      <c r="O146">
        <v>479</v>
      </c>
      <c r="P146"/>
      <c r="Q146" s="6">
        <f>(SUM(Pcfu4[[#This Row],[R1]:[R3]]))/(Pcfu4[[#This Row],[No. Reps]]*0.025)*Pcfu4[[#This Row],[Best DF]]</f>
        <v>18520000</v>
      </c>
      <c r="R146" s="1">
        <f>_xlfn.STDEV.S(Pcfu4[[#This Row],[R1]:[R3]])/0.025*Pcfu4[[#This Row],[Best DF]]</f>
        <v>905096.67991878092</v>
      </c>
      <c r="S146" s="6">
        <f>Pcfu4[[#This Row],[CFU/mL]]*Pcfu4[[#This Row],[mL]]/Pcfu4[[#This Row],[grams]]</f>
        <v>351880000</v>
      </c>
      <c r="T146" s="1">
        <f>Pcfu4[[#This Row],[SD CFU/mL]]*Pcfu4[[#This Row],[mL]]/Pcfu4[[#This Row],[grams]]</f>
        <v>17196836.918456838</v>
      </c>
      <c r="U146" s="7">
        <f>_xlfn.STDEV.S(Pcfu43[[#This Row],[R1]:[R3]])/AVERAGE(Pcfu43[[#This Row],[R1]:[R3]])</f>
        <v>5.972588991616818E-2</v>
      </c>
      <c r="V146" s="96"/>
      <c r="W146" s="7"/>
    </row>
    <row r="147" spans="1:23" x14ac:dyDescent="0.15">
      <c r="A147" t="s">
        <v>282</v>
      </c>
      <c r="B147" t="s">
        <v>204</v>
      </c>
      <c r="D147" t="s">
        <v>205</v>
      </c>
      <c r="E147" s="3">
        <v>2</v>
      </c>
      <c r="G147">
        <v>0.1</v>
      </c>
      <c r="H147" s="5">
        <f>19*Pcfu4[[#This Row],[grams]]</f>
        <v>1.9000000000000001</v>
      </c>
      <c r="I147" s="3" t="s">
        <v>170</v>
      </c>
      <c r="J147" s="59">
        <v>44869</v>
      </c>
      <c r="L147" s="59" t="e" cm="1">
        <f t="array" ref="L147">INDEX($J$4:J1237, MATCH(1,(A147=$A$4:A1235)*(C147=$C$4:C1235)*("Y"=$K$4:K1237),0))</f>
        <v>#N/A</v>
      </c>
      <c r="M147" s="1">
        <v>10000</v>
      </c>
      <c r="N147">
        <v>45</v>
      </c>
      <c r="O147">
        <v>55</v>
      </c>
      <c r="P147"/>
      <c r="Q147" s="6">
        <f>(SUM(Pcfu4[[#This Row],[R1]:[R3]]))/(Pcfu4[[#This Row],[No. Reps]]*0.025)*Pcfu4[[#This Row],[Best DF]]</f>
        <v>20000000</v>
      </c>
      <c r="R147" s="1">
        <f>_xlfn.STDEV.S(Pcfu4[[#This Row],[R1]:[R3]])/0.025*Pcfu4[[#This Row],[Best DF]]</f>
        <v>2828427.1247461904</v>
      </c>
      <c r="S147" s="6">
        <f>Pcfu4[[#This Row],[CFU/mL]]*Pcfu4[[#This Row],[mL]]/Pcfu4[[#This Row],[grams]]</f>
        <v>380000000</v>
      </c>
      <c r="T147" s="1">
        <f>Pcfu4[[#This Row],[SD CFU/mL]]*Pcfu4[[#This Row],[mL]]/Pcfu4[[#This Row],[grams]]</f>
        <v>53740115.370177612</v>
      </c>
      <c r="U147" s="7" t="e">
        <f>_xlfn.STDEV.S(Pcfu43[[#This Row],[R1]:[R3]])/AVERAGE(Pcfu43[[#This Row],[R1]:[R3]])</f>
        <v>#DIV/0!</v>
      </c>
      <c r="V147" s="96"/>
      <c r="W147" s="7"/>
    </row>
    <row r="148" spans="1:23" x14ac:dyDescent="0.15">
      <c r="A148" t="s">
        <v>283</v>
      </c>
      <c r="B148" t="s">
        <v>204</v>
      </c>
      <c r="D148" t="s">
        <v>205</v>
      </c>
      <c r="E148" s="3">
        <v>2</v>
      </c>
      <c r="G148">
        <v>0.1</v>
      </c>
      <c r="H148" s="5">
        <f>19*Pcfu4[[#This Row],[grams]]</f>
        <v>1.9000000000000001</v>
      </c>
      <c r="I148" s="3" t="s">
        <v>170</v>
      </c>
      <c r="J148" s="59">
        <v>44869</v>
      </c>
      <c r="L148" s="59" t="e" cm="1">
        <f t="array" ref="L148">INDEX($J$4:J1238, MATCH(1,(A148=$A$4:A1236)*(C148=$C$4:C1236)*("Y"=$K$4:K1238),0))</f>
        <v>#N/A</v>
      </c>
      <c r="M148" s="1">
        <v>1000</v>
      </c>
      <c r="N148">
        <v>48</v>
      </c>
      <c r="O148">
        <v>50</v>
      </c>
      <c r="P148"/>
      <c r="Q148" s="6">
        <f>(SUM(Pcfu4[[#This Row],[R1]:[R3]]))/(Pcfu4[[#This Row],[No. Reps]]*0.025)*Pcfu4[[#This Row],[Best DF]]</f>
        <v>1960000</v>
      </c>
      <c r="R148" s="1">
        <f>_xlfn.STDEV.S(Pcfu4[[#This Row],[R1]:[R3]])/0.025*Pcfu4[[#This Row],[Best DF]]</f>
        <v>56568.542494923808</v>
      </c>
      <c r="S148" s="6">
        <f>Pcfu4[[#This Row],[CFU/mL]]*Pcfu4[[#This Row],[mL]]/Pcfu4[[#This Row],[grams]]</f>
        <v>37240000</v>
      </c>
      <c r="T148" s="1">
        <f>Pcfu4[[#This Row],[SD CFU/mL]]*Pcfu4[[#This Row],[mL]]/Pcfu4[[#This Row],[grams]]</f>
        <v>1074802.3074035523</v>
      </c>
      <c r="U148" s="7" t="e">
        <f>_xlfn.STDEV.S(Pcfu43[[#This Row],[R1]:[R3]])/AVERAGE(Pcfu43[[#This Row],[R1]:[R3]])</f>
        <v>#DIV/0!</v>
      </c>
      <c r="V148" s="96"/>
      <c r="W148" s="7"/>
    </row>
    <row r="149" spans="1:23" x14ac:dyDescent="0.15">
      <c r="A149" t="s">
        <v>284</v>
      </c>
      <c r="B149" t="s">
        <v>204</v>
      </c>
      <c r="D149" t="s">
        <v>205</v>
      </c>
      <c r="E149" s="3">
        <v>2</v>
      </c>
      <c r="G149">
        <v>0.1</v>
      </c>
      <c r="H149" s="5">
        <f>19*Pcfu4[[#This Row],[grams]]</f>
        <v>1.9000000000000001</v>
      </c>
      <c r="I149" s="3" t="s">
        <v>170</v>
      </c>
      <c r="J149" s="59">
        <v>44869</v>
      </c>
      <c r="L149" s="59" t="e" cm="1">
        <f t="array" ref="L149">INDEX($J$4:J1239, MATCH(1,(A149=$A$4:A1237)*(C149=$C$4:C1237)*("Y"=$K$4:K1239),0))</f>
        <v>#N/A</v>
      </c>
      <c r="M149" s="1">
        <v>1000</v>
      </c>
      <c r="N149">
        <v>104</v>
      </c>
      <c r="O149">
        <v>37</v>
      </c>
      <c r="P149"/>
      <c r="Q149" s="6">
        <f>(SUM(Pcfu4[[#This Row],[R1]:[R3]]))/(Pcfu4[[#This Row],[No. Reps]]*0.025)*Pcfu4[[#This Row],[Best DF]]</f>
        <v>2820000</v>
      </c>
      <c r="R149" s="1">
        <f>_xlfn.STDEV.S(Pcfu4[[#This Row],[R1]:[R3]])/0.025*Pcfu4[[#This Row],[Best DF]]</f>
        <v>1895046.1735799471</v>
      </c>
      <c r="S149" s="6">
        <f>Pcfu4[[#This Row],[CFU/mL]]*Pcfu4[[#This Row],[mL]]/Pcfu4[[#This Row],[grams]]</f>
        <v>53580000</v>
      </c>
      <c r="T149" s="1">
        <f>Pcfu4[[#This Row],[SD CFU/mL]]*Pcfu4[[#This Row],[mL]]/Pcfu4[[#This Row],[grams]]</f>
        <v>36005877.298018992</v>
      </c>
      <c r="U149" s="7">
        <f>_xlfn.STDEV.S(Pcfu43[[#This Row],[R1]:[R3]])/AVERAGE(Pcfu43[[#This Row],[R1]:[R3]])</f>
        <v>0.12570787221094179</v>
      </c>
      <c r="V149" s="96"/>
      <c r="W149" s="7"/>
    </row>
    <row r="150" spans="1:23" x14ac:dyDescent="0.15">
      <c r="A150" t="s">
        <v>285</v>
      </c>
      <c r="B150" t="s">
        <v>204</v>
      </c>
      <c r="D150" t="s">
        <v>26</v>
      </c>
      <c r="E150" s="3">
        <v>2</v>
      </c>
      <c r="G150">
        <v>0.1</v>
      </c>
      <c r="H150" s="5">
        <f>19*Pcfu4[[#This Row],[grams]]</f>
        <v>1.9000000000000001</v>
      </c>
      <c r="I150" s="3" t="s">
        <v>170</v>
      </c>
      <c r="J150" s="59">
        <v>44869</v>
      </c>
      <c r="L150" s="59" t="e" cm="1">
        <f t="array" ref="L150">INDEX($J$4:J1240, MATCH(1,(A150=$A$4:A1238)*(C150=$C$4:C1238)*("Y"=$K$4:K1240),0))</f>
        <v>#N/A</v>
      </c>
      <c r="M150" s="1">
        <v>100000</v>
      </c>
      <c r="N150">
        <v>382</v>
      </c>
      <c r="O150">
        <v>373</v>
      </c>
      <c r="P150"/>
      <c r="Q150" s="6">
        <f>(SUM(Pcfu4[[#This Row],[R1]:[R3]]))/(Pcfu4[[#This Row],[No. Reps]]*0.025)*Pcfu4[[#This Row],[Best DF]]</f>
        <v>1510000000</v>
      </c>
      <c r="R150" s="1">
        <f>_xlfn.STDEV.S(Pcfu4[[#This Row],[R1]:[R3]])/0.025*Pcfu4[[#This Row],[Best DF]]</f>
        <v>25455844.122715708</v>
      </c>
      <c r="S150" s="6">
        <f>Pcfu4[[#This Row],[CFU/mL]]*Pcfu4[[#This Row],[mL]]/Pcfu4[[#This Row],[grams]]</f>
        <v>28690000000</v>
      </c>
      <c r="T150" s="1">
        <f>Pcfu4[[#This Row],[SD CFU/mL]]*Pcfu4[[#This Row],[mL]]/Pcfu4[[#This Row],[grams]]</f>
        <v>483661038.33159846</v>
      </c>
      <c r="U150" s="7">
        <f>_xlfn.STDEV.S(Pcfu43[[#This Row],[R1]:[R3]])/AVERAGE(Pcfu43[[#This Row],[R1]:[R3]])</f>
        <v>5.3704312495180817E-2</v>
      </c>
      <c r="V150" s="96"/>
      <c r="W150" s="7"/>
    </row>
    <row r="151" spans="1:23" x14ac:dyDescent="0.15">
      <c r="A151" t="s">
        <v>286</v>
      </c>
      <c r="B151" t="s">
        <v>204</v>
      </c>
      <c r="D151" t="s">
        <v>26</v>
      </c>
      <c r="E151" s="3">
        <v>2</v>
      </c>
      <c r="G151">
        <v>0.1</v>
      </c>
      <c r="H151" s="5">
        <f>19*Pcfu4[[#This Row],[grams]]</f>
        <v>1.9000000000000001</v>
      </c>
      <c r="I151" s="3" t="s">
        <v>170</v>
      </c>
      <c r="J151" s="59">
        <v>44869</v>
      </c>
      <c r="L151" s="59" t="e" cm="1">
        <f t="array" ref="L151">INDEX($J$4:J1241, MATCH(1,(A151=$A$4:A1239)*(C151=$C$4:C1239)*("Y"=$K$4:K1241),0))</f>
        <v>#N/A</v>
      </c>
      <c r="M151" s="1">
        <v>100000</v>
      </c>
      <c r="N151">
        <v>39</v>
      </c>
      <c r="O151">
        <v>29</v>
      </c>
      <c r="P151"/>
      <c r="Q151" s="6">
        <f>(SUM(Pcfu4[[#This Row],[R1]:[R3]]))/(Pcfu4[[#This Row],[No. Reps]]*0.025)*Pcfu4[[#This Row],[Best DF]]</f>
        <v>136000000</v>
      </c>
      <c r="R151" s="1">
        <f>_xlfn.STDEV.S(Pcfu4[[#This Row],[R1]:[R3]])/0.025*Pcfu4[[#This Row],[Best DF]]</f>
        <v>28284271.247461904</v>
      </c>
      <c r="S151" s="6">
        <f>Pcfu4[[#This Row],[CFU/mL]]*Pcfu4[[#This Row],[mL]]/Pcfu4[[#This Row],[grams]]</f>
        <v>2584000000</v>
      </c>
      <c r="T151" s="1">
        <f>Pcfu4[[#This Row],[SD CFU/mL]]*Pcfu4[[#This Row],[mL]]/Pcfu4[[#This Row],[grams]]</f>
        <v>537401153.70177615</v>
      </c>
      <c r="U151" s="7">
        <f>_xlfn.STDEV.S(Pcfu43[[#This Row],[R1]:[R3]])/AVERAGE(Pcfu43[[#This Row],[R1]:[R3]])</f>
        <v>9.36565273094765E-3</v>
      </c>
      <c r="V151" s="96"/>
      <c r="W151" s="7"/>
    </row>
    <row r="152" spans="1:23" x14ac:dyDescent="0.15">
      <c r="A152" t="s">
        <v>240</v>
      </c>
      <c r="B152" t="s">
        <v>204</v>
      </c>
      <c r="D152" t="s">
        <v>26</v>
      </c>
      <c r="E152" s="3">
        <v>2</v>
      </c>
      <c r="G152">
        <v>0.1</v>
      </c>
      <c r="H152" s="5">
        <f>19*Pcfu4[[#This Row],[grams]]</f>
        <v>1.9000000000000001</v>
      </c>
      <c r="I152" s="3" t="s">
        <v>170</v>
      </c>
      <c r="J152" s="59">
        <v>44869</v>
      </c>
      <c r="L152" s="59" t="e" cm="1">
        <f t="array" ref="L152">INDEX($J$4:J1242, MATCH(1,(A152=$A$4:A1240)*(C152=$C$4:C1240)*("Y"=$K$4:K1242),0))</f>
        <v>#N/A</v>
      </c>
      <c r="M152" s="1">
        <v>100000</v>
      </c>
      <c r="N152">
        <v>59</v>
      </c>
      <c r="O152">
        <v>45</v>
      </c>
      <c r="P152"/>
      <c r="Q152" s="6">
        <f>(SUM(Pcfu4[[#This Row],[R1]:[R3]]))/(Pcfu4[[#This Row],[No. Reps]]*0.025)*Pcfu4[[#This Row],[Best DF]]</f>
        <v>208000000</v>
      </c>
      <c r="R152" s="1">
        <f>_xlfn.STDEV.S(Pcfu4[[#This Row],[R1]:[R3]])/0.025*Pcfu4[[#This Row],[Best DF]]</f>
        <v>39597979.746446654</v>
      </c>
      <c r="S152" s="6">
        <f>Pcfu4[[#This Row],[CFU/mL]]*Pcfu4[[#This Row],[mL]]/Pcfu4[[#This Row],[grams]]</f>
        <v>3952000000</v>
      </c>
      <c r="T152" s="1">
        <f>Pcfu4[[#This Row],[SD CFU/mL]]*Pcfu4[[#This Row],[mL]]/Pcfu4[[#This Row],[grams]]</f>
        <v>752361615.18248641</v>
      </c>
      <c r="U152" s="7">
        <f>_xlfn.STDEV.S(Pcfu43[[#This Row],[R1]:[R3]])/AVERAGE(Pcfu43[[#This Row],[R1]:[R3]])</f>
        <v>9.889605331280386E-3</v>
      </c>
      <c r="V152" s="96"/>
      <c r="W152" s="7"/>
    </row>
    <row r="153" spans="1:23" x14ac:dyDescent="0.15">
      <c r="A153" t="s">
        <v>287</v>
      </c>
      <c r="B153" t="s">
        <v>204</v>
      </c>
      <c r="D153" t="s">
        <v>26</v>
      </c>
      <c r="E153" s="3">
        <v>2</v>
      </c>
      <c r="G153">
        <v>0.1</v>
      </c>
      <c r="H153" s="5">
        <f>19*Pcfu4[[#This Row],[grams]]</f>
        <v>1.9000000000000001</v>
      </c>
      <c r="I153" s="3" t="s">
        <v>170</v>
      </c>
      <c r="J153" s="59">
        <v>44869</v>
      </c>
      <c r="L153" s="59" t="e" cm="1">
        <f t="array" ref="L153">INDEX($J$4:J1243, MATCH(1,(A153=$A$4:A1241)*(C153=$C$4:C1241)*("Y"=$K$4:K1243),0))</f>
        <v>#N/A</v>
      </c>
      <c r="M153" s="1">
        <v>100000</v>
      </c>
      <c r="N153">
        <v>588</v>
      </c>
      <c r="O153">
        <v>557</v>
      </c>
      <c r="P153"/>
      <c r="Q153" s="6">
        <f>(SUM(Pcfu4[[#This Row],[R1]:[R3]]))/(Pcfu4[[#This Row],[No. Reps]]*0.025)*Pcfu4[[#This Row],[Best DF]]</f>
        <v>2290000000</v>
      </c>
      <c r="R153" s="1">
        <f>_xlfn.STDEV.S(Pcfu4[[#This Row],[R1]:[R3]])/0.025*Pcfu4[[#This Row],[Best DF]]</f>
        <v>87681240.867131889</v>
      </c>
      <c r="S153" s="6">
        <f>Pcfu4[[#This Row],[CFU/mL]]*Pcfu4[[#This Row],[mL]]/Pcfu4[[#This Row],[grams]]</f>
        <v>43510000000</v>
      </c>
      <c r="T153" s="1">
        <f>Pcfu4[[#This Row],[SD CFU/mL]]*Pcfu4[[#This Row],[mL]]/Pcfu4[[#This Row],[grams]]</f>
        <v>1665943576.4755061</v>
      </c>
      <c r="U153" s="7">
        <f>_xlfn.STDEV.S(Pcfu43[[#This Row],[R1]:[R3]])/AVERAGE(Pcfu43[[#This Row],[R1]:[R3]])</f>
        <v>1.1135539861205473E-2</v>
      </c>
      <c r="V153" s="96"/>
      <c r="W153" s="7"/>
    </row>
    <row r="154" spans="1:23" x14ac:dyDescent="0.15">
      <c r="A154" t="s">
        <v>288</v>
      </c>
      <c r="B154" t="s">
        <v>289</v>
      </c>
      <c r="D154" t="s">
        <v>290</v>
      </c>
      <c r="E154" s="3">
        <v>2</v>
      </c>
      <c r="G154">
        <v>0.1</v>
      </c>
      <c r="H154" s="5">
        <f>19*Pcfu4[[#This Row],[grams]]</f>
        <v>1.9000000000000001</v>
      </c>
      <c r="I154" s="3" t="s">
        <v>170</v>
      </c>
      <c r="J154" s="59">
        <v>44873</v>
      </c>
      <c r="L154" s="59" t="e" cm="1">
        <f t="array" ref="L154">INDEX($J$4:J1244, MATCH(1,(A154=$A$4:A1242)*(C154=$C$4:C1242)*("Y"=$K$4:K1244),0))</f>
        <v>#N/A</v>
      </c>
      <c r="M154" s="1">
        <v>1000000</v>
      </c>
      <c r="N154">
        <v>34</v>
      </c>
      <c r="O154">
        <v>35</v>
      </c>
      <c r="P154"/>
      <c r="Q154" s="6">
        <f>(SUM(Pcfu4[[#This Row],[R1]:[R3]]))/(Pcfu4[[#This Row],[No. Reps]]*0.025)*Pcfu4[[#This Row],[Best DF]]</f>
        <v>1380000000</v>
      </c>
      <c r="R154" s="1">
        <f>_xlfn.STDEV.S(Pcfu4[[#This Row],[R1]:[R3]])/0.025*Pcfu4[[#This Row],[Best DF]]</f>
        <v>28284271.247461904</v>
      </c>
      <c r="S154" s="6">
        <f>Pcfu4[[#This Row],[CFU/mL]]*Pcfu4[[#This Row],[mL]]/Pcfu4[[#This Row],[grams]]</f>
        <v>26220000000</v>
      </c>
      <c r="T154" s="1">
        <f>Pcfu4[[#This Row],[SD CFU/mL]]*Pcfu4[[#This Row],[mL]]/Pcfu4[[#This Row],[grams]]</f>
        <v>537401153.70177615</v>
      </c>
      <c r="U154" s="7">
        <f>_xlfn.STDEV.S(Pcfu43[[#This Row],[R1]:[R3]])/AVERAGE(Pcfu43[[#This Row],[R1]:[R3]])</f>
        <v>9.8014801352590747E-2</v>
      </c>
      <c r="V154" s="96"/>
      <c r="W154" s="7"/>
    </row>
    <row r="155" spans="1:23" x14ac:dyDescent="0.15">
      <c r="A155" t="s">
        <v>291</v>
      </c>
      <c r="B155" t="s">
        <v>289</v>
      </c>
      <c r="D155" t="s">
        <v>290</v>
      </c>
      <c r="E155" s="3">
        <v>2</v>
      </c>
      <c r="G155">
        <v>0.1</v>
      </c>
      <c r="H155" s="5">
        <f>19*Pcfu4[[#This Row],[grams]]</f>
        <v>1.9000000000000001</v>
      </c>
      <c r="I155" s="3" t="s">
        <v>170</v>
      </c>
      <c r="J155" s="59">
        <v>44873</v>
      </c>
      <c r="L155" s="59" t="e" cm="1">
        <f t="array" ref="L155">INDEX($J$4:J1245, MATCH(1,(A155=$A$4:A1243)*(C155=$C$4:C1243)*("Y"=$K$4:K1245),0))</f>
        <v>#N/A</v>
      </c>
      <c r="M155" s="1">
        <v>1000000</v>
      </c>
      <c r="N155">
        <v>292</v>
      </c>
      <c r="O155">
        <v>289</v>
      </c>
      <c r="P155"/>
      <c r="Q155" s="6">
        <f>(SUM(Pcfu4[[#This Row],[R1]:[R3]]))/(Pcfu4[[#This Row],[No. Reps]]*0.025)*Pcfu4[[#This Row],[Best DF]]</f>
        <v>11620000000</v>
      </c>
      <c r="R155" s="1">
        <f>_xlfn.STDEV.S(Pcfu4[[#This Row],[R1]:[R3]])/0.025*Pcfu4[[#This Row],[Best DF]]</f>
        <v>84852813.742385685</v>
      </c>
      <c r="S155" s="6">
        <f>Pcfu4[[#This Row],[CFU/mL]]*Pcfu4[[#This Row],[mL]]/Pcfu4[[#This Row],[grams]]</f>
        <v>220780000000</v>
      </c>
      <c r="T155" s="1">
        <f>Pcfu4[[#This Row],[SD CFU/mL]]*Pcfu4[[#This Row],[mL]]/Pcfu4[[#This Row],[grams]]</f>
        <v>1612203461.1053281</v>
      </c>
      <c r="U155" s="7">
        <f>_xlfn.STDEV.S(Pcfu43[[#This Row],[R1]:[R3]])/AVERAGE(Pcfu43[[#This Row],[R1]:[R3]])</f>
        <v>1.7459426695964137E-2</v>
      </c>
      <c r="V155" s="96"/>
      <c r="W155" s="7"/>
    </row>
    <row r="156" spans="1:23" x14ac:dyDescent="0.15">
      <c r="A156" t="s">
        <v>292</v>
      </c>
      <c r="B156" t="s">
        <v>204</v>
      </c>
      <c r="D156" t="s">
        <v>290</v>
      </c>
      <c r="E156" s="3">
        <v>2</v>
      </c>
      <c r="G156">
        <v>0.1</v>
      </c>
      <c r="H156" s="5">
        <f>19*Pcfu4[[#This Row],[grams]]</f>
        <v>1.9000000000000001</v>
      </c>
      <c r="I156" s="3" t="s">
        <v>170</v>
      </c>
      <c r="J156" s="59">
        <v>44873</v>
      </c>
      <c r="L156" s="59" t="e" cm="1">
        <f t="array" ref="L156">INDEX($J$4:J1246, MATCH(1,(A156=$A$4:A1244)*(C156=$C$4:C1244)*("Y"=$K$4:K1246),0))</f>
        <v>#N/A</v>
      </c>
      <c r="M156" s="1">
        <v>1000000</v>
      </c>
      <c r="N156">
        <v>46</v>
      </c>
      <c r="O156">
        <v>42</v>
      </c>
      <c r="P156"/>
      <c r="Q156" s="6">
        <f>(SUM(Pcfu4[[#This Row],[R1]:[R3]]))/(Pcfu4[[#This Row],[No. Reps]]*0.025)*Pcfu4[[#This Row],[Best DF]]</f>
        <v>1760000000</v>
      </c>
      <c r="R156" s="1">
        <f>_xlfn.STDEV.S(Pcfu4[[#This Row],[R1]:[R3]])/0.025*Pcfu4[[#This Row],[Best DF]]</f>
        <v>113137084.98984762</v>
      </c>
      <c r="S156" s="6">
        <f>Pcfu4[[#This Row],[CFU/mL]]*Pcfu4[[#This Row],[mL]]/Pcfu4[[#This Row],[grams]]</f>
        <v>33440000000</v>
      </c>
      <c r="T156" s="1">
        <f>Pcfu4[[#This Row],[SD CFU/mL]]*Pcfu4[[#This Row],[mL]]/Pcfu4[[#This Row],[grams]]</f>
        <v>2149604614.8071046</v>
      </c>
      <c r="U156" s="7">
        <f>_xlfn.STDEV.S(Pcfu43[[#This Row],[R1]:[R3]])/AVERAGE(Pcfu43[[#This Row],[R1]:[R3]])</f>
        <v>6.7024339448961854E-3</v>
      </c>
      <c r="V156" s="96"/>
      <c r="W156" s="7"/>
    </row>
    <row r="157" spans="1:23" x14ac:dyDescent="0.15">
      <c r="A157" t="s">
        <v>293</v>
      </c>
      <c r="B157" t="s">
        <v>204</v>
      </c>
      <c r="D157" t="s">
        <v>290</v>
      </c>
      <c r="E157" s="3">
        <v>2</v>
      </c>
      <c r="G157">
        <v>0.1</v>
      </c>
      <c r="H157" s="5">
        <f>19*Pcfu4[[#This Row],[grams]]</f>
        <v>1.9000000000000001</v>
      </c>
      <c r="I157" s="3" t="s">
        <v>170</v>
      </c>
      <c r="J157" s="59">
        <v>44873</v>
      </c>
      <c r="L157" s="59" t="e" cm="1">
        <f t="array" ref="L157">INDEX($J$4:J1247, MATCH(1,(A157=$A$4:A1245)*(C157=$C$4:C1245)*("Y"=$K$4:K1247),0))</f>
        <v>#N/A</v>
      </c>
      <c r="M157" s="1">
        <v>1000000</v>
      </c>
      <c r="N157">
        <v>32</v>
      </c>
      <c r="O157">
        <v>29</v>
      </c>
      <c r="P157"/>
      <c r="Q157" s="6">
        <f>(SUM(Pcfu4[[#This Row],[R1]:[R3]]))/(Pcfu4[[#This Row],[No. Reps]]*0.025)*Pcfu4[[#This Row],[Best DF]]</f>
        <v>1220000000</v>
      </c>
      <c r="R157" s="1">
        <f>_xlfn.STDEV.S(Pcfu4[[#This Row],[R1]:[R3]])/0.025*Pcfu4[[#This Row],[Best DF]]</f>
        <v>84852813.742385685</v>
      </c>
      <c r="S157" s="6">
        <f>Pcfu4[[#This Row],[CFU/mL]]*Pcfu4[[#This Row],[mL]]/Pcfu4[[#This Row],[grams]]</f>
        <v>23180000000</v>
      </c>
      <c r="T157" s="1">
        <f>Pcfu4[[#This Row],[SD CFU/mL]]*Pcfu4[[#This Row],[mL]]/Pcfu4[[#This Row],[grams]]</f>
        <v>1612203461.1053281</v>
      </c>
      <c r="U157" s="7">
        <f>_xlfn.STDEV.S(Pcfu43[[#This Row],[R1]:[R3]])/AVERAGE(Pcfu43[[#This Row],[R1]:[R3]])</f>
        <v>0.15781583389454459</v>
      </c>
      <c r="V157" s="96"/>
      <c r="W157" s="7"/>
    </row>
    <row r="158" spans="1:23" x14ac:dyDescent="0.15">
      <c r="A158" t="s">
        <v>294</v>
      </c>
      <c r="B158" t="s">
        <v>204</v>
      </c>
      <c r="D158" t="s">
        <v>290</v>
      </c>
      <c r="E158" s="3">
        <v>2</v>
      </c>
      <c r="G158">
        <v>0.1</v>
      </c>
      <c r="H158" s="5">
        <f>19*Pcfu4[[#This Row],[grams]]</f>
        <v>1.9000000000000001</v>
      </c>
      <c r="I158" s="3" t="s">
        <v>170</v>
      </c>
      <c r="J158" s="59">
        <v>44873</v>
      </c>
      <c r="L158" s="59" t="e" cm="1">
        <f t="array" ref="L158">INDEX($J$4:J1248, MATCH(1,(A158=$A$4:A1246)*(C158=$C$4:C1246)*("Y"=$K$4:K1248),0))</f>
        <v>#N/A</v>
      </c>
      <c r="M158" s="1">
        <v>1000000</v>
      </c>
      <c r="N158">
        <v>164</v>
      </c>
      <c r="O158">
        <v>157</v>
      </c>
      <c r="P158"/>
      <c r="Q158" s="6">
        <f>(SUM(Pcfu4[[#This Row],[R1]:[R3]]))/(Pcfu4[[#This Row],[No. Reps]]*0.025)*Pcfu4[[#This Row],[Best DF]]</f>
        <v>6420000000</v>
      </c>
      <c r="R158" s="1">
        <f>_xlfn.STDEV.S(Pcfu4[[#This Row],[R1]:[R3]])/0.025*Pcfu4[[#This Row],[Best DF]]</f>
        <v>197989898.73223329</v>
      </c>
      <c r="S158" s="6">
        <f>Pcfu4[[#This Row],[CFU/mL]]*Pcfu4[[#This Row],[mL]]/Pcfu4[[#This Row],[grams]]</f>
        <v>121980000000</v>
      </c>
      <c r="T158" s="1">
        <f>Pcfu4[[#This Row],[SD CFU/mL]]*Pcfu4[[#This Row],[mL]]/Pcfu4[[#This Row],[grams]]</f>
        <v>3761808075.9124327</v>
      </c>
      <c r="U158" s="7">
        <f>_xlfn.STDEV.S(Pcfu43[[#This Row],[R1]:[R3]])/AVERAGE(Pcfu43[[#This Row],[R1]:[R3]])</f>
        <v>0.1131135221269471</v>
      </c>
      <c r="V158" s="96"/>
      <c r="W158" s="7"/>
    </row>
    <row r="159" spans="1:23" x14ac:dyDescent="0.15">
      <c r="A159" t="s">
        <v>295</v>
      </c>
      <c r="B159" t="s">
        <v>204</v>
      </c>
      <c r="D159" t="s">
        <v>290</v>
      </c>
      <c r="E159" s="3">
        <v>2</v>
      </c>
      <c r="G159">
        <v>0.1</v>
      </c>
      <c r="H159" s="5">
        <f>19*Pcfu4[[#This Row],[grams]]</f>
        <v>1.9000000000000001</v>
      </c>
      <c r="I159" s="3" t="s">
        <v>170</v>
      </c>
      <c r="J159" s="59">
        <v>44873</v>
      </c>
      <c r="L159" s="59" t="e" cm="1">
        <f t="array" ref="L159">INDEX($J$4:J1249, MATCH(1,(A159=$A$4:A1247)*(C159=$C$4:C1247)*("Y"=$K$4:K1249),0))</f>
        <v>#N/A</v>
      </c>
      <c r="M159" s="1">
        <v>1000000</v>
      </c>
      <c r="N159">
        <v>102</v>
      </c>
      <c r="O159">
        <v>79</v>
      </c>
      <c r="P159"/>
      <c r="Q159" s="6">
        <f>(SUM(Pcfu4[[#This Row],[R1]:[R3]]))/(Pcfu4[[#This Row],[No. Reps]]*0.025)*Pcfu4[[#This Row],[Best DF]]</f>
        <v>3620000000</v>
      </c>
      <c r="R159" s="1">
        <f>_xlfn.STDEV.S(Pcfu4[[#This Row],[R1]:[R3]])/0.025*Pcfu4[[#This Row],[Best DF]]</f>
        <v>650538238.69162369</v>
      </c>
      <c r="S159" s="6">
        <f>Pcfu4[[#This Row],[CFU/mL]]*Pcfu4[[#This Row],[mL]]/Pcfu4[[#This Row],[grams]]</f>
        <v>68780000000</v>
      </c>
      <c r="T159" s="1">
        <f>Pcfu4[[#This Row],[SD CFU/mL]]*Pcfu4[[#This Row],[mL]]/Pcfu4[[#This Row],[grams]]</f>
        <v>12360226535.14085</v>
      </c>
      <c r="U159" s="7">
        <f>_xlfn.STDEV.S(Pcfu43[[#This Row],[R1]:[R3]])/AVERAGE(Pcfu43[[#This Row],[R1]:[R3]])</f>
        <v>1.2500000000000001E-2</v>
      </c>
      <c r="V159" s="96"/>
      <c r="W159" s="7"/>
    </row>
    <row r="160" spans="1:23" x14ac:dyDescent="0.15">
      <c r="A160" t="s">
        <v>47</v>
      </c>
      <c r="B160" t="s">
        <v>259</v>
      </c>
      <c r="D160" t="s">
        <v>86</v>
      </c>
      <c r="E160" s="3">
        <v>3</v>
      </c>
      <c r="G160">
        <v>0.1</v>
      </c>
      <c r="H160" s="5">
        <f>19*Pcfu4[[#This Row],[grams]]</f>
        <v>1.9000000000000001</v>
      </c>
      <c r="I160" s="3" t="s">
        <v>170</v>
      </c>
      <c r="J160" s="59">
        <v>44873</v>
      </c>
      <c r="L160" s="59" t="e" cm="1">
        <f t="array" ref="L160">INDEX($J$4:J1250, MATCH(1,(A160=$A$4:A1248)*(C160=$C$4:C1248)*("Y"=$K$4:K1250),0))</f>
        <v>#N/A</v>
      </c>
      <c r="M160" s="1">
        <v>10000000</v>
      </c>
      <c r="N160">
        <v>47</v>
      </c>
      <c r="O160">
        <v>48</v>
      </c>
      <c r="P160">
        <v>43</v>
      </c>
      <c r="Q160" s="6">
        <f>(SUM(Pcfu4[[#This Row],[R1]:[R3]]))/(Pcfu4[[#This Row],[No. Reps]]*0.025)*Pcfu4[[#This Row],[Best DF]]</f>
        <v>18399999999.999996</v>
      </c>
      <c r="R160" s="1">
        <f>_xlfn.STDEV.S(Pcfu4[[#This Row],[R1]:[R3]])/0.025*Pcfu4[[#This Row],[Best DF]]</f>
        <v>1058300524.4258362</v>
      </c>
      <c r="S160" s="6">
        <f>Pcfu4[[#This Row],[CFU/mL]]*Pcfu4[[#This Row],[mL]]/Pcfu4[[#This Row],[grams]]</f>
        <v>349599999999.99988</v>
      </c>
      <c r="T160" s="1">
        <f>Pcfu4[[#This Row],[SD CFU/mL]]*Pcfu4[[#This Row],[mL]]/Pcfu4[[#This Row],[grams]]</f>
        <v>20107709964.090889</v>
      </c>
      <c r="U160" s="7">
        <f>_xlfn.STDEV.S(Pcfu43[[#This Row],[R1]:[R3]])/AVERAGE(Pcfu43[[#This Row],[R1]:[R3]])</f>
        <v>5.4604887940387252E-2</v>
      </c>
      <c r="V160" s="96"/>
      <c r="W160" s="7"/>
    </row>
    <row r="161" spans="1:23" x14ac:dyDescent="0.15">
      <c r="A161" t="s">
        <v>50</v>
      </c>
      <c r="B161" t="s">
        <v>259</v>
      </c>
      <c r="D161" t="s">
        <v>86</v>
      </c>
      <c r="E161" s="3">
        <v>3</v>
      </c>
      <c r="G161">
        <v>0.1</v>
      </c>
      <c r="H161" s="5">
        <f>19*Pcfu4[[#This Row],[grams]]</f>
        <v>1.9000000000000001</v>
      </c>
      <c r="I161" s="3" t="s">
        <v>170</v>
      </c>
      <c r="J161" s="59">
        <v>44873</v>
      </c>
      <c r="L161" s="59" t="e" cm="1">
        <f t="array" ref="L161">INDEX($J$4:J1251, MATCH(1,(A161=$A$4:A1249)*(C161=$C$4:C1249)*("Y"=$K$4:K1251),0))</f>
        <v>#N/A</v>
      </c>
      <c r="M161" s="1">
        <v>10000000</v>
      </c>
      <c r="N161">
        <v>56</v>
      </c>
      <c r="O161">
        <v>67</v>
      </c>
      <c r="P161">
        <v>48</v>
      </c>
      <c r="Q161" s="6">
        <f>(SUM(Pcfu4[[#This Row],[R1]:[R3]]))/(Pcfu4[[#This Row],[No. Reps]]*0.025)*Pcfu4[[#This Row],[Best DF]]</f>
        <v>22799999999.999996</v>
      </c>
      <c r="R161" s="1">
        <f>_xlfn.STDEV.S(Pcfu4[[#This Row],[R1]:[R3]])/0.025*Pcfu4[[#This Row],[Best DF]]</f>
        <v>3815756805.6677818</v>
      </c>
      <c r="S161" s="6">
        <f>Pcfu4[[#This Row],[CFU/mL]]*Pcfu4[[#This Row],[mL]]/Pcfu4[[#This Row],[grams]]</f>
        <v>433199999999.99988</v>
      </c>
      <c r="T161" s="1">
        <f>Pcfu4[[#This Row],[SD CFU/mL]]*Pcfu4[[#This Row],[mL]]/Pcfu4[[#This Row],[grams]]</f>
        <v>72499379307.687866</v>
      </c>
      <c r="U161" s="7">
        <f>_xlfn.STDEV.S(Pcfu43[[#This Row],[R1]:[R3]])/AVERAGE(Pcfu43[[#This Row],[R1]:[R3]])</f>
        <v>7.957499563805108E-2</v>
      </c>
      <c r="V161" s="96"/>
      <c r="W161" s="7"/>
    </row>
    <row r="162" spans="1:23" x14ac:dyDescent="0.15">
      <c r="A162" t="s">
        <v>53</v>
      </c>
      <c r="B162" t="s">
        <v>259</v>
      </c>
      <c r="D162" t="s">
        <v>86</v>
      </c>
      <c r="E162" s="3">
        <v>3</v>
      </c>
      <c r="G162">
        <v>0.1</v>
      </c>
      <c r="H162" s="5">
        <f>19*Pcfu4[[#This Row],[grams]]</f>
        <v>1.9000000000000001</v>
      </c>
      <c r="I162" s="3" t="s">
        <v>170</v>
      </c>
      <c r="J162" s="59">
        <v>44873</v>
      </c>
      <c r="L162" s="59" t="e" cm="1">
        <f t="array" ref="L162">INDEX($J$4:J1252, MATCH(1,(A162=$A$4:A1250)*(C162=$C$4:C1250)*("Y"=$K$4:K1252),0))</f>
        <v>#N/A</v>
      </c>
      <c r="M162" s="1">
        <v>10000000</v>
      </c>
      <c r="N162">
        <v>47</v>
      </c>
      <c r="O162">
        <v>39</v>
      </c>
      <c r="P162">
        <v>41</v>
      </c>
      <c r="Q162" s="6">
        <f>(SUM(Pcfu4[[#This Row],[R1]:[R3]]))/(Pcfu4[[#This Row],[No. Reps]]*0.025)*Pcfu4[[#This Row],[Best DF]]</f>
        <v>16933333333.33333</v>
      </c>
      <c r="R162" s="1">
        <f>_xlfn.STDEV.S(Pcfu4[[#This Row],[R1]:[R3]])/0.025*Pcfu4[[#This Row],[Best DF]]</f>
        <v>1665332799.5729063</v>
      </c>
      <c r="S162" s="6">
        <f>Pcfu4[[#This Row],[CFU/mL]]*Pcfu4[[#This Row],[mL]]/Pcfu4[[#This Row],[grams]]</f>
        <v>321733333333.33325</v>
      </c>
      <c r="T162" s="1">
        <f>Pcfu4[[#This Row],[SD CFU/mL]]*Pcfu4[[#This Row],[mL]]/Pcfu4[[#This Row],[grams]]</f>
        <v>31641323191.885223</v>
      </c>
      <c r="U162" s="7">
        <f>_xlfn.STDEV.S(Pcfu43[[#This Row],[R1]:[R3]])/AVERAGE(Pcfu43[[#This Row],[R1]:[R3]])</f>
        <v>0.19068696178315739</v>
      </c>
      <c r="V162" s="96"/>
      <c r="W162" s="7"/>
    </row>
    <row r="163" spans="1:23" x14ac:dyDescent="0.15">
      <c r="A163" t="s">
        <v>55</v>
      </c>
      <c r="B163" t="s">
        <v>259</v>
      </c>
      <c r="D163" t="s">
        <v>86</v>
      </c>
      <c r="E163" s="3">
        <v>3</v>
      </c>
      <c r="G163">
        <v>0.1</v>
      </c>
      <c r="H163" s="5">
        <f>19*Pcfu4[[#This Row],[grams]]</f>
        <v>1.9000000000000001</v>
      </c>
      <c r="I163" s="3" t="s">
        <v>170</v>
      </c>
      <c r="J163" s="59">
        <v>44873</v>
      </c>
      <c r="L163" s="59" t="e" cm="1">
        <f t="array" ref="L163">INDEX($J$4:J1253, MATCH(1,(A163=$A$4:A1251)*(C163=$C$4:C1251)*("Y"=$K$4:K1253),0))</f>
        <v>#N/A</v>
      </c>
      <c r="M163" s="1">
        <v>1000000</v>
      </c>
      <c r="N163">
        <v>144</v>
      </c>
      <c r="O163">
        <v>152</v>
      </c>
      <c r="P163">
        <v>153</v>
      </c>
      <c r="Q163" s="6">
        <f>(SUM(Pcfu4[[#This Row],[R1]:[R3]]))/(Pcfu4[[#This Row],[No. Reps]]*0.025)*Pcfu4[[#This Row],[Best DF]]</f>
        <v>5986666666.666666</v>
      </c>
      <c r="R163" s="1">
        <f>_xlfn.STDEV.S(Pcfu4[[#This Row],[R1]:[R3]])/0.025*Pcfu4[[#This Row],[Best DF]]</f>
        <v>197315314.49264985</v>
      </c>
      <c r="S163" s="6">
        <f>Pcfu4[[#This Row],[CFU/mL]]*Pcfu4[[#This Row],[mL]]/Pcfu4[[#This Row],[grams]]</f>
        <v>113746666666.66666</v>
      </c>
      <c r="T163" s="1">
        <f>Pcfu4[[#This Row],[SD CFU/mL]]*Pcfu4[[#This Row],[mL]]/Pcfu4[[#This Row],[grams]]</f>
        <v>3748990975.3603473</v>
      </c>
      <c r="U163" s="7">
        <f>_xlfn.STDEV.S(Pcfu43[[#This Row],[R1]:[R3]])/AVERAGE(Pcfu43[[#This Row],[R1]:[R3]])</f>
        <v>4.2041978852805868E-2</v>
      </c>
      <c r="V163" s="96"/>
      <c r="W163" s="7"/>
    </row>
    <row r="164" spans="1:23" x14ac:dyDescent="0.15">
      <c r="A164" t="s">
        <v>58</v>
      </c>
      <c r="B164" t="s">
        <v>259</v>
      </c>
      <c r="D164" t="s">
        <v>86</v>
      </c>
      <c r="E164" s="3">
        <v>3</v>
      </c>
      <c r="G164">
        <v>0.1</v>
      </c>
      <c r="H164" s="5">
        <f>19*Pcfu4[[#This Row],[grams]]</f>
        <v>1.9000000000000001</v>
      </c>
      <c r="I164" s="3" t="s">
        <v>170</v>
      </c>
      <c r="J164" s="59">
        <v>44873</v>
      </c>
      <c r="L164" s="59" t="e" cm="1">
        <f t="array" ref="L164">INDEX($J$4:J1254, MATCH(1,(A164=$A$4:A1252)*(C164=$C$4:C1252)*("Y"=$K$4:K1254),0))</f>
        <v>#N/A</v>
      </c>
      <c r="M164" s="1">
        <v>1000000</v>
      </c>
      <c r="N164">
        <v>176</v>
      </c>
      <c r="O164">
        <v>178</v>
      </c>
      <c r="P164">
        <v>196</v>
      </c>
      <c r="Q164" s="6">
        <f>(SUM(Pcfu4[[#This Row],[R1]:[R3]]))/(Pcfu4[[#This Row],[No. Reps]]*0.025)*Pcfu4[[#This Row],[Best DF]]</f>
        <v>7333333333.3333321</v>
      </c>
      <c r="R164" s="1">
        <f>_xlfn.STDEV.S(Pcfu4[[#This Row],[R1]:[R3]])/0.025*Pcfu4[[#This Row],[Best DF]]</f>
        <v>440605643.78288811</v>
      </c>
      <c r="S164" s="6">
        <f>Pcfu4[[#This Row],[CFU/mL]]*Pcfu4[[#This Row],[mL]]/Pcfu4[[#This Row],[grams]]</f>
        <v>139333333333.33331</v>
      </c>
      <c r="T164" s="1">
        <f>Pcfu4[[#This Row],[SD CFU/mL]]*Pcfu4[[#This Row],[mL]]/Pcfu4[[#This Row],[grams]]</f>
        <v>8371507231.8748741</v>
      </c>
      <c r="U164" s="7">
        <f>_xlfn.STDEV.S(Pcfu43[[#This Row],[R1]:[R3]])/AVERAGE(Pcfu43[[#This Row],[R1]:[R3]])</f>
        <v>2.4683786554934386E-2</v>
      </c>
      <c r="V164" s="96"/>
      <c r="W164" s="7"/>
    </row>
    <row r="165" spans="1:23" x14ac:dyDescent="0.15">
      <c r="A165" t="s">
        <v>60</v>
      </c>
      <c r="B165" t="s">
        <v>259</v>
      </c>
      <c r="D165" t="s">
        <v>86</v>
      </c>
      <c r="E165" s="3">
        <v>3</v>
      </c>
      <c r="G165">
        <v>0.1</v>
      </c>
      <c r="H165" s="5">
        <f>19*Pcfu4[[#This Row],[grams]]</f>
        <v>1.9000000000000001</v>
      </c>
      <c r="I165" s="3" t="s">
        <v>170</v>
      </c>
      <c r="J165" s="59">
        <v>44873</v>
      </c>
      <c r="L165" s="59" t="e" cm="1">
        <f t="array" ref="L165">INDEX($J$4:J1255, MATCH(1,(A165=$A$4:A1253)*(C165=$C$4:C1253)*("Y"=$K$4:K1255),0))</f>
        <v>#N/A</v>
      </c>
      <c r="M165" s="1">
        <v>10000000</v>
      </c>
      <c r="N165">
        <v>31</v>
      </c>
      <c r="O165">
        <v>33</v>
      </c>
      <c r="P165">
        <v>28</v>
      </c>
      <c r="Q165" s="6">
        <f>(SUM(Pcfu4[[#This Row],[R1]:[R3]]))/(Pcfu4[[#This Row],[No. Reps]]*0.025)*Pcfu4[[#This Row],[Best DF]]</f>
        <v>12266666666.666666</v>
      </c>
      <c r="R165" s="1">
        <f>_xlfn.STDEV.S(Pcfu4[[#This Row],[R1]:[R3]])/0.025*Pcfu4[[#This Row],[Best DF]]</f>
        <v>1006644591.3694334</v>
      </c>
      <c r="S165" s="6">
        <f>Pcfu4[[#This Row],[CFU/mL]]*Pcfu4[[#This Row],[mL]]/Pcfu4[[#This Row],[grams]]</f>
        <v>233066666666.66666</v>
      </c>
      <c r="T165" s="1">
        <f>Pcfu4[[#This Row],[SD CFU/mL]]*Pcfu4[[#This Row],[mL]]/Pcfu4[[#This Row],[grams]]</f>
        <v>19126247236.019238</v>
      </c>
      <c r="U165" s="7">
        <f>_xlfn.STDEV.S(Pcfu43[[#This Row],[R1]:[R3]])/AVERAGE(Pcfu43[[#This Row],[R1]:[R3]])</f>
        <v>9.8974331861078721E-2</v>
      </c>
      <c r="V165" s="96"/>
      <c r="W165" s="7"/>
    </row>
    <row r="166" spans="1:23" x14ac:dyDescent="0.15">
      <c r="A166" t="s">
        <v>260</v>
      </c>
      <c r="B166" t="s">
        <v>259</v>
      </c>
      <c r="D166" t="s">
        <v>86</v>
      </c>
      <c r="E166" s="3">
        <v>3</v>
      </c>
      <c r="G166">
        <v>0.1</v>
      </c>
      <c r="H166" s="5">
        <f>19*Pcfu4[[#This Row],[grams]]</f>
        <v>1.9000000000000001</v>
      </c>
      <c r="I166" s="3" t="s">
        <v>170</v>
      </c>
      <c r="J166" s="59">
        <v>44873</v>
      </c>
      <c r="L166" s="59" t="e" cm="1">
        <f t="array" ref="L166">INDEX($J$4:J1256, MATCH(1,(A166=$A$4:A1254)*(C166=$C$4:C1254)*("Y"=$K$4:K1256),0))</f>
        <v>#N/A</v>
      </c>
      <c r="M166" s="1">
        <v>1000000</v>
      </c>
      <c r="N166">
        <v>192</v>
      </c>
      <c r="O166">
        <v>194</v>
      </c>
      <c r="P166">
        <v>140</v>
      </c>
      <c r="Q166" s="6">
        <f>(SUM(Pcfu4[[#This Row],[R1]:[R3]]))/(Pcfu4[[#This Row],[No. Reps]]*0.025)*Pcfu4[[#This Row],[Best DF]]</f>
        <v>7013333333.3333321</v>
      </c>
      <c r="R166" s="1">
        <f>_xlfn.STDEV.S(Pcfu4[[#This Row],[R1]:[R3]])/0.025*Pcfu4[[#This Row],[Best DF]]</f>
        <v>1224636000.3418717</v>
      </c>
      <c r="S166" s="6">
        <f>Pcfu4[[#This Row],[CFU/mL]]*Pcfu4[[#This Row],[mL]]/Pcfu4[[#This Row],[grams]]</f>
        <v>133253333333.33331</v>
      </c>
      <c r="T166" s="1">
        <f>Pcfu4[[#This Row],[SD CFU/mL]]*Pcfu4[[#This Row],[mL]]/Pcfu4[[#This Row],[grams]]</f>
        <v>23268084006.495564</v>
      </c>
      <c r="U166" s="7">
        <f>_xlfn.STDEV.S(Pcfu43[[#This Row],[R1]:[R3]])/AVERAGE(Pcfu43[[#This Row],[R1]:[R3]])</f>
        <v>0</v>
      </c>
      <c r="V166" s="96"/>
      <c r="W166" s="7"/>
    </row>
    <row r="167" spans="1:23" x14ac:dyDescent="0.15">
      <c r="A167" t="s">
        <v>296</v>
      </c>
      <c r="B167" t="s">
        <v>259</v>
      </c>
      <c r="D167" t="s">
        <v>86</v>
      </c>
      <c r="E167" s="3">
        <v>3</v>
      </c>
      <c r="G167">
        <v>0.1</v>
      </c>
      <c r="H167" s="5">
        <f>19*Pcfu4[[#This Row],[grams]]</f>
        <v>1.9000000000000001</v>
      </c>
      <c r="I167" s="3" t="s">
        <v>170</v>
      </c>
      <c r="J167" s="59">
        <v>44873</v>
      </c>
      <c r="L167" s="59" t="e" cm="1">
        <f t="array" ref="L167">INDEX($J$4:J1257, MATCH(1,(A167=$A$4:A1255)*(C167=$C$4:C1255)*("Y"=$K$4:K1257),0))</f>
        <v>#N/A</v>
      </c>
      <c r="M167" s="1">
        <v>10000000</v>
      </c>
      <c r="N167">
        <v>76</v>
      </c>
      <c r="O167">
        <v>68</v>
      </c>
      <c r="P167">
        <v>65</v>
      </c>
      <c r="Q167" s="6">
        <f>(SUM(Pcfu4[[#This Row],[R1]:[R3]]))/(Pcfu4[[#This Row],[No. Reps]]*0.025)*Pcfu4[[#This Row],[Best DF]]</f>
        <v>27866666666.66666</v>
      </c>
      <c r="R167" s="1">
        <f>_xlfn.STDEV.S(Pcfu4[[#This Row],[R1]:[R3]])/0.025*Pcfu4[[#This Row],[Best DF]]</f>
        <v>2274496281.2309303</v>
      </c>
      <c r="S167" s="6">
        <f>Pcfu4[[#This Row],[CFU/mL]]*Pcfu4[[#This Row],[mL]]/Pcfu4[[#This Row],[grams]]</f>
        <v>529466666666.66656</v>
      </c>
      <c r="T167" s="1">
        <f>Pcfu4[[#This Row],[SD CFU/mL]]*Pcfu4[[#This Row],[mL]]/Pcfu4[[#This Row],[grams]]</f>
        <v>43215429343.38768</v>
      </c>
      <c r="U167" s="7">
        <f>_xlfn.STDEV.S(Pcfu43[[#This Row],[R1]:[R3]])/AVERAGE(Pcfu43[[#This Row],[R1]:[R3]])</f>
        <v>0.11174521339154049</v>
      </c>
      <c r="V167" s="96"/>
      <c r="W167" s="7"/>
    </row>
    <row r="168" spans="1:23" x14ac:dyDescent="0.15">
      <c r="A168" t="s">
        <v>288</v>
      </c>
      <c r="B168" t="s">
        <v>297</v>
      </c>
      <c r="D168" t="s">
        <v>290</v>
      </c>
      <c r="E168" s="3">
        <v>2</v>
      </c>
      <c r="G168">
        <v>0.1</v>
      </c>
      <c r="H168" s="5">
        <f>19*Pcfu4[[#This Row],[grams]]</f>
        <v>1.9000000000000001</v>
      </c>
      <c r="I168" s="3" t="s">
        <v>170</v>
      </c>
      <c r="J168" s="59">
        <v>44873</v>
      </c>
      <c r="L168" s="59" t="e" cm="1">
        <f t="array" ref="L168">INDEX($J$4:J1258, MATCH(1,(A168=$A$4:A1256)*(C168=$C$4:C1256)*("Y"=$K$4:K1258),0))</f>
        <v>#N/A</v>
      </c>
      <c r="M168" s="1">
        <v>1000000</v>
      </c>
      <c r="N168">
        <v>107</v>
      </c>
      <c r="O168">
        <v>98</v>
      </c>
      <c r="P168"/>
      <c r="Q168" s="6">
        <f>(SUM(Pcfu4[[#This Row],[R1]:[R3]]))/(Pcfu4[[#This Row],[No. Reps]]*0.025)*Pcfu4[[#This Row],[Best DF]]</f>
        <v>4100000000</v>
      </c>
      <c r="R168" s="1">
        <f>_xlfn.STDEV.S(Pcfu4[[#This Row],[R1]:[R3]])/0.025*Pcfu4[[#This Row],[Best DF]]</f>
        <v>254558441.22715709</v>
      </c>
      <c r="S168" s="6">
        <f>Pcfu4[[#This Row],[CFU/mL]]*Pcfu4[[#This Row],[mL]]/Pcfu4[[#This Row],[grams]]</f>
        <v>77900000000</v>
      </c>
      <c r="T168" s="1">
        <f>Pcfu4[[#This Row],[SD CFU/mL]]*Pcfu4[[#This Row],[mL]]/Pcfu4[[#This Row],[grams]]</f>
        <v>4836610383.3159847</v>
      </c>
      <c r="U168" s="7">
        <f>_xlfn.STDEV.S(Pcfu43[[#This Row],[R1]:[R3]])/AVERAGE(Pcfu43[[#This Row],[R1]:[R3]])</f>
        <v>5.2074723806316364E-2</v>
      </c>
      <c r="V168" s="96"/>
      <c r="W168" s="7"/>
    </row>
    <row r="169" spans="1:23" x14ac:dyDescent="0.15">
      <c r="A169" t="s">
        <v>291</v>
      </c>
      <c r="B169" t="s">
        <v>297</v>
      </c>
      <c r="D169" t="s">
        <v>290</v>
      </c>
      <c r="E169" s="3">
        <v>2</v>
      </c>
      <c r="G169">
        <v>0.1</v>
      </c>
      <c r="H169" s="5">
        <f>19*Pcfu4[[#This Row],[grams]]</f>
        <v>1.9000000000000001</v>
      </c>
      <c r="I169" s="3" t="s">
        <v>170</v>
      </c>
      <c r="J169" s="59">
        <v>44873</v>
      </c>
      <c r="L169" s="59" t="e" cm="1">
        <f t="array" ref="L169">INDEX($J$4:J1259, MATCH(1,(A169=$A$4:A1257)*(C169=$C$4:C1257)*("Y"=$K$4:K1259),0))</f>
        <v>#N/A</v>
      </c>
      <c r="M169" s="1">
        <v>1000000</v>
      </c>
      <c r="N169">
        <v>161</v>
      </c>
      <c r="O169">
        <v>155</v>
      </c>
      <c r="P169"/>
      <c r="Q169" s="6">
        <f>(SUM(Pcfu4[[#This Row],[R1]:[R3]]))/(Pcfu4[[#This Row],[No. Reps]]*0.025)*Pcfu4[[#This Row],[Best DF]]</f>
        <v>6320000000</v>
      </c>
      <c r="R169" s="1">
        <f>_xlfn.STDEV.S(Pcfu4[[#This Row],[R1]:[R3]])/0.025*Pcfu4[[#This Row],[Best DF]]</f>
        <v>169705627.48477137</v>
      </c>
      <c r="S169" s="6">
        <f>Pcfu4[[#This Row],[CFU/mL]]*Pcfu4[[#This Row],[mL]]/Pcfu4[[#This Row],[grams]]</f>
        <v>120080000000</v>
      </c>
      <c r="T169" s="1">
        <f>Pcfu4[[#This Row],[SD CFU/mL]]*Pcfu4[[#This Row],[mL]]/Pcfu4[[#This Row],[grams]]</f>
        <v>3224406922.2106562</v>
      </c>
      <c r="U169" s="7">
        <f>_xlfn.STDEV.S(Pcfu43[[#This Row],[R1]:[R3]])/AVERAGE(Pcfu43[[#This Row],[R1]:[R3]])</f>
        <v>6.5555477735708897E-2</v>
      </c>
      <c r="V169" s="96"/>
      <c r="W169" s="7"/>
    </row>
    <row r="170" spans="1:23" x14ac:dyDescent="0.15">
      <c r="A170" t="s">
        <v>267</v>
      </c>
      <c r="B170" t="s">
        <v>268</v>
      </c>
      <c r="D170" t="s">
        <v>136</v>
      </c>
      <c r="E170" s="3">
        <v>2</v>
      </c>
      <c r="G170">
        <v>0.1</v>
      </c>
      <c r="H170" s="5">
        <f>19*Pcfu4[[#This Row],[grams]]</f>
        <v>1.9000000000000001</v>
      </c>
      <c r="I170" s="3" t="s">
        <v>170</v>
      </c>
      <c r="J170" s="59">
        <v>44875</v>
      </c>
      <c r="L170" s="59" t="e" cm="1">
        <f t="array" ref="L170">INDEX($J$4:J1260, MATCH(1,(A170=$A$4:A1258)*(C170=$C$4:C1258)*("Y"=$K$4:K1260),0))</f>
        <v>#N/A</v>
      </c>
      <c r="M170" s="1">
        <v>100000000</v>
      </c>
      <c r="N170">
        <v>33</v>
      </c>
      <c r="O170">
        <v>34</v>
      </c>
      <c r="P170"/>
      <c r="Q170" s="6">
        <f>(SUM(Pcfu4[[#This Row],[R1]:[R3]]))/(Pcfu4[[#This Row],[No. Reps]]*0.025)*Pcfu4[[#This Row],[Best DF]]</f>
        <v>134000000000</v>
      </c>
      <c r="R170" s="1">
        <f>_xlfn.STDEV.S(Pcfu4[[#This Row],[R1]:[R3]])/0.025*Pcfu4[[#This Row],[Best DF]]</f>
        <v>2828427124.7461901</v>
      </c>
      <c r="S170" s="6">
        <f>Pcfu4[[#This Row],[CFU/mL]]*Pcfu4[[#This Row],[mL]]/Pcfu4[[#This Row],[grams]]</f>
        <v>2546000000000</v>
      </c>
      <c r="T170" s="1">
        <f>Pcfu4[[#This Row],[SD CFU/mL]]*Pcfu4[[#This Row],[mL]]/Pcfu4[[#This Row],[grams]]</f>
        <v>53740115370.177612</v>
      </c>
      <c r="U170" s="7">
        <f>_xlfn.STDEV.S(Pcfu43[[#This Row],[R1]:[R3]])/AVERAGE(Pcfu43[[#This Row],[R1]:[R3]])</f>
        <v>0.11577641486651363</v>
      </c>
      <c r="V170" s="96"/>
      <c r="W170" s="7"/>
    </row>
    <row r="171" spans="1:23" x14ac:dyDescent="0.15">
      <c r="A171" t="s">
        <v>269</v>
      </c>
      <c r="B171" t="s">
        <v>268</v>
      </c>
      <c r="D171" t="s">
        <v>136</v>
      </c>
      <c r="E171" s="3">
        <v>2</v>
      </c>
      <c r="G171">
        <v>0.1</v>
      </c>
      <c r="H171" s="5">
        <f>19*Pcfu4[[#This Row],[grams]]</f>
        <v>1.9000000000000001</v>
      </c>
      <c r="I171" s="3" t="s">
        <v>170</v>
      </c>
      <c r="J171" s="59">
        <v>44875</v>
      </c>
      <c r="L171" s="59" t="e" cm="1">
        <f t="array" ref="L171">INDEX($J$4:J1261, MATCH(1,(A171=$A$4:A1259)*(C171=$C$4:C1259)*("Y"=$K$4:K1261),0))</f>
        <v>#N/A</v>
      </c>
      <c r="M171" s="1">
        <v>100000000</v>
      </c>
      <c r="N171">
        <v>53</v>
      </c>
      <c r="O171">
        <v>38</v>
      </c>
      <c r="P171"/>
      <c r="Q171" s="6">
        <f>(SUM(Pcfu4[[#This Row],[R1]:[R3]]))/(Pcfu4[[#This Row],[No. Reps]]*0.025)*Pcfu4[[#This Row],[Best DF]]</f>
        <v>182000000000</v>
      </c>
      <c r="R171" s="1">
        <f>_xlfn.STDEV.S(Pcfu4[[#This Row],[R1]:[R3]])/0.025*Pcfu4[[#This Row],[Best DF]]</f>
        <v>42426406871.192856</v>
      </c>
      <c r="S171" s="6">
        <f>Pcfu4[[#This Row],[CFU/mL]]*Pcfu4[[#This Row],[mL]]/Pcfu4[[#This Row],[grams]]</f>
        <v>3458000000000</v>
      </c>
      <c r="T171" s="1">
        <f>Pcfu4[[#This Row],[SD CFU/mL]]*Pcfu4[[#This Row],[mL]]/Pcfu4[[#This Row],[grams]]</f>
        <v>806101730552.66431</v>
      </c>
      <c r="U171" s="7">
        <f>_xlfn.STDEV.S(Pcfu43[[#This Row],[R1]:[R3]])/AVERAGE(Pcfu43[[#This Row],[R1]:[R3]])</f>
        <v>9.7447331769296999E-2</v>
      </c>
      <c r="V171" s="96"/>
      <c r="W171" s="7"/>
    </row>
    <row r="172" spans="1:23" x14ac:dyDescent="0.15">
      <c r="A172" t="s">
        <v>270</v>
      </c>
      <c r="B172" t="s">
        <v>268</v>
      </c>
      <c r="D172" t="s">
        <v>136</v>
      </c>
      <c r="E172" s="3">
        <v>2</v>
      </c>
      <c r="G172">
        <v>0.1</v>
      </c>
      <c r="H172" s="5">
        <f>19*Pcfu4[[#This Row],[grams]]</f>
        <v>1.9000000000000001</v>
      </c>
      <c r="I172" s="3" t="s">
        <v>170</v>
      </c>
      <c r="J172" s="59">
        <v>44875</v>
      </c>
      <c r="L172" s="59" t="e" cm="1">
        <f t="array" ref="L172">INDEX($J$4:J1262, MATCH(1,(A172=$A$4:A1260)*(C172=$C$4:C1260)*("Y"=$K$4:K1262),0))</f>
        <v>#N/A</v>
      </c>
      <c r="M172" s="1">
        <v>100000000</v>
      </c>
      <c r="N172">
        <v>105</v>
      </c>
      <c r="O172">
        <v>136</v>
      </c>
      <c r="P172"/>
      <c r="Q172" s="6">
        <f>(SUM(Pcfu4[[#This Row],[R1]:[R3]]))/(Pcfu4[[#This Row],[No. Reps]]*0.025)*Pcfu4[[#This Row],[Best DF]]</f>
        <v>482000000000</v>
      </c>
      <c r="R172" s="1">
        <f>_xlfn.STDEV.S(Pcfu4[[#This Row],[R1]:[R3]])/0.025*Pcfu4[[#This Row],[Best DF]]</f>
        <v>87681240867.131882</v>
      </c>
      <c r="S172" s="6">
        <f>Pcfu4[[#This Row],[CFU/mL]]*Pcfu4[[#This Row],[mL]]/Pcfu4[[#This Row],[grams]]</f>
        <v>9158000000000</v>
      </c>
      <c r="T172" s="1">
        <f>Pcfu4[[#This Row],[SD CFU/mL]]*Pcfu4[[#This Row],[mL]]/Pcfu4[[#This Row],[grams]]</f>
        <v>1665943576475.5059</v>
      </c>
      <c r="U172" s="7">
        <f>_xlfn.STDEV.S(Pcfu43[[#This Row],[R1]:[R3]])/AVERAGE(Pcfu43[[#This Row],[R1]:[R3]])</f>
        <v>0.11863361695677244</v>
      </c>
      <c r="V172" s="96"/>
      <c r="W172" s="7"/>
    </row>
    <row r="173" spans="1:23" x14ac:dyDescent="0.15">
      <c r="A173" t="s">
        <v>271</v>
      </c>
      <c r="B173" t="s">
        <v>268</v>
      </c>
      <c r="D173" t="s">
        <v>136</v>
      </c>
      <c r="E173" s="3">
        <v>2</v>
      </c>
      <c r="G173">
        <v>0.1</v>
      </c>
      <c r="H173" s="5">
        <f>19*Pcfu4[[#This Row],[grams]]</f>
        <v>1.9000000000000001</v>
      </c>
      <c r="I173" s="3" t="s">
        <v>170</v>
      </c>
      <c r="J173" s="59">
        <v>44875</v>
      </c>
      <c r="L173" s="59" t="e" cm="1">
        <f t="array" ref="L173">INDEX($J$4:J1263, MATCH(1,(A173=$A$4:A1261)*(C173=$C$4:C1261)*("Y"=$K$4:K1263),0))</f>
        <v>#N/A</v>
      </c>
      <c r="M173" s="1">
        <v>100000000</v>
      </c>
      <c r="N173">
        <v>93</v>
      </c>
      <c r="O173">
        <v>110</v>
      </c>
      <c r="P173"/>
      <c r="Q173" s="6">
        <f>(SUM(Pcfu4[[#This Row],[R1]:[R3]]))/(Pcfu4[[#This Row],[No. Reps]]*0.025)*Pcfu4[[#This Row],[Best DF]]</f>
        <v>406000000000</v>
      </c>
      <c r="R173" s="1">
        <f>_xlfn.STDEV.S(Pcfu4[[#This Row],[R1]:[R3]])/0.025*Pcfu4[[#This Row],[Best DF]]</f>
        <v>48083261120.685226</v>
      </c>
      <c r="S173" s="6">
        <f>Pcfu4[[#This Row],[CFU/mL]]*Pcfu4[[#This Row],[mL]]/Pcfu4[[#This Row],[grams]]</f>
        <v>7714000000000</v>
      </c>
      <c r="T173" s="1">
        <f>Pcfu4[[#This Row],[SD CFU/mL]]*Pcfu4[[#This Row],[mL]]/Pcfu4[[#This Row],[grams]]</f>
        <v>913581961293.01941</v>
      </c>
      <c r="U173" s="7">
        <f>_xlfn.STDEV.S(Pcfu43[[#This Row],[R1]:[R3]])/AVERAGE(Pcfu43[[#This Row],[R1]:[R3]])</f>
        <v>0.25110003807977221</v>
      </c>
      <c r="V173" s="96"/>
      <c r="W173" s="7"/>
    </row>
    <row r="174" spans="1:23" x14ac:dyDescent="0.15">
      <c r="A174" t="s">
        <v>267</v>
      </c>
      <c r="B174" t="s">
        <v>272</v>
      </c>
      <c r="D174" t="s">
        <v>136</v>
      </c>
      <c r="E174" s="3">
        <v>2</v>
      </c>
      <c r="G174">
        <v>0.1</v>
      </c>
      <c r="H174" s="5">
        <f>19*Pcfu4[[#This Row],[grams]]</f>
        <v>1.9000000000000001</v>
      </c>
      <c r="I174" s="3" t="s">
        <v>170</v>
      </c>
      <c r="J174" s="59">
        <v>44875</v>
      </c>
      <c r="L174" s="59" t="e" cm="1">
        <f t="array" ref="L174">INDEX($J$4:J1264, MATCH(1,(A174=$A$4:A1262)*(C174=$C$4:C1262)*("Y"=$K$4:K1264),0))</f>
        <v>#N/A</v>
      </c>
      <c r="M174" s="1">
        <v>100000000</v>
      </c>
      <c r="N174">
        <v>136</v>
      </c>
      <c r="O174">
        <v>151</v>
      </c>
      <c r="P174"/>
      <c r="Q174" s="6">
        <f>(SUM(Pcfu4[[#This Row],[R1]:[R3]]))/(Pcfu4[[#This Row],[No. Reps]]*0.025)*Pcfu4[[#This Row],[Best DF]]</f>
        <v>574000000000</v>
      </c>
      <c r="R174" s="1">
        <f>_xlfn.STDEV.S(Pcfu4[[#This Row],[R1]:[R3]])/0.025*Pcfu4[[#This Row],[Best DF]]</f>
        <v>42426406871.192856</v>
      </c>
      <c r="S174" s="6">
        <f>Pcfu4[[#This Row],[CFU/mL]]*Pcfu4[[#This Row],[mL]]/Pcfu4[[#This Row],[grams]]</f>
        <v>10906000000000</v>
      </c>
      <c r="T174" s="1">
        <f>Pcfu4[[#This Row],[SD CFU/mL]]*Pcfu4[[#This Row],[mL]]/Pcfu4[[#This Row],[grams]]</f>
        <v>806101730552.66431</v>
      </c>
      <c r="U174" s="7">
        <f>_xlfn.STDEV.S(Pcfu43[[#This Row],[R1]:[R3]])/AVERAGE(Pcfu43[[#This Row],[R1]:[R3]])</f>
        <v>0.12722919971616631</v>
      </c>
      <c r="V174" s="96"/>
      <c r="W174" s="7"/>
    </row>
    <row r="175" spans="1:23" x14ac:dyDescent="0.15">
      <c r="A175" t="s">
        <v>269</v>
      </c>
      <c r="B175" t="s">
        <v>272</v>
      </c>
      <c r="D175" t="s">
        <v>136</v>
      </c>
      <c r="E175" s="3">
        <v>2</v>
      </c>
      <c r="G175">
        <v>0.1</v>
      </c>
      <c r="H175" s="5">
        <f>19*Pcfu4[[#This Row],[grams]]</f>
        <v>1.9000000000000001</v>
      </c>
      <c r="I175" s="3" t="s">
        <v>170</v>
      </c>
      <c r="J175" s="59">
        <v>44875</v>
      </c>
      <c r="L175" s="59" t="e" cm="1">
        <f t="array" ref="L175">INDEX($J$4:J1265, MATCH(1,(A175=$A$4:A1263)*(C175=$C$4:C1263)*("Y"=$K$4:K1265),0))</f>
        <v>#N/A</v>
      </c>
      <c r="M175" s="1">
        <v>100000000</v>
      </c>
      <c r="N175">
        <v>46</v>
      </c>
      <c r="O175">
        <v>48</v>
      </c>
      <c r="P175"/>
      <c r="Q175" s="6">
        <f>(SUM(Pcfu4[[#This Row],[R1]:[R3]]))/(Pcfu4[[#This Row],[No. Reps]]*0.025)*Pcfu4[[#This Row],[Best DF]]</f>
        <v>188000000000</v>
      </c>
      <c r="R175" s="1">
        <f>_xlfn.STDEV.S(Pcfu4[[#This Row],[R1]:[R3]])/0.025*Pcfu4[[#This Row],[Best DF]]</f>
        <v>5656854249.4923801</v>
      </c>
      <c r="S175" s="6">
        <f>Pcfu4[[#This Row],[CFU/mL]]*Pcfu4[[#This Row],[mL]]/Pcfu4[[#This Row],[grams]]</f>
        <v>3572000000000</v>
      </c>
      <c r="T175" s="1">
        <f>Pcfu4[[#This Row],[SD CFU/mL]]*Pcfu4[[#This Row],[mL]]/Pcfu4[[#This Row],[grams]]</f>
        <v>107480230740.35522</v>
      </c>
      <c r="U175" s="7">
        <f>_xlfn.STDEV.S(Pcfu43[[#This Row],[R1]:[R3]])/AVERAGE(Pcfu43[[#This Row],[R1]:[R3]])</f>
        <v>6.6666666666666666E-2</v>
      </c>
      <c r="V175" s="96"/>
      <c r="W175" s="7"/>
    </row>
    <row r="176" spans="1:23" x14ac:dyDescent="0.15">
      <c r="A176" t="s">
        <v>179</v>
      </c>
      <c r="B176" t="s">
        <v>74</v>
      </c>
      <c r="D176" t="s">
        <v>246</v>
      </c>
      <c r="E176" s="3">
        <v>3</v>
      </c>
      <c r="G176">
        <v>0.1</v>
      </c>
      <c r="H176" s="5">
        <f>19*Pcfu4[[#This Row],[grams]]</f>
        <v>1.9000000000000001</v>
      </c>
      <c r="I176" s="3" t="s">
        <v>170</v>
      </c>
      <c r="J176" s="59">
        <v>44880</v>
      </c>
      <c r="L176" s="59" t="e" cm="1">
        <f t="array" ref="L176">INDEX($J$4:J1266, MATCH(1,(A176=$A$4:A1264)*(C176=$C$4:C1264)*("Y"=$K$4:K1266),0))</f>
        <v>#N/A</v>
      </c>
      <c r="M176" s="1">
        <v>100</v>
      </c>
      <c r="N176">
        <v>85</v>
      </c>
      <c r="O176">
        <v>86</v>
      </c>
      <c r="P176">
        <v>92</v>
      </c>
      <c r="Q176" s="6">
        <f>(SUM(Pcfu4[[#This Row],[R1]:[R3]]))/(Pcfu4[[#This Row],[No. Reps]]*0.025)*Pcfu4[[#This Row],[Best DF]]</f>
        <v>350666.66666666663</v>
      </c>
      <c r="R176" s="1">
        <f>_xlfn.STDEV.S(Pcfu4[[#This Row],[R1]:[R3]])/0.025*Pcfu4[[#This Row],[Best DF]]</f>
        <v>15143.75558880073</v>
      </c>
      <c r="S176" s="6">
        <f>Pcfu4[[#This Row],[CFU/mL]]*Pcfu4[[#This Row],[mL]]/Pcfu4[[#This Row],[grams]]</f>
        <v>6662666.666666666</v>
      </c>
      <c r="T176" s="1">
        <f>Pcfu4[[#This Row],[SD CFU/mL]]*Pcfu4[[#This Row],[mL]]/Pcfu4[[#This Row],[grams]]</f>
        <v>287731.35618721385</v>
      </c>
      <c r="U176" s="7">
        <f>_xlfn.STDEV.S(Pcfu43[[#This Row],[R1]:[R3]])/AVERAGE(Pcfu43[[#This Row],[R1]:[R3]])</f>
        <v>0.25161029938545437</v>
      </c>
      <c r="V176" s="96"/>
      <c r="W176" s="7"/>
    </row>
    <row r="177" spans="1:23" x14ac:dyDescent="0.15">
      <c r="A177" t="s">
        <v>165</v>
      </c>
      <c r="B177" t="s">
        <v>74</v>
      </c>
      <c r="D177" t="s">
        <v>205</v>
      </c>
      <c r="E177" s="3">
        <v>3</v>
      </c>
      <c r="G177">
        <v>0.1</v>
      </c>
      <c r="H177" s="5">
        <f>19*Pcfu4[[#This Row],[grams]]</f>
        <v>1.9000000000000001</v>
      </c>
      <c r="I177" s="3" t="s">
        <v>170</v>
      </c>
      <c r="J177" s="59">
        <v>44880</v>
      </c>
      <c r="L177" s="59" t="e" cm="1">
        <f t="array" ref="L177">INDEX($J$4:J1267, MATCH(1,(A177=$A$4:A1265)*(C177=$C$4:C1265)*("Y"=$K$4:K1267),0))</f>
        <v>#N/A</v>
      </c>
      <c r="M177" s="1">
        <v>1000</v>
      </c>
      <c r="N177">
        <v>129</v>
      </c>
      <c r="O177">
        <v>125</v>
      </c>
      <c r="P177">
        <v>117</v>
      </c>
      <c r="Q177" s="6">
        <f>(SUM(Pcfu4[[#This Row],[R1]:[R3]]))/(Pcfu4[[#This Row],[No. Reps]]*0.025)*Pcfu4[[#This Row],[Best DF]]</f>
        <v>4946666.666666666</v>
      </c>
      <c r="R177" s="1">
        <f>_xlfn.STDEV.S(Pcfu4[[#This Row],[R1]:[R3]])/0.025*Pcfu4[[#This Row],[Best DF]]</f>
        <v>244404.03706431144</v>
      </c>
      <c r="S177" s="6">
        <f>Pcfu4[[#This Row],[CFU/mL]]*Pcfu4[[#This Row],[mL]]/Pcfu4[[#This Row],[grams]]</f>
        <v>93986666.666666657</v>
      </c>
      <c r="T177" s="1">
        <f>Pcfu4[[#This Row],[SD CFU/mL]]*Pcfu4[[#This Row],[mL]]/Pcfu4[[#This Row],[grams]]</f>
        <v>4643676.7042219173</v>
      </c>
      <c r="U177" s="7">
        <f>_xlfn.STDEV.S(Pcfu43[[#This Row],[R1]:[R3]])/AVERAGE(Pcfu43[[#This Row],[R1]:[R3]])</f>
        <v>0.19985201625794738</v>
      </c>
      <c r="V177" s="96"/>
      <c r="W177" s="7"/>
    </row>
    <row r="178" spans="1:23" x14ac:dyDescent="0.15">
      <c r="A178" t="s">
        <v>176</v>
      </c>
      <c r="B178" t="s">
        <v>74</v>
      </c>
      <c r="D178" t="s">
        <v>26</v>
      </c>
      <c r="E178" s="3">
        <v>3</v>
      </c>
      <c r="G178">
        <v>0.1</v>
      </c>
      <c r="H178" s="5">
        <f>19*Pcfu4[[#This Row],[grams]]</f>
        <v>1.9000000000000001</v>
      </c>
      <c r="I178" s="3" t="s">
        <v>170</v>
      </c>
      <c r="J178" s="59">
        <v>44880</v>
      </c>
      <c r="L178" s="59" t="e" cm="1">
        <f t="array" ref="L178">INDEX($J$4:J1268, MATCH(1,(A178=$A$4:A1266)*(C178=$C$4:C1266)*("Y"=$K$4:K1268),0))</f>
        <v>#N/A</v>
      </c>
      <c r="M178" s="1">
        <v>10000</v>
      </c>
      <c r="N178">
        <v>75</v>
      </c>
      <c r="O178">
        <v>65</v>
      </c>
      <c r="P178">
        <v>76</v>
      </c>
      <c r="Q178" s="6">
        <f>(SUM(Pcfu4[[#This Row],[R1]:[R3]]))/(Pcfu4[[#This Row],[No. Reps]]*0.025)*Pcfu4[[#This Row],[Best DF]]</f>
        <v>28799999.999999996</v>
      </c>
      <c r="R178" s="1">
        <f>_xlfn.STDEV.S(Pcfu4[[#This Row],[R1]:[R3]])/0.025*Pcfu4[[#This Row],[Best DF]]</f>
        <v>2433105.0121192876</v>
      </c>
      <c r="S178" s="6">
        <f>Pcfu4[[#This Row],[CFU/mL]]*Pcfu4[[#This Row],[mL]]/Pcfu4[[#This Row],[grams]]</f>
        <v>547200000</v>
      </c>
      <c r="T178" s="1">
        <f>Pcfu4[[#This Row],[SD CFU/mL]]*Pcfu4[[#This Row],[mL]]/Pcfu4[[#This Row],[grams]]</f>
        <v>46228995.230266467</v>
      </c>
      <c r="U178" s="7">
        <f>_xlfn.STDEV.S(Pcfu43[[#This Row],[R1]:[R3]])/AVERAGE(Pcfu43[[#This Row],[R1]:[R3]])</f>
        <v>0.13468700594029479</v>
      </c>
      <c r="V178" s="96"/>
      <c r="W178" s="7"/>
    </row>
    <row r="179" spans="1:23" x14ac:dyDescent="0.15">
      <c r="A179" t="s">
        <v>169</v>
      </c>
      <c r="B179" t="s">
        <v>74</v>
      </c>
      <c r="D179" t="s">
        <v>26</v>
      </c>
      <c r="E179" s="3">
        <v>3</v>
      </c>
      <c r="G179">
        <v>0.1</v>
      </c>
      <c r="H179" s="5">
        <f>19*Pcfu4[[#This Row],[grams]]</f>
        <v>1.9000000000000001</v>
      </c>
      <c r="I179" s="3" t="s">
        <v>170</v>
      </c>
      <c r="J179" s="59">
        <v>44880</v>
      </c>
      <c r="L179" s="59" t="e" cm="1">
        <f t="array" ref="L179">INDEX($J$4:J1269, MATCH(1,(A179=$A$4:A1267)*(C179=$C$4:C1267)*("Y"=$K$4:K1269),0))</f>
        <v>#N/A</v>
      </c>
      <c r="M179" s="1">
        <v>100000</v>
      </c>
      <c r="N179">
        <v>125</v>
      </c>
      <c r="O179">
        <v>136</v>
      </c>
      <c r="P179">
        <v>75</v>
      </c>
      <c r="Q179" s="6">
        <f>(SUM(Pcfu4[[#This Row],[R1]:[R3]]))/(Pcfu4[[#This Row],[No. Reps]]*0.025)*Pcfu4[[#This Row],[Best DF]]</f>
        <v>447999999.99999988</v>
      </c>
      <c r="R179" s="1">
        <f>_xlfn.STDEV.S(Pcfu4[[#This Row],[R1]:[R3]])/0.025*Pcfu4[[#This Row],[Best DF]]</f>
        <v>130046145.65607087</v>
      </c>
      <c r="S179" s="6">
        <f>Pcfu4[[#This Row],[CFU/mL]]*Pcfu4[[#This Row],[mL]]/Pcfu4[[#This Row],[grams]]</f>
        <v>8511999999.9999981</v>
      </c>
      <c r="T179" s="1">
        <f>Pcfu4[[#This Row],[SD CFU/mL]]*Pcfu4[[#This Row],[mL]]/Pcfu4[[#This Row],[grams]]</f>
        <v>2470876767.4653468</v>
      </c>
      <c r="U179" s="7">
        <f>_xlfn.STDEV.S(Pcfu43[[#This Row],[R1]:[R3]])/AVERAGE(Pcfu43[[#This Row],[R1]:[R3]])</f>
        <v>0.2368431433590871</v>
      </c>
      <c r="V179" s="96"/>
      <c r="W179" s="7"/>
    </row>
    <row r="180" spans="1:23" x14ac:dyDescent="0.15">
      <c r="A180" t="s">
        <v>179</v>
      </c>
      <c r="B180" t="s">
        <v>75</v>
      </c>
      <c r="D180" t="s">
        <v>246</v>
      </c>
      <c r="E180" s="3">
        <v>3</v>
      </c>
      <c r="G180">
        <v>0.1</v>
      </c>
      <c r="H180" s="5">
        <f>19*Pcfu4[[#This Row],[grams]]</f>
        <v>1.9000000000000001</v>
      </c>
      <c r="I180" s="3" t="s">
        <v>170</v>
      </c>
      <c r="J180" s="59">
        <v>44880</v>
      </c>
      <c r="L180" s="59" t="e" cm="1">
        <f t="array" ref="L180">INDEX($J$4:J1270, MATCH(1,(A180=$A$4:A1268)*(C180=$C$4:C1268)*("Y"=$K$4:K1270),0))</f>
        <v>#N/A</v>
      </c>
      <c r="M180" s="1">
        <v>100</v>
      </c>
      <c r="N180">
        <v>43</v>
      </c>
      <c r="O180">
        <v>34</v>
      </c>
      <c r="P180">
        <v>42</v>
      </c>
      <c r="Q180" s="6">
        <f>(SUM(Pcfu4[[#This Row],[R1]:[R3]]))/(Pcfu4[[#This Row],[No. Reps]]*0.025)*Pcfu4[[#This Row],[Best DF]]</f>
        <v>158666.66666666666</v>
      </c>
      <c r="R180" s="1">
        <f>_xlfn.STDEV.S(Pcfu4[[#This Row],[R1]:[R3]])/0.025*Pcfu4[[#This Row],[Best DF]]</f>
        <v>19731.53144926505</v>
      </c>
      <c r="S180" s="6">
        <f>Pcfu4[[#This Row],[CFU/mL]]*Pcfu4[[#This Row],[mL]]/Pcfu4[[#This Row],[grams]]</f>
        <v>3014666.6666666665</v>
      </c>
      <c r="T180" s="1">
        <f>Pcfu4[[#This Row],[SD CFU/mL]]*Pcfu4[[#This Row],[mL]]/Pcfu4[[#This Row],[grams]]</f>
        <v>374899.09753603599</v>
      </c>
      <c r="U180" s="7">
        <f>_xlfn.STDEV.S(Pcfu43[[#This Row],[R1]:[R3]])/AVERAGE(Pcfu43[[#This Row],[R1]:[R3]])</f>
        <v>5.3073909773834339E-2</v>
      </c>
      <c r="V180" s="96"/>
      <c r="W180" s="7"/>
    </row>
    <row r="181" spans="1:23" x14ac:dyDescent="0.15">
      <c r="A181" t="s">
        <v>165</v>
      </c>
      <c r="B181" t="s">
        <v>75</v>
      </c>
      <c r="D181" t="s">
        <v>205</v>
      </c>
      <c r="E181" s="3">
        <v>3</v>
      </c>
      <c r="G181">
        <v>0.1</v>
      </c>
      <c r="H181" s="5">
        <f>19*Pcfu4[[#This Row],[grams]]</f>
        <v>1.9000000000000001</v>
      </c>
      <c r="I181" s="3" t="s">
        <v>170</v>
      </c>
      <c r="J181" s="59">
        <v>44880</v>
      </c>
      <c r="L181" s="59" t="e" cm="1">
        <f t="array" ref="L181">INDEX($J$4:J1271, MATCH(1,(A181=$A$4:A1269)*(C181=$C$4:C1269)*("Y"=$K$4:K1271),0))</f>
        <v>#N/A</v>
      </c>
      <c r="M181" s="1">
        <v>10000</v>
      </c>
      <c r="N181">
        <v>55</v>
      </c>
      <c r="O181">
        <v>47</v>
      </c>
      <c r="P181">
        <v>57</v>
      </c>
      <c r="Q181" s="6">
        <f>(SUM(Pcfu4[[#This Row],[R1]:[R3]]))/(Pcfu4[[#This Row],[No. Reps]]*0.025)*Pcfu4[[#This Row],[Best DF]]</f>
        <v>21199999.999999996</v>
      </c>
      <c r="R181" s="1">
        <f>_xlfn.STDEV.S(Pcfu4[[#This Row],[R1]:[R3]])/0.025*Pcfu4[[#This Row],[Best DF]]</f>
        <v>2116601.0488516726</v>
      </c>
      <c r="S181" s="6">
        <f>Pcfu4[[#This Row],[CFU/mL]]*Pcfu4[[#This Row],[mL]]/Pcfu4[[#This Row],[grams]]</f>
        <v>402799999.99999988</v>
      </c>
      <c r="T181" s="1">
        <f>Pcfu4[[#This Row],[SD CFU/mL]]*Pcfu4[[#This Row],[mL]]/Pcfu4[[#This Row],[grams]]</f>
        <v>40215419.928181782</v>
      </c>
      <c r="U181" s="7">
        <f>_xlfn.STDEV.S(Pcfu43[[#This Row],[R1]:[R3]])/AVERAGE(Pcfu43[[#This Row],[R1]:[R3]])</f>
        <v>8.060106972953221E-2</v>
      </c>
      <c r="V181" s="96"/>
      <c r="W181" s="7"/>
    </row>
    <row r="182" spans="1:23" x14ac:dyDescent="0.15">
      <c r="A182" t="s">
        <v>176</v>
      </c>
      <c r="B182" t="s">
        <v>75</v>
      </c>
      <c r="D182" t="s">
        <v>26</v>
      </c>
      <c r="E182" s="3">
        <v>3</v>
      </c>
      <c r="G182">
        <v>0.1</v>
      </c>
      <c r="H182" s="5">
        <f>19*Pcfu4[[#This Row],[grams]]</f>
        <v>1.9000000000000001</v>
      </c>
      <c r="I182" s="3" t="s">
        <v>170</v>
      </c>
      <c r="J182" s="59">
        <v>44880</v>
      </c>
      <c r="L182" s="59" t="e" cm="1">
        <f t="array" ref="L182">INDEX($J$4:J1272, MATCH(1,(A182=$A$4:A1270)*(C182=$C$4:C1270)*("Y"=$K$4:K1272),0))</f>
        <v>#N/A</v>
      </c>
      <c r="M182" s="1">
        <v>100000</v>
      </c>
      <c r="N182">
        <v>35</v>
      </c>
      <c r="O182">
        <v>30</v>
      </c>
      <c r="P182">
        <v>41</v>
      </c>
      <c r="Q182" s="6">
        <f>(SUM(Pcfu4[[#This Row],[R1]:[R3]]))/(Pcfu4[[#This Row],[No. Reps]]*0.025)*Pcfu4[[#This Row],[Best DF]]</f>
        <v>141333333.33333331</v>
      </c>
      <c r="R182" s="1">
        <f>_xlfn.STDEV.S(Pcfu4[[#This Row],[R1]:[R3]])/0.025*Pcfu4[[#This Row],[Best DF]]</f>
        <v>22030282.189144377</v>
      </c>
      <c r="S182" s="6">
        <f>Pcfu4[[#This Row],[CFU/mL]]*Pcfu4[[#This Row],[mL]]/Pcfu4[[#This Row],[grams]]</f>
        <v>2685333333.333333</v>
      </c>
      <c r="T182" s="1">
        <f>Pcfu4[[#This Row],[SD CFU/mL]]*Pcfu4[[#This Row],[mL]]/Pcfu4[[#This Row],[grams]]</f>
        <v>418575361.59374315</v>
      </c>
      <c r="U182" s="7">
        <f>_xlfn.STDEV.S(Pcfu43[[#This Row],[R1]:[R3]])/AVERAGE(Pcfu43[[#This Row],[R1]:[R3]])</f>
        <v>0.20621349491963042</v>
      </c>
      <c r="V182" s="96"/>
      <c r="W182" s="7"/>
    </row>
    <row r="183" spans="1:23" x14ac:dyDescent="0.15">
      <c r="A183" t="s">
        <v>169</v>
      </c>
      <c r="B183" t="s">
        <v>75</v>
      </c>
      <c r="D183" t="s">
        <v>26</v>
      </c>
      <c r="E183" s="3">
        <v>3</v>
      </c>
      <c r="G183">
        <v>0.1</v>
      </c>
      <c r="H183" s="5">
        <f>19*Pcfu4[[#This Row],[grams]]</f>
        <v>1.9000000000000001</v>
      </c>
      <c r="I183" s="3" t="s">
        <v>170</v>
      </c>
      <c r="J183" s="59">
        <v>44880</v>
      </c>
      <c r="L183" s="59" t="e" cm="1">
        <f t="array" ref="L183">INDEX($J$4:J1273, MATCH(1,(A183=$A$4:A1271)*(C183=$C$4:C1271)*("Y"=$K$4:K1273),0))</f>
        <v>#N/A</v>
      </c>
      <c r="M183" s="1">
        <v>100000</v>
      </c>
      <c r="N183">
        <v>262</v>
      </c>
      <c r="O183">
        <v>155</v>
      </c>
      <c r="P183">
        <v>153</v>
      </c>
      <c r="Q183" s="6">
        <f>(SUM(Pcfu4[[#This Row],[R1]:[R3]]))/(Pcfu4[[#This Row],[No. Reps]]*0.025)*Pcfu4[[#This Row],[Best DF]]</f>
        <v>759999999.99999988</v>
      </c>
      <c r="R183" s="1">
        <f>_xlfn.STDEV.S(Pcfu4[[#This Row],[R1]:[R3]])/0.025*Pcfu4[[#This Row],[Best DF]]</f>
        <v>249447389.24270183</v>
      </c>
      <c r="S183" s="6">
        <f>Pcfu4[[#This Row],[CFU/mL]]*Pcfu4[[#This Row],[mL]]/Pcfu4[[#This Row],[grams]]</f>
        <v>14439999999.999996</v>
      </c>
      <c r="T183" s="1">
        <f>Pcfu4[[#This Row],[SD CFU/mL]]*Pcfu4[[#This Row],[mL]]/Pcfu4[[#This Row],[grams]]</f>
        <v>4739500395.6113348</v>
      </c>
      <c r="U183" s="7">
        <f>_xlfn.STDEV.S(Pcfu43[[#This Row],[R1]:[R3]])/AVERAGE(Pcfu43[[#This Row],[R1]:[R3]])</f>
        <v>0.15985729168450605</v>
      </c>
      <c r="V183" s="96"/>
      <c r="W183" s="7"/>
    </row>
    <row r="184" spans="1:23" x14ac:dyDescent="0.15">
      <c r="A184" t="s">
        <v>165</v>
      </c>
      <c r="B184" t="s">
        <v>298</v>
      </c>
      <c r="D184" t="s">
        <v>205</v>
      </c>
      <c r="E184" s="3">
        <v>3</v>
      </c>
      <c r="G184">
        <v>0.1</v>
      </c>
      <c r="H184" s="5">
        <f>19*Pcfu4[[#This Row],[grams]]</f>
        <v>1.9000000000000001</v>
      </c>
      <c r="I184" s="3" t="s">
        <v>170</v>
      </c>
      <c r="J184" s="59">
        <v>44880</v>
      </c>
      <c r="L184" s="59" t="e" cm="1">
        <f t="array" ref="L184">INDEX($J$4:J1274, MATCH(1,(A184=$A$4:A1272)*(C184=$C$4:C1272)*("Y"=$K$4:K1274),0))</f>
        <v>#N/A</v>
      </c>
      <c r="M184" s="1">
        <v>10000</v>
      </c>
      <c r="N184">
        <v>175</v>
      </c>
      <c r="O184">
        <v>195</v>
      </c>
      <c r="P184">
        <v>168</v>
      </c>
      <c r="Q184" s="6">
        <f>(SUM(Pcfu4[[#This Row],[R1]:[R3]]))/(Pcfu4[[#This Row],[No. Reps]]*0.025)*Pcfu4[[#This Row],[Best DF]]</f>
        <v>71733333.333333328</v>
      </c>
      <c r="R184" s="1">
        <f>_xlfn.STDEV.S(Pcfu4[[#This Row],[R1]:[R3]])/0.025*Pcfu4[[#This Row],[Best DF]]</f>
        <v>5604759.8818623191</v>
      </c>
      <c r="S184" s="6">
        <f>Pcfu4[[#This Row],[CFU/mL]]*Pcfu4[[#This Row],[mL]]/Pcfu4[[#This Row],[grams]]</f>
        <v>1362933333.3333333</v>
      </c>
      <c r="T184" s="1">
        <f>Pcfu4[[#This Row],[SD CFU/mL]]*Pcfu4[[#This Row],[mL]]/Pcfu4[[#This Row],[grams]]</f>
        <v>106490437.75538407</v>
      </c>
      <c r="U184" s="7" t="e">
        <f>_xlfn.STDEV.S(Pcfu43[[#This Row],[R1]:[R3]])/AVERAGE(Pcfu43[[#This Row],[R1]:[R3]])</f>
        <v>#DIV/0!</v>
      </c>
      <c r="V184" s="96"/>
      <c r="W184" s="7"/>
    </row>
    <row r="185" spans="1:23" x14ac:dyDescent="0.15">
      <c r="A185" t="s">
        <v>267</v>
      </c>
      <c r="B185" t="s">
        <v>268</v>
      </c>
      <c r="D185" t="s">
        <v>136</v>
      </c>
      <c r="E185" s="3">
        <v>2</v>
      </c>
      <c r="G185">
        <v>0.1</v>
      </c>
      <c r="H185" s="5">
        <f>19*Pcfu4[[#This Row],[grams]]</f>
        <v>1.9000000000000001</v>
      </c>
      <c r="I185" s="3" t="s">
        <v>170</v>
      </c>
      <c r="J185" s="59">
        <v>44881</v>
      </c>
      <c r="L185" s="59" t="e" cm="1">
        <f t="array" ref="L185">INDEX($J$4:J1275, MATCH(1,(A185=$A$4:A1273)*(C185=$C$4:C1273)*("Y"=$K$4:K1275),0))</f>
        <v>#N/A</v>
      </c>
      <c r="M185" s="1">
        <v>100000000</v>
      </c>
      <c r="N185">
        <v>44</v>
      </c>
      <c r="O185">
        <v>45</v>
      </c>
      <c r="P185"/>
      <c r="Q185" s="6">
        <f>(SUM(Pcfu4[[#This Row],[R1]:[R3]]))/(Pcfu4[[#This Row],[No. Reps]]*0.025)*Pcfu4[[#This Row],[Best DF]]</f>
        <v>178000000000</v>
      </c>
      <c r="R185" s="1">
        <f>_xlfn.STDEV.S(Pcfu4[[#This Row],[R1]:[R3]])/0.025*Pcfu4[[#This Row],[Best DF]]</f>
        <v>2828427124.7461901</v>
      </c>
      <c r="S185" s="6">
        <f>Pcfu4[[#This Row],[CFU/mL]]*Pcfu4[[#This Row],[mL]]/Pcfu4[[#This Row],[grams]]</f>
        <v>3382000000000</v>
      </c>
      <c r="T185" s="1">
        <f>Pcfu4[[#This Row],[SD CFU/mL]]*Pcfu4[[#This Row],[mL]]/Pcfu4[[#This Row],[grams]]</f>
        <v>53740115370.177612</v>
      </c>
      <c r="U185" s="7" t="e">
        <f>_xlfn.STDEV.S(Pcfu43[[#This Row],[R1]:[R3]])/AVERAGE(Pcfu43[[#This Row],[R1]:[R3]])</f>
        <v>#DIV/0!</v>
      </c>
      <c r="V185" s="96"/>
      <c r="W185" s="7"/>
    </row>
    <row r="186" spans="1:23" x14ac:dyDescent="0.15">
      <c r="A186" t="s">
        <v>269</v>
      </c>
      <c r="B186" t="s">
        <v>268</v>
      </c>
      <c r="D186" t="s">
        <v>136</v>
      </c>
      <c r="E186" s="3">
        <v>2</v>
      </c>
      <c r="G186">
        <v>0.1</v>
      </c>
      <c r="H186" s="5">
        <f>19*Pcfu4[[#This Row],[grams]]</f>
        <v>1.9000000000000001</v>
      </c>
      <c r="I186" s="3" t="s">
        <v>170</v>
      </c>
      <c r="J186" s="59">
        <v>44881</v>
      </c>
      <c r="L186" s="59" t="e" cm="1">
        <f t="array" ref="L186">INDEX($J$4:J1276, MATCH(1,(A186=$A$4:A1274)*(C186=$C$4:C1274)*("Y"=$K$4:K1276),0))</f>
        <v>#N/A</v>
      </c>
      <c r="M186" s="1">
        <v>100000000</v>
      </c>
      <c r="N186">
        <v>44</v>
      </c>
      <c r="O186">
        <v>52</v>
      </c>
      <c r="P186"/>
      <c r="Q186" s="6">
        <f>(SUM(Pcfu4[[#This Row],[R1]:[R3]]))/(Pcfu4[[#This Row],[No. Reps]]*0.025)*Pcfu4[[#This Row],[Best DF]]</f>
        <v>192000000000</v>
      </c>
      <c r="R186" s="1">
        <f>_xlfn.STDEV.S(Pcfu4[[#This Row],[R1]:[R3]])/0.025*Pcfu4[[#This Row],[Best DF]]</f>
        <v>22627416997.969521</v>
      </c>
      <c r="S186" s="6">
        <f>Pcfu4[[#This Row],[CFU/mL]]*Pcfu4[[#This Row],[mL]]/Pcfu4[[#This Row],[grams]]</f>
        <v>3648000000000</v>
      </c>
      <c r="T186" s="1">
        <f>Pcfu4[[#This Row],[SD CFU/mL]]*Pcfu4[[#This Row],[mL]]/Pcfu4[[#This Row],[grams]]</f>
        <v>429920922961.4209</v>
      </c>
      <c r="U186" s="7">
        <f>_xlfn.STDEV.S(Pcfu43[[#This Row],[R1]:[R3]])/AVERAGE(Pcfu43[[#This Row],[R1]:[R3]])</f>
        <v>0.38421948770276737</v>
      </c>
      <c r="V186" s="96"/>
      <c r="W186" s="7"/>
    </row>
    <row r="187" spans="1:23" x14ac:dyDescent="0.15">
      <c r="A187" t="s">
        <v>270</v>
      </c>
      <c r="B187" t="s">
        <v>268</v>
      </c>
      <c r="D187" t="s">
        <v>136</v>
      </c>
      <c r="E187" s="3">
        <v>2</v>
      </c>
      <c r="G187">
        <v>0.1</v>
      </c>
      <c r="H187" s="5">
        <f>19*Pcfu4[[#This Row],[grams]]</f>
        <v>1.9000000000000001</v>
      </c>
      <c r="I187" s="3" t="s">
        <v>170</v>
      </c>
      <c r="J187" s="59">
        <v>44881</v>
      </c>
      <c r="L187" s="59" t="e" cm="1">
        <f t="array" ref="L187">INDEX($J$4:J1277, MATCH(1,(A187=$A$4:A1275)*(C187=$C$4:C1275)*("Y"=$K$4:K1277),0))</f>
        <v>#N/A</v>
      </c>
      <c r="M187" s="1">
        <v>100000000</v>
      </c>
      <c r="N187">
        <v>163</v>
      </c>
      <c r="O187">
        <v>123</v>
      </c>
      <c r="P187"/>
      <c r="Q187" s="6">
        <f>(SUM(Pcfu4[[#This Row],[R1]:[R3]]))/(Pcfu4[[#This Row],[No. Reps]]*0.025)*Pcfu4[[#This Row],[Best DF]]</f>
        <v>572000000000</v>
      </c>
      <c r="R187" s="1">
        <f>_xlfn.STDEV.S(Pcfu4[[#This Row],[R1]:[R3]])/0.025*Pcfu4[[#This Row],[Best DF]]</f>
        <v>113137084989.84761</v>
      </c>
      <c r="S187" s="6">
        <f>Pcfu4[[#This Row],[CFU/mL]]*Pcfu4[[#This Row],[mL]]/Pcfu4[[#This Row],[grams]]</f>
        <v>10868000000000</v>
      </c>
      <c r="T187" s="1">
        <f>Pcfu4[[#This Row],[SD CFU/mL]]*Pcfu4[[#This Row],[mL]]/Pcfu4[[#This Row],[grams]]</f>
        <v>2149604614807.1047</v>
      </c>
      <c r="U187" s="7" t="e">
        <f>_xlfn.STDEV.S(Pcfu43[[#This Row],[R1]:[R3]])/AVERAGE(Pcfu43[[#This Row],[R1]:[R3]])</f>
        <v>#DIV/0!</v>
      </c>
      <c r="V187" s="96"/>
      <c r="W187" s="7"/>
    </row>
    <row r="188" spans="1:23" x14ac:dyDescent="0.15">
      <c r="A188" t="s">
        <v>271</v>
      </c>
      <c r="B188" t="s">
        <v>268</v>
      </c>
      <c r="D188" t="s">
        <v>136</v>
      </c>
      <c r="E188" s="3">
        <v>2</v>
      </c>
      <c r="G188">
        <v>0.1</v>
      </c>
      <c r="H188" s="5">
        <f>19*Pcfu4[[#This Row],[grams]]</f>
        <v>1.9000000000000001</v>
      </c>
      <c r="I188" s="3" t="s">
        <v>170</v>
      </c>
      <c r="J188" s="59">
        <v>44881</v>
      </c>
      <c r="L188" s="59" t="e" cm="1">
        <f t="array" ref="L188">INDEX($J$4:J1278, MATCH(1,(A188=$A$4:A1276)*(C188=$C$4:C1276)*("Y"=$K$4:K1278),0))</f>
        <v>#N/A</v>
      </c>
      <c r="M188" s="1">
        <v>100000000</v>
      </c>
      <c r="N188">
        <v>84</v>
      </c>
      <c r="O188">
        <v>105</v>
      </c>
      <c r="P188"/>
      <c r="Q188" s="6">
        <f>(SUM(Pcfu4[[#This Row],[R1]:[R3]]))/(Pcfu4[[#This Row],[No. Reps]]*0.025)*Pcfu4[[#This Row],[Best DF]]</f>
        <v>378000000000</v>
      </c>
      <c r="R188" s="1">
        <f>_xlfn.STDEV.S(Pcfu4[[#This Row],[R1]:[R3]])/0.025*Pcfu4[[#This Row],[Best DF]]</f>
        <v>59396969619.669983</v>
      </c>
      <c r="S188" s="6">
        <f>Pcfu4[[#This Row],[CFU/mL]]*Pcfu4[[#This Row],[mL]]/Pcfu4[[#This Row],[grams]]</f>
        <v>7182000000000</v>
      </c>
      <c r="T188" s="1">
        <f>Pcfu4[[#This Row],[SD CFU/mL]]*Pcfu4[[#This Row],[mL]]/Pcfu4[[#This Row],[grams]]</f>
        <v>1128542422773.7297</v>
      </c>
      <c r="U188" s="7" t="e">
        <f>_xlfn.STDEV.S(Pcfu43[[#This Row],[R1]:[R3]])/AVERAGE(Pcfu43[[#This Row],[R1]:[R3]])</f>
        <v>#DIV/0!</v>
      </c>
      <c r="V188" s="96"/>
      <c r="W188" s="7"/>
    </row>
    <row r="189" spans="1:23" x14ac:dyDescent="0.15">
      <c r="A189" t="s">
        <v>267</v>
      </c>
      <c r="B189" t="s">
        <v>272</v>
      </c>
      <c r="D189" t="s">
        <v>136</v>
      </c>
      <c r="E189" s="3">
        <v>2</v>
      </c>
      <c r="G189">
        <v>0.1</v>
      </c>
      <c r="H189" s="5">
        <f>19*Pcfu4[[#This Row],[grams]]</f>
        <v>1.9000000000000001</v>
      </c>
      <c r="I189" s="3" t="s">
        <v>170</v>
      </c>
      <c r="J189" s="59">
        <v>44881</v>
      </c>
      <c r="L189" s="59" t="e" cm="1">
        <f t="array" ref="L189">INDEX($J$4:J1279, MATCH(1,(A189=$A$4:A1277)*(C189=$C$4:C1277)*("Y"=$K$4:K1279),0))</f>
        <v>#N/A</v>
      </c>
      <c r="M189" s="1">
        <v>100000000</v>
      </c>
      <c r="N189">
        <v>64</v>
      </c>
      <c r="O189">
        <v>69</v>
      </c>
      <c r="P189"/>
      <c r="Q189" s="6">
        <f>(SUM(Pcfu4[[#This Row],[R1]:[R3]]))/(Pcfu4[[#This Row],[No. Reps]]*0.025)*Pcfu4[[#This Row],[Best DF]]</f>
        <v>266000000000</v>
      </c>
      <c r="R189" s="1">
        <f>_xlfn.STDEV.S(Pcfu4[[#This Row],[R1]:[R3]])/0.025*Pcfu4[[#This Row],[Best DF]]</f>
        <v>14142135623.730951</v>
      </c>
      <c r="S189" s="6">
        <f>Pcfu4[[#This Row],[CFU/mL]]*Pcfu4[[#This Row],[mL]]/Pcfu4[[#This Row],[grams]]</f>
        <v>5054000000000</v>
      </c>
      <c r="T189" s="1">
        <f>Pcfu4[[#This Row],[SD CFU/mL]]*Pcfu4[[#This Row],[mL]]/Pcfu4[[#This Row],[grams]]</f>
        <v>268700576850.88809</v>
      </c>
      <c r="U189" s="7">
        <f>_xlfn.STDEV.S(Pcfu43[[#This Row],[R1]:[R3]])/AVERAGE(Pcfu43[[#This Row],[R1]:[R3]])</f>
        <v>0.22153850169361011</v>
      </c>
      <c r="V189" s="96"/>
      <c r="W189" s="7"/>
    </row>
    <row r="190" spans="1:23" x14ac:dyDescent="0.15">
      <c r="A190" t="s">
        <v>269</v>
      </c>
      <c r="B190" t="s">
        <v>272</v>
      </c>
      <c r="D190" t="s">
        <v>136</v>
      </c>
      <c r="E190" s="3">
        <v>2</v>
      </c>
      <c r="G190">
        <v>0.1</v>
      </c>
      <c r="H190" s="5">
        <f>19*Pcfu4[[#This Row],[grams]]</f>
        <v>1.9000000000000001</v>
      </c>
      <c r="I190" s="3" t="s">
        <v>170</v>
      </c>
      <c r="J190" s="59">
        <v>44881</v>
      </c>
      <c r="L190" s="59" t="e" cm="1">
        <f t="array" ref="L190">INDEX($J$4:J1280, MATCH(1,(A190=$A$4:A1278)*(C190=$C$4:C1278)*("Y"=$K$4:K1280),0))</f>
        <v>#N/A</v>
      </c>
      <c r="M190" s="1">
        <v>100000000</v>
      </c>
      <c r="N190">
        <v>49</v>
      </c>
      <c r="O190">
        <v>56</v>
      </c>
      <c r="P190"/>
      <c r="Q190" s="6">
        <f>(SUM(Pcfu4[[#This Row],[R1]:[R3]]))/(Pcfu4[[#This Row],[No. Reps]]*0.025)*Pcfu4[[#This Row],[Best DF]]</f>
        <v>210000000000</v>
      </c>
      <c r="R190" s="1">
        <f>_xlfn.STDEV.S(Pcfu4[[#This Row],[R1]:[R3]])/0.025*Pcfu4[[#This Row],[Best DF]]</f>
        <v>19798989873.223328</v>
      </c>
      <c r="S190" s="6">
        <f>Pcfu4[[#This Row],[CFU/mL]]*Pcfu4[[#This Row],[mL]]/Pcfu4[[#This Row],[grams]]</f>
        <v>3990000000000</v>
      </c>
      <c r="T190" s="1">
        <f>Pcfu4[[#This Row],[SD CFU/mL]]*Pcfu4[[#This Row],[mL]]/Pcfu4[[#This Row],[grams]]</f>
        <v>376180807591.24329</v>
      </c>
      <c r="U190" s="7" t="e">
        <f>_xlfn.STDEV.S(Pcfu43[[#This Row],[R1]:[R3]])/AVERAGE(Pcfu43[[#This Row],[R1]:[R3]])</f>
        <v>#DIV/0!</v>
      </c>
      <c r="V190" s="96"/>
      <c r="W190" s="7"/>
    </row>
    <row r="191" spans="1:23" x14ac:dyDescent="0.15">
      <c r="A191" t="s">
        <v>267</v>
      </c>
      <c r="B191" t="s">
        <v>268</v>
      </c>
      <c r="D191" t="s">
        <v>136</v>
      </c>
      <c r="E191" s="3">
        <v>2</v>
      </c>
      <c r="G191">
        <v>0.1</v>
      </c>
      <c r="H191" s="5">
        <f>19*Pcfu4[[#This Row],[grams]]</f>
        <v>1.9000000000000001</v>
      </c>
      <c r="I191" s="3" t="s">
        <v>170</v>
      </c>
      <c r="J191" s="59">
        <v>44882</v>
      </c>
      <c r="L191" s="59" t="e" cm="1">
        <f t="array" ref="L191">INDEX($J$4:J1281, MATCH(1,(A191=$A$4:A1279)*(C191=$C$4:C1279)*("Y"=$K$4:K1281),0))</f>
        <v>#N/A</v>
      </c>
      <c r="M191" s="1">
        <v>100000000</v>
      </c>
      <c r="N191">
        <v>43</v>
      </c>
      <c r="O191">
        <v>48</v>
      </c>
      <c r="P191"/>
      <c r="Q191" s="6">
        <f>(SUM(Pcfu4[[#This Row],[R1]:[R3]]))/(Pcfu4[[#This Row],[No. Reps]]*0.025)*Pcfu4[[#This Row],[Best DF]]</f>
        <v>182000000000</v>
      </c>
      <c r="R191" s="1">
        <f>_xlfn.STDEV.S(Pcfu4[[#This Row],[R1]:[R3]])/0.025*Pcfu4[[#This Row],[Best DF]]</f>
        <v>14142135623.730951</v>
      </c>
      <c r="S191" s="6">
        <f>Pcfu4[[#This Row],[CFU/mL]]*Pcfu4[[#This Row],[mL]]/Pcfu4[[#This Row],[grams]]</f>
        <v>3458000000000</v>
      </c>
      <c r="T191" s="1">
        <f>Pcfu4[[#This Row],[SD CFU/mL]]*Pcfu4[[#This Row],[mL]]/Pcfu4[[#This Row],[grams]]</f>
        <v>268700576850.88809</v>
      </c>
      <c r="U191" s="7" t="e">
        <f>_xlfn.STDEV.S(Pcfu43[[#This Row],[R1]:[R3]])/AVERAGE(Pcfu43[[#This Row],[R1]:[R3]])</f>
        <v>#DIV/0!</v>
      </c>
      <c r="V191" s="96"/>
      <c r="W191" s="7"/>
    </row>
    <row r="192" spans="1:23" x14ac:dyDescent="0.15">
      <c r="A192" t="s">
        <v>269</v>
      </c>
      <c r="B192" t="s">
        <v>268</v>
      </c>
      <c r="D192" t="s">
        <v>136</v>
      </c>
      <c r="E192" s="3">
        <v>2</v>
      </c>
      <c r="G192">
        <v>0.1</v>
      </c>
      <c r="H192" s="5">
        <f>19*Pcfu4[[#This Row],[grams]]</f>
        <v>1.9000000000000001</v>
      </c>
      <c r="I192" s="3" t="s">
        <v>170</v>
      </c>
      <c r="J192" s="59">
        <v>44882</v>
      </c>
      <c r="L192" s="59" t="e" cm="1">
        <f t="array" ref="L192">INDEX($J$4:J1282, MATCH(1,(A192=$A$4:A1280)*(C192=$C$4:C1280)*("Y"=$K$4:K1282),0))</f>
        <v>#N/A</v>
      </c>
      <c r="M192" s="1">
        <v>100000000</v>
      </c>
      <c r="N192">
        <v>57</v>
      </c>
      <c r="O192">
        <v>64</v>
      </c>
      <c r="P192"/>
      <c r="Q192" s="6">
        <f>(SUM(Pcfu4[[#This Row],[R1]:[R3]]))/(Pcfu4[[#This Row],[No. Reps]]*0.025)*Pcfu4[[#This Row],[Best DF]]</f>
        <v>242000000000</v>
      </c>
      <c r="R192" s="1">
        <f>_xlfn.STDEV.S(Pcfu4[[#This Row],[R1]:[R3]])/0.025*Pcfu4[[#This Row],[Best DF]]</f>
        <v>19798989873.223328</v>
      </c>
      <c r="S192" s="6">
        <f>Pcfu4[[#This Row],[CFU/mL]]*Pcfu4[[#This Row],[mL]]/Pcfu4[[#This Row],[grams]]</f>
        <v>4598000000000</v>
      </c>
      <c r="T192" s="1">
        <f>Pcfu4[[#This Row],[SD CFU/mL]]*Pcfu4[[#This Row],[mL]]/Pcfu4[[#This Row],[grams]]</f>
        <v>376180807591.24329</v>
      </c>
      <c r="U192" s="7">
        <f>_xlfn.STDEV.S(Pcfu43[[#This Row],[R1]:[R3]])/AVERAGE(Pcfu43[[#This Row],[R1]:[R3]])</f>
        <v>0.18756088039855931</v>
      </c>
      <c r="V192" s="96"/>
      <c r="W192" s="7"/>
    </row>
    <row r="193" spans="1:24" x14ac:dyDescent="0.15">
      <c r="A193" t="s">
        <v>270</v>
      </c>
      <c r="B193" t="s">
        <v>268</v>
      </c>
      <c r="D193" t="s">
        <v>136</v>
      </c>
      <c r="E193" s="3">
        <v>2</v>
      </c>
      <c r="G193">
        <v>0.1</v>
      </c>
      <c r="H193" s="5">
        <f>19*Pcfu4[[#This Row],[grams]]</f>
        <v>1.9000000000000001</v>
      </c>
      <c r="I193" s="3" t="s">
        <v>170</v>
      </c>
      <c r="J193" s="59">
        <v>44882</v>
      </c>
      <c r="L193" s="59" t="e" cm="1">
        <f t="array" ref="L193">INDEX($J$4:J1283, MATCH(1,(A193=$A$4:A1281)*(C193=$C$4:C1281)*("Y"=$K$4:K1283),0))</f>
        <v>#N/A</v>
      </c>
      <c r="M193" s="1">
        <v>100000000</v>
      </c>
      <c r="N193">
        <v>84</v>
      </c>
      <c r="O193">
        <v>93</v>
      </c>
      <c r="P193"/>
      <c r="Q193" s="6">
        <f>(SUM(Pcfu4[[#This Row],[R1]:[R3]]))/(Pcfu4[[#This Row],[No. Reps]]*0.025)*Pcfu4[[#This Row],[Best DF]]</f>
        <v>354000000000</v>
      </c>
      <c r="R193" s="1">
        <f>_xlfn.STDEV.S(Pcfu4[[#This Row],[R1]:[R3]])/0.025*Pcfu4[[#This Row],[Best DF]]</f>
        <v>25455844122.71571</v>
      </c>
      <c r="S193" s="6">
        <f>Pcfu4[[#This Row],[CFU/mL]]*Pcfu4[[#This Row],[mL]]/Pcfu4[[#This Row],[grams]]</f>
        <v>6726000000000</v>
      </c>
      <c r="T193" s="1">
        <f>Pcfu4[[#This Row],[SD CFU/mL]]*Pcfu4[[#This Row],[mL]]/Pcfu4[[#This Row],[grams]]</f>
        <v>483661038331.59851</v>
      </c>
      <c r="U193" s="7" t="e">
        <f>_xlfn.STDEV.S(Pcfu43[[#This Row],[R1]:[R3]])/AVERAGE(Pcfu43[[#This Row],[R1]:[R3]])</f>
        <v>#DIV/0!</v>
      </c>
      <c r="V193" s="96"/>
      <c r="W193" s="7"/>
    </row>
    <row r="194" spans="1:24" x14ac:dyDescent="0.15">
      <c r="A194" t="s">
        <v>271</v>
      </c>
      <c r="B194" t="s">
        <v>268</v>
      </c>
      <c r="D194" t="s">
        <v>136</v>
      </c>
      <c r="E194" s="3">
        <v>2</v>
      </c>
      <c r="G194">
        <v>0.1</v>
      </c>
      <c r="H194" s="5">
        <f>19*Pcfu4[[#This Row],[grams]]</f>
        <v>1.9000000000000001</v>
      </c>
      <c r="I194" s="3" t="s">
        <v>170</v>
      </c>
      <c r="J194" s="59">
        <v>44882</v>
      </c>
      <c r="L194" s="59" t="e" cm="1">
        <f t="array" ref="L194">INDEX($J$4:J1284, MATCH(1,(A194=$A$4:A1282)*(C194=$C$4:C1282)*("Y"=$K$4:K1284),0))</f>
        <v>#N/A</v>
      </c>
      <c r="M194" s="1">
        <v>100000000</v>
      </c>
      <c r="N194">
        <v>113</v>
      </c>
      <c r="O194">
        <v>102</v>
      </c>
      <c r="P194"/>
      <c r="Q194" s="6">
        <f>(SUM(Pcfu4[[#This Row],[R1]:[R3]]))/(Pcfu4[[#This Row],[No. Reps]]*0.025)*Pcfu4[[#This Row],[Best DF]]</f>
        <v>430000000000</v>
      </c>
      <c r="R194" s="1">
        <f>_xlfn.STDEV.S(Pcfu4[[#This Row],[R1]:[R3]])/0.025*Pcfu4[[#This Row],[Best DF]]</f>
        <v>31112698372.208088</v>
      </c>
      <c r="S194" s="6">
        <f>Pcfu4[[#This Row],[CFU/mL]]*Pcfu4[[#This Row],[mL]]/Pcfu4[[#This Row],[grams]]</f>
        <v>8170000000000</v>
      </c>
      <c r="T194" s="1">
        <f>Pcfu4[[#This Row],[SD CFU/mL]]*Pcfu4[[#This Row],[mL]]/Pcfu4[[#This Row],[grams]]</f>
        <v>591141269071.95374</v>
      </c>
      <c r="U194" s="7" t="e">
        <f>_xlfn.STDEV.S(Pcfu43[[#This Row],[R1]:[R3]])/AVERAGE(Pcfu43[[#This Row],[R1]:[R3]])</f>
        <v>#DIV/0!</v>
      </c>
      <c r="V194" s="96"/>
      <c r="W194" s="7"/>
    </row>
    <row r="195" spans="1:24" x14ac:dyDescent="0.15">
      <c r="A195" t="s">
        <v>267</v>
      </c>
      <c r="B195" t="s">
        <v>272</v>
      </c>
      <c r="D195" t="s">
        <v>136</v>
      </c>
      <c r="E195" s="3">
        <v>2</v>
      </c>
      <c r="G195">
        <v>0.1</v>
      </c>
      <c r="H195" s="5">
        <f>19*Pcfu4[[#This Row],[grams]]</f>
        <v>1.9000000000000001</v>
      </c>
      <c r="I195" s="3" t="s">
        <v>170</v>
      </c>
      <c r="J195" s="59">
        <v>44882</v>
      </c>
      <c r="L195" s="59" t="e" cm="1">
        <f t="array" ref="L195">INDEX($J$4:J1285, MATCH(1,(A195=$A$4:A1283)*(C195=$C$4:C1283)*("Y"=$K$4:K1285),0))</f>
        <v>#N/A</v>
      </c>
      <c r="M195" s="1">
        <v>100000000</v>
      </c>
      <c r="N195">
        <v>71</v>
      </c>
      <c r="O195">
        <v>67</v>
      </c>
      <c r="P195"/>
      <c r="Q195" s="6">
        <f>(SUM(Pcfu4[[#This Row],[R1]:[R3]]))/(Pcfu4[[#This Row],[No. Reps]]*0.025)*Pcfu4[[#This Row],[Best DF]]</f>
        <v>276000000000</v>
      </c>
      <c r="R195" s="1">
        <f>_xlfn.STDEV.S(Pcfu4[[#This Row],[R1]:[R3]])/0.025*Pcfu4[[#This Row],[Best DF]]</f>
        <v>11313708498.98476</v>
      </c>
      <c r="S195" s="6">
        <f>Pcfu4[[#This Row],[CFU/mL]]*Pcfu4[[#This Row],[mL]]/Pcfu4[[#This Row],[grams]]</f>
        <v>5244000000000</v>
      </c>
      <c r="T195" s="1">
        <f>Pcfu4[[#This Row],[SD CFU/mL]]*Pcfu4[[#This Row],[mL]]/Pcfu4[[#This Row],[grams]]</f>
        <v>214960461480.71045</v>
      </c>
      <c r="U195" s="7">
        <f>_xlfn.STDEV.S(Pcfu43[[#This Row],[R1]:[R3]])/AVERAGE(Pcfu43[[#This Row],[R1]:[R3]])</f>
        <v>7.6215102163819493E-2</v>
      </c>
      <c r="V195" s="96"/>
      <c r="W195" s="7"/>
    </row>
    <row r="196" spans="1:24" x14ac:dyDescent="0.15">
      <c r="A196" t="s">
        <v>269</v>
      </c>
      <c r="B196" t="s">
        <v>272</v>
      </c>
      <c r="D196" t="s">
        <v>136</v>
      </c>
      <c r="E196" s="3">
        <v>2</v>
      </c>
      <c r="G196">
        <v>0.1</v>
      </c>
      <c r="H196" s="5">
        <f>19*Pcfu4[[#This Row],[grams]]</f>
        <v>1.9000000000000001</v>
      </c>
      <c r="I196" s="3" t="s">
        <v>170</v>
      </c>
      <c r="J196" s="59">
        <v>44882</v>
      </c>
      <c r="L196" s="59" t="e" cm="1">
        <f t="array" ref="L196">INDEX($J$4:J1286, MATCH(1,(A196=$A$4:A1284)*(C196=$C$4:C1284)*("Y"=$K$4:K1286),0))</f>
        <v>#N/A</v>
      </c>
      <c r="M196" s="1">
        <v>100000000</v>
      </c>
      <c r="N196">
        <v>77</v>
      </c>
      <c r="O196">
        <v>72</v>
      </c>
      <c r="P196"/>
      <c r="Q196" s="6">
        <f>(SUM(Pcfu4[[#This Row],[R1]:[R3]]))/(Pcfu4[[#This Row],[No. Reps]]*0.025)*Pcfu4[[#This Row],[Best DF]]</f>
        <v>298000000000</v>
      </c>
      <c r="R196" s="1">
        <f>_xlfn.STDEV.S(Pcfu4[[#This Row],[R1]:[R3]])/0.025*Pcfu4[[#This Row],[Best DF]]</f>
        <v>14142135623.730951</v>
      </c>
      <c r="S196" s="6">
        <f>Pcfu4[[#This Row],[CFU/mL]]*Pcfu4[[#This Row],[mL]]/Pcfu4[[#This Row],[grams]]</f>
        <v>5662000000000</v>
      </c>
      <c r="T196" s="1">
        <f>Pcfu4[[#This Row],[SD CFU/mL]]*Pcfu4[[#This Row],[mL]]/Pcfu4[[#This Row],[grams]]</f>
        <v>268700576850.88809</v>
      </c>
      <c r="U196" s="7">
        <f>_xlfn.STDEV.S(Pcfu43[[#This Row],[R1]:[R3]])/AVERAGE(Pcfu43[[#This Row],[R1]:[R3]])</f>
        <v>0.10580610288425979</v>
      </c>
      <c r="V196" s="96"/>
      <c r="W196" s="7"/>
    </row>
    <row r="197" spans="1:24" x14ac:dyDescent="0.15">
      <c r="A197" t="s">
        <v>299</v>
      </c>
      <c r="B197" t="s">
        <v>272</v>
      </c>
      <c r="D197" t="s">
        <v>136</v>
      </c>
      <c r="E197" s="3">
        <v>2</v>
      </c>
      <c r="G197">
        <v>0.1</v>
      </c>
      <c r="H197" s="5">
        <f>19*Pcfu4[[#This Row],[grams]]</f>
        <v>1.9000000000000001</v>
      </c>
      <c r="I197" s="3" t="s">
        <v>170</v>
      </c>
      <c r="J197" s="59">
        <v>44882</v>
      </c>
      <c r="L197" s="59" t="e" cm="1">
        <f t="array" ref="L197">INDEX($J$4:J1287, MATCH(1,(A197=$A$4:A1285)*(C197=$C$4:C1285)*("Y"=$K$4:K1287),0))</f>
        <v>#N/A</v>
      </c>
      <c r="M197" s="1">
        <v>100000000</v>
      </c>
      <c r="N197">
        <v>78</v>
      </c>
      <c r="O197">
        <v>80</v>
      </c>
      <c r="P197"/>
      <c r="Q197" s="6">
        <f>(SUM(Pcfu4[[#This Row],[R1]:[R3]]))/(Pcfu4[[#This Row],[No. Reps]]*0.025)*Pcfu4[[#This Row],[Best DF]]</f>
        <v>316000000000</v>
      </c>
      <c r="R197" s="1">
        <f>_xlfn.STDEV.S(Pcfu4[[#This Row],[R1]:[R3]])/0.025*Pcfu4[[#This Row],[Best DF]]</f>
        <v>5656854249.4923801</v>
      </c>
      <c r="S197" s="6">
        <f>Pcfu4[[#This Row],[CFU/mL]]*Pcfu4[[#This Row],[mL]]/Pcfu4[[#This Row],[grams]]</f>
        <v>6004000000000</v>
      </c>
      <c r="T197" s="1">
        <f>Pcfu4[[#This Row],[SD CFU/mL]]*Pcfu4[[#This Row],[mL]]/Pcfu4[[#This Row],[grams]]</f>
        <v>107480230740.35522</v>
      </c>
      <c r="U197" s="7">
        <f>_xlfn.STDEV.S(Pcfu43[[#This Row],[R1]:[R3]])/AVERAGE(Pcfu43[[#This Row],[R1]:[R3]])</f>
        <v>0.39745282738961601</v>
      </c>
      <c r="V197" s="96"/>
      <c r="W197" s="7"/>
    </row>
    <row r="198" spans="1:24" x14ac:dyDescent="0.15">
      <c r="A198" t="s">
        <v>300</v>
      </c>
      <c r="B198" t="s">
        <v>272</v>
      </c>
      <c r="D198" t="s">
        <v>136</v>
      </c>
      <c r="E198" s="3">
        <v>2</v>
      </c>
      <c r="G198">
        <v>0.1</v>
      </c>
      <c r="H198" s="5">
        <f>19*Pcfu4[[#This Row],[grams]]</f>
        <v>1.9000000000000001</v>
      </c>
      <c r="I198" s="3" t="s">
        <v>170</v>
      </c>
      <c r="J198" s="59">
        <v>44882</v>
      </c>
      <c r="L198" s="59" t="e" cm="1">
        <f t="array" ref="L198">INDEX($J$4:J1288, MATCH(1,(A198=$A$4:A1286)*(C198=$C$4:C1286)*("Y"=$K$4:K1288),0))</f>
        <v>#N/A</v>
      </c>
      <c r="M198" s="1">
        <v>100000000</v>
      </c>
      <c r="N198">
        <v>122</v>
      </c>
      <c r="O198">
        <v>65</v>
      </c>
      <c r="P198"/>
      <c r="Q198" s="6">
        <f>(SUM(Pcfu4[[#This Row],[R1]:[R3]]))/(Pcfu4[[#This Row],[No. Reps]]*0.025)*Pcfu4[[#This Row],[Best DF]]</f>
        <v>374000000000</v>
      </c>
      <c r="R198" s="1">
        <f>_xlfn.STDEV.S(Pcfu4[[#This Row],[R1]:[R3]])/0.025*Pcfu4[[#This Row],[Best DF]]</f>
        <v>161220346110.53281</v>
      </c>
      <c r="S198" s="6">
        <f>Pcfu4[[#This Row],[CFU/mL]]*Pcfu4[[#This Row],[mL]]/Pcfu4[[#This Row],[grams]]</f>
        <v>7106000000000</v>
      </c>
      <c r="T198" s="1">
        <f>Pcfu4[[#This Row],[SD CFU/mL]]*Pcfu4[[#This Row],[mL]]/Pcfu4[[#This Row],[grams]]</f>
        <v>3063186576100.123</v>
      </c>
      <c r="U198" s="7">
        <f>_xlfn.STDEV.S(Pcfu43[[#This Row],[R1]:[R3]])/AVERAGE(Pcfu43[[#This Row],[R1]:[R3]])</f>
        <v>0.30413812651491096</v>
      </c>
      <c r="V198" s="96"/>
      <c r="W198" s="7"/>
    </row>
    <row r="199" spans="1:24" x14ac:dyDescent="0.15">
      <c r="A199" t="s">
        <v>301</v>
      </c>
      <c r="B199" t="s">
        <v>272</v>
      </c>
      <c r="D199" t="s">
        <v>136</v>
      </c>
      <c r="E199" s="3">
        <v>2</v>
      </c>
      <c r="G199">
        <v>0.1</v>
      </c>
      <c r="H199" s="5">
        <f>19*Pcfu4[[#This Row],[grams]]</f>
        <v>1.9000000000000001</v>
      </c>
      <c r="I199" s="3" t="s">
        <v>170</v>
      </c>
      <c r="J199" s="59">
        <v>44882</v>
      </c>
      <c r="L199" s="59" t="e" cm="1">
        <f t="array" ref="L199">INDEX($J$4:J1289, MATCH(1,(A199=$A$4:A1287)*(C199=$C$4:C1287)*("Y"=$K$4:K1289),0))</f>
        <v>#N/A</v>
      </c>
      <c r="M199" s="1">
        <v>100000000</v>
      </c>
      <c r="N199">
        <v>135</v>
      </c>
      <c r="O199">
        <v>133</v>
      </c>
      <c r="P199"/>
      <c r="Q199" s="6">
        <f>(SUM(Pcfu4[[#This Row],[R1]:[R3]]))/(Pcfu4[[#This Row],[No. Reps]]*0.025)*Pcfu4[[#This Row],[Best DF]]</f>
        <v>536000000000</v>
      </c>
      <c r="R199" s="1">
        <f>_xlfn.STDEV.S(Pcfu4[[#This Row],[R1]:[R3]])/0.025*Pcfu4[[#This Row],[Best DF]]</f>
        <v>5656854249.4923801</v>
      </c>
      <c r="S199" s="6">
        <f>Pcfu4[[#This Row],[CFU/mL]]*Pcfu4[[#This Row],[mL]]/Pcfu4[[#This Row],[grams]]</f>
        <v>10184000000000</v>
      </c>
      <c r="T199" s="1">
        <f>Pcfu4[[#This Row],[SD CFU/mL]]*Pcfu4[[#This Row],[mL]]/Pcfu4[[#This Row],[grams]]</f>
        <v>107480230740.35522</v>
      </c>
      <c r="U199" s="7">
        <f>_xlfn.STDEV.S(Pcfu43[[#This Row],[R1]:[R3]])/AVERAGE(Pcfu43[[#This Row],[R1]:[R3]])</f>
        <v>0.3084474040876084</v>
      </c>
      <c r="V199" s="96"/>
      <c r="W199" s="7"/>
    </row>
    <row r="200" spans="1:24" x14ac:dyDescent="0.15">
      <c r="A200" t="s">
        <v>302</v>
      </c>
      <c r="B200" t="s">
        <v>272</v>
      </c>
      <c r="D200" t="s">
        <v>136</v>
      </c>
      <c r="E200" s="3">
        <v>2</v>
      </c>
      <c r="G200">
        <v>0.1</v>
      </c>
      <c r="H200" s="5">
        <f>19*Pcfu4[[#This Row],[grams]]</f>
        <v>1.9000000000000001</v>
      </c>
      <c r="I200" s="3" t="s">
        <v>170</v>
      </c>
      <c r="J200" s="59">
        <v>44882</v>
      </c>
      <c r="L200" s="59" t="e" cm="1">
        <f t="array" ref="L200">INDEX($J$4:J1290, MATCH(1,(A200=$A$4:A1288)*(C200=$C$4:C1288)*("Y"=$K$4:K1290),0))</f>
        <v>#N/A</v>
      </c>
      <c r="M200" s="1">
        <v>100000000</v>
      </c>
      <c r="N200">
        <v>123</v>
      </c>
      <c r="O200">
        <v>122</v>
      </c>
      <c r="P200"/>
      <c r="Q200" s="6">
        <f>(SUM(Pcfu4[[#This Row],[R1]:[R3]]))/(Pcfu4[[#This Row],[No. Reps]]*0.025)*Pcfu4[[#This Row],[Best DF]]</f>
        <v>490000000000</v>
      </c>
      <c r="R200" s="1">
        <f>_xlfn.STDEV.S(Pcfu4[[#This Row],[R1]:[R3]])/0.025*Pcfu4[[#This Row],[Best DF]]</f>
        <v>2828427124.7461901</v>
      </c>
      <c r="S200" s="6">
        <f>Pcfu4[[#This Row],[CFU/mL]]*Pcfu4[[#This Row],[mL]]/Pcfu4[[#This Row],[grams]]</f>
        <v>9310000000000</v>
      </c>
      <c r="T200" s="1">
        <f>Pcfu4[[#This Row],[SD CFU/mL]]*Pcfu4[[#This Row],[mL]]/Pcfu4[[#This Row],[grams]]</f>
        <v>53740115370.177612</v>
      </c>
      <c r="U200" s="7">
        <f>_xlfn.STDEV.S(Pcfu43[[#This Row],[R1]:[R3]])/AVERAGE(Pcfu43[[#This Row],[R1]:[R3]])</f>
        <v>0.21650635094610965</v>
      </c>
      <c r="V200" s="96"/>
      <c r="W200" s="7"/>
    </row>
    <row r="201" spans="1:24" x14ac:dyDescent="0.15">
      <c r="A201" t="s">
        <v>299</v>
      </c>
      <c r="B201" t="s">
        <v>272</v>
      </c>
      <c r="D201" t="s">
        <v>136</v>
      </c>
      <c r="E201" s="3">
        <v>2</v>
      </c>
      <c r="G201">
        <v>0.1</v>
      </c>
      <c r="H201" s="5">
        <f>19*Pcfu4[[#This Row],[grams]]</f>
        <v>1.9000000000000001</v>
      </c>
      <c r="I201" s="3" t="s">
        <v>170</v>
      </c>
      <c r="J201" s="59">
        <v>44883</v>
      </c>
      <c r="L201" s="59" t="e" cm="1">
        <f t="array" ref="L201">INDEX($J$4:J1291, MATCH(1,(A201=$A$4:A1289)*(C201=$C$4:C1289)*("Y"=$K$4:K1291),0))</f>
        <v>#N/A</v>
      </c>
      <c r="M201" s="1">
        <v>100000000</v>
      </c>
      <c r="N201">
        <v>47</v>
      </c>
      <c r="O201">
        <v>51</v>
      </c>
      <c r="P201"/>
      <c r="Q201" s="6">
        <f>(SUM(Pcfu4[[#This Row],[R1]:[R3]]))/(Pcfu4[[#This Row],[No. Reps]]*0.025)*Pcfu4[[#This Row],[Best DF]]</f>
        <v>196000000000</v>
      </c>
      <c r="R201" s="1">
        <f>_xlfn.STDEV.S(Pcfu4[[#This Row],[R1]:[R3]])/0.025*Pcfu4[[#This Row],[Best DF]]</f>
        <v>11313708498.98476</v>
      </c>
      <c r="S201" s="6">
        <f>Pcfu4[[#This Row],[CFU/mL]]*Pcfu4[[#This Row],[mL]]/Pcfu4[[#This Row],[grams]]</f>
        <v>3724000000000</v>
      </c>
      <c r="T201" s="1">
        <f>Pcfu4[[#This Row],[SD CFU/mL]]*Pcfu4[[#This Row],[mL]]/Pcfu4[[#This Row],[grams]]</f>
        <v>214960461480.71045</v>
      </c>
      <c r="U201" s="7">
        <f>_xlfn.STDEV.S(Pcfu43[[#This Row],[R1]:[R3]])/AVERAGE(Pcfu43[[#This Row],[R1]:[R3]])</f>
        <v>0.42323885074131606</v>
      </c>
      <c r="V201" s="96"/>
      <c r="W201" s="7" t="s">
        <v>206</v>
      </c>
      <c r="X201" t="s">
        <v>303</v>
      </c>
    </row>
    <row r="202" spans="1:24" x14ac:dyDescent="0.15">
      <c r="A202" t="s">
        <v>300</v>
      </c>
      <c r="B202" t="s">
        <v>272</v>
      </c>
      <c r="D202" t="s">
        <v>136</v>
      </c>
      <c r="E202" s="3">
        <v>2</v>
      </c>
      <c r="G202">
        <v>0.1</v>
      </c>
      <c r="H202" s="5">
        <f>19*Pcfu4[[#This Row],[grams]]</f>
        <v>1.9000000000000001</v>
      </c>
      <c r="I202" s="3" t="s">
        <v>170</v>
      </c>
      <c r="J202" s="59">
        <v>44883</v>
      </c>
      <c r="L202" s="59" t="e" cm="1">
        <f t="array" ref="L202">INDEX($J$4:J1292, MATCH(1,(A202=$A$4:A1290)*(C202=$C$4:C1290)*("Y"=$K$4:K1292),0))</f>
        <v>#N/A</v>
      </c>
      <c r="M202" s="1">
        <v>100000000</v>
      </c>
      <c r="N202">
        <v>30</v>
      </c>
      <c r="O202">
        <v>46</v>
      </c>
      <c r="P202"/>
      <c r="Q202" s="6">
        <f>(SUM(Pcfu4[[#This Row],[R1]:[R3]]))/(Pcfu4[[#This Row],[No. Reps]]*0.025)*Pcfu4[[#This Row],[Best DF]]</f>
        <v>152000000000</v>
      </c>
      <c r="R202" s="1">
        <f>_xlfn.STDEV.S(Pcfu4[[#This Row],[R1]:[R3]])/0.025*Pcfu4[[#This Row],[Best DF]]</f>
        <v>45254833995.939041</v>
      </c>
      <c r="S202" s="6">
        <f>Pcfu4[[#This Row],[CFU/mL]]*Pcfu4[[#This Row],[mL]]/Pcfu4[[#This Row],[grams]]</f>
        <v>2888000000000</v>
      </c>
      <c r="T202" s="1">
        <f>Pcfu4[[#This Row],[SD CFU/mL]]*Pcfu4[[#This Row],[mL]]/Pcfu4[[#This Row],[grams]]</f>
        <v>859841845922.8418</v>
      </c>
      <c r="U202" s="7" t="e">
        <f>_xlfn.STDEV.S(Pcfu43[[#This Row],[R1]:[R3]])/AVERAGE(Pcfu43[[#This Row],[R1]:[R3]])</f>
        <v>#DIV/0!</v>
      </c>
      <c r="V202" s="96"/>
      <c r="W202" s="7" t="s">
        <v>206</v>
      </c>
      <c r="X202" t="s">
        <v>303</v>
      </c>
    </row>
    <row r="203" spans="1:24" x14ac:dyDescent="0.15">
      <c r="A203" t="s">
        <v>301</v>
      </c>
      <c r="B203" t="s">
        <v>272</v>
      </c>
      <c r="D203" t="s">
        <v>136</v>
      </c>
      <c r="E203" s="3">
        <v>2</v>
      </c>
      <c r="G203">
        <v>0.1</v>
      </c>
      <c r="H203" s="5">
        <f>19*Pcfu4[[#This Row],[grams]]</f>
        <v>1.9000000000000001</v>
      </c>
      <c r="I203" s="3" t="s">
        <v>170</v>
      </c>
      <c r="J203" s="59">
        <v>44883</v>
      </c>
      <c r="L203" s="59" t="e" cm="1">
        <f t="array" ref="L203">INDEX($J$4:J1293, MATCH(1,(A203=$A$4:A1291)*(C203=$C$4:C1291)*("Y"=$K$4:K1293),0))</f>
        <v>#N/A</v>
      </c>
      <c r="M203" s="1">
        <v>100000000</v>
      </c>
      <c r="N203">
        <v>94</v>
      </c>
      <c r="O203">
        <v>78</v>
      </c>
      <c r="P203"/>
      <c r="Q203" s="6">
        <f>(SUM(Pcfu4[[#This Row],[R1]:[R3]]))/(Pcfu4[[#This Row],[No. Reps]]*0.025)*Pcfu4[[#This Row],[Best DF]]</f>
        <v>344000000000</v>
      </c>
      <c r="R203" s="1">
        <f>_xlfn.STDEV.S(Pcfu4[[#This Row],[R1]:[R3]])/0.025*Pcfu4[[#This Row],[Best DF]]</f>
        <v>45254833995.939041</v>
      </c>
      <c r="S203" s="6">
        <f>Pcfu4[[#This Row],[CFU/mL]]*Pcfu4[[#This Row],[mL]]/Pcfu4[[#This Row],[grams]]</f>
        <v>6536000000000</v>
      </c>
      <c r="T203" s="1">
        <f>Pcfu4[[#This Row],[SD CFU/mL]]*Pcfu4[[#This Row],[mL]]/Pcfu4[[#This Row],[grams]]</f>
        <v>859841845922.8418</v>
      </c>
      <c r="U203" s="7" t="e">
        <f>_xlfn.STDEV.S(Pcfu43[[#This Row],[R1]:[R3]])/AVERAGE(Pcfu43[[#This Row],[R1]:[R3]])</f>
        <v>#DIV/0!</v>
      </c>
      <c r="V203" s="96"/>
      <c r="W203" s="7" t="s">
        <v>206</v>
      </c>
      <c r="X203" t="s">
        <v>303</v>
      </c>
    </row>
    <row r="204" spans="1:24" x14ac:dyDescent="0.15">
      <c r="A204" t="s">
        <v>302</v>
      </c>
      <c r="B204" t="s">
        <v>272</v>
      </c>
      <c r="D204" t="s">
        <v>136</v>
      </c>
      <c r="E204" s="3">
        <v>2</v>
      </c>
      <c r="G204">
        <v>0.1</v>
      </c>
      <c r="H204" s="5">
        <f>19*Pcfu4[[#This Row],[grams]]</f>
        <v>1.9000000000000001</v>
      </c>
      <c r="I204" s="3" t="s">
        <v>170</v>
      </c>
      <c r="J204" s="59">
        <v>44883</v>
      </c>
      <c r="L204" s="59" t="e" cm="1">
        <f t="array" ref="L204">INDEX($J$4:J1294, MATCH(1,(A204=$A$4:A1292)*(C204=$C$4:C1292)*("Y"=$K$4:K1294),0))</f>
        <v>#N/A</v>
      </c>
      <c r="M204" s="1">
        <v>100000000</v>
      </c>
      <c r="N204">
        <v>91</v>
      </c>
      <c r="O204">
        <v>110</v>
      </c>
      <c r="P204"/>
      <c r="Q204" s="6">
        <f>(SUM(Pcfu4[[#This Row],[R1]:[R3]]))/(Pcfu4[[#This Row],[No. Reps]]*0.025)*Pcfu4[[#This Row],[Best DF]]</f>
        <v>402000000000</v>
      </c>
      <c r="R204" s="1">
        <f>_xlfn.STDEV.S(Pcfu4[[#This Row],[R1]:[R3]])/0.025*Pcfu4[[#This Row],[Best DF]]</f>
        <v>53740115370.177612</v>
      </c>
      <c r="S204" s="6">
        <f>Pcfu4[[#This Row],[CFU/mL]]*Pcfu4[[#This Row],[mL]]/Pcfu4[[#This Row],[grams]]</f>
        <v>7638000000000</v>
      </c>
      <c r="T204" s="1">
        <f>Pcfu4[[#This Row],[SD CFU/mL]]*Pcfu4[[#This Row],[mL]]/Pcfu4[[#This Row],[grams]]</f>
        <v>1021062192033.3746</v>
      </c>
      <c r="U204" s="7" t="e">
        <f>_xlfn.STDEV.S(Pcfu43[[#This Row],[R1]:[R3]])/AVERAGE(Pcfu43[[#This Row],[R1]:[R3]])</f>
        <v>#DIV/0!</v>
      </c>
      <c r="V204" s="96"/>
      <c r="W204" s="7" t="s">
        <v>206</v>
      </c>
      <c r="X204" t="s">
        <v>303</v>
      </c>
    </row>
    <row r="205" spans="1:24" x14ac:dyDescent="0.15">
      <c r="A205" t="s">
        <v>304</v>
      </c>
      <c r="B205" t="s">
        <v>272</v>
      </c>
      <c r="D205" t="s">
        <v>136</v>
      </c>
      <c r="E205" s="3">
        <v>2</v>
      </c>
      <c r="G205">
        <v>0.1</v>
      </c>
      <c r="H205" s="5">
        <f>19*Pcfu4[[#This Row],[grams]]</f>
        <v>1.9000000000000001</v>
      </c>
      <c r="I205" s="3" t="s">
        <v>170</v>
      </c>
      <c r="J205" s="59">
        <v>44883</v>
      </c>
      <c r="L205" s="59" t="e" cm="1">
        <f t="array" ref="L205">INDEX($J$4:J1295, MATCH(1,(A205=$A$4:A1293)*(C205=$C$4:C1293)*("Y"=$K$4:K1295),0))</f>
        <v>#N/A</v>
      </c>
      <c r="M205" s="1">
        <v>100000000</v>
      </c>
      <c r="N205">
        <v>55</v>
      </c>
      <c r="O205">
        <v>59</v>
      </c>
      <c r="P205"/>
      <c r="Q205" s="6">
        <f>(SUM(Pcfu4[[#This Row],[R1]:[R3]]))/(Pcfu4[[#This Row],[No. Reps]]*0.025)*Pcfu4[[#This Row],[Best DF]]</f>
        <v>228000000000</v>
      </c>
      <c r="R205" s="1">
        <f>_xlfn.STDEV.S(Pcfu4[[#This Row],[R1]:[R3]])/0.025*Pcfu4[[#This Row],[Best DF]]</f>
        <v>11313708498.98476</v>
      </c>
      <c r="S205" s="6">
        <f>Pcfu4[[#This Row],[CFU/mL]]*Pcfu4[[#This Row],[mL]]/Pcfu4[[#This Row],[grams]]</f>
        <v>4332000000000</v>
      </c>
      <c r="T205" s="1">
        <f>Pcfu4[[#This Row],[SD CFU/mL]]*Pcfu4[[#This Row],[mL]]/Pcfu4[[#This Row],[grams]]</f>
        <v>214960461480.71045</v>
      </c>
      <c r="U205" s="7" t="e">
        <f>_xlfn.STDEV.S(Pcfu43[[#This Row],[R1]:[R3]])/AVERAGE(Pcfu43[[#This Row],[R1]:[R3]])</f>
        <v>#DIV/0!</v>
      </c>
      <c r="V205" s="96"/>
      <c r="W205" s="7" t="s">
        <v>206</v>
      </c>
      <c r="X205" t="s">
        <v>305</v>
      </c>
    </row>
    <row r="206" spans="1:24" x14ac:dyDescent="0.15">
      <c r="A206" t="s">
        <v>306</v>
      </c>
      <c r="B206" t="s">
        <v>272</v>
      </c>
      <c r="D206" t="s">
        <v>136</v>
      </c>
      <c r="E206" s="3">
        <v>2</v>
      </c>
      <c r="G206">
        <v>0.1</v>
      </c>
      <c r="H206" s="5">
        <f>19*Pcfu4[[#This Row],[grams]]</f>
        <v>1.9000000000000001</v>
      </c>
      <c r="I206" s="3" t="s">
        <v>170</v>
      </c>
      <c r="J206" s="59">
        <v>44883</v>
      </c>
      <c r="L206" s="59" t="e" cm="1">
        <f t="array" ref="L206">INDEX($J$4:J1296, MATCH(1,(A206=$A$4:A1294)*(C206=$C$4:C1294)*("Y"=$K$4:K1296),0))</f>
        <v>#N/A</v>
      </c>
      <c r="M206" s="1">
        <v>100000000</v>
      </c>
      <c r="N206">
        <v>33</v>
      </c>
      <c r="O206">
        <v>26</v>
      </c>
      <c r="P206"/>
      <c r="Q206" s="6">
        <f>(SUM(Pcfu4[[#This Row],[R1]:[R3]]))/(Pcfu4[[#This Row],[No. Reps]]*0.025)*Pcfu4[[#This Row],[Best DF]]</f>
        <v>118000000000</v>
      </c>
      <c r="R206" s="1">
        <f>_xlfn.STDEV.S(Pcfu4[[#This Row],[R1]:[R3]])/0.025*Pcfu4[[#This Row],[Best DF]]</f>
        <v>19798989873.223328</v>
      </c>
      <c r="S206" s="6">
        <f>Pcfu4[[#This Row],[CFU/mL]]*Pcfu4[[#This Row],[mL]]/Pcfu4[[#This Row],[grams]]</f>
        <v>2242000000000</v>
      </c>
      <c r="T206" s="1">
        <f>Pcfu4[[#This Row],[SD CFU/mL]]*Pcfu4[[#This Row],[mL]]/Pcfu4[[#This Row],[grams]]</f>
        <v>376180807591.24329</v>
      </c>
      <c r="U206" s="7" t="e">
        <f>_xlfn.STDEV.S(Pcfu43[[#This Row],[R1]:[R3]])/AVERAGE(Pcfu43[[#This Row],[R1]:[R3]])</f>
        <v>#DIV/0!</v>
      </c>
      <c r="V206" s="96"/>
      <c r="W206" s="7" t="s">
        <v>206</v>
      </c>
      <c r="X206" t="s">
        <v>305</v>
      </c>
    </row>
    <row r="207" spans="1:24" x14ac:dyDescent="0.15">
      <c r="A207" t="s">
        <v>307</v>
      </c>
      <c r="B207" t="s">
        <v>272</v>
      </c>
      <c r="D207" t="s">
        <v>136</v>
      </c>
      <c r="E207" s="3">
        <v>2</v>
      </c>
      <c r="G207">
        <v>0.1</v>
      </c>
      <c r="H207" s="5">
        <f>19*Pcfu4[[#This Row],[grams]]</f>
        <v>1.9000000000000001</v>
      </c>
      <c r="I207" s="3" t="s">
        <v>170</v>
      </c>
      <c r="J207" s="59">
        <v>44883</v>
      </c>
      <c r="L207" s="59" t="e" cm="1">
        <f t="array" ref="L207">INDEX($J$4:J1297, MATCH(1,(A207=$A$4:A1295)*(C207=$C$4:C1295)*("Y"=$K$4:K1297),0))</f>
        <v>#N/A</v>
      </c>
      <c r="M207" s="1">
        <v>100000000</v>
      </c>
      <c r="N207">
        <v>98</v>
      </c>
      <c r="O207">
        <v>87</v>
      </c>
      <c r="P207"/>
      <c r="Q207" s="6">
        <f>(SUM(Pcfu4[[#This Row],[R1]:[R3]]))/(Pcfu4[[#This Row],[No. Reps]]*0.025)*Pcfu4[[#This Row],[Best DF]]</f>
        <v>370000000000</v>
      </c>
      <c r="R207" s="1">
        <f>_xlfn.STDEV.S(Pcfu4[[#This Row],[R1]:[R3]])/0.025*Pcfu4[[#This Row],[Best DF]]</f>
        <v>31112698372.208088</v>
      </c>
      <c r="S207" s="6">
        <f>Pcfu4[[#This Row],[CFU/mL]]*Pcfu4[[#This Row],[mL]]/Pcfu4[[#This Row],[grams]]</f>
        <v>7030000000000</v>
      </c>
      <c r="T207" s="1">
        <f>Pcfu4[[#This Row],[SD CFU/mL]]*Pcfu4[[#This Row],[mL]]/Pcfu4[[#This Row],[grams]]</f>
        <v>591141269071.95374</v>
      </c>
      <c r="U207" s="7" t="e">
        <f>_xlfn.STDEV.S(Pcfu43[[#This Row],[R1]:[R3]])/AVERAGE(Pcfu43[[#This Row],[R1]:[R3]])</f>
        <v>#DIV/0!</v>
      </c>
      <c r="V207" s="96"/>
      <c r="W207" s="7" t="s">
        <v>206</v>
      </c>
      <c r="X207" t="s">
        <v>305</v>
      </c>
    </row>
    <row r="208" spans="1:24" x14ac:dyDescent="0.15">
      <c r="A208" t="s">
        <v>308</v>
      </c>
      <c r="B208" t="s">
        <v>272</v>
      </c>
      <c r="D208" t="s">
        <v>136</v>
      </c>
      <c r="E208" s="3">
        <v>2</v>
      </c>
      <c r="G208">
        <v>0.1</v>
      </c>
      <c r="H208" s="5">
        <f>19*Pcfu4[[#This Row],[grams]]</f>
        <v>1.9000000000000001</v>
      </c>
      <c r="I208" s="3" t="s">
        <v>170</v>
      </c>
      <c r="J208" s="59">
        <v>44883</v>
      </c>
      <c r="L208" s="59" t="e" cm="1">
        <f t="array" ref="L208">INDEX($J$4:J1298, MATCH(1,(A208=$A$4:A1296)*(C208=$C$4:C1296)*("Y"=$K$4:K1298),0))</f>
        <v>#N/A</v>
      </c>
      <c r="M208" s="1">
        <v>100000000</v>
      </c>
      <c r="N208">
        <v>90</v>
      </c>
      <c r="O208">
        <v>81</v>
      </c>
      <c r="P208"/>
      <c r="Q208" s="6">
        <f>(SUM(Pcfu4[[#This Row],[R1]:[R3]]))/(Pcfu4[[#This Row],[No. Reps]]*0.025)*Pcfu4[[#This Row],[Best DF]]</f>
        <v>342000000000</v>
      </c>
      <c r="R208" s="1">
        <f>_xlfn.STDEV.S(Pcfu4[[#This Row],[R1]:[R3]])/0.025*Pcfu4[[#This Row],[Best DF]]</f>
        <v>25455844122.71571</v>
      </c>
      <c r="S208" s="6">
        <f>Pcfu4[[#This Row],[CFU/mL]]*Pcfu4[[#This Row],[mL]]/Pcfu4[[#This Row],[grams]]</f>
        <v>6498000000000</v>
      </c>
      <c r="T208" s="1">
        <f>Pcfu4[[#This Row],[SD CFU/mL]]*Pcfu4[[#This Row],[mL]]/Pcfu4[[#This Row],[grams]]</f>
        <v>483661038331.59851</v>
      </c>
      <c r="U208" s="7" t="e">
        <f>_xlfn.STDEV.S(Pcfu43[[#This Row],[R1]:[R3]])/AVERAGE(Pcfu43[[#This Row],[R1]:[R3]])</f>
        <v>#DIV/0!</v>
      </c>
      <c r="V208" s="96"/>
      <c r="W208" s="7" t="s">
        <v>206</v>
      </c>
      <c r="X208" t="s">
        <v>305</v>
      </c>
    </row>
    <row r="209" spans="1:23" x14ac:dyDescent="0.15">
      <c r="A209" t="s">
        <v>47</v>
      </c>
      <c r="B209" t="s">
        <v>259</v>
      </c>
      <c r="D209" t="s">
        <v>86</v>
      </c>
      <c r="E209" s="3">
        <v>2</v>
      </c>
      <c r="G209">
        <v>0.1</v>
      </c>
      <c r="H209" s="5">
        <f>19*Pcfu4[[#This Row],[grams]]</f>
        <v>1.9000000000000001</v>
      </c>
      <c r="I209" s="3" t="s">
        <v>170</v>
      </c>
      <c r="J209" s="59">
        <v>44887</v>
      </c>
      <c r="L209" s="59" t="e" cm="1">
        <f t="array" ref="L209">INDEX($J$4:J1299, MATCH(1,(A209=$A$4:A1297)*(C209=$C$4:C1297)*("Y"=$K$4:K1299),0))</f>
        <v>#N/A</v>
      </c>
      <c r="M209" s="1">
        <v>10000000</v>
      </c>
      <c r="N209">
        <v>43</v>
      </c>
      <c r="O209">
        <v>25</v>
      </c>
      <c r="P209"/>
      <c r="Q209" s="6">
        <f>(SUM(Pcfu4[[#This Row],[R1]:[R3]]))/(Pcfu4[[#This Row],[No. Reps]]*0.025)*Pcfu4[[#This Row],[Best DF]]</f>
        <v>13600000000</v>
      </c>
      <c r="R209" s="1">
        <f>_xlfn.STDEV.S(Pcfu4[[#This Row],[R1]:[R3]])/0.025*Pcfu4[[#This Row],[Best DF]]</f>
        <v>5091168824.5431414</v>
      </c>
      <c r="S209" s="6">
        <f>Pcfu4[[#This Row],[CFU/mL]]*Pcfu4[[#This Row],[mL]]/Pcfu4[[#This Row],[grams]]</f>
        <v>258400000000</v>
      </c>
      <c r="T209" s="1">
        <f>Pcfu4[[#This Row],[SD CFU/mL]]*Pcfu4[[#This Row],[mL]]/Pcfu4[[#This Row],[grams]]</f>
        <v>96732207666.319687</v>
      </c>
      <c r="U209" s="7" t="e">
        <f>_xlfn.STDEV.S(Pcfu43[[#This Row],[R1]:[R3]])/AVERAGE(Pcfu43[[#This Row],[R1]:[R3]])</f>
        <v>#DIV/0!</v>
      </c>
      <c r="V209" s="96"/>
      <c r="W209" s="7"/>
    </row>
    <row r="210" spans="1:23" x14ac:dyDescent="0.15">
      <c r="A210" t="s">
        <v>50</v>
      </c>
      <c r="B210" t="s">
        <v>259</v>
      </c>
      <c r="D210" t="s">
        <v>86</v>
      </c>
      <c r="E210" s="3">
        <v>2</v>
      </c>
      <c r="G210">
        <v>0.1</v>
      </c>
      <c r="H210" s="5">
        <f>19*Pcfu4[[#This Row],[grams]]</f>
        <v>1.9000000000000001</v>
      </c>
      <c r="I210" s="3" t="s">
        <v>170</v>
      </c>
      <c r="J210" s="59">
        <v>44887</v>
      </c>
      <c r="L210" s="59" t="e" cm="1">
        <f t="array" ref="L210">INDEX($J$4:J1300, MATCH(1,(A210=$A$4:A1298)*(C210=$C$4:C1298)*("Y"=$K$4:K1300),0))</f>
        <v>#N/A</v>
      </c>
      <c r="M210" s="1">
        <v>10000000</v>
      </c>
      <c r="N210">
        <v>37</v>
      </c>
      <c r="O210">
        <v>34</v>
      </c>
      <c r="P210"/>
      <c r="Q210" s="6">
        <f>(SUM(Pcfu4[[#This Row],[R1]:[R3]]))/(Pcfu4[[#This Row],[No. Reps]]*0.025)*Pcfu4[[#This Row],[Best DF]]</f>
        <v>14200000000</v>
      </c>
      <c r="R210" s="1">
        <f>_xlfn.STDEV.S(Pcfu4[[#This Row],[R1]:[R3]])/0.025*Pcfu4[[#This Row],[Best DF]]</f>
        <v>848528137.42385697</v>
      </c>
      <c r="S210" s="6">
        <f>Pcfu4[[#This Row],[CFU/mL]]*Pcfu4[[#This Row],[mL]]/Pcfu4[[#This Row],[grams]]</f>
        <v>269800000000</v>
      </c>
      <c r="T210" s="1">
        <f>Pcfu4[[#This Row],[SD CFU/mL]]*Pcfu4[[#This Row],[mL]]/Pcfu4[[#This Row],[grams]]</f>
        <v>16122034611.053282</v>
      </c>
      <c r="U210" s="7" t="e">
        <f>_xlfn.STDEV.S(Pcfu43[[#This Row],[R1]:[R3]])/AVERAGE(Pcfu43[[#This Row],[R1]:[R3]])</f>
        <v>#DIV/0!</v>
      </c>
      <c r="V210" s="96"/>
      <c r="W210" s="7"/>
    </row>
    <row r="211" spans="1:23" x14ac:dyDescent="0.15">
      <c r="A211" t="s">
        <v>53</v>
      </c>
      <c r="B211" t="s">
        <v>259</v>
      </c>
      <c r="D211" t="s">
        <v>86</v>
      </c>
      <c r="E211" s="3">
        <v>2</v>
      </c>
      <c r="G211">
        <v>0.1</v>
      </c>
      <c r="H211" s="5">
        <f>19*Pcfu4[[#This Row],[grams]]</f>
        <v>1.9000000000000001</v>
      </c>
      <c r="I211" s="3" t="s">
        <v>170</v>
      </c>
      <c r="J211" s="59">
        <v>44887</v>
      </c>
      <c r="L211" s="59" t="e" cm="1">
        <f t="array" ref="L211">INDEX($J$4:J1301, MATCH(1,(A211=$A$4:A1299)*(C211=$C$4:C1299)*("Y"=$K$4:K1301),0))</f>
        <v>#N/A</v>
      </c>
      <c r="M211" s="1">
        <v>1000000</v>
      </c>
      <c r="N211">
        <v>250</v>
      </c>
      <c r="O211">
        <v>217</v>
      </c>
      <c r="P211"/>
      <c r="Q211" s="6">
        <f>(SUM(Pcfu4[[#This Row],[R1]:[R3]]))/(Pcfu4[[#This Row],[No. Reps]]*0.025)*Pcfu4[[#This Row],[Best DF]]</f>
        <v>9340000000</v>
      </c>
      <c r="R211" s="1">
        <f>_xlfn.STDEV.S(Pcfu4[[#This Row],[R1]:[R3]])/0.025*Pcfu4[[#This Row],[Best DF]]</f>
        <v>933380951.1662426</v>
      </c>
      <c r="S211" s="6">
        <f>Pcfu4[[#This Row],[CFU/mL]]*Pcfu4[[#This Row],[mL]]/Pcfu4[[#This Row],[grams]]</f>
        <v>177460000000</v>
      </c>
      <c r="T211" s="1">
        <f>Pcfu4[[#This Row],[SD CFU/mL]]*Pcfu4[[#This Row],[mL]]/Pcfu4[[#This Row],[grams]]</f>
        <v>17734238072.158611</v>
      </c>
      <c r="U211" s="7" t="e">
        <f>_xlfn.STDEV.S(Pcfu43[[#This Row],[R1]:[R3]])/AVERAGE(Pcfu43[[#This Row],[R1]:[R3]])</f>
        <v>#DIV/0!</v>
      </c>
      <c r="V211" s="96"/>
      <c r="W211" s="7"/>
    </row>
    <row r="212" spans="1:23" x14ac:dyDescent="0.15">
      <c r="A212" t="s">
        <v>55</v>
      </c>
      <c r="B212" t="s">
        <v>259</v>
      </c>
      <c r="D212" t="s">
        <v>86</v>
      </c>
      <c r="E212" s="3">
        <v>2</v>
      </c>
      <c r="G212">
        <v>0.1</v>
      </c>
      <c r="H212" s="5">
        <f>19*Pcfu4[[#This Row],[grams]]</f>
        <v>1.9000000000000001</v>
      </c>
      <c r="I212" s="3" t="s">
        <v>170</v>
      </c>
      <c r="J212" s="59">
        <v>44887</v>
      </c>
      <c r="L212" s="59" t="e" cm="1">
        <f t="array" ref="L212">INDEX($J$4:J1302, MATCH(1,(A212=$A$4:A1300)*(C212=$C$4:C1300)*("Y"=$K$4:K1302),0))</f>
        <v>#N/A</v>
      </c>
      <c r="M212" s="1">
        <v>1000000</v>
      </c>
      <c r="N212">
        <v>132</v>
      </c>
      <c r="O212">
        <v>126</v>
      </c>
      <c r="P212"/>
      <c r="Q212" s="6">
        <f>(SUM(Pcfu4[[#This Row],[R1]:[R3]]))/(Pcfu4[[#This Row],[No. Reps]]*0.025)*Pcfu4[[#This Row],[Best DF]]</f>
        <v>5160000000</v>
      </c>
      <c r="R212" s="1">
        <f>_xlfn.STDEV.S(Pcfu4[[#This Row],[R1]:[R3]])/0.025*Pcfu4[[#This Row],[Best DF]]</f>
        <v>169705627.48477137</v>
      </c>
      <c r="S212" s="6">
        <f>Pcfu4[[#This Row],[CFU/mL]]*Pcfu4[[#This Row],[mL]]/Pcfu4[[#This Row],[grams]]</f>
        <v>98040000000</v>
      </c>
      <c r="T212" s="1">
        <f>Pcfu4[[#This Row],[SD CFU/mL]]*Pcfu4[[#This Row],[mL]]/Pcfu4[[#This Row],[grams]]</f>
        <v>3224406922.2106562</v>
      </c>
      <c r="U212" s="7" t="e">
        <f>_xlfn.STDEV.S(Pcfu43[[#This Row],[R1]:[R3]])/AVERAGE(Pcfu43[[#This Row],[R1]:[R3]])</f>
        <v>#DIV/0!</v>
      </c>
      <c r="V212" s="96"/>
      <c r="W212" s="7"/>
    </row>
    <row r="213" spans="1:23" x14ac:dyDescent="0.15">
      <c r="A213" t="s">
        <v>58</v>
      </c>
      <c r="B213" t="s">
        <v>259</v>
      </c>
      <c r="D213" t="s">
        <v>86</v>
      </c>
      <c r="E213" s="3">
        <v>2</v>
      </c>
      <c r="G213">
        <v>0.1</v>
      </c>
      <c r="H213" s="5">
        <f>19*Pcfu4[[#This Row],[grams]]</f>
        <v>1.9000000000000001</v>
      </c>
      <c r="I213" s="3" t="s">
        <v>170</v>
      </c>
      <c r="J213" s="59">
        <v>44887</v>
      </c>
      <c r="L213" s="59" t="e" cm="1">
        <f t="array" ref="L213">INDEX($J$4:J1303, MATCH(1,(A213=$A$4:A1301)*(C213=$C$4:C1301)*("Y"=$K$4:K1303),0))</f>
        <v>#N/A</v>
      </c>
      <c r="M213" s="1">
        <v>1000000</v>
      </c>
      <c r="N213">
        <v>132</v>
      </c>
      <c r="O213">
        <v>135</v>
      </c>
      <c r="P213"/>
      <c r="Q213" s="6">
        <f>(SUM(Pcfu4[[#This Row],[R1]:[R3]]))/(Pcfu4[[#This Row],[No. Reps]]*0.025)*Pcfu4[[#This Row],[Best DF]]</f>
        <v>5340000000</v>
      </c>
      <c r="R213" s="1">
        <f>_xlfn.STDEV.S(Pcfu4[[#This Row],[R1]:[R3]])/0.025*Pcfu4[[#This Row],[Best DF]]</f>
        <v>84852813.742385685</v>
      </c>
      <c r="S213" s="6">
        <f>Pcfu4[[#This Row],[CFU/mL]]*Pcfu4[[#This Row],[mL]]/Pcfu4[[#This Row],[grams]]</f>
        <v>101460000000</v>
      </c>
      <c r="T213" s="1">
        <f>Pcfu4[[#This Row],[SD CFU/mL]]*Pcfu4[[#This Row],[mL]]/Pcfu4[[#This Row],[grams]]</f>
        <v>1612203461.1053281</v>
      </c>
      <c r="U213" s="7" t="e">
        <f>_xlfn.STDEV.S(Pcfu43[[#This Row],[R1]:[R3]])/AVERAGE(Pcfu43[[#This Row],[R1]:[R3]])</f>
        <v>#DIV/0!</v>
      </c>
      <c r="V213" s="96"/>
      <c r="W213" s="7"/>
    </row>
    <row r="214" spans="1:23" x14ac:dyDescent="0.15">
      <c r="A214" t="s">
        <v>60</v>
      </c>
      <c r="B214" t="s">
        <v>259</v>
      </c>
      <c r="D214" t="s">
        <v>86</v>
      </c>
      <c r="E214" s="3">
        <v>2</v>
      </c>
      <c r="G214">
        <v>0.1</v>
      </c>
      <c r="H214" s="5">
        <f>19*Pcfu4[[#This Row],[grams]]</f>
        <v>1.9000000000000001</v>
      </c>
      <c r="I214" s="3" t="s">
        <v>170</v>
      </c>
      <c r="J214" s="59">
        <v>44887</v>
      </c>
      <c r="L214" s="59" t="e" cm="1">
        <f t="array" ref="L214">INDEX($J$4:J1304, MATCH(1,(A214=$A$4:A1302)*(C214=$C$4:C1302)*("Y"=$K$4:K1304),0))</f>
        <v>#N/A</v>
      </c>
      <c r="M214" s="1">
        <v>1000000</v>
      </c>
      <c r="N214">
        <v>132</v>
      </c>
      <c r="O214">
        <v>129</v>
      </c>
      <c r="P214"/>
      <c r="Q214" s="6">
        <f>(SUM(Pcfu4[[#This Row],[R1]:[R3]]))/(Pcfu4[[#This Row],[No. Reps]]*0.025)*Pcfu4[[#This Row],[Best DF]]</f>
        <v>5220000000</v>
      </c>
      <c r="R214" s="1">
        <f>_xlfn.STDEV.S(Pcfu4[[#This Row],[R1]:[R3]])/0.025*Pcfu4[[#This Row],[Best DF]]</f>
        <v>84852813.742385685</v>
      </c>
      <c r="S214" s="6">
        <f>Pcfu4[[#This Row],[CFU/mL]]*Pcfu4[[#This Row],[mL]]/Pcfu4[[#This Row],[grams]]</f>
        <v>99180000000</v>
      </c>
      <c r="T214" s="1">
        <f>Pcfu4[[#This Row],[SD CFU/mL]]*Pcfu4[[#This Row],[mL]]/Pcfu4[[#This Row],[grams]]</f>
        <v>1612203461.1053281</v>
      </c>
      <c r="U214" s="7">
        <f>_xlfn.STDEV.S(Pcfu43[[#This Row],[R1]:[R3]])/AVERAGE(Pcfu43[[#This Row],[R1]:[R3]])</f>
        <v>0.13582606705623881</v>
      </c>
      <c r="V214" s="96"/>
      <c r="W214" s="7"/>
    </row>
    <row r="215" spans="1:23" x14ac:dyDescent="0.15">
      <c r="A215" t="s">
        <v>260</v>
      </c>
      <c r="B215" t="s">
        <v>259</v>
      </c>
      <c r="D215" t="s">
        <v>86</v>
      </c>
      <c r="E215" s="3">
        <v>2</v>
      </c>
      <c r="G215">
        <v>0.1</v>
      </c>
      <c r="H215" s="5">
        <f>19*Pcfu4[[#This Row],[grams]]</f>
        <v>1.9000000000000001</v>
      </c>
      <c r="I215" s="3" t="s">
        <v>170</v>
      </c>
      <c r="J215" s="59">
        <v>44887</v>
      </c>
      <c r="L215" s="59" t="e" cm="1">
        <f t="array" ref="L215">INDEX($J$4:J1305, MATCH(1,(A215=$A$4:A1303)*(C215=$C$4:C1303)*("Y"=$K$4:K1305),0))</f>
        <v>#N/A</v>
      </c>
      <c r="M215" s="1">
        <v>1000000</v>
      </c>
      <c r="N215">
        <v>141</v>
      </c>
      <c r="O215">
        <v>139</v>
      </c>
      <c r="P215"/>
      <c r="Q215" s="6">
        <f>(SUM(Pcfu4[[#This Row],[R1]:[R3]]))/(Pcfu4[[#This Row],[No. Reps]]*0.025)*Pcfu4[[#This Row],[Best DF]]</f>
        <v>5600000000</v>
      </c>
      <c r="R215" s="1">
        <f>_xlfn.STDEV.S(Pcfu4[[#This Row],[R1]:[R3]])/0.025*Pcfu4[[#This Row],[Best DF]]</f>
        <v>56568542.494923808</v>
      </c>
      <c r="S215" s="6">
        <f>Pcfu4[[#This Row],[CFU/mL]]*Pcfu4[[#This Row],[mL]]/Pcfu4[[#This Row],[grams]]</f>
        <v>106400000000</v>
      </c>
      <c r="T215" s="1">
        <f>Pcfu4[[#This Row],[SD CFU/mL]]*Pcfu4[[#This Row],[mL]]/Pcfu4[[#This Row],[grams]]</f>
        <v>1074802307.4035523</v>
      </c>
      <c r="U215" s="7">
        <f>_xlfn.STDEV.S(Pcfu43[[#This Row],[R1]:[R3]])/AVERAGE(Pcfu43[[#This Row],[R1]:[R3]])</f>
        <v>4.807401700618652E-2</v>
      </c>
      <c r="V215" s="96"/>
      <c r="W215" s="7"/>
    </row>
    <row r="216" spans="1:23" x14ac:dyDescent="0.15">
      <c r="A216" t="s">
        <v>296</v>
      </c>
      <c r="B216" t="s">
        <v>259</v>
      </c>
      <c r="D216" t="s">
        <v>86</v>
      </c>
      <c r="E216" s="3">
        <v>2</v>
      </c>
      <c r="G216">
        <v>0.1</v>
      </c>
      <c r="H216" s="5">
        <f>19*Pcfu4[[#This Row],[grams]]</f>
        <v>1.9000000000000001</v>
      </c>
      <c r="I216" s="3" t="s">
        <v>170</v>
      </c>
      <c r="J216" s="59">
        <v>44887</v>
      </c>
      <c r="L216" s="59" t="e" cm="1">
        <f t="array" ref="L216">INDEX($J$4:J1306, MATCH(1,(A216=$A$4:A1304)*(C216=$C$4:C1304)*("Y"=$K$4:K1306),0))</f>
        <v>#N/A</v>
      </c>
      <c r="M216" s="1">
        <v>10000000</v>
      </c>
      <c r="N216">
        <v>85</v>
      </c>
      <c r="O216">
        <v>78</v>
      </c>
      <c r="P216"/>
      <c r="Q216" s="6">
        <f>(SUM(Pcfu4[[#This Row],[R1]:[R3]]))/(Pcfu4[[#This Row],[No. Reps]]*0.025)*Pcfu4[[#This Row],[Best DF]]</f>
        <v>32600000000</v>
      </c>
      <c r="R216" s="1">
        <f>_xlfn.STDEV.S(Pcfu4[[#This Row],[R1]:[R3]])/0.025*Pcfu4[[#This Row],[Best DF]]</f>
        <v>1979898987.3223329</v>
      </c>
      <c r="S216" s="6">
        <f>Pcfu4[[#This Row],[CFU/mL]]*Pcfu4[[#This Row],[mL]]/Pcfu4[[#This Row],[grams]]</f>
        <v>619400000000</v>
      </c>
      <c r="T216" s="1">
        <f>Pcfu4[[#This Row],[SD CFU/mL]]*Pcfu4[[#This Row],[mL]]/Pcfu4[[#This Row],[grams]]</f>
        <v>37618080759.124321</v>
      </c>
      <c r="U216" s="7">
        <f>_xlfn.STDEV.S(Pcfu43[[#This Row],[R1]:[R3]])/AVERAGE(Pcfu43[[#This Row],[R1]:[R3]])</f>
        <v>0.1368593770038479</v>
      </c>
      <c r="V216" s="96"/>
      <c r="W216" s="7"/>
    </row>
    <row r="217" spans="1:23" x14ac:dyDescent="0.15">
      <c r="A217" t="s">
        <v>255</v>
      </c>
      <c r="B217" t="s">
        <v>309</v>
      </c>
      <c r="D217" s="66">
        <v>0</v>
      </c>
      <c r="E217" s="3">
        <v>2</v>
      </c>
      <c r="G217">
        <v>0.1</v>
      </c>
      <c r="H217" s="5">
        <f>19*Pcfu4[[#This Row],[grams]]</f>
        <v>1.9000000000000001</v>
      </c>
      <c r="I217" s="3" t="s">
        <v>170</v>
      </c>
      <c r="J217" s="59">
        <v>44893</v>
      </c>
      <c r="L217" s="59" t="e" cm="1">
        <f t="array" ref="L217">INDEX($J$4:J1307, MATCH(1,(A217=$A$4:A1305)*(C217=$C$4:C1305)*("Y"=$K$4:K1307),0))</f>
        <v>#N/A</v>
      </c>
      <c r="M217" s="1">
        <v>1</v>
      </c>
      <c r="N217">
        <v>21</v>
      </c>
      <c r="O217">
        <v>19</v>
      </c>
      <c r="P217"/>
      <c r="Q217" s="6">
        <f>(SUM(Pcfu4[[#This Row],[R1]:[R3]]))/(Pcfu4[[#This Row],[No. Reps]]*0.025)*Pcfu4[[#This Row],[Best DF]]</f>
        <v>800</v>
      </c>
      <c r="R217" s="1">
        <f>_xlfn.STDEV.S(Pcfu4[[#This Row],[R1]:[R3]])/0.025*Pcfu4[[#This Row],[Best DF]]</f>
        <v>56.568542494923804</v>
      </c>
      <c r="S217" s="6">
        <f>Pcfu4[[#This Row],[CFU/mL]]*Pcfu4[[#This Row],[mL]]/Pcfu4[[#This Row],[grams]]</f>
        <v>15200</v>
      </c>
      <c r="T217" s="1">
        <f>Pcfu4[[#This Row],[SD CFU/mL]]*Pcfu4[[#This Row],[mL]]/Pcfu4[[#This Row],[grams]]</f>
        <v>1074.8023074035523</v>
      </c>
      <c r="U217" s="7">
        <f>_xlfn.STDEV.S(Pcfu43[[#This Row],[R1]:[R3]])/AVERAGE(Pcfu43[[#This Row],[R1]:[R3]])</f>
        <v>0.16556368013526054</v>
      </c>
      <c r="V217" s="96"/>
      <c r="W217" s="7"/>
    </row>
    <row r="218" spans="1:23" x14ac:dyDescent="0.15">
      <c r="A218" t="s">
        <v>262</v>
      </c>
      <c r="B218" t="s">
        <v>309</v>
      </c>
      <c r="D218" t="s">
        <v>253</v>
      </c>
      <c r="E218" s="3">
        <v>2</v>
      </c>
      <c r="G218">
        <v>0.1</v>
      </c>
      <c r="H218" s="5">
        <f>19*Pcfu4[[#This Row],[grams]]</f>
        <v>1.9000000000000001</v>
      </c>
      <c r="I218" s="3" t="s">
        <v>170</v>
      </c>
      <c r="J218" s="59">
        <v>44893</v>
      </c>
      <c r="L218" s="59" t="e" cm="1">
        <f t="array" ref="L218">INDEX($J$4:J1308, MATCH(1,(A218=$A$4:A1306)*(C218=$C$4:C1306)*("Y"=$K$4:K1308),0))</f>
        <v>#N/A</v>
      </c>
      <c r="M218" s="1">
        <v>1</v>
      </c>
      <c r="N218">
        <v>3</v>
      </c>
      <c r="O218">
        <v>3</v>
      </c>
      <c r="P218"/>
      <c r="Q218" s="6">
        <f>(SUM(Pcfu4[[#This Row],[R1]:[R3]]))/(Pcfu4[[#This Row],[No. Reps]]*0.025)*Pcfu4[[#This Row],[Best DF]]</f>
        <v>120</v>
      </c>
      <c r="R218" s="1">
        <f>_xlfn.STDEV.S(Pcfu4[[#This Row],[R1]:[R3]])/0.025*Pcfu4[[#This Row],[Best DF]]</f>
        <v>0</v>
      </c>
      <c r="S218" s="6">
        <f>Pcfu4[[#This Row],[CFU/mL]]*Pcfu4[[#This Row],[mL]]/Pcfu4[[#This Row],[grams]]</f>
        <v>2280</v>
      </c>
      <c r="T218" s="1">
        <f>Pcfu4[[#This Row],[SD CFU/mL]]*Pcfu4[[#This Row],[mL]]/Pcfu4[[#This Row],[grams]]</f>
        <v>0</v>
      </c>
      <c r="U218" s="7">
        <f>_xlfn.STDEV.S(Pcfu43[[#This Row],[R1]:[R3]])/AVERAGE(Pcfu43[[#This Row],[R1]:[R3]])</f>
        <v>0.11652479202321844</v>
      </c>
      <c r="V218" s="96"/>
      <c r="W218" s="7"/>
    </row>
    <row r="219" spans="1:23" x14ac:dyDescent="0.15">
      <c r="A219" t="s">
        <v>263</v>
      </c>
      <c r="B219" t="s">
        <v>309</v>
      </c>
      <c r="D219" t="s">
        <v>253</v>
      </c>
      <c r="E219" s="3">
        <v>2</v>
      </c>
      <c r="G219">
        <v>0.1</v>
      </c>
      <c r="H219" s="5">
        <f>19*Pcfu4[[#This Row],[grams]]</f>
        <v>1.9000000000000001</v>
      </c>
      <c r="I219" s="3" t="s">
        <v>170</v>
      </c>
      <c r="J219" s="59">
        <v>44893</v>
      </c>
      <c r="L219" s="59" t="e" cm="1">
        <f t="array" ref="L219">INDEX($J$4:J1309, MATCH(1,(A219=$A$4:A1307)*(C219=$C$4:C1307)*("Y"=$K$4:K1309),0))</f>
        <v>#N/A</v>
      </c>
      <c r="M219" s="1">
        <v>10</v>
      </c>
      <c r="N219">
        <v>43</v>
      </c>
      <c r="O219">
        <v>41</v>
      </c>
      <c r="P219"/>
      <c r="Q219" s="6">
        <f>(SUM(Pcfu4[[#This Row],[R1]:[R3]]))/(Pcfu4[[#This Row],[No. Reps]]*0.025)*Pcfu4[[#This Row],[Best DF]]</f>
        <v>16800</v>
      </c>
      <c r="R219" s="1">
        <f>_xlfn.STDEV.S(Pcfu4[[#This Row],[R1]:[R3]])/0.025*Pcfu4[[#This Row],[Best DF]]</f>
        <v>565.68542494923804</v>
      </c>
      <c r="S219" s="6">
        <f>Pcfu4[[#This Row],[CFU/mL]]*Pcfu4[[#This Row],[mL]]/Pcfu4[[#This Row],[grams]]</f>
        <v>319200</v>
      </c>
      <c r="T219" s="1">
        <f>Pcfu4[[#This Row],[SD CFU/mL]]*Pcfu4[[#This Row],[mL]]/Pcfu4[[#This Row],[grams]]</f>
        <v>10748.023074035522</v>
      </c>
      <c r="U219" s="7">
        <f>_xlfn.STDEV.S(Pcfu43[[#This Row],[R1]:[R3]])/AVERAGE(Pcfu43[[#This Row],[R1]:[R3]])</f>
        <v>6.726410903180105E-2</v>
      </c>
      <c r="V219" s="96"/>
      <c r="W219" s="7"/>
    </row>
    <row r="220" spans="1:23" x14ac:dyDescent="0.15">
      <c r="A220" t="s">
        <v>245</v>
      </c>
      <c r="B220" t="s">
        <v>309</v>
      </c>
      <c r="D220" t="s">
        <v>310</v>
      </c>
      <c r="E220" s="3">
        <v>2</v>
      </c>
      <c r="G220">
        <v>0.1</v>
      </c>
      <c r="H220" s="5">
        <f>19*Pcfu4[[#This Row],[grams]]</f>
        <v>1.9000000000000001</v>
      </c>
      <c r="I220" s="3" t="s">
        <v>170</v>
      </c>
      <c r="J220" s="59">
        <v>44893</v>
      </c>
      <c r="L220" s="59" t="e" cm="1">
        <f t="array" ref="L220">INDEX($J$4:J1310, MATCH(1,(A220=$A$4:A1308)*(C220=$C$4:C1308)*("Y"=$K$4:K1310),0))</f>
        <v>#N/A</v>
      </c>
      <c r="M220" s="1">
        <v>100</v>
      </c>
      <c r="N220">
        <v>316</v>
      </c>
      <c r="O220">
        <v>309</v>
      </c>
      <c r="P220"/>
      <c r="Q220" s="6">
        <f>(SUM(Pcfu4[[#This Row],[R1]:[R3]]))/(Pcfu4[[#This Row],[No. Reps]]*0.025)*Pcfu4[[#This Row],[Best DF]]</f>
        <v>1250000</v>
      </c>
      <c r="R220" s="1">
        <f>_xlfn.STDEV.S(Pcfu4[[#This Row],[R1]:[R3]])/0.025*Pcfu4[[#This Row],[Best DF]]</f>
        <v>19798.989873223327</v>
      </c>
      <c r="S220" s="6">
        <f>Pcfu4[[#This Row],[CFU/mL]]*Pcfu4[[#This Row],[mL]]/Pcfu4[[#This Row],[grams]]</f>
        <v>23750000</v>
      </c>
      <c r="T220" s="1">
        <f>Pcfu4[[#This Row],[SD CFU/mL]]*Pcfu4[[#This Row],[mL]]/Pcfu4[[#This Row],[grams]]</f>
        <v>376180.80759124318</v>
      </c>
      <c r="U220" s="7">
        <f>_xlfn.STDEV.S(Pcfu43[[#This Row],[R1]:[R3]])/AVERAGE(Pcfu43[[#This Row],[R1]:[R3]])</f>
        <v>0.27068243299591516</v>
      </c>
      <c r="V220" s="96"/>
      <c r="W220" s="7"/>
    </row>
    <row r="221" spans="1:23" x14ac:dyDescent="0.15">
      <c r="A221" t="s">
        <v>311</v>
      </c>
      <c r="B221" t="s">
        <v>309</v>
      </c>
      <c r="D221" t="s">
        <v>312</v>
      </c>
      <c r="E221" s="3">
        <v>2</v>
      </c>
      <c r="G221">
        <v>0.1</v>
      </c>
      <c r="H221" s="5">
        <f>19*Pcfu4[[#This Row],[grams]]</f>
        <v>1.9000000000000001</v>
      </c>
      <c r="I221" s="3" t="s">
        <v>170</v>
      </c>
      <c r="J221" s="59">
        <v>44893</v>
      </c>
      <c r="L221" s="59" t="e" cm="1">
        <f t="array" ref="L221">INDEX($J$4:J1311, MATCH(1,(A221=$A$4:A1309)*(C221=$C$4:C1309)*("Y"=$K$4:K1311),0))</f>
        <v>#N/A</v>
      </c>
      <c r="M221" s="1">
        <v>1000</v>
      </c>
      <c r="N221">
        <v>386</v>
      </c>
      <c r="O221">
        <v>402</v>
      </c>
      <c r="P221"/>
      <c r="Q221" s="6">
        <f>(SUM(Pcfu4[[#This Row],[R1]:[R3]]))/(Pcfu4[[#This Row],[No. Reps]]*0.025)*Pcfu4[[#This Row],[Best DF]]</f>
        <v>15760000</v>
      </c>
      <c r="R221" s="1">
        <f>_xlfn.STDEV.S(Pcfu4[[#This Row],[R1]:[R3]])/0.025*Pcfu4[[#This Row],[Best DF]]</f>
        <v>452548.33995939046</v>
      </c>
      <c r="S221" s="6">
        <f>Pcfu4[[#This Row],[CFU/mL]]*Pcfu4[[#This Row],[mL]]/Pcfu4[[#This Row],[grams]]</f>
        <v>299440000</v>
      </c>
      <c r="T221" s="1">
        <f>Pcfu4[[#This Row],[SD CFU/mL]]*Pcfu4[[#This Row],[mL]]/Pcfu4[[#This Row],[grams]]</f>
        <v>8598418.4592284188</v>
      </c>
      <c r="U221" s="7">
        <f>_xlfn.STDEV.S(Pcfu43[[#This Row],[R1]:[R3]])/AVERAGE(Pcfu43[[#This Row],[R1]:[R3]])</f>
        <v>0.1734434911667174</v>
      </c>
      <c r="V221" s="96"/>
      <c r="W221" s="7"/>
    </row>
    <row r="222" spans="1:23" x14ac:dyDescent="0.15">
      <c r="A222" t="s">
        <v>313</v>
      </c>
      <c r="B222" t="s">
        <v>309</v>
      </c>
      <c r="D222" t="s">
        <v>312</v>
      </c>
      <c r="E222" s="3">
        <v>2</v>
      </c>
      <c r="G222">
        <v>0.1</v>
      </c>
      <c r="H222" s="5">
        <f>19*Pcfu4[[#This Row],[grams]]</f>
        <v>1.9000000000000001</v>
      </c>
      <c r="I222" s="3" t="s">
        <v>170</v>
      </c>
      <c r="J222" s="59">
        <v>44893</v>
      </c>
      <c r="L222" s="59" t="e" cm="1">
        <f t="array" ref="L222">INDEX($J$4:J1312, MATCH(1,(A222=$A$4:A1310)*(C222=$C$4:C1310)*("Y"=$K$4:K1312),0))</f>
        <v>#N/A</v>
      </c>
      <c r="M222" s="1">
        <v>1000</v>
      </c>
      <c r="N222">
        <v>296</v>
      </c>
      <c r="O222">
        <v>297</v>
      </c>
      <c r="P222"/>
      <c r="Q222" s="6">
        <f>(SUM(Pcfu4[[#This Row],[R1]:[R3]]))/(Pcfu4[[#This Row],[No. Reps]]*0.025)*Pcfu4[[#This Row],[Best DF]]</f>
        <v>11860000</v>
      </c>
      <c r="R222" s="1">
        <f>_xlfn.STDEV.S(Pcfu4[[#This Row],[R1]:[R3]])/0.025*Pcfu4[[#This Row],[Best DF]]</f>
        <v>28284.271247461904</v>
      </c>
      <c r="S222" s="6">
        <f>Pcfu4[[#This Row],[CFU/mL]]*Pcfu4[[#This Row],[mL]]/Pcfu4[[#This Row],[grams]]</f>
        <v>225340000</v>
      </c>
      <c r="T222" s="1">
        <f>Pcfu4[[#This Row],[SD CFU/mL]]*Pcfu4[[#This Row],[mL]]/Pcfu4[[#This Row],[grams]]</f>
        <v>537401.15370177617</v>
      </c>
      <c r="U222" s="7">
        <f>_xlfn.STDEV.S(Pcfu43[[#This Row],[R1]:[R3]])/AVERAGE(Pcfu43[[#This Row],[R1]:[R3]])</f>
        <v>9.7501610530975322E-2</v>
      </c>
      <c r="V222" s="96"/>
      <c r="W222" s="7"/>
    </row>
    <row r="223" spans="1:23" x14ac:dyDescent="0.15">
      <c r="A223" t="s">
        <v>257</v>
      </c>
      <c r="B223" t="s">
        <v>309</v>
      </c>
      <c r="D223" t="s">
        <v>314</v>
      </c>
      <c r="E223" s="3">
        <v>2</v>
      </c>
      <c r="G223">
        <v>0.1</v>
      </c>
      <c r="H223" s="5">
        <f>19*Pcfu4[[#This Row],[grams]]</f>
        <v>1.9000000000000001</v>
      </c>
      <c r="I223" s="3" t="s">
        <v>170</v>
      </c>
      <c r="J223" s="59">
        <v>44893</v>
      </c>
      <c r="L223" s="59" t="e" cm="1">
        <f t="array" ref="L223">INDEX($J$4:J1313, MATCH(1,(A223=$A$4:A1311)*(C223=$C$4:C1311)*("Y"=$K$4:K1313),0))</f>
        <v>#N/A</v>
      </c>
      <c r="M223" s="1">
        <v>1000</v>
      </c>
      <c r="N223">
        <v>74</v>
      </c>
      <c r="O223">
        <v>159</v>
      </c>
      <c r="P223"/>
      <c r="Q223" s="6">
        <f>(SUM(Pcfu4[[#This Row],[R1]:[R3]]))/(Pcfu4[[#This Row],[No. Reps]]*0.025)*Pcfu4[[#This Row],[Best DF]]</f>
        <v>4660000</v>
      </c>
      <c r="R223" s="1">
        <f>_xlfn.STDEV.S(Pcfu4[[#This Row],[R1]:[R3]])/0.025*Pcfu4[[#This Row],[Best DF]]</f>
        <v>2404163.0560342614</v>
      </c>
      <c r="S223" s="6">
        <f>Pcfu4[[#This Row],[CFU/mL]]*Pcfu4[[#This Row],[mL]]/Pcfu4[[#This Row],[grams]]</f>
        <v>88540000</v>
      </c>
      <c r="T223" s="1">
        <f>Pcfu4[[#This Row],[SD CFU/mL]]*Pcfu4[[#This Row],[mL]]/Pcfu4[[#This Row],[grams]]</f>
        <v>45679098.064650968</v>
      </c>
      <c r="U223" s="7">
        <f>_xlfn.STDEV.S(Pcfu43[[#This Row],[R1]:[R3]])/AVERAGE(Pcfu43[[#This Row],[R1]:[R3]])</f>
        <v>0.14422205101855956</v>
      </c>
      <c r="V223" s="96"/>
      <c r="W223" s="7"/>
    </row>
    <row r="224" spans="1:23" x14ac:dyDescent="0.15">
      <c r="A224" t="s">
        <v>258</v>
      </c>
      <c r="B224" t="s">
        <v>309</v>
      </c>
      <c r="D224" t="s">
        <v>314</v>
      </c>
      <c r="E224" s="3">
        <v>2</v>
      </c>
      <c r="G224">
        <v>0.1</v>
      </c>
      <c r="H224" s="5">
        <f>19*Pcfu4[[#This Row],[grams]]</f>
        <v>1.9000000000000001</v>
      </c>
      <c r="I224" s="3" t="s">
        <v>170</v>
      </c>
      <c r="J224" s="59">
        <v>44893</v>
      </c>
      <c r="L224" s="59" t="e" cm="1">
        <f t="array" ref="L224">INDEX($J$4:J1314, MATCH(1,(A224=$A$4:A1312)*(C224=$C$4:C1312)*("Y"=$K$4:K1314),0))</f>
        <v>#N/A</v>
      </c>
      <c r="M224" s="1">
        <v>10000</v>
      </c>
      <c r="N224">
        <v>380</v>
      </c>
      <c r="O224">
        <v>385</v>
      </c>
      <c r="P224"/>
      <c r="Q224" s="6">
        <f>(SUM(Pcfu4[[#This Row],[R1]:[R3]]))/(Pcfu4[[#This Row],[No. Reps]]*0.025)*Pcfu4[[#This Row],[Best DF]]</f>
        <v>153000000</v>
      </c>
      <c r="R224" s="1">
        <f>_xlfn.STDEV.S(Pcfu4[[#This Row],[R1]:[R3]])/0.025*Pcfu4[[#This Row],[Best DF]]</f>
        <v>1414213.5623730952</v>
      </c>
      <c r="S224" s="6">
        <f>Pcfu4[[#This Row],[CFU/mL]]*Pcfu4[[#This Row],[mL]]/Pcfu4[[#This Row],[grams]]</f>
        <v>2907000000</v>
      </c>
      <c r="T224" s="1">
        <f>Pcfu4[[#This Row],[SD CFU/mL]]*Pcfu4[[#This Row],[mL]]/Pcfu4[[#This Row],[grams]]</f>
        <v>26870057.685088806</v>
      </c>
      <c r="U224" s="7">
        <f>_xlfn.STDEV.S(Pcfu43[[#This Row],[R1]:[R3]])/AVERAGE(Pcfu43[[#This Row],[R1]:[R3]])</f>
        <v>0.12762479634718013</v>
      </c>
      <c r="V224" s="96"/>
      <c r="W224" s="7"/>
    </row>
    <row r="225" spans="1:23" x14ac:dyDescent="0.15">
      <c r="A225" t="s">
        <v>315</v>
      </c>
      <c r="B225" t="s">
        <v>309</v>
      </c>
      <c r="D225" t="s">
        <v>261</v>
      </c>
      <c r="E225" s="3">
        <v>2</v>
      </c>
      <c r="G225">
        <v>0.1</v>
      </c>
      <c r="H225" s="5">
        <f>19*Pcfu4[[#This Row],[grams]]</f>
        <v>1.9000000000000001</v>
      </c>
      <c r="I225" s="3" t="s">
        <v>170</v>
      </c>
      <c r="J225" s="59">
        <v>44893</v>
      </c>
      <c r="L225" s="59" t="e" cm="1">
        <f t="array" ref="L225">INDEX($J$4:J1315, MATCH(1,(A225=$A$4:A1313)*(C225=$C$4:C1313)*("Y"=$K$4:K1315),0))</f>
        <v>#N/A</v>
      </c>
      <c r="M225" s="1">
        <v>100000</v>
      </c>
      <c r="N225">
        <v>670</v>
      </c>
      <c r="O225">
        <v>669</v>
      </c>
      <c r="P225"/>
      <c r="Q225" s="6">
        <f>(SUM(Pcfu4[[#This Row],[R1]:[R3]]))/(Pcfu4[[#This Row],[No. Reps]]*0.025)*Pcfu4[[#This Row],[Best DF]]</f>
        <v>2678000000</v>
      </c>
      <c r="R225" s="1">
        <f>_xlfn.STDEV.S(Pcfu4[[#This Row],[R1]:[R3]])/0.025*Pcfu4[[#This Row],[Best DF]]</f>
        <v>2828427.1247461904</v>
      </c>
      <c r="S225" s="6">
        <f>Pcfu4[[#This Row],[CFU/mL]]*Pcfu4[[#This Row],[mL]]/Pcfu4[[#This Row],[grams]]</f>
        <v>50882000000</v>
      </c>
      <c r="T225" s="1">
        <f>Pcfu4[[#This Row],[SD CFU/mL]]*Pcfu4[[#This Row],[mL]]/Pcfu4[[#This Row],[grams]]</f>
        <v>53740115.370177612</v>
      </c>
      <c r="U225" s="7">
        <f>_xlfn.STDEV.S(Pcfu43[[#This Row],[R1]:[R3]])/AVERAGE(Pcfu43[[#This Row],[R1]:[R3]])</f>
        <v>5.2923711850833874E-2</v>
      </c>
      <c r="V225" s="96"/>
      <c r="W225" s="7"/>
    </row>
    <row r="226" spans="1:23" x14ac:dyDescent="0.15">
      <c r="A226" t="s">
        <v>316</v>
      </c>
      <c r="B226" t="s">
        <v>309</v>
      </c>
      <c r="D226" t="s">
        <v>261</v>
      </c>
      <c r="E226" s="3">
        <v>2</v>
      </c>
      <c r="G226">
        <v>0.1</v>
      </c>
      <c r="H226" s="5">
        <f>19*Pcfu4[[#This Row],[grams]]</f>
        <v>1.9000000000000001</v>
      </c>
      <c r="I226" s="3" t="s">
        <v>170</v>
      </c>
      <c r="J226" s="59">
        <v>44893</v>
      </c>
      <c r="L226" s="59" t="e" cm="1">
        <f t="array" ref="L226">INDEX($J$4:J1316, MATCH(1,(A226=$A$4:A1314)*(C226=$C$4:C1314)*("Y"=$K$4:K1316),0))</f>
        <v>#N/A</v>
      </c>
      <c r="M226" s="1">
        <v>100000</v>
      </c>
      <c r="N226">
        <v>190</v>
      </c>
      <c r="O226">
        <v>189</v>
      </c>
      <c r="P226"/>
      <c r="Q226" s="6">
        <f>(SUM(Pcfu4[[#This Row],[R1]:[R3]]))/(Pcfu4[[#This Row],[No. Reps]]*0.025)*Pcfu4[[#This Row],[Best DF]]</f>
        <v>758000000</v>
      </c>
      <c r="R226" s="1">
        <f>_xlfn.STDEV.S(Pcfu4[[#This Row],[R1]:[R3]])/0.025*Pcfu4[[#This Row],[Best DF]]</f>
        <v>2828427.1247461904</v>
      </c>
      <c r="S226" s="6">
        <f>Pcfu4[[#This Row],[CFU/mL]]*Pcfu4[[#This Row],[mL]]/Pcfu4[[#This Row],[grams]]</f>
        <v>14402000000</v>
      </c>
      <c r="T226" s="1">
        <f>Pcfu4[[#This Row],[SD CFU/mL]]*Pcfu4[[#This Row],[mL]]/Pcfu4[[#This Row],[grams]]</f>
        <v>53740115.370177612</v>
      </c>
      <c r="U226" s="7">
        <f>_xlfn.STDEV.S(Pcfu43[[#This Row],[R1]:[R3]])/AVERAGE(Pcfu43[[#This Row],[R1]:[R3]])</f>
        <v>9.777706171759791E-2</v>
      </c>
      <c r="V226" s="96"/>
      <c r="W226" s="7"/>
    </row>
    <row r="227" spans="1:23" x14ac:dyDescent="0.15">
      <c r="A227" t="s">
        <v>317</v>
      </c>
      <c r="B227" t="s">
        <v>309</v>
      </c>
      <c r="D227" t="s">
        <v>261</v>
      </c>
      <c r="E227" s="3">
        <v>2</v>
      </c>
      <c r="G227">
        <v>0.1</v>
      </c>
      <c r="H227" s="5">
        <f>19*Pcfu4[[#This Row],[grams]]</f>
        <v>1.9000000000000001</v>
      </c>
      <c r="I227" s="3" t="s">
        <v>170</v>
      </c>
      <c r="J227" s="59">
        <v>44893</v>
      </c>
      <c r="L227" s="59" t="e" cm="1">
        <f t="array" ref="L227">INDEX($J$4:J1317, MATCH(1,(A227=$A$4:A1315)*(C227=$C$4:C1315)*("Y"=$K$4:K1317),0))</f>
        <v>#N/A</v>
      </c>
      <c r="M227" s="1">
        <v>100000</v>
      </c>
      <c r="N227">
        <v>128</v>
      </c>
      <c r="O227">
        <v>152</v>
      </c>
      <c r="P227"/>
      <c r="Q227" s="6">
        <f>(SUM(Pcfu4[[#This Row],[R1]:[R3]]))/(Pcfu4[[#This Row],[No. Reps]]*0.025)*Pcfu4[[#This Row],[Best DF]]</f>
        <v>560000000</v>
      </c>
      <c r="R227" s="1">
        <f>_xlfn.STDEV.S(Pcfu4[[#This Row],[R1]:[R3]])/0.025*Pcfu4[[#This Row],[Best DF]]</f>
        <v>67882250.993908554</v>
      </c>
      <c r="S227" s="6">
        <f>Pcfu4[[#This Row],[CFU/mL]]*Pcfu4[[#This Row],[mL]]/Pcfu4[[#This Row],[grams]]</f>
        <v>10640000000</v>
      </c>
      <c r="T227" s="1">
        <f>Pcfu4[[#This Row],[SD CFU/mL]]*Pcfu4[[#This Row],[mL]]/Pcfu4[[#This Row],[grams]]</f>
        <v>1289762768.8842626</v>
      </c>
      <c r="U227" s="7">
        <f>_xlfn.STDEV.S(Pcfu43[[#This Row],[R1]:[R3]])/AVERAGE(Pcfu43[[#This Row],[R1]:[R3]])</f>
        <v>0.17479044029330387</v>
      </c>
      <c r="V227" s="96"/>
      <c r="W227" s="7"/>
    </row>
    <row r="228" spans="1:23" x14ac:dyDescent="0.15">
      <c r="A228" t="s">
        <v>265</v>
      </c>
      <c r="B228" t="s">
        <v>318</v>
      </c>
      <c r="D228" t="s">
        <v>26</v>
      </c>
      <c r="E228" s="3">
        <v>2</v>
      </c>
      <c r="G228">
        <v>0.1</v>
      </c>
      <c r="H228" s="5">
        <f>19*Pcfu4[[#This Row],[grams]]</f>
        <v>1.9000000000000001</v>
      </c>
      <c r="I228" s="3" t="s">
        <v>170</v>
      </c>
      <c r="J228" s="59">
        <v>44893</v>
      </c>
      <c r="L228" s="59" t="e" cm="1">
        <f t="array" ref="L228">INDEX($J$4:J1318, MATCH(1,(A228=$A$4:A1316)*(C228=$C$4:C1316)*("Y"=$K$4:K1318),0))</f>
        <v>#N/A</v>
      </c>
      <c r="M228" s="1">
        <v>100000</v>
      </c>
      <c r="N228">
        <v>159</v>
      </c>
      <c r="O228">
        <v>170</v>
      </c>
      <c r="P228"/>
      <c r="Q228" s="6">
        <f>(SUM(Pcfu4[[#This Row],[R1]:[R3]]))/(Pcfu4[[#This Row],[No. Reps]]*0.025)*Pcfu4[[#This Row],[Best DF]]</f>
        <v>658000000</v>
      </c>
      <c r="R228" s="1">
        <f>_xlfn.STDEV.S(Pcfu4[[#This Row],[R1]:[R3]])/0.025*Pcfu4[[#This Row],[Best DF]]</f>
        <v>31112698.372208085</v>
      </c>
      <c r="S228" s="6">
        <f>Pcfu4[[#This Row],[CFU/mL]]*Pcfu4[[#This Row],[mL]]/Pcfu4[[#This Row],[grams]]</f>
        <v>12502000000</v>
      </c>
      <c r="T228" s="1">
        <f>Pcfu4[[#This Row],[SD CFU/mL]]*Pcfu4[[#This Row],[mL]]/Pcfu4[[#This Row],[grams]]</f>
        <v>591141269.07195365</v>
      </c>
      <c r="U228" s="7">
        <f>_xlfn.STDEV.S(Pcfu43[[#This Row],[R1]:[R3]])/AVERAGE(Pcfu43[[#This Row],[R1]:[R3]])</f>
        <v>5.5555555555555552E-2</v>
      </c>
      <c r="V228" s="96"/>
      <c r="W228" s="7"/>
    </row>
    <row r="229" spans="1:23" x14ac:dyDescent="0.15">
      <c r="A229" t="s">
        <v>266</v>
      </c>
      <c r="B229" t="s">
        <v>318</v>
      </c>
      <c r="D229" t="s">
        <v>26</v>
      </c>
      <c r="E229" s="3">
        <v>2</v>
      </c>
      <c r="G229">
        <v>0.1</v>
      </c>
      <c r="H229" s="5">
        <f>19*Pcfu4[[#This Row],[grams]]</f>
        <v>1.9000000000000001</v>
      </c>
      <c r="I229" s="3" t="s">
        <v>170</v>
      </c>
      <c r="J229" s="59">
        <v>44893</v>
      </c>
      <c r="L229" s="59" t="e" cm="1">
        <f t="array" ref="L229">INDEX($J$4:J1319, MATCH(1,(A229=$A$4:A1317)*(C229=$C$4:C1317)*("Y"=$K$4:K1319),0))</f>
        <v>#N/A</v>
      </c>
      <c r="M229" s="1">
        <v>100000</v>
      </c>
      <c r="N229">
        <v>176</v>
      </c>
      <c r="O229">
        <v>174</v>
      </c>
      <c r="P229"/>
      <c r="Q229" s="6">
        <f>(SUM(Pcfu4[[#This Row],[R1]:[R3]]))/(Pcfu4[[#This Row],[No. Reps]]*0.025)*Pcfu4[[#This Row],[Best DF]]</f>
        <v>700000000</v>
      </c>
      <c r="R229" s="1">
        <f>_xlfn.STDEV.S(Pcfu4[[#This Row],[R1]:[R3]])/0.025*Pcfu4[[#This Row],[Best DF]]</f>
        <v>5656854.2494923808</v>
      </c>
      <c r="S229" s="6">
        <f>Pcfu4[[#This Row],[CFU/mL]]*Pcfu4[[#This Row],[mL]]/Pcfu4[[#This Row],[grams]]</f>
        <v>13300000000</v>
      </c>
      <c r="T229" s="1">
        <f>Pcfu4[[#This Row],[SD CFU/mL]]*Pcfu4[[#This Row],[mL]]/Pcfu4[[#This Row],[grams]]</f>
        <v>107480230.74035522</v>
      </c>
      <c r="U229" s="7">
        <f>_xlfn.STDEV.S(Pcfu43[[#This Row],[R1]:[R3]])/AVERAGE(Pcfu43[[#This Row],[R1]:[R3]])</f>
        <v>0.12820291010413748</v>
      </c>
      <c r="V229" s="96"/>
      <c r="W229" s="7"/>
    </row>
    <row r="230" spans="1:23" x14ac:dyDescent="0.15">
      <c r="A230" t="s">
        <v>264</v>
      </c>
      <c r="B230" t="s">
        <v>318</v>
      </c>
      <c r="D230" t="s">
        <v>319</v>
      </c>
      <c r="E230" s="3">
        <v>2</v>
      </c>
      <c r="G230">
        <v>0.1</v>
      </c>
      <c r="H230" s="5">
        <f>19*Pcfu4[[#This Row],[grams]]</f>
        <v>1.9000000000000001</v>
      </c>
      <c r="I230" s="3" t="s">
        <v>170</v>
      </c>
      <c r="J230" s="59">
        <v>44893</v>
      </c>
      <c r="L230" s="59" t="e" cm="1">
        <f t="array" ref="L230">INDEX($J$4:J1320, MATCH(1,(A230=$A$4:A1318)*(C230=$C$4:C1318)*("Y"=$K$4:K1320),0))</f>
        <v>#N/A</v>
      </c>
      <c r="M230" s="1">
        <v>100000</v>
      </c>
      <c r="N230">
        <v>218</v>
      </c>
      <c r="O230">
        <v>194</v>
      </c>
      <c r="P230"/>
      <c r="Q230" s="6">
        <f>(SUM(Pcfu4[[#This Row],[R1]:[R3]]))/(Pcfu4[[#This Row],[No. Reps]]*0.025)*Pcfu4[[#This Row],[Best DF]]</f>
        <v>824000000</v>
      </c>
      <c r="R230" s="1">
        <f>_xlfn.STDEV.S(Pcfu4[[#This Row],[R1]:[R3]])/0.025*Pcfu4[[#This Row],[Best DF]]</f>
        <v>67882250.993908554</v>
      </c>
      <c r="S230" s="6">
        <f>Pcfu4[[#This Row],[CFU/mL]]*Pcfu4[[#This Row],[mL]]/Pcfu4[[#This Row],[grams]]</f>
        <v>15656000000</v>
      </c>
      <c r="T230" s="1">
        <f>Pcfu4[[#This Row],[SD CFU/mL]]*Pcfu4[[#This Row],[mL]]/Pcfu4[[#This Row],[grams]]</f>
        <v>1289762768.8842626</v>
      </c>
      <c r="U230" s="7">
        <f>_xlfn.STDEV.S(Pcfu43[[#This Row],[R1]:[R3]])/AVERAGE(Pcfu43[[#This Row],[R1]:[R3]])</f>
        <v>0.17586311452816453</v>
      </c>
      <c r="V230" s="96"/>
      <c r="W230" s="7"/>
    </row>
    <row r="231" spans="1:23" x14ac:dyDescent="0.15">
      <c r="A231" t="s">
        <v>315</v>
      </c>
      <c r="B231" t="s">
        <v>318</v>
      </c>
      <c r="D231" t="s">
        <v>319</v>
      </c>
      <c r="E231" s="3">
        <v>2</v>
      </c>
      <c r="G231">
        <v>0.1</v>
      </c>
      <c r="H231" s="5">
        <f>19*Pcfu4[[#This Row],[grams]]</f>
        <v>1.9000000000000001</v>
      </c>
      <c r="I231" s="3" t="s">
        <v>170</v>
      </c>
      <c r="J231" s="59">
        <v>44893</v>
      </c>
      <c r="L231" s="59" t="e" cm="1">
        <f t="array" ref="L231">INDEX($J$4:J1321, MATCH(1,(A231=$A$4:A1319)*(C231=$C$4:C1319)*("Y"=$K$4:K1321),0))</f>
        <v>#N/A</v>
      </c>
      <c r="M231" s="1">
        <v>1000000</v>
      </c>
      <c r="N231">
        <v>203</v>
      </c>
      <c r="O231">
        <v>227</v>
      </c>
      <c r="P231"/>
      <c r="Q231" s="6">
        <f>(SUM(Pcfu4[[#This Row],[R1]:[R3]]))/(Pcfu4[[#This Row],[No. Reps]]*0.025)*Pcfu4[[#This Row],[Best DF]]</f>
        <v>8600000000</v>
      </c>
      <c r="R231" s="1">
        <f>_xlfn.STDEV.S(Pcfu4[[#This Row],[R1]:[R3]])/0.025*Pcfu4[[#This Row],[Best DF]]</f>
        <v>678822509.93908548</v>
      </c>
      <c r="S231" s="6">
        <f>Pcfu4[[#This Row],[CFU/mL]]*Pcfu4[[#This Row],[mL]]/Pcfu4[[#This Row],[grams]]</f>
        <v>163400000000</v>
      </c>
      <c r="T231" s="1">
        <f>Pcfu4[[#This Row],[SD CFU/mL]]*Pcfu4[[#This Row],[mL]]/Pcfu4[[#This Row],[grams]]</f>
        <v>12897627688.842625</v>
      </c>
      <c r="U231" s="7">
        <f>_xlfn.STDEV.S(Pcfu43[[#This Row],[R1]:[R3]])/AVERAGE(Pcfu43[[#This Row],[R1]:[R3]])</f>
        <v>0.21458067067348463</v>
      </c>
      <c r="V231" s="96"/>
      <c r="W231" s="7"/>
    </row>
    <row r="232" spans="1:23" x14ac:dyDescent="0.15">
      <c r="A232" t="s">
        <v>258</v>
      </c>
      <c r="B232" t="s">
        <v>318</v>
      </c>
      <c r="D232" t="s">
        <v>319</v>
      </c>
      <c r="E232" s="3">
        <v>2</v>
      </c>
      <c r="G232">
        <v>0.1</v>
      </c>
      <c r="H232" s="5">
        <f>19*Pcfu4[[#This Row],[grams]]</f>
        <v>1.9000000000000001</v>
      </c>
      <c r="I232" s="3" t="s">
        <v>170</v>
      </c>
      <c r="J232" s="59">
        <v>44893</v>
      </c>
      <c r="L232" s="59" t="e" cm="1">
        <f t="array" ref="L232">INDEX($J$4:J1322, MATCH(1,(A232=$A$4:A1320)*(C232=$C$4:C1320)*("Y"=$K$4:K1322),0))</f>
        <v>#N/A</v>
      </c>
      <c r="M232" s="1">
        <v>1000000</v>
      </c>
      <c r="N232">
        <v>245</v>
      </c>
      <c r="O232">
        <v>242</v>
      </c>
      <c r="P232"/>
      <c r="Q232" s="6">
        <f>(SUM(Pcfu4[[#This Row],[R1]:[R3]]))/(Pcfu4[[#This Row],[No. Reps]]*0.025)*Pcfu4[[#This Row],[Best DF]]</f>
        <v>9740000000</v>
      </c>
      <c r="R232" s="1">
        <f>_xlfn.STDEV.S(Pcfu4[[#This Row],[R1]:[R3]])/0.025*Pcfu4[[#This Row],[Best DF]]</f>
        <v>84852813.742385685</v>
      </c>
      <c r="S232" s="6">
        <f>Pcfu4[[#This Row],[CFU/mL]]*Pcfu4[[#This Row],[mL]]/Pcfu4[[#This Row],[grams]]</f>
        <v>185060000000</v>
      </c>
      <c r="T232" s="1">
        <f>Pcfu4[[#This Row],[SD CFU/mL]]*Pcfu4[[#This Row],[mL]]/Pcfu4[[#This Row],[grams]]</f>
        <v>1612203461.1053281</v>
      </c>
      <c r="U232" s="7">
        <f>_xlfn.STDEV.S(Pcfu43[[#This Row],[R1]:[R3]])/AVERAGE(Pcfu43[[#This Row],[R1]:[R3]])</f>
        <v>0.11186873409386962</v>
      </c>
      <c r="V232" s="96"/>
      <c r="W232" s="7"/>
    </row>
    <row r="233" spans="1:23" x14ac:dyDescent="0.15">
      <c r="A233" t="s">
        <v>316</v>
      </c>
      <c r="B233" t="s">
        <v>318</v>
      </c>
      <c r="D233" t="s">
        <v>37</v>
      </c>
      <c r="E233" s="3">
        <v>2</v>
      </c>
      <c r="G233">
        <v>0.1</v>
      </c>
      <c r="H233" s="5">
        <f>19*Pcfu4[[#This Row],[grams]]</f>
        <v>1.9000000000000001</v>
      </c>
      <c r="I233" s="3" t="s">
        <v>170</v>
      </c>
      <c r="J233" s="59">
        <v>44893</v>
      </c>
      <c r="L233" s="59" t="e" cm="1">
        <f t="array" ref="L233">INDEX($J$4:J1323, MATCH(1,(A233=$A$4:A1321)*(C233=$C$4:C1321)*("Y"=$K$4:K1323),0))</f>
        <v>#N/A</v>
      </c>
      <c r="M233" s="1">
        <v>1000000</v>
      </c>
      <c r="N233">
        <v>309</v>
      </c>
      <c r="O233">
        <v>328</v>
      </c>
      <c r="P233"/>
      <c r="Q233" s="6">
        <f>(SUM(Pcfu4[[#This Row],[R1]:[R3]]))/(Pcfu4[[#This Row],[No. Reps]]*0.025)*Pcfu4[[#This Row],[Best DF]]</f>
        <v>12740000000</v>
      </c>
      <c r="R233" s="1">
        <f>_xlfn.STDEV.S(Pcfu4[[#This Row],[R1]:[R3]])/0.025*Pcfu4[[#This Row],[Best DF]]</f>
        <v>537401153.70177615</v>
      </c>
      <c r="S233" s="6">
        <f>Pcfu4[[#This Row],[CFU/mL]]*Pcfu4[[#This Row],[mL]]/Pcfu4[[#This Row],[grams]]</f>
        <v>242060000000</v>
      </c>
      <c r="T233" s="1">
        <f>Pcfu4[[#This Row],[SD CFU/mL]]*Pcfu4[[#This Row],[mL]]/Pcfu4[[#This Row],[grams]]</f>
        <v>10210621920.333748</v>
      </c>
      <c r="U233" s="7">
        <f>_xlfn.STDEV.S(Pcfu43[[#This Row],[R1]:[R3]])/AVERAGE(Pcfu43[[#This Row],[R1]:[R3]])</f>
        <v>9.4104045422406163E-2</v>
      </c>
      <c r="V233" s="96"/>
      <c r="W233" s="7"/>
    </row>
    <row r="234" spans="1:23" x14ac:dyDescent="0.15">
      <c r="A234" t="s">
        <v>317</v>
      </c>
      <c r="B234" t="s">
        <v>318</v>
      </c>
      <c r="D234" t="s">
        <v>37</v>
      </c>
      <c r="E234" s="3">
        <v>2</v>
      </c>
      <c r="G234">
        <v>0.1</v>
      </c>
      <c r="H234" s="5">
        <f>19*Pcfu4[[#This Row],[grams]]</f>
        <v>1.9000000000000001</v>
      </c>
      <c r="I234" s="3" t="s">
        <v>170</v>
      </c>
      <c r="J234" s="59">
        <v>44893</v>
      </c>
      <c r="L234" s="59" t="e" cm="1">
        <f t="array" ref="L234">INDEX($J$4:J1324, MATCH(1,(A234=$A$4:A1322)*(C234=$C$4:C1322)*("Y"=$K$4:K1324),0))</f>
        <v>#N/A</v>
      </c>
      <c r="M234" s="1">
        <v>1000000</v>
      </c>
      <c r="N234">
        <v>376</v>
      </c>
      <c r="O234">
        <v>378</v>
      </c>
      <c r="P234"/>
      <c r="Q234" s="6">
        <f>(SUM(Pcfu4[[#This Row],[R1]:[R3]]))/(Pcfu4[[#This Row],[No. Reps]]*0.025)*Pcfu4[[#This Row],[Best DF]]</f>
        <v>15080000000</v>
      </c>
      <c r="R234" s="1">
        <f>_xlfn.STDEV.S(Pcfu4[[#This Row],[R1]:[R3]])/0.025*Pcfu4[[#This Row],[Best DF]]</f>
        <v>56568542.494923808</v>
      </c>
      <c r="S234" s="6">
        <f>Pcfu4[[#This Row],[CFU/mL]]*Pcfu4[[#This Row],[mL]]/Pcfu4[[#This Row],[grams]]</f>
        <v>286520000000</v>
      </c>
      <c r="T234" s="1">
        <f>Pcfu4[[#This Row],[SD CFU/mL]]*Pcfu4[[#This Row],[mL]]/Pcfu4[[#This Row],[grams]]</f>
        <v>1074802307.4035523</v>
      </c>
      <c r="U234" s="7" t="e">
        <f>_xlfn.STDEV.S(Pcfu43[[#This Row],[R1]:[R3]])/AVERAGE(Pcfu43[[#This Row],[R1]:[R3]])</f>
        <v>#DIV/0!</v>
      </c>
      <c r="V234" s="96"/>
      <c r="W234" s="7"/>
    </row>
    <row r="235" spans="1:23" x14ac:dyDescent="0.15">
      <c r="A235" t="s">
        <v>150</v>
      </c>
      <c r="B235" t="s">
        <v>74</v>
      </c>
      <c r="D235" t="s">
        <v>26</v>
      </c>
      <c r="E235" s="3">
        <v>2</v>
      </c>
      <c r="G235">
        <v>0.1</v>
      </c>
      <c r="H235" s="5">
        <f>19*Pcfu4[[#This Row],[grams]]</f>
        <v>1.9000000000000001</v>
      </c>
      <c r="I235" s="3" t="s">
        <v>170</v>
      </c>
      <c r="J235" s="59">
        <v>44894</v>
      </c>
      <c r="L235" s="59" t="e" cm="1">
        <f t="array" ref="L235">INDEX($J$4:J1325, MATCH(1,(A235=$A$4:A1323)*(C235=$C$4:C1323)*("Y"=$K$4:K1325),0))</f>
        <v>#N/A</v>
      </c>
      <c r="M235" s="1">
        <v>100000</v>
      </c>
      <c r="N235">
        <v>111</v>
      </c>
      <c r="O235">
        <v>158</v>
      </c>
      <c r="P235"/>
      <c r="Q235" s="6">
        <f>(SUM(Pcfu4[[#This Row],[R1]:[R3]]))/(Pcfu4[[#This Row],[No. Reps]]*0.025)*Pcfu4[[#This Row],[Best DF]]</f>
        <v>538000000</v>
      </c>
      <c r="R235" s="1">
        <f>_xlfn.STDEV.S(Pcfu4[[#This Row],[R1]:[R3]])/0.025*Pcfu4[[#This Row],[Best DF]]</f>
        <v>132936074.86307092</v>
      </c>
      <c r="S235" s="6">
        <f>Pcfu4[[#This Row],[CFU/mL]]*Pcfu4[[#This Row],[mL]]/Pcfu4[[#This Row],[grams]]</f>
        <v>10222000000</v>
      </c>
      <c r="T235" s="1">
        <f>Pcfu4[[#This Row],[SD CFU/mL]]*Pcfu4[[#This Row],[mL]]/Pcfu4[[#This Row],[grams]]</f>
        <v>2525785422.3983474</v>
      </c>
      <c r="U235" s="7" t="e">
        <f>_xlfn.STDEV.S(Pcfu43[[#This Row],[R1]:[R3]])/AVERAGE(Pcfu43[[#This Row],[R1]:[R3]])</f>
        <v>#DIV/0!</v>
      </c>
      <c r="V235" s="96"/>
      <c r="W235" s="7"/>
    </row>
    <row r="236" spans="1:23" x14ac:dyDescent="0.15">
      <c r="A236" t="s">
        <v>150</v>
      </c>
      <c r="B236" t="s">
        <v>75</v>
      </c>
      <c r="D236" t="s">
        <v>26</v>
      </c>
      <c r="E236" s="3">
        <v>2</v>
      </c>
      <c r="G236">
        <v>0.1</v>
      </c>
      <c r="H236" s="5">
        <f>19*Pcfu4[[#This Row],[grams]]</f>
        <v>1.9000000000000001</v>
      </c>
      <c r="I236" s="3" t="s">
        <v>170</v>
      </c>
      <c r="J236" s="59">
        <v>44894</v>
      </c>
      <c r="L236" s="59" t="e" cm="1">
        <f t="array" ref="L236">INDEX($J$4:J1326, MATCH(1,(A236=$A$4:A1324)*(C236=$C$4:C1324)*("Y"=$K$4:K1326),0))</f>
        <v>#N/A</v>
      </c>
      <c r="M236" s="1">
        <v>100000</v>
      </c>
      <c r="N236">
        <v>149</v>
      </c>
      <c r="O236">
        <v>212</v>
      </c>
      <c r="P236"/>
      <c r="Q236" s="6">
        <f>(SUM(Pcfu4[[#This Row],[R1]:[R3]]))/(Pcfu4[[#This Row],[No. Reps]]*0.025)*Pcfu4[[#This Row],[Best DF]]</f>
        <v>722000000</v>
      </c>
      <c r="R236" s="1">
        <f>_xlfn.STDEV.S(Pcfu4[[#This Row],[R1]:[R3]])/0.025*Pcfu4[[#This Row],[Best DF]]</f>
        <v>178190908.85900995</v>
      </c>
      <c r="S236" s="6">
        <f>Pcfu4[[#This Row],[CFU/mL]]*Pcfu4[[#This Row],[mL]]/Pcfu4[[#This Row],[grams]]</f>
        <v>13718000000</v>
      </c>
      <c r="T236" s="1">
        <f>Pcfu4[[#This Row],[SD CFU/mL]]*Pcfu4[[#This Row],[mL]]/Pcfu4[[#This Row],[grams]]</f>
        <v>3385627268.3211889</v>
      </c>
      <c r="U236" s="7" t="e">
        <f>_xlfn.STDEV.S(Pcfu43[[#This Row],[R1]:[R3]])/AVERAGE(Pcfu43[[#This Row],[R1]:[R3]])</f>
        <v>#DIV/0!</v>
      </c>
      <c r="V236" s="96"/>
      <c r="W236" s="7"/>
    </row>
    <row r="237" spans="1:23" x14ac:dyDescent="0.15">
      <c r="A237" t="s">
        <v>248</v>
      </c>
      <c r="B237" t="s">
        <v>320</v>
      </c>
      <c r="D237"/>
      <c r="E237" s="3">
        <v>2</v>
      </c>
      <c r="G237">
        <v>0.1</v>
      </c>
      <c r="H237" s="5">
        <f>19*Pcfu4[[#This Row],[grams]]</f>
        <v>1.9000000000000001</v>
      </c>
      <c r="I237" s="3" t="s">
        <v>170</v>
      </c>
      <c r="J237" s="59">
        <v>44894</v>
      </c>
      <c r="L237" s="59" t="e" cm="1">
        <f t="array" ref="L237">INDEX($J$4:J1327, MATCH(1,(A237=$A$4:A1325)*(C237=$C$4:C1325)*("Y"=$K$4:K1327),0))</f>
        <v>#N/A</v>
      </c>
      <c r="M237" s="1">
        <v>1000</v>
      </c>
      <c r="N237">
        <v>39</v>
      </c>
      <c r="O237">
        <v>33</v>
      </c>
      <c r="P237"/>
      <c r="Q237" s="6">
        <f>(SUM(Pcfu4[[#This Row],[R1]:[R3]]))/(Pcfu4[[#This Row],[No. Reps]]*0.025)*Pcfu4[[#This Row],[Best DF]]</f>
        <v>1440000</v>
      </c>
      <c r="R237" s="1">
        <f>_xlfn.STDEV.S(Pcfu4[[#This Row],[R1]:[R3]])/0.025*Pcfu4[[#This Row],[Best DF]]</f>
        <v>169705.62748477139</v>
      </c>
      <c r="S237" s="6">
        <f>Pcfu4[[#This Row],[CFU/mL]]*Pcfu4[[#This Row],[mL]]/Pcfu4[[#This Row],[grams]]</f>
        <v>27360000</v>
      </c>
      <c r="T237" s="1">
        <f>Pcfu4[[#This Row],[SD CFU/mL]]*Pcfu4[[#This Row],[mL]]/Pcfu4[[#This Row],[grams]]</f>
        <v>3224406.9222106566</v>
      </c>
      <c r="U237" s="7" t="e">
        <f>_xlfn.STDEV.S(Pcfu43[[#This Row],[R1]:[R3]])/AVERAGE(Pcfu43[[#This Row],[R1]:[R3]])</f>
        <v>#DIV/0!</v>
      </c>
      <c r="V237" s="96"/>
      <c r="W237" s="7"/>
    </row>
    <row r="238" spans="1:23" x14ac:dyDescent="0.15">
      <c r="A238" t="s">
        <v>255</v>
      </c>
      <c r="B238" t="s">
        <v>320</v>
      </c>
      <c r="D238"/>
      <c r="E238" s="3">
        <v>2</v>
      </c>
      <c r="G238">
        <v>0.1</v>
      </c>
      <c r="H238" s="5">
        <f>19*Pcfu4[[#This Row],[grams]]</f>
        <v>1.9000000000000001</v>
      </c>
      <c r="I238" s="3" t="s">
        <v>170</v>
      </c>
      <c r="J238" s="59">
        <v>44894</v>
      </c>
      <c r="L238" s="59" t="e" cm="1">
        <f t="array" ref="L238">INDEX($J$4:J1328, MATCH(1,(A238=$A$4:A1326)*(C238=$C$4:C1326)*("Y"=$K$4:K1328),0))</f>
        <v>#N/A</v>
      </c>
      <c r="M238" s="1">
        <v>1</v>
      </c>
      <c r="N238">
        <v>92</v>
      </c>
      <c r="O238">
        <v>112</v>
      </c>
      <c r="P238"/>
      <c r="Q238" s="6">
        <f>(SUM(Pcfu4[[#This Row],[R1]:[R3]]))/(Pcfu4[[#This Row],[No. Reps]]*0.025)*Pcfu4[[#This Row],[Best DF]]</f>
        <v>4080</v>
      </c>
      <c r="R238" s="1">
        <f>_xlfn.STDEV.S(Pcfu4[[#This Row],[R1]:[R3]])/0.025*Pcfu4[[#This Row],[Best DF]]</f>
        <v>565.68542494923804</v>
      </c>
      <c r="S238" s="6">
        <f>Pcfu4[[#This Row],[CFU/mL]]*Pcfu4[[#This Row],[mL]]/Pcfu4[[#This Row],[grams]]</f>
        <v>77520</v>
      </c>
      <c r="T238" s="1">
        <f>Pcfu4[[#This Row],[SD CFU/mL]]*Pcfu4[[#This Row],[mL]]/Pcfu4[[#This Row],[grams]]</f>
        <v>10748.023074035522</v>
      </c>
      <c r="U238" s="7" t="e">
        <f>_xlfn.STDEV.S(Pcfu43[[#This Row],[R1]:[R3]])/AVERAGE(Pcfu43[[#This Row],[R1]:[R3]])</f>
        <v>#DIV/0!</v>
      </c>
      <c r="V238" s="96"/>
      <c r="W238" s="7"/>
    </row>
    <row r="239" spans="1:23" x14ac:dyDescent="0.15">
      <c r="A239" t="s">
        <v>245</v>
      </c>
      <c r="B239" t="s">
        <v>320</v>
      </c>
      <c r="D239"/>
      <c r="E239" s="3">
        <v>2</v>
      </c>
      <c r="G239">
        <v>0.1</v>
      </c>
      <c r="H239" s="5">
        <f>19*Pcfu4[[#This Row],[grams]]</f>
        <v>1.9000000000000001</v>
      </c>
      <c r="I239" s="3" t="s">
        <v>170</v>
      </c>
      <c r="J239" s="59">
        <v>44894</v>
      </c>
      <c r="L239" s="59" t="e" cm="1">
        <f t="array" ref="L239">INDEX($J$4:J1329, MATCH(1,(A239=$A$4:A1327)*(C239=$C$4:C1327)*("Y"=$K$4:K1329),0))</f>
        <v>#N/A</v>
      </c>
      <c r="M239" s="1">
        <v>1000</v>
      </c>
      <c r="N239">
        <v>88</v>
      </c>
      <c r="O239">
        <v>72</v>
      </c>
      <c r="P239"/>
      <c r="Q239" s="6">
        <f>(SUM(Pcfu4[[#This Row],[R1]:[R3]]))/(Pcfu4[[#This Row],[No. Reps]]*0.025)*Pcfu4[[#This Row],[Best DF]]</f>
        <v>3200000</v>
      </c>
      <c r="R239" s="1">
        <f>_xlfn.STDEV.S(Pcfu4[[#This Row],[R1]:[R3]])/0.025*Pcfu4[[#This Row],[Best DF]]</f>
        <v>452548.33995939046</v>
      </c>
      <c r="S239" s="6">
        <f>Pcfu4[[#This Row],[CFU/mL]]*Pcfu4[[#This Row],[mL]]/Pcfu4[[#This Row],[grams]]</f>
        <v>60800000</v>
      </c>
      <c r="T239" s="1">
        <f>Pcfu4[[#This Row],[SD CFU/mL]]*Pcfu4[[#This Row],[mL]]/Pcfu4[[#This Row],[grams]]</f>
        <v>8598418.4592284188</v>
      </c>
      <c r="U239" s="7" t="e">
        <f>_xlfn.STDEV.S(Pcfu43[[#This Row],[R1]:[R3]])/AVERAGE(Pcfu43[[#This Row],[R1]:[R3]])</f>
        <v>#DIV/0!</v>
      </c>
      <c r="V239" s="96"/>
      <c r="W239" s="7"/>
    </row>
    <row r="240" spans="1:23" x14ac:dyDescent="0.15">
      <c r="A240" t="s">
        <v>257</v>
      </c>
      <c r="B240" t="s">
        <v>320</v>
      </c>
      <c r="D240"/>
      <c r="E240" s="3">
        <v>2</v>
      </c>
      <c r="G240">
        <v>0.1</v>
      </c>
      <c r="H240" s="5">
        <f>19*Pcfu4[[#This Row],[grams]]</f>
        <v>1.9000000000000001</v>
      </c>
      <c r="I240" s="3" t="s">
        <v>170</v>
      </c>
      <c r="J240" s="59">
        <v>44894</v>
      </c>
      <c r="L240" s="59" t="e" cm="1">
        <f t="array" ref="L240">INDEX($J$4:J1330, MATCH(1,(A240=$A$4:A1328)*(C240=$C$4:C1328)*("Y"=$K$4:K1330),0))</f>
        <v>#N/A</v>
      </c>
      <c r="M240" s="1">
        <v>1000</v>
      </c>
      <c r="N240">
        <v>55</v>
      </c>
      <c r="O240">
        <v>51</v>
      </c>
      <c r="P240"/>
      <c r="Q240" s="6">
        <f>(SUM(Pcfu4[[#This Row],[R1]:[R3]]))/(Pcfu4[[#This Row],[No. Reps]]*0.025)*Pcfu4[[#This Row],[Best DF]]</f>
        <v>2120000</v>
      </c>
      <c r="R240" s="1">
        <f>_xlfn.STDEV.S(Pcfu4[[#This Row],[R1]:[R3]])/0.025*Pcfu4[[#This Row],[Best DF]]</f>
        <v>113137.08498984762</v>
      </c>
      <c r="S240" s="6">
        <f>Pcfu4[[#This Row],[CFU/mL]]*Pcfu4[[#This Row],[mL]]/Pcfu4[[#This Row],[grams]]</f>
        <v>40280000</v>
      </c>
      <c r="T240" s="1">
        <f>Pcfu4[[#This Row],[SD CFU/mL]]*Pcfu4[[#This Row],[mL]]/Pcfu4[[#This Row],[grams]]</f>
        <v>2149604.6148071047</v>
      </c>
      <c r="U240" s="7" t="e">
        <f>_xlfn.STDEV.S(Pcfu43[[#This Row],[R1]:[R3]])/AVERAGE(Pcfu43[[#This Row],[R1]:[R3]])</f>
        <v>#DIV/0!</v>
      </c>
      <c r="V240" s="96"/>
      <c r="W240" s="7"/>
    </row>
    <row r="241" spans="1:23" x14ac:dyDescent="0.15">
      <c r="A241" t="s">
        <v>257</v>
      </c>
      <c r="B241" t="s">
        <v>309</v>
      </c>
      <c r="D241"/>
      <c r="E241" s="3">
        <v>2</v>
      </c>
      <c r="G241">
        <v>0.1</v>
      </c>
      <c r="H241" s="5">
        <f>19*Pcfu4[[#This Row],[grams]]</f>
        <v>1.9000000000000001</v>
      </c>
      <c r="I241" s="3" t="s">
        <v>170</v>
      </c>
      <c r="J241" s="59">
        <v>44894</v>
      </c>
      <c r="L241" s="59" t="e" cm="1">
        <f t="array" ref="L241">INDEX($J$4:J1331, MATCH(1,(A241=$A$4:A1329)*(C241=$C$4:C1329)*("Y"=$K$4:K1331),0))</f>
        <v>#N/A</v>
      </c>
      <c r="M241" s="1">
        <v>1000</v>
      </c>
      <c r="N241">
        <v>36</v>
      </c>
      <c r="O241">
        <v>39</v>
      </c>
      <c r="P241"/>
      <c r="Q241" s="6">
        <f>(SUM(Pcfu4[[#This Row],[R1]:[R3]]))/(Pcfu4[[#This Row],[No. Reps]]*0.025)*Pcfu4[[#This Row],[Best DF]]</f>
        <v>1500000</v>
      </c>
      <c r="R241" s="1">
        <f>_xlfn.STDEV.S(Pcfu4[[#This Row],[R1]:[R3]])/0.025*Pcfu4[[#This Row],[Best DF]]</f>
        <v>84852.813742385697</v>
      </c>
      <c r="S241" s="6">
        <f>Pcfu4[[#This Row],[CFU/mL]]*Pcfu4[[#This Row],[mL]]/Pcfu4[[#This Row],[grams]]</f>
        <v>28500000</v>
      </c>
      <c r="T241" s="1">
        <f>Pcfu4[[#This Row],[SD CFU/mL]]*Pcfu4[[#This Row],[mL]]/Pcfu4[[#This Row],[grams]]</f>
        <v>1612203.4611053283</v>
      </c>
      <c r="U241" s="7" t="e">
        <f>_xlfn.STDEV.S(Pcfu43[[#This Row],[R1]:[R3]])/AVERAGE(Pcfu43[[#This Row],[R1]:[R3]])</f>
        <v>#DIV/0!</v>
      </c>
      <c r="V241" s="96"/>
      <c r="W241" s="7"/>
    </row>
    <row r="242" spans="1:23" x14ac:dyDescent="0.15">
      <c r="A242" t="s">
        <v>249</v>
      </c>
      <c r="B242" t="s">
        <v>309</v>
      </c>
      <c r="D242"/>
      <c r="E242" s="3">
        <v>2</v>
      </c>
      <c r="G242">
        <v>0.1</v>
      </c>
      <c r="H242" s="5">
        <f>19*Pcfu4[[#This Row],[grams]]</f>
        <v>1.9000000000000001</v>
      </c>
      <c r="I242" s="3" t="s">
        <v>170</v>
      </c>
      <c r="J242" s="59">
        <v>44894</v>
      </c>
      <c r="L242" s="59" t="e" cm="1">
        <f t="array" ref="L242">INDEX($J$4:J1332, MATCH(1,(A242=$A$4:A1330)*(C242=$C$4:C1330)*("Y"=$K$4:K1332),0))</f>
        <v>#N/A</v>
      </c>
      <c r="M242" s="1">
        <v>1000000</v>
      </c>
      <c r="N242">
        <v>34</v>
      </c>
      <c r="O242">
        <v>32</v>
      </c>
      <c r="P242"/>
      <c r="Q242" s="6">
        <f>(SUM(Pcfu4[[#This Row],[R1]:[R3]]))/(Pcfu4[[#This Row],[No. Reps]]*0.025)*Pcfu4[[#This Row],[Best DF]]</f>
        <v>1320000000</v>
      </c>
      <c r="R242" s="1">
        <f>_xlfn.STDEV.S(Pcfu4[[#This Row],[R1]:[R3]])/0.025*Pcfu4[[#This Row],[Best DF]]</f>
        <v>56568542.494923808</v>
      </c>
      <c r="S242" s="6">
        <f>Pcfu4[[#This Row],[CFU/mL]]*Pcfu4[[#This Row],[mL]]/Pcfu4[[#This Row],[grams]]</f>
        <v>25080000000</v>
      </c>
      <c r="T242" s="1">
        <f>Pcfu4[[#This Row],[SD CFU/mL]]*Pcfu4[[#This Row],[mL]]/Pcfu4[[#This Row],[grams]]</f>
        <v>1074802307.4035523</v>
      </c>
      <c r="U242" s="7" t="e">
        <f>_xlfn.STDEV.S(Pcfu43[[#This Row],[R1]:[R3]])/AVERAGE(Pcfu43[[#This Row],[R1]:[R3]])</f>
        <v>#DIV/0!</v>
      </c>
      <c r="V242" s="96"/>
      <c r="W242" s="7"/>
    </row>
    <row r="243" spans="1:23" x14ac:dyDescent="0.15">
      <c r="A243" t="s">
        <v>256</v>
      </c>
      <c r="B243" t="s">
        <v>309</v>
      </c>
      <c r="D243"/>
      <c r="E243" s="3">
        <v>2</v>
      </c>
      <c r="G243">
        <v>0.1</v>
      </c>
      <c r="H243" s="5">
        <f>19*Pcfu4[[#This Row],[grams]]</f>
        <v>1.9000000000000001</v>
      </c>
      <c r="I243" s="3" t="s">
        <v>170</v>
      </c>
      <c r="J243" s="59">
        <v>44894</v>
      </c>
      <c r="L243" s="59" t="e" cm="1">
        <f t="array" ref="L243">INDEX($J$4:J1333, MATCH(1,(A243=$A$4:A1331)*(C243=$C$4:C1331)*("Y"=$K$4:K1333),0))</f>
        <v>#N/A</v>
      </c>
      <c r="M243" s="1">
        <v>100</v>
      </c>
      <c r="N243">
        <v>53</v>
      </c>
      <c r="O243">
        <v>48</v>
      </c>
      <c r="P243"/>
      <c r="Q243" s="6">
        <f>(SUM(Pcfu4[[#This Row],[R1]:[R3]]))/(Pcfu4[[#This Row],[No. Reps]]*0.025)*Pcfu4[[#This Row],[Best DF]]</f>
        <v>202000</v>
      </c>
      <c r="R243" s="1">
        <f>_xlfn.STDEV.S(Pcfu4[[#This Row],[R1]:[R3]])/0.025*Pcfu4[[#This Row],[Best DF]]</f>
        <v>14142.135623730952</v>
      </c>
      <c r="S243" s="6">
        <f>Pcfu4[[#This Row],[CFU/mL]]*Pcfu4[[#This Row],[mL]]/Pcfu4[[#This Row],[grams]]</f>
        <v>3838000</v>
      </c>
      <c r="T243" s="1">
        <f>Pcfu4[[#This Row],[SD CFU/mL]]*Pcfu4[[#This Row],[mL]]/Pcfu4[[#This Row],[grams]]</f>
        <v>268700.57685088809</v>
      </c>
      <c r="U243" s="7" t="e">
        <f>_xlfn.STDEV.S(Pcfu43[[#This Row],[R1]:[R3]])/AVERAGE(Pcfu43[[#This Row],[R1]:[R3]])</f>
        <v>#DIV/0!</v>
      </c>
      <c r="V243" s="96"/>
      <c r="W243" s="7"/>
    </row>
    <row r="244" spans="1:23" x14ac:dyDescent="0.15">
      <c r="A244" t="s">
        <v>255</v>
      </c>
      <c r="B244" t="s">
        <v>318</v>
      </c>
      <c r="D244" t="s">
        <v>314</v>
      </c>
      <c r="E244" s="3">
        <v>2</v>
      </c>
      <c r="G244">
        <v>0.1</v>
      </c>
      <c r="H244" s="5">
        <f>19*Pcfu4[[#This Row],[grams]]</f>
        <v>1.9000000000000001</v>
      </c>
      <c r="I244" s="3" t="s">
        <v>170</v>
      </c>
      <c r="J244" s="59">
        <v>44894</v>
      </c>
      <c r="L244" s="59" t="e" cm="1">
        <f t="array" ref="L244">INDEX($J$4:J1334, MATCH(1,(A244=$A$4:A1332)*(C244=$C$4:C1332)*("Y"=$K$4:K1334),0))</f>
        <v>#N/A</v>
      </c>
      <c r="M244" s="1">
        <v>10000</v>
      </c>
      <c r="N244">
        <v>64</v>
      </c>
      <c r="O244">
        <v>40</v>
      </c>
      <c r="P244"/>
      <c r="Q244" s="6">
        <f>(SUM(Pcfu4[[#This Row],[R1]:[R3]]))/(Pcfu4[[#This Row],[No. Reps]]*0.025)*Pcfu4[[#This Row],[Best DF]]</f>
        <v>20800000</v>
      </c>
      <c r="R244" s="1">
        <f>_xlfn.STDEV.S(Pcfu4[[#This Row],[R1]:[R3]])/0.025*Pcfu4[[#This Row],[Best DF]]</f>
        <v>6788225.0993908551</v>
      </c>
      <c r="S244" s="6">
        <f>Pcfu4[[#This Row],[CFU/mL]]*Pcfu4[[#This Row],[mL]]/Pcfu4[[#This Row],[grams]]</f>
        <v>395200000</v>
      </c>
      <c r="T244" s="1">
        <f>Pcfu4[[#This Row],[SD CFU/mL]]*Pcfu4[[#This Row],[mL]]/Pcfu4[[#This Row],[grams]]</f>
        <v>128976276.88842626</v>
      </c>
      <c r="U244" s="7" t="e">
        <f>_xlfn.STDEV.S(Pcfu43[[#This Row],[R1]:[R3]])/AVERAGE(Pcfu43[[#This Row],[R1]:[R3]])</f>
        <v>#DIV/0!</v>
      </c>
      <c r="V244" s="96"/>
      <c r="W244" s="7"/>
    </row>
    <row r="245" spans="1:23" x14ac:dyDescent="0.15">
      <c r="A245" t="s">
        <v>244</v>
      </c>
      <c r="B245" t="s">
        <v>318</v>
      </c>
      <c r="D245" t="s">
        <v>26</v>
      </c>
      <c r="E245" s="3">
        <v>2</v>
      </c>
      <c r="G245">
        <v>0.1</v>
      </c>
      <c r="H245" s="5">
        <f>19*Pcfu4[[#This Row],[grams]]</f>
        <v>1.9000000000000001</v>
      </c>
      <c r="I245" s="3" t="s">
        <v>170</v>
      </c>
      <c r="J245" s="59">
        <v>44894</v>
      </c>
      <c r="L245" s="59" t="e" cm="1">
        <f t="array" ref="L245">INDEX($J$4:J1335, MATCH(1,(A245=$A$4:A1333)*(C245=$C$4:C1333)*("Y"=$K$4:K1335),0))</f>
        <v>#N/A</v>
      </c>
      <c r="M245" s="1">
        <v>100000</v>
      </c>
      <c r="N245">
        <v>71</v>
      </c>
      <c r="O245">
        <v>69</v>
      </c>
      <c r="P245"/>
      <c r="Q245" s="6">
        <f>(SUM(Pcfu4[[#This Row],[R1]:[R3]]))/(Pcfu4[[#This Row],[No. Reps]]*0.025)*Pcfu4[[#This Row],[Best DF]]</f>
        <v>280000000</v>
      </c>
      <c r="R245" s="1">
        <f>_xlfn.STDEV.S(Pcfu4[[#This Row],[R1]:[R3]])/0.025*Pcfu4[[#This Row],[Best DF]]</f>
        <v>5656854.2494923808</v>
      </c>
      <c r="S245" s="6">
        <f>Pcfu4[[#This Row],[CFU/mL]]*Pcfu4[[#This Row],[mL]]/Pcfu4[[#This Row],[grams]]</f>
        <v>5320000000</v>
      </c>
      <c r="T245" s="1">
        <f>Pcfu4[[#This Row],[SD CFU/mL]]*Pcfu4[[#This Row],[mL]]/Pcfu4[[#This Row],[grams]]</f>
        <v>107480230.74035522</v>
      </c>
      <c r="U245" s="7" t="e">
        <f>_xlfn.STDEV.S(Pcfu43[[#This Row],[R1]:[R3]])/AVERAGE(Pcfu43[[#This Row],[R1]:[R3]])</f>
        <v>#DIV/0!</v>
      </c>
      <c r="V245" s="96"/>
      <c r="W245" s="7"/>
    </row>
    <row r="246" spans="1:23" x14ac:dyDescent="0.15">
      <c r="A246" t="s">
        <v>248</v>
      </c>
      <c r="B246" t="s">
        <v>318</v>
      </c>
      <c r="D246" t="s">
        <v>26</v>
      </c>
      <c r="E246" s="3">
        <v>2</v>
      </c>
      <c r="G246">
        <v>0.1</v>
      </c>
      <c r="H246" s="5">
        <f>19*Pcfu4[[#This Row],[grams]]</f>
        <v>1.9000000000000001</v>
      </c>
      <c r="I246" s="3" t="s">
        <v>170</v>
      </c>
      <c r="J246" s="59">
        <v>44894</v>
      </c>
      <c r="L246" s="59" t="e" cm="1">
        <f t="array" ref="L246">INDEX($J$4:J1336, MATCH(1,(A246=$A$4:A1334)*(C246=$C$4:C1334)*("Y"=$K$4:K1336),0))</f>
        <v>#N/A</v>
      </c>
      <c r="M246" s="1">
        <v>100000</v>
      </c>
      <c r="N246">
        <v>391</v>
      </c>
      <c r="O246">
        <v>446</v>
      </c>
      <c r="P246"/>
      <c r="Q246" s="6">
        <f>(SUM(Pcfu4[[#This Row],[R1]:[R3]]))/(Pcfu4[[#This Row],[No. Reps]]*0.025)*Pcfu4[[#This Row],[Best DF]]</f>
        <v>1674000000</v>
      </c>
      <c r="R246" s="1">
        <f>_xlfn.STDEV.S(Pcfu4[[#This Row],[R1]:[R3]])/0.025*Pcfu4[[#This Row],[Best DF]]</f>
        <v>155563491.86104047</v>
      </c>
      <c r="S246" s="6">
        <f>Pcfu4[[#This Row],[CFU/mL]]*Pcfu4[[#This Row],[mL]]/Pcfu4[[#This Row],[grams]]</f>
        <v>31806000000</v>
      </c>
      <c r="T246" s="1">
        <f>Pcfu4[[#This Row],[SD CFU/mL]]*Pcfu4[[#This Row],[mL]]/Pcfu4[[#This Row],[grams]]</f>
        <v>2955706345.3597693</v>
      </c>
      <c r="U246" s="7">
        <f>_xlfn.STDEV.S(Pcfu43[[#This Row],[R1]:[R3]])/AVERAGE(Pcfu43[[#This Row],[R1]:[R3]])</f>
        <v>9.8666062491146164E-2</v>
      </c>
      <c r="V246" s="96"/>
      <c r="W246" s="7"/>
    </row>
    <row r="247" spans="1:23" x14ac:dyDescent="0.15">
      <c r="A247" t="s">
        <v>247</v>
      </c>
      <c r="B247" t="s">
        <v>318</v>
      </c>
      <c r="D247" t="s">
        <v>37</v>
      </c>
      <c r="E247" s="3">
        <v>2</v>
      </c>
      <c r="G247">
        <v>0.1</v>
      </c>
      <c r="H247" s="5">
        <f>19*Pcfu4[[#This Row],[grams]]</f>
        <v>1.9000000000000001</v>
      </c>
      <c r="I247" s="3" t="s">
        <v>170</v>
      </c>
      <c r="J247" s="59">
        <v>44894</v>
      </c>
      <c r="L247" s="59" t="e" cm="1">
        <f t="array" ref="L247">INDEX($J$4:J1337, MATCH(1,(A247=$A$4:A1335)*(C247=$C$4:C1335)*("Y"=$K$4:K1337),0))</f>
        <v>#N/A</v>
      </c>
      <c r="M247" s="1">
        <v>10000000</v>
      </c>
      <c r="N247">
        <v>46</v>
      </c>
      <c r="O247">
        <v>31</v>
      </c>
      <c r="P247"/>
      <c r="Q247" s="6">
        <f>(SUM(Pcfu4[[#This Row],[R1]:[R3]]))/(Pcfu4[[#This Row],[No. Reps]]*0.025)*Pcfu4[[#This Row],[Best DF]]</f>
        <v>15400000000</v>
      </c>
      <c r="R247" s="1">
        <f>_xlfn.STDEV.S(Pcfu4[[#This Row],[R1]:[R3]])/0.025*Pcfu4[[#This Row],[Best DF]]</f>
        <v>4242640687.1192851</v>
      </c>
      <c r="S247" s="6">
        <f>Pcfu4[[#This Row],[CFU/mL]]*Pcfu4[[#This Row],[mL]]/Pcfu4[[#This Row],[grams]]</f>
        <v>292600000000</v>
      </c>
      <c r="T247" s="1">
        <f>Pcfu4[[#This Row],[SD CFU/mL]]*Pcfu4[[#This Row],[mL]]/Pcfu4[[#This Row],[grams]]</f>
        <v>80610173055.266418</v>
      </c>
      <c r="U247" s="7">
        <f>_xlfn.STDEV.S(Pcfu43[[#This Row],[R1]:[R3]])/AVERAGE(Pcfu43[[#This Row],[R1]:[R3]])</f>
        <v>6.7804759839805925E-2</v>
      </c>
      <c r="V247" s="96"/>
      <c r="W247" s="7"/>
    </row>
    <row r="248" spans="1:23" x14ac:dyDescent="0.15">
      <c r="A248" t="s">
        <v>321</v>
      </c>
      <c r="B248" t="s">
        <v>318</v>
      </c>
      <c r="D248" t="s">
        <v>194</v>
      </c>
      <c r="E248" s="3">
        <v>2</v>
      </c>
      <c r="G248">
        <v>0.1</v>
      </c>
      <c r="H248" s="5">
        <f>19*Pcfu4[[#This Row],[grams]]</f>
        <v>1.9000000000000001</v>
      </c>
      <c r="I248" s="3" t="s">
        <v>170</v>
      </c>
      <c r="J248" s="59">
        <v>44894</v>
      </c>
      <c r="L248" s="59" t="e" cm="1">
        <f t="array" ref="L248">INDEX($J$4:J1338, MATCH(1,(A248=$A$4:A1336)*(C248=$C$4:C1336)*("Y"=$K$4:K1338),0))</f>
        <v>#N/A</v>
      </c>
      <c r="M248" s="1">
        <v>1000000</v>
      </c>
      <c r="N248">
        <v>42</v>
      </c>
      <c r="O248">
        <v>41</v>
      </c>
      <c r="P248"/>
      <c r="Q248" s="6">
        <f>(SUM(Pcfu4[[#This Row],[R1]:[R3]]))/(Pcfu4[[#This Row],[No. Reps]]*0.025)*Pcfu4[[#This Row],[Best DF]]</f>
        <v>1660000000</v>
      </c>
      <c r="R248" s="1">
        <f>_xlfn.STDEV.S(Pcfu4[[#This Row],[R1]:[R3]])/0.025*Pcfu4[[#This Row],[Best DF]]</f>
        <v>28284271.247461904</v>
      </c>
      <c r="S248" s="6">
        <f>Pcfu4[[#This Row],[CFU/mL]]*Pcfu4[[#This Row],[mL]]/Pcfu4[[#This Row],[grams]]</f>
        <v>31540000000</v>
      </c>
      <c r="T248" s="1">
        <f>Pcfu4[[#This Row],[SD CFU/mL]]*Pcfu4[[#This Row],[mL]]/Pcfu4[[#This Row],[grams]]</f>
        <v>537401153.70177615</v>
      </c>
      <c r="U248" s="7">
        <f>_xlfn.STDEV.S(Pcfu43[[#This Row],[R1]:[R3]])/AVERAGE(Pcfu43[[#This Row],[R1]:[R3]])</f>
        <v>4.1594516540385151E-2</v>
      </c>
      <c r="V248" s="96"/>
      <c r="W248" s="7"/>
    </row>
    <row r="249" spans="1:23" x14ac:dyDescent="0.15">
      <c r="A249" t="s">
        <v>252</v>
      </c>
      <c r="B249" t="s">
        <v>318</v>
      </c>
      <c r="D249"/>
      <c r="E249" s="3">
        <v>2</v>
      </c>
      <c r="G249">
        <v>0.1</v>
      </c>
      <c r="H249" s="5">
        <f>19*Pcfu4[[#This Row],[grams]]</f>
        <v>1.9000000000000001</v>
      </c>
      <c r="I249" s="3" t="s">
        <v>170</v>
      </c>
      <c r="J249" s="59">
        <v>44894</v>
      </c>
      <c r="L249" s="59" t="e" cm="1">
        <f t="array" ref="L249">INDEX($J$4:J1339, MATCH(1,(A249=$A$4:A1337)*(C249=$C$4:C1337)*("Y"=$K$4:K1339),0))</f>
        <v>#N/A</v>
      </c>
      <c r="M249" s="1">
        <v>100000</v>
      </c>
      <c r="N249">
        <v>79</v>
      </c>
      <c r="O249">
        <v>84</v>
      </c>
      <c r="P249"/>
      <c r="Q249" s="6">
        <f>(SUM(Pcfu4[[#This Row],[R1]:[R3]]))/(Pcfu4[[#This Row],[No. Reps]]*0.025)*Pcfu4[[#This Row],[Best DF]]</f>
        <v>326000000</v>
      </c>
      <c r="R249" s="1">
        <f>_xlfn.STDEV.S(Pcfu4[[#This Row],[R1]:[R3]])/0.025*Pcfu4[[#This Row],[Best DF]]</f>
        <v>14142135.623730952</v>
      </c>
      <c r="S249" s="6">
        <f>Pcfu4[[#This Row],[CFU/mL]]*Pcfu4[[#This Row],[mL]]/Pcfu4[[#This Row],[grams]]</f>
        <v>6194000000</v>
      </c>
      <c r="T249" s="1">
        <f>Pcfu4[[#This Row],[SD CFU/mL]]*Pcfu4[[#This Row],[mL]]/Pcfu4[[#This Row],[grams]]</f>
        <v>268700576.85088807</v>
      </c>
      <c r="U249" s="7">
        <f>_xlfn.STDEV.S(Pcfu43[[#This Row],[R1]:[R3]])/AVERAGE(Pcfu43[[#This Row],[R1]:[R3]])</f>
        <v>0.18742589380848246</v>
      </c>
      <c r="V249" s="96"/>
      <c r="W249" s="7"/>
    </row>
    <row r="250" spans="1:23" x14ac:dyDescent="0.15">
      <c r="A250" t="s">
        <v>250</v>
      </c>
      <c r="B250" t="s">
        <v>318</v>
      </c>
      <c r="D250"/>
      <c r="E250" s="3">
        <v>2</v>
      </c>
      <c r="G250">
        <v>0.1</v>
      </c>
      <c r="H250" s="5">
        <f>19*Pcfu4[[#This Row],[grams]]</f>
        <v>1.9000000000000001</v>
      </c>
      <c r="I250" s="3" t="s">
        <v>170</v>
      </c>
      <c r="J250" s="59">
        <v>44894</v>
      </c>
      <c r="L250" s="59" t="e" cm="1">
        <f t="array" ref="L250">INDEX($J$4:J1340, MATCH(1,(A250=$A$4:A1338)*(C250=$C$4:C1338)*("Y"=$K$4:K1340),0))</f>
        <v>#N/A</v>
      </c>
      <c r="M250" s="1">
        <v>100000</v>
      </c>
      <c r="N250">
        <v>42</v>
      </c>
      <c r="O250">
        <v>41</v>
      </c>
      <c r="P250"/>
      <c r="Q250" s="6">
        <f>(SUM(Pcfu4[[#This Row],[R1]:[R3]]))/(Pcfu4[[#This Row],[No. Reps]]*0.025)*Pcfu4[[#This Row],[Best DF]]</f>
        <v>166000000</v>
      </c>
      <c r="R250" s="1">
        <f>_xlfn.STDEV.S(Pcfu4[[#This Row],[R1]:[R3]])/0.025*Pcfu4[[#This Row],[Best DF]]</f>
        <v>2828427.1247461904</v>
      </c>
      <c r="S250" s="6">
        <f>Pcfu4[[#This Row],[CFU/mL]]*Pcfu4[[#This Row],[mL]]/Pcfu4[[#This Row],[grams]]</f>
        <v>3154000000</v>
      </c>
      <c r="T250" s="1">
        <f>Pcfu4[[#This Row],[SD CFU/mL]]*Pcfu4[[#This Row],[mL]]/Pcfu4[[#This Row],[grams]]</f>
        <v>53740115.370177612</v>
      </c>
      <c r="U250" s="7">
        <f>_xlfn.STDEV.S(Pcfu43[[#This Row],[R1]:[R3]])/AVERAGE(Pcfu43[[#This Row],[R1]:[R3]])</f>
        <v>0.10861498714281173</v>
      </c>
      <c r="V250" s="96"/>
      <c r="W250" s="7"/>
    </row>
    <row r="251" spans="1:23" x14ac:dyDescent="0.15">
      <c r="A251" t="s">
        <v>254</v>
      </c>
      <c r="B251" t="s">
        <v>318</v>
      </c>
      <c r="D251"/>
      <c r="E251" s="3">
        <v>2</v>
      </c>
      <c r="G251">
        <v>0.1</v>
      </c>
      <c r="H251" s="5">
        <f>19*Pcfu4[[#This Row],[grams]]</f>
        <v>1.9000000000000001</v>
      </c>
      <c r="I251" s="3" t="s">
        <v>170</v>
      </c>
      <c r="J251" s="59">
        <v>44894</v>
      </c>
      <c r="L251" s="59" t="e" cm="1">
        <f t="array" ref="L251">INDEX($J$4:J1341, MATCH(1,(A251=$A$4:A1339)*(C251=$C$4:C1339)*("Y"=$K$4:K1341),0))</f>
        <v>#N/A</v>
      </c>
      <c r="M251" s="1">
        <v>1000000</v>
      </c>
      <c r="N251">
        <v>51</v>
      </c>
      <c r="O251">
        <v>65</v>
      </c>
      <c r="P251"/>
      <c r="Q251" s="6">
        <f>(SUM(Pcfu4[[#This Row],[R1]:[R3]]))/(Pcfu4[[#This Row],[No. Reps]]*0.025)*Pcfu4[[#This Row],[Best DF]]</f>
        <v>2320000000</v>
      </c>
      <c r="R251" s="1">
        <f>_xlfn.STDEV.S(Pcfu4[[#This Row],[R1]:[R3]])/0.025*Pcfu4[[#This Row],[Best DF]]</f>
        <v>395979797.46446657</v>
      </c>
      <c r="S251" s="6">
        <f>Pcfu4[[#This Row],[CFU/mL]]*Pcfu4[[#This Row],[mL]]/Pcfu4[[#This Row],[grams]]</f>
        <v>44080000000</v>
      </c>
      <c r="T251" s="1">
        <f>Pcfu4[[#This Row],[SD CFU/mL]]*Pcfu4[[#This Row],[mL]]/Pcfu4[[#This Row],[grams]]</f>
        <v>7523616151.8248653</v>
      </c>
      <c r="U251" s="7">
        <f>_xlfn.STDEV.S(Pcfu43[[#This Row],[R1]:[R3]])/AVERAGE(Pcfu43[[#This Row],[R1]:[R3]])</f>
        <v>6.1403508771929821E-2</v>
      </c>
      <c r="V251" s="96"/>
      <c r="W251" s="7"/>
    </row>
    <row r="252" spans="1:23" x14ac:dyDescent="0.15">
      <c r="A252" t="s">
        <v>241</v>
      </c>
      <c r="B252" t="s">
        <v>318</v>
      </c>
      <c r="D252"/>
      <c r="E252" s="3">
        <v>2</v>
      </c>
      <c r="G252">
        <v>0.1</v>
      </c>
      <c r="H252" s="5">
        <f>19*Pcfu4[[#This Row],[grams]]</f>
        <v>1.9000000000000001</v>
      </c>
      <c r="I252" s="3" t="s">
        <v>170</v>
      </c>
      <c r="J252" s="59">
        <v>44894</v>
      </c>
      <c r="L252" s="59" t="e" cm="1">
        <f t="array" ref="L252">INDEX($J$4:J1342, MATCH(1,(A252=$A$4:A1340)*(C252=$C$4:C1340)*("Y"=$K$4:K1342),0))</f>
        <v>#N/A</v>
      </c>
      <c r="M252" s="1">
        <v>1000000</v>
      </c>
      <c r="N252">
        <v>30</v>
      </c>
      <c r="O252">
        <v>46</v>
      </c>
      <c r="P252"/>
      <c r="Q252" s="6">
        <f>(SUM(Pcfu4[[#This Row],[R1]:[R3]]))/(Pcfu4[[#This Row],[No. Reps]]*0.025)*Pcfu4[[#This Row],[Best DF]]</f>
        <v>1520000000</v>
      </c>
      <c r="R252" s="1">
        <f>_xlfn.STDEV.S(Pcfu4[[#This Row],[R1]:[R3]])/0.025*Pcfu4[[#This Row],[Best DF]]</f>
        <v>452548339.95939046</v>
      </c>
      <c r="S252" s="6">
        <f>Pcfu4[[#This Row],[CFU/mL]]*Pcfu4[[#This Row],[mL]]/Pcfu4[[#This Row],[grams]]</f>
        <v>28880000000</v>
      </c>
      <c r="T252" s="1">
        <f>Pcfu4[[#This Row],[SD CFU/mL]]*Pcfu4[[#This Row],[mL]]/Pcfu4[[#This Row],[grams]]</f>
        <v>8598418459.2284184</v>
      </c>
      <c r="U252" s="7">
        <f>_xlfn.STDEV.S(Pcfu43[[#This Row],[R1]:[R3]])/AVERAGE(Pcfu43[[#This Row],[R1]:[R3]])</f>
        <v>3.3202451706692802E-2</v>
      </c>
      <c r="V252" s="96"/>
      <c r="W252" s="7"/>
    </row>
    <row r="253" spans="1:23" x14ac:dyDescent="0.15">
      <c r="A253" t="s">
        <v>249</v>
      </c>
      <c r="B253" t="s">
        <v>318</v>
      </c>
      <c r="D253"/>
      <c r="E253" s="3">
        <v>2</v>
      </c>
      <c r="G253">
        <v>0.1</v>
      </c>
      <c r="H253" s="5">
        <f>19*Pcfu4[[#This Row],[grams]]</f>
        <v>1.9000000000000001</v>
      </c>
      <c r="I253" s="3" t="s">
        <v>170</v>
      </c>
      <c r="J253" s="59">
        <v>44894</v>
      </c>
      <c r="L253" s="59" t="e" cm="1">
        <f t="array" ref="L253">INDEX($J$4:J1343, MATCH(1,(A253=$A$4:A1341)*(C253=$C$4:C1341)*("Y"=$K$4:K1343),0))</f>
        <v>#N/A</v>
      </c>
      <c r="M253" s="1">
        <v>1000000</v>
      </c>
      <c r="N253">
        <v>236</v>
      </c>
      <c r="O253">
        <v>257</v>
      </c>
      <c r="P253"/>
      <c r="Q253" s="6">
        <f>(SUM(Pcfu4[[#This Row],[R1]:[R3]]))/(Pcfu4[[#This Row],[No. Reps]]*0.025)*Pcfu4[[#This Row],[Best DF]]</f>
        <v>9860000000</v>
      </c>
      <c r="R253" s="1">
        <f>_xlfn.STDEV.S(Pcfu4[[#This Row],[R1]:[R3]])/0.025*Pcfu4[[#This Row],[Best DF]]</f>
        <v>593969696.19669986</v>
      </c>
      <c r="S253" s="6">
        <f>Pcfu4[[#This Row],[CFU/mL]]*Pcfu4[[#This Row],[mL]]/Pcfu4[[#This Row],[grams]]</f>
        <v>187340000000</v>
      </c>
      <c r="T253" s="1">
        <f>Pcfu4[[#This Row],[SD CFU/mL]]*Pcfu4[[#This Row],[mL]]/Pcfu4[[#This Row],[grams]]</f>
        <v>11285424227.737297</v>
      </c>
      <c r="U253" s="7">
        <f>_xlfn.STDEV.S(Pcfu43[[#This Row],[R1]:[R3]])/AVERAGE(Pcfu43[[#This Row],[R1]:[R3]])</f>
        <v>4.4842846508283025E-2</v>
      </c>
      <c r="V253" s="96"/>
      <c r="W253" s="7"/>
    </row>
    <row r="254" spans="1:23" x14ac:dyDescent="0.15">
      <c r="A254" t="s">
        <v>245</v>
      </c>
      <c r="B254" t="s">
        <v>318</v>
      </c>
      <c r="D254"/>
      <c r="E254" s="3">
        <v>2</v>
      </c>
      <c r="G254">
        <v>0.1</v>
      </c>
      <c r="H254" s="5">
        <f>19*Pcfu4[[#This Row],[grams]]</f>
        <v>1.9000000000000001</v>
      </c>
      <c r="I254" s="3" t="s">
        <v>170</v>
      </c>
      <c r="J254" s="59">
        <v>44894</v>
      </c>
      <c r="L254" s="59" t="e" cm="1">
        <f t="array" ref="L254">INDEX($J$4:J1344, MATCH(1,(A254=$A$4:A1342)*(C254=$C$4:C1342)*("Y"=$K$4:K1344),0))</f>
        <v>#N/A</v>
      </c>
      <c r="M254" s="1">
        <v>1000000</v>
      </c>
      <c r="N254">
        <v>40</v>
      </c>
      <c r="O254">
        <v>75</v>
      </c>
      <c r="P254"/>
      <c r="Q254" s="6">
        <f>(SUM(Pcfu4[[#This Row],[R1]:[R3]]))/(Pcfu4[[#This Row],[No. Reps]]*0.025)*Pcfu4[[#This Row],[Best DF]]</f>
        <v>2300000000</v>
      </c>
      <c r="R254" s="1">
        <f>_xlfn.STDEV.S(Pcfu4[[#This Row],[R1]:[R3]])/0.025*Pcfu4[[#This Row],[Best DF]]</f>
        <v>989949493.66116655</v>
      </c>
      <c r="S254" s="6">
        <f>Pcfu4[[#This Row],[CFU/mL]]*Pcfu4[[#This Row],[mL]]/Pcfu4[[#This Row],[grams]]</f>
        <v>43700000000</v>
      </c>
      <c r="T254" s="1">
        <f>Pcfu4[[#This Row],[SD CFU/mL]]*Pcfu4[[#This Row],[mL]]/Pcfu4[[#This Row],[grams]]</f>
        <v>18809040379.562164</v>
      </c>
      <c r="U254" s="7">
        <f>_xlfn.STDEV.S(Pcfu43[[#This Row],[R1]:[R3]])/AVERAGE(Pcfu43[[#This Row],[R1]:[R3]])</f>
        <v>4.3052012325861401E-2</v>
      </c>
      <c r="V254" s="96"/>
      <c r="W254" s="7"/>
    </row>
    <row r="255" spans="1:23" x14ac:dyDescent="0.15">
      <c r="A255" t="s">
        <v>257</v>
      </c>
      <c r="B255" t="s">
        <v>318</v>
      </c>
      <c r="D255"/>
      <c r="E255" s="3">
        <v>2</v>
      </c>
      <c r="G255">
        <v>0.1</v>
      </c>
      <c r="H255" s="5">
        <f>19*Pcfu4[[#This Row],[grams]]</f>
        <v>1.9000000000000001</v>
      </c>
      <c r="I255" s="3" t="s">
        <v>170</v>
      </c>
      <c r="J255" s="59">
        <v>44894</v>
      </c>
      <c r="L255" s="59" t="e" cm="1">
        <f t="array" ref="L255">INDEX($J$4:J1345, MATCH(1,(A255=$A$4:A1343)*(C255=$C$4:C1343)*("Y"=$K$4:K1345),0))</f>
        <v>#N/A</v>
      </c>
      <c r="M255" s="1">
        <v>1000000</v>
      </c>
      <c r="N255">
        <v>30</v>
      </c>
      <c r="O255">
        <v>33</v>
      </c>
      <c r="P255"/>
      <c r="Q255" s="6">
        <f>(SUM(Pcfu4[[#This Row],[R1]:[R3]]))/(Pcfu4[[#This Row],[No. Reps]]*0.025)*Pcfu4[[#This Row],[Best DF]]</f>
        <v>1260000000</v>
      </c>
      <c r="R255" s="1">
        <f>_xlfn.STDEV.S(Pcfu4[[#This Row],[R1]:[R3]])/0.025*Pcfu4[[#This Row],[Best DF]]</f>
        <v>84852813.742385685</v>
      </c>
      <c r="S255" s="6">
        <f>Pcfu4[[#This Row],[CFU/mL]]*Pcfu4[[#This Row],[mL]]/Pcfu4[[#This Row],[grams]]</f>
        <v>23940000000</v>
      </c>
      <c r="T255" s="1">
        <f>Pcfu4[[#This Row],[SD CFU/mL]]*Pcfu4[[#This Row],[mL]]/Pcfu4[[#This Row],[grams]]</f>
        <v>1612203461.1053281</v>
      </c>
      <c r="U255" s="7">
        <f>_xlfn.STDEV.S(Pcfu43[[#This Row],[R1]:[R3]])/AVERAGE(Pcfu43[[#This Row],[R1]:[R3]])</f>
        <v>8.9280736607018907E-2</v>
      </c>
      <c r="V255" s="96"/>
      <c r="W255" s="7"/>
    </row>
    <row r="256" spans="1:23" x14ac:dyDescent="0.15">
      <c r="A256" t="s">
        <v>322</v>
      </c>
      <c r="B256" t="s">
        <v>323</v>
      </c>
      <c r="D256" t="s">
        <v>86</v>
      </c>
      <c r="E256" s="3">
        <v>2</v>
      </c>
      <c r="G256">
        <v>0.3</v>
      </c>
      <c r="H256" s="5">
        <f>19*Pcfu4[[#This Row],[grams]]</f>
        <v>5.7</v>
      </c>
      <c r="I256" s="3" t="s">
        <v>170</v>
      </c>
      <c r="J256" s="59">
        <v>44894</v>
      </c>
      <c r="L256" s="59" t="e" cm="1">
        <f t="array" ref="L256">INDEX($J$4:J1346, MATCH(1,(A256=$A$4:A1344)*(C256=$C$4:C1344)*("Y"=$K$4:K1346),0))</f>
        <v>#N/A</v>
      </c>
      <c r="M256" s="1">
        <v>10000000</v>
      </c>
      <c r="N256">
        <v>89</v>
      </c>
      <c r="O256">
        <v>98</v>
      </c>
      <c r="P256"/>
      <c r="Q256" s="6">
        <f>(SUM(Pcfu4[[#This Row],[R1]:[R3]]))/(Pcfu4[[#This Row],[No. Reps]]*0.025)*Pcfu4[[#This Row],[Best DF]]</f>
        <v>37400000000</v>
      </c>
      <c r="R256" s="1">
        <f>_xlfn.STDEV.S(Pcfu4[[#This Row],[R1]:[R3]])/0.025*Pcfu4[[#This Row],[Best DF]]</f>
        <v>2545584412.2715707</v>
      </c>
      <c r="S256" s="6">
        <f>Pcfu4[[#This Row],[CFU/mL]]*Pcfu4[[#This Row],[mL]]/Pcfu4[[#This Row],[grams]]</f>
        <v>710600000000</v>
      </c>
      <c r="T256" s="1">
        <f>Pcfu4[[#This Row],[SD CFU/mL]]*Pcfu4[[#This Row],[mL]]/Pcfu4[[#This Row],[grams]]</f>
        <v>48366103833.159851</v>
      </c>
      <c r="U256" s="7">
        <f>_xlfn.STDEV.S(Pcfu43[[#This Row],[R1]:[R3]])/AVERAGE(Pcfu43[[#This Row],[R1]:[R3]])</f>
        <v>0.28474739872574978</v>
      </c>
      <c r="V256" s="96"/>
      <c r="W256" s="7"/>
    </row>
    <row r="257" spans="1:24" x14ac:dyDescent="0.15">
      <c r="A257" t="s">
        <v>324</v>
      </c>
      <c r="B257" t="s">
        <v>323</v>
      </c>
      <c r="D257" t="s">
        <v>86</v>
      </c>
      <c r="E257" s="3">
        <v>2</v>
      </c>
      <c r="G257">
        <v>0.3</v>
      </c>
      <c r="H257" s="5">
        <f>19*Pcfu4[[#This Row],[grams]]</f>
        <v>5.7</v>
      </c>
      <c r="I257" s="3" t="s">
        <v>170</v>
      </c>
      <c r="J257" s="59">
        <v>44894</v>
      </c>
      <c r="L257" s="59" t="e" cm="1">
        <f t="array" ref="L257">INDEX($J$4:J1347, MATCH(1,(A257=$A$4:A1345)*(C257=$C$4:C1345)*("Y"=$K$4:K1347),0))</f>
        <v>#N/A</v>
      </c>
      <c r="M257" s="1">
        <v>10000000</v>
      </c>
      <c r="N257">
        <v>55</v>
      </c>
      <c r="O257">
        <v>60</v>
      </c>
      <c r="P257"/>
      <c r="Q257" s="6">
        <f>(SUM(Pcfu4[[#This Row],[R1]:[R3]]))/(Pcfu4[[#This Row],[No. Reps]]*0.025)*Pcfu4[[#This Row],[Best DF]]</f>
        <v>23000000000</v>
      </c>
      <c r="R257" s="1">
        <f>_xlfn.STDEV.S(Pcfu4[[#This Row],[R1]:[R3]])/0.025*Pcfu4[[#This Row],[Best DF]]</f>
        <v>1414213562.373095</v>
      </c>
      <c r="S257" s="6">
        <f>Pcfu4[[#This Row],[CFU/mL]]*Pcfu4[[#This Row],[mL]]/Pcfu4[[#This Row],[grams]]</f>
        <v>437000000000</v>
      </c>
      <c r="T257" s="1">
        <f>Pcfu4[[#This Row],[SD CFU/mL]]*Pcfu4[[#This Row],[mL]]/Pcfu4[[#This Row],[grams]]</f>
        <v>26870057685.088806</v>
      </c>
      <c r="U257" s="7">
        <f>_xlfn.STDEV.S(Pcfu43[[#This Row],[R1]:[R3]])/AVERAGE(Pcfu43[[#This Row],[R1]:[R3]])</f>
        <v>0.2878244523078442</v>
      </c>
      <c r="V257" s="96"/>
      <c r="W257" s="7"/>
    </row>
    <row r="258" spans="1:24" x14ac:dyDescent="0.15">
      <c r="A258" t="s">
        <v>325</v>
      </c>
      <c r="B258" t="s">
        <v>323</v>
      </c>
      <c r="D258" t="s">
        <v>86</v>
      </c>
      <c r="E258" s="3">
        <v>2</v>
      </c>
      <c r="G258">
        <v>0.3</v>
      </c>
      <c r="H258" s="5">
        <f>19*Pcfu4[[#This Row],[grams]]</f>
        <v>5.7</v>
      </c>
      <c r="I258" s="3" t="s">
        <v>170</v>
      </c>
      <c r="J258" s="59">
        <v>44894</v>
      </c>
      <c r="L258" s="59" t="e" cm="1">
        <f t="array" ref="L258">INDEX($J$4:J1348, MATCH(1,(A258=$A$4:A1346)*(C258=$C$4:C1346)*("Y"=$K$4:K1348),0))</f>
        <v>#N/A</v>
      </c>
      <c r="M258" s="1">
        <v>10000000</v>
      </c>
      <c r="N258">
        <v>40</v>
      </c>
      <c r="O258">
        <v>36</v>
      </c>
      <c r="P258"/>
      <c r="Q258" s="6">
        <f>(SUM(Pcfu4[[#This Row],[R1]:[R3]]))/(Pcfu4[[#This Row],[No. Reps]]*0.025)*Pcfu4[[#This Row],[Best DF]]</f>
        <v>15200000000</v>
      </c>
      <c r="R258" s="1">
        <f>_xlfn.STDEV.S(Pcfu4[[#This Row],[R1]:[R3]])/0.025*Pcfu4[[#This Row],[Best DF]]</f>
        <v>1131370849.8984761</v>
      </c>
      <c r="S258" s="6">
        <f>Pcfu4[[#This Row],[CFU/mL]]*Pcfu4[[#This Row],[mL]]/Pcfu4[[#This Row],[grams]]</f>
        <v>288800000000</v>
      </c>
      <c r="T258" s="1">
        <f>Pcfu4[[#This Row],[SD CFU/mL]]*Pcfu4[[#This Row],[mL]]/Pcfu4[[#This Row],[grams]]</f>
        <v>21496046148.071049</v>
      </c>
      <c r="U258" s="7">
        <f>_xlfn.STDEV.S(Pcfu43[[#This Row],[R1]:[R3]])/AVERAGE(Pcfu43[[#This Row],[R1]:[R3]])</f>
        <v>0.34641016151377529</v>
      </c>
      <c r="V258" s="96"/>
      <c r="W258" s="7"/>
    </row>
    <row r="259" spans="1:24" x14ac:dyDescent="0.15">
      <c r="A259" t="s">
        <v>326</v>
      </c>
      <c r="B259" t="s">
        <v>323</v>
      </c>
      <c r="D259" t="s">
        <v>86</v>
      </c>
      <c r="E259" s="3">
        <v>2</v>
      </c>
      <c r="G259">
        <v>0.3</v>
      </c>
      <c r="H259" s="5">
        <f>19*Pcfu4[[#This Row],[grams]]</f>
        <v>5.7</v>
      </c>
      <c r="I259" s="3" t="s">
        <v>170</v>
      </c>
      <c r="J259" s="59">
        <v>44894</v>
      </c>
      <c r="L259" s="59" t="e" cm="1">
        <f t="array" ref="L259">INDEX($J$4:J1349, MATCH(1,(A259=$A$4:A1347)*(C259=$C$4:C1347)*("Y"=$K$4:K1349),0))</f>
        <v>#N/A</v>
      </c>
      <c r="M259" s="1">
        <v>10000000</v>
      </c>
      <c r="N259">
        <v>28</v>
      </c>
      <c r="O259">
        <v>30</v>
      </c>
      <c r="P259"/>
      <c r="Q259" s="6">
        <f>(SUM(Pcfu4[[#This Row],[R1]:[R3]]))/(Pcfu4[[#This Row],[No. Reps]]*0.025)*Pcfu4[[#This Row],[Best DF]]</f>
        <v>11600000000</v>
      </c>
      <c r="R259" s="1">
        <f>_xlfn.STDEV.S(Pcfu4[[#This Row],[R1]:[R3]])/0.025*Pcfu4[[#This Row],[Best DF]]</f>
        <v>565685424.94923806</v>
      </c>
      <c r="S259" s="6">
        <f>Pcfu4[[#This Row],[CFU/mL]]*Pcfu4[[#This Row],[mL]]/Pcfu4[[#This Row],[grams]]</f>
        <v>220400000000</v>
      </c>
      <c r="T259" s="1">
        <f>Pcfu4[[#This Row],[SD CFU/mL]]*Pcfu4[[#This Row],[mL]]/Pcfu4[[#This Row],[grams]]</f>
        <v>10748023074.035524</v>
      </c>
      <c r="U259" s="7">
        <f>_xlfn.STDEV.S(Pcfu43[[#This Row],[R1]:[R3]])/AVERAGE(Pcfu43[[#This Row],[R1]:[R3]])</f>
        <v>8.812645567222771E-2</v>
      </c>
      <c r="V259" s="96"/>
      <c r="W259" s="7"/>
    </row>
    <row r="260" spans="1:24" x14ac:dyDescent="0.15">
      <c r="A260" t="s">
        <v>322</v>
      </c>
      <c r="B260" t="s">
        <v>327</v>
      </c>
      <c r="D260" t="s">
        <v>86</v>
      </c>
      <c r="E260" s="3">
        <v>2</v>
      </c>
      <c r="G260">
        <v>0.3</v>
      </c>
      <c r="H260" s="5">
        <f>19*Pcfu4[[#This Row],[grams]]</f>
        <v>5.7</v>
      </c>
      <c r="I260" s="3" t="s">
        <v>170</v>
      </c>
      <c r="J260" s="59">
        <v>44894</v>
      </c>
      <c r="L260" s="59" t="e" cm="1">
        <f t="array" ref="L260">INDEX($J$4:J1350, MATCH(1,(A260=$A$4:A1348)*(C260=$C$4:C1348)*("Y"=$K$4:K1350),0))</f>
        <v>#N/A</v>
      </c>
      <c r="M260" s="1">
        <v>10000000</v>
      </c>
      <c r="N260">
        <v>45</v>
      </c>
      <c r="O260">
        <v>46</v>
      </c>
      <c r="P260"/>
      <c r="Q260" s="6">
        <f>(SUM(Pcfu4[[#This Row],[R1]:[R3]]))/(Pcfu4[[#This Row],[No. Reps]]*0.025)*Pcfu4[[#This Row],[Best DF]]</f>
        <v>18200000000</v>
      </c>
      <c r="R260" s="1">
        <f>_xlfn.STDEV.S(Pcfu4[[#This Row],[R1]:[R3]])/0.025*Pcfu4[[#This Row],[Best DF]]</f>
        <v>282842712.47461903</v>
      </c>
      <c r="S260" s="6">
        <f>Pcfu4[[#This Row],[CFU/mL]]*Pcfu4[[#This Row],[mL]]/Pcfu4[[#This Row],[grams]]</f>
        <v>345800000000</v>
      </c>
      <c r="T260" s="1">
        <f>Pcfu4[[#This Row],[SD CFU/mL]]*Pcfu4[[#This Row],[mL]]/Pcfu4[[#This Row],[grams]]</f>
        <v>5374011537.0177622</v>
      </c>
      <c r="U260" s="7">
        <f>_xlfn.STDEV.S(Pcfu43[[#This Row],[R1]:[R3]])/AVERAGE(Pcfu43[[#This Row],[R1]:[R3]])</f>
        <v>0.16702671605294944</v>
      </c>
      <c r="V260" s="96"/>
      <c r="W260" s="7"/>
    </row>
    <row r="261" spans="1:24" x14ac:dyDescent="0.15">
      <c r="A261" t="s">
        <v>324</v>
      </c>
      <c r="B261" t="s">
        <v>327</v>
      </c>
      <c r="D261" t="s">
        <v>86</v>
      </c>
      <c r="E261" s="3">
        <v>2</v>
      </c>
      <c r="G261">
        <v>0.3</v>
      </c>
      <c r="H261" s="5">
        <f>19*Pcfu4[[#This Row],[grams]]</f>
        <v>5.7</v>
      </c>
      <c r="I261" s="3" t="s">
        <v>170</v>
      </c>
      <c r="J261" s="59">
        <v>44894</v>
      </c>
      <c r="L261" s="59" t="e" cm="1">
        <f t="array" ref="L261">INDEX($J$4:J1351, MATCH(1,(A261=$A$4:A1349)*(C261=$C$4:C1349)*("Y"=$K$4:K1351),0))</f>
        <v>#N/A</v>
      </c>
      <c r="M261" s="1">
        <v>10000000</v>
      </c>
      <c r="N261">
        <v>38</v>
      </c>
      <c r="O261">
        <v>33</v>
      </c>
      <c r="P261"/>
      <c r="Q261" s="6">
        <f>(SUM(Pcfu4[[#This Row],[R1]:[R3]]))/(Pcfu4[[#This Row],[No. Reps]]*0.025)*Pcfu4[[#This Row],[Best DF]]</f>
        <v>14200000000</v>
      </c>
      <c r="R261" s="1">
        <f>_xlfn.STDEV.S(Pcfu4[[#This Row],[R1]:[R3]])/0.025*Pcfu4[[#This Row],[Best DF]]</f>
        <v>1414213562.373095</v>
      </c>
      <c r="S261" s="6">
        <f>Pcfu4[[#This Row],[CFU/mL]]*Pcfu4[[#This Row],[mL]]/Pcfu4[[#This Row],[grams]]</f>
        <v>269800000000</v>
      </c>
      <c r="T261" s="1">
        <f>Pcfu4[[#This Row],[SD CFU/mL]]*Pcfu4[[#This Row],[mL]]/Pcfu4[[#This Row],[grams]]</f>
        <v>26870057685.088806</v>
      </c>
      <c r="U261" s="7">
        <f>_xlfn.STDEV.S(Pcfu43[[#This Row],[R1]:[R3]])/AVERAGE(Pcfu43[[#This Row],[R1]:[R3]])</f>
        <v>0.24743582965269698</v>
      </c>
      <c r="V261" s="96"/>
      <c r="W261" s="7"/>
    </row>
    <row r="262" spans="1:24" x14ac:dyDescent="0.15">
      <c r="A262" t="s">
        <v>325</v>
      </c>
      <c r="B262" t="s">
        <v>327</v>
      </c>
      <c r="D262" t="s">
        <v>86</v>
      </c>
      <c r="E262" s="3">
        <v>2</v>
      </c>
      <c r="G262">
        <v>0.3</v>
      </c>
      <c r="H262" s="5">
        <f>19*Pcfu4[[#This Row],[grams]]</f>
        <v>5.7</v>
      </c>
      <c r="I262" s="3" t="s">
        <v>170</v>
      </c>
      <c r="J262" s="59">
        <v>44894</v>
      </c>
      <c r="L262" s="59" t="e" cm="1">
        <f t="array" ref="L262">INDEX($J$4:J1352, MATCH(1,(A262=$A$4:A1350)*(C262=$C$4:C1350)*("Y"=$K$4:K1352),0))</f>
        <v>#N/A</v>
      </c>
      <c r="M262" s="1">
        <v>1000000</v>
      </c>
      <c r="N262">
        <v>159</v>
      </c>
      <c r="O262">
        <v>174</v>
      </c>
      <c r="P262"/>
      <c r="Q262" s="6">
        <f>(SUM(Pcfu4[[#This Row],[R1]:[R3]]))/(Pcfu4[[#This Row],[No. Reps]]*0.025)*Pcfu4[[#This Row],[Best DF]]</f>
        <v>6660000000</v>
      </c>
      <c r="R262" s="1">
        <f>_xlfn.STDEV.S(Pcfu4[[#This Row],[R1]:[R3]])/0.025*Pcfu4[[#This Row],[Best DF]]</f>
        <v>424264068.71192855</v>
      </c>
      <c r="S262" s="6">
        <f>Pcfu4[[#This Row],[CFU/mL]]*Pcfu4[[#This Row],[mL]]/Pcfu4[[#This Row],[grams]]</f>
        <v>126540000000</v>
      </c>
      <c r="T262" s="1">
        <f>Pcfu4[[#This Row],[SD CFU/mL]]*Pcfu4[[#This Row],[mL]]/Pcfu4[[#This Row],[grams]]</f>
        <v>8061017305.5266428</v>
      </c>
      <c r="U262" s="7" t="e">
        <f>_xlfn.STDEV.S(Pcfu43[[#This Row],[R1]:[R3]])/AVERAGE(Pcfu43[[#This Row],[R1]:[R3]])</f>
        <v>#DIV/0!</v>
      </c>
      <c r="V262" s="96"/>
      <c r="W262" s="7"/>
    </row>
    <row r="263" spans="1:24" x14ac:dyDescent="0.15">
      <c r="A263" t="s">
        <v>326</v>
      </c>
      <c r="B263" t="s">
        <v>327</v>
      </c>
      <c r="D263" t="s">
        <v>86</v>
      </c>
      <c r="E263" s="3">
        <v>2</v>
      </c>
      <c r="G263">
        <v>0.3</v>
      </c>
      <c r="H263" s="5">
        <f>19*Pcfu4[[#This Row],[grams]]</f>
        <v>5.7</v>
      </c>
      <c r="I263" s="3" t="s">
        <v>170</v>
      </c>
      <c r="J263" s="59">
        <v>44894</v>
      </c>
      <c r="L263" s="59" t="e" cm="1">
        <f t="array" ref="L263">INDEX($J$4:J1353, MATCH(1,(A263=$A$4:A1351)*(C263=$C$4:C1351)*("Y"=$K$4:K1353),0))</f>
        <v>#N/A</v>
      </c>
      <c r="M263" s="1">
        <v>1000000</v>
      </c>
      <c r="N263">
        <v>129</v>
      </c>
      <c r="O263">
        <v>152</v>
      </c>
      <c r="P263"/>
      <c r="Q263" s="6">
        <f>(SUM(Pcfu4[[#This Row],[R1]:[R3]]))/(Pcfu4[[#This Row],[No. Reps]]*0.025)*Pcfu4[[#This Row],[Best DF]]</f>
        <v>5620000000</v>
      </c>
      <c r="R263" s="1">
        <f>_xlfn.STDEV.S(Pcfu4[[#This Row],[R1]:[R3]])/0.025*Pcfu4[[#This Row],[Best DF]]</f>
        <v>650538238.69162369</v>
      </c>
      <c r="S263" s="6">
        <f>Pcfu4[[#This Row],[CFU/mL]]*Pcfu4[[#This Row],[mL]]/Pcfu4[[#This Row],[grams]]</f>
        <v>106780000000</v>
      </c>
      <c r="T263" s="1">
        <f>Pcfu4[[#This Row],[SD CFU/mL]]*Pcfu4[[#This Row],[mL]]/Pcfu4[[#This Row],[grams]]</f>
        <v>12360226535.14085</v>
      </c>
      <c r="U263" s="7" t="e">
        <f>_xlfn.STDEV.S(Pcfu43[[#This Row],[R1]:[R3]])/AVERAGE(Pcfu43[[#This Row],[R1]:[R3]])</f>
        <v>#DIV/0!</v>
      </c>
      <c r="V263" s="96"/>
      <c r="W263" s="7"/>
    </row>
    <row r="264" spans="1:24" x14ac:dyDescent="0.15">
      <c r="A264" t="s">
        <v>326</v>
      </c>
      <c r="B264" t="s">
        <v>328</v>
      </c>
      <c r="D264" t="s">
        <v>329</v>
      </c>
      <c r="E264" s="3">
        <v>2</v>
      </c>
      <c r="G264">
        <v>0.3</v>
      </c>
      <c r="H264" s="5">
        <f>19*Pcfu4[[#This Row],[grams]]</f>
        <v>5.7</v>
      </c>
      <c r="I264" s="3" t="s">
        <v>170</v>
      </c>
      <c r="J264" s="59">
        <v>44896</v>
      </c>
      <c r="L264" s="59" t="e" cm="1">
        <f t="array" ref="L264">INDEX($J$4:J1354, MATCH(1,(A264=$A$4:A1352)*(C264=$C$4:C1352)*("Y"=$K$4:K1354),0))</f>
        <v>#N/A</v>
      </c>
      <c r="M264" s="1">
        <v>10000</v>
      </c>
      <c r="N264">
        <v>0</v>
      </c>
      <c r="O264">
        <v>0</v>
      </c>
      <c r="P264"/>
      <c r="Q264" s="6">
        <f>(SUM(Pcfu4[[#This Row],[R1]:[R3]]))/(Pcfu4[[#This Row],[No. Reps]]*0.025)*Pcfu4[[#This Row],[Best DF]]</f>
        <v>0</v>
      </c>
      <c r="R264" s="1">
        <f>_xlfn.STDEV.S(Pcfu4[[#This Row],[R1]:[R3]])/0.025*Pcfu4[[#This Row],[Best DF]]</f>
        <v>0</v>
      </c>
      <c r="S264" s="6">
        <f>Pcfu4[[#This Row],[CFU/mL]]*Pcfu4[[#This Row],[mL]]/Pcfu4[[#This Row],[grams]]</f>
        <v>0</v>
      </c>
      <c r="T264" s="1">
        <f>Pcfu4[[#This Row],[SD CFU/mL]]*Pcfu4[[#This Row],[mL]]/Pcfu4[[#This Row],[grams]]</f>
        <v>0</v>
      </c>
      <c r="U264" s="7" t="e">
        <f>_xlfn.STDEV.S(Pcfu43[[#This Row],[R1]:[R3]])/AVERAGE(Pcfu43[[#This Row],[R1]:[R3]])</f>
        <v>#DIV/0!</v>
      </c>
      <c r="V264" s="96"/>
      <c r="W264" s="7"/>
    </row>
    <row r="265" spans="1:24" ht="15" x14ac:dyDescent="0.2">
      <c r="A265" t="s">
        <v>322</v>
      </c>
      <c r="B265" t="s">
        <v>328</v>
      </c>
      <c r="D265" t="s">
        <v>329</v>
      </c>
      <c r="E265" s="3">
        <v>2</v>
      </c>
      <c r="G265">
        <v>0.3</v>
      </c>
      <c r="H265" s="5">
        <f>19*Pcfu4[[#This Row],[grams]]</f>
        <v>5.7</v>
      </c>
      <c r="I265" s="3" t="s">
        <v>170</v>
      </c>
      <c r="J265" s="59">
        <v>44896</v>
      </c>
      <c r="L265" s="59" t="e" cm="1">
        <f t="array" ref="L265">INDEX($J$4:J1355, MATCH(1,(A265=$A$4:A1353)*(C265=$C$4:C1353)*("Y"=$K$4:K1355),0))</f>
        <v>#N/A</v>
      </c>
      <c r="M265" s="1">
        <v>100000</v>
      </c>
      <c r="N265" s="55">
        <v>31</v>
      </c>
      <c r="O265" s="55">
        <v>39</v>
      </c>
      <c r="P265"/>
      <c r="Q265" s="6">
        <f>(SUM(Pcfu4[[#This Row],[R1]:[R3]]))/(Pcfu4[[#This Row],[No. Reps]]*0.025)*Pcfu4[[#This Row],[Best DF]]</f>
        <v>140000000</v>
      </c>
      <c r="R265" s="1">
        <f>_xlfn.STDEV.S(Pcfu4[[#This Row],[R1]:[R3]])/0.025*Pcfu4[[#This Row],[Best DF]]</f>
        <v>22627416.997969523</v>
      </c>
      <c r="S265" s="6">
        <f>Pcfu4[[#This Row],[CFU/mL]]*Pcfu4[[#This Row],[mL]]/Pcfu4[[#This Row],[grams]]</f>
        <v>2660000000</v>
      </c>
      <c r="T265" s="1">
        <f>Pcfu4[[#This Row],[SD CFU/mL]]*Pcfu4[[#This Row],[mL]]/Pcfu4[[#This Row],[grams]]</f>
        <v>429920922.96142095</v>
      </c>
      <c r="U265" s="7" t="e">
        <f>_xlfn.STDEV.S(Pcfu43[[#This Row],[R1]:[R3]])/AVERAGE(Pcfu43[[#This Row],[R1]:[R3]])</f>
        <v>#DIV/0!</v>
      </c>
      <c r="V265" s="96"/>
      <c r="W265" s="7"/>
    </row>
    <row r="266" spans="1:24" x14ac:dyDescent="0.15">
      <c r="A266" t="s">
        <v>326</v>
      </c>
      <c r="B266" t="s">
        <v>330</v>
      </c>
      <c r="D266" t="s">
        <v>329</v>
      </c>
      <c r="E266" s="3">
        <v>2</v>
      </c>
      <c r="G266">
        <v>0.3</v>
      </c>
      <c r="H266" s="5">
        <f>19*Pcfu4[[#This Row],[grams]]</f>
        <v>5.7</v>
      </c>
      <c r="I266" s="3" t="s">
        <v>170</v>
      </c>
      <c r="J266" s="59">
        <v>44896</v>
      </c>
      <c r="L266" s="59" t="e" cm="1">
        <f t="array" ref="L266">INDEX($J$4:J1356, MATCH(1,(A266=$A$4:A1354)*(C266=$C$4:C1354)*("Y"=$K$4:K1356),0))</f>
        <v>#N/A</v>
      </c>
      <c r="M266" s="1">
        <v>10000</v>
      </c>
      <c r="N266">
        <v>0</v>
      </c>
      <c r="O266">
        <v>0</v>
      </c>
      <c r="P266"/>
      <c r="Q266" s="6">
        <f>(SUM(Pcfu4[[#This Row],[R1]:[R3]]))/(Pcfu4[[#This Row],[No. Reps]]*0.025)*Pcfu4[[#This Row],[Best DF]]</f>
        <v>0</v>
      </c>
      <c r="R266" s="1">
        <f>_xlfn.STDEV.S(Pcfu4[[#This Row],[R1]:[R3]])/0.025*Pcfu4[[#This Row],[Best DF]]</f>
        <v>0</v>
      </c>
      <c r="S266" s="6">
        <f>Pcfu4[[#This Row],[CFU/mL]]*Pcfu4[[#This Row],[mL]]/Pcfu4[[#This Row],[grams]]</f>
        <v>0</v>
      </c>
      <c r="T266" s="1">
        <f>Pcfu4[[#This Row],[SD CFU/mL]]*Pcfu4[[#This Row],[mL]]/Pcfu4[[#This Row],[grams]]</f>
        <v>0</v>
      </c>
      <c r="U266" s="7" t="e">
        <f>_xlfn.STDEV.S(Pcfu43[[#This Row],[R1]:[R3]])/AVERAGE(Pcfu43[[#This Row],[R1]:[R3]])</f>
        <v>#DIV/0!</v>
      </c>
      <c r="V266" s="96"/>
      <c r="W266" s="7"/>
    </row>
    <row r="267" spans="1:24" ht="15" x14ac:dyDescent="0.2">
      <c r="A267" t="s">
        <v>322</v>
      </c>
      <c r="B267" t="s">
        <v>330</v>
      </c>
      <c r="D267" t="s">
        <v>329</v>
      </c>
      <c r="E267" s="3">
        <v>2</v>
      </c>
      <c r="G267">
        <v>0.3</v>
      </c>
      <c r="H267" s="5">
        <f>19*Pcfu4[[#This Row],[grams]]</f>
        <v>5.7</v>
      </c>
      <c r="I267" s="3" t="s">
        <v>170</v>
      </c>
      <c r="J267" s="59">
        <v>44896</v>
      </c>
      <c r="L267" s="59" t="e" cm="1">
        <f t="array" ref="L267">INDEX($J$4:J1357, MATCH(1,(A267=$A$4:A1355)*(C267=$C$4:C1355)*("Y"=$K$4:K1357),0))</f>
        <v>#N/A</v>
      </c>
      <c r="M267" s="1">
        <v>100000</v>
      </c>
      <c r="N267" s="55">
        <v>90</v>
      </c>
      <c r="O267" s="55">
        <v>98</v>
      </c>
      <c r="P267"/>
      <c r="Q267" s="6">
        <f>(SUM(Pcfu4[[#This Row],[R1]:[R3]]))/(Pcfu4[[#This Row],[No. Reps]]*0.025)*Pcfu4[[#This Row],[Best DF]]</f>
        <v>376000000</v>
      </c>
      <c r="R267" s="1">
        <f>_xlfn.STDEV.S(Pcfu4[[#This Row],[R1]:[R3]])/0.025*Pcfu4[[#This Row],[Best DF]]</f>
        <v>22627416.997969523</v>
      </c>
      <c r="S267" s="6">
        <f>Pcfu4[[#This Row],[CFU/mL]]*Pcfu4[[#This Row],[mL]]/Pcfu4[[#This Row],[grams]]</f>
        <v>7144000000</v>
      </c>
      <c r="T267" s="1">
        <f>Pcfu4[[#This Row],[SD CFU/mL]]*Pcfu4[[#This Row],[mL]]/Pcfu4[[#This Row],[grams]]</f>
        <v>429920922.96142095</v>
      </c>
      <c r="U267" s="7" t="e">
        <f>_xlfn.STDEV.S(Pcfu43[[#This Row],[R1]:[R3]])/AVERAGE(Pcfu43[[#This Row],[R1]:[R3]])</f>
        <v>#DIV/0!</v>
      </c>
      <c r="V267" s="96"/>
      <c r="W267" s="7"/>
    </row>
    <row r="268" spans="1:24" x14ac:dyDescent="0.15">
      <c r="A268" t="s">
        <v>326</v>
      </c>
      <c r="B268" t="s">
        <v>328</v>
      </c>
      <c r="D268" t="s">
        <v>331</v>
      </c>
      <c r="E268" s="3">
        <v>2</v>
      </c>
      <c r="G268" s="60">
        <v>0.29699999999999999</v>
      </c>
      <c r="H268" s="5">
        <v>6</v>
      </c>
      <c r="I268" s="3" t="s">
        <v>28</v>
      </c>
      <c r="J268" s="59">
        <v>44897</v>
      </c>
      <c r="L268" s="59" t="e" cm="1">
        <f t="array" ref="L268">INDEX($J$4:J1358, MATCH(1,(A268=$A$4:A1356)*(C268=$C$4:C1356)*("Y"=$K$4:K1358),0))</f>
        <v>#N/A</v>
      </c>
      <c r="M268" s="1">
        <v>100</v>
      </c>
      <c r="N268">
        <v>0</v>
      </c>
      <c r="O268">
        <v>0</v>
      </c>
      <c r="P268"/>
      <c r="Q268" s="6">
        <f>(SUM(Pcfu4[[#This Row],[R1]:[R3]]))/(Pcfu4[[#This Row],[No. Reps]]*0.025)*Pcfu4[[#This Row],[Best DF]]</f>
        <v>0</v>
      </c>
      <c r="R268" s="1">
        <f>_xlfn.STDEV.S(Pcfu4[[#This Row],[R1]:[R3]])/0.025*Pcfu4[[#This Row],[Best DF]]</f>
        <v>0</v>
      </c>
      <c r="S268" s="6">
        <f>Pcfu4[[#This Row],[CFU/mL]]*Pcfu4[[#This Row],[mL]]/Pcfu4[[#This Row],[grams]]</f>
        <v>0</v>
      </c>
      <c r="T268" s="1">
        <f>Pcfu4[[#This Row],[SD CFU/mL]]*Pcfu4[[#This Row],[mL]]/Pcfu4[[#This Row],[grams]]</f>
        <v>0</v>
      </c>
      <c r="U268" s="7" t="e">
        <f>_xlfn.STDEV.S(Pcfu43[[#This Row],[R1]:[R3]])/AVERAGE(Pcfu43[[#This Row],[R1]:[R3]])</f>
        <v>#DIV/0!</v>
      </c>
      <c r="V268" s="96"/>
      <c r="W268" s="7"/>
      <c r="X268" t="s">
        <v>332</v>
      </c>
    </row>
    <row r="269" spans="1:24" x14ac:dyDescent="0.15">
      <c r="A269" t="s">
        <v>322</v>
      </c>
      <c r="B269" t="s">
        <v>328</v>
      </c>
      <c r="D269" t="s">
        <v>333</v>
      </c>
      <c r="E269" s="3">
        <v>2</v>
      </c>
      <c r="G269">
        <v>0.32190000000000002</v>
      </c>
      <c r="H269" s="5">
        <v>6</v>
      </c>
      <c r="I269" s="3" t="s">
        <v>28</v>
      </c>
      <c r="J269" s="59">
        <v>44897</v>
      </c>
      <c r="L269" s="59" t="e" cm="1">
        <f t="array" ref="L269">INDEX($J$4:J1359, MATCH(1,(A269=$A$4:A1357)*(C269=$C$4:C1357)*("Y"=$K$4:K1359),0))</f>
        <v>#N/A</v>
      </c>
      <c r="M269" s="1">
        <v>10000</v>
      </c>
      <c r="N269">
        <v>14</v>
      </c>
      <c r="O269">
        <v>16</v>
      </c>
      <c r="P269"/>
      <c r="Q269" s="6">
        <f>(SUM(Pcfu4[[#This Row],[R1]:[R3]]))/(Pcfu4[[#This Row],[No. Reps]]*0.025)*Pcfu4[[#This Row],[Best DF]]</f>
        <v>6000000</v>
      </c>
      <c r="R269" s="1">
        <f>_xlfn.STDEV.S(Pcfu4[[#This Row],[R1]:[R3]])/0.025*Pcfu4[[#This Row],[Best DF]]</f>
        <v>565685.42494923808</v>
      </c>
      <c r="S269" s="6">
        <f>Pcfu4[[#This Row],[CFU/mL]]*Pcfu4[[#This Row],[mL]]/Pcfu4[[#This Row],[grams]]</f>
        <v>111835973.90493941</v>
      </c>
      <c r="T269" s="1">
        <f>Pcfu4[[#This Row],[SD CFU/mL]]*Pcfu4[[#This Row],[mL]]/Pcfu4[[#This Row],[grams]]</f>
        <v>10543996.737171259</v>
      </c>
      <c r="U269" s="7" t="e">
        <f>_xlfn.STDEV.S(Pcfu43[[#This Row],[R1]:[R3]])/AVERAGE(Pcfu43[[#This Row],[R1]:[R3]])</f>
        <v>#DIV/0!</v>
      </c>
      <c r="V269" s="96"/>
      <c r="W269" s="7"/>
      <c r="X269" t="s">
        <v>334</v>
      </c>
    </row>
    <row r="270" spans="1:24" x14ac:dyDescent="0.15">
      <c r="A270" t="s">
        <v>335</v>
      </c>
      <c r="B270" t="s">
        <v>336</v>
      </c>
      <c r="D270" t="s">
        <v>253</v>
      </c>
      <c r="E270" s="3">
        <v>2</v>
      </c>
      <c r="G270">
        <v>0.28139999999999998</v>
      </c>
      <c r="H270" s="5">
        <v>6</v>
      </c>
      <c r="I270" s="3" t="s">
        <v>28</v>
      </c>
      <c r="J270" s="59">
        <v>44897</v>
      </c>
      <c r="L270" s="59" t="e" cm="1">
        <f t="array" ref="L270">INDEX($J$4:J1360, MATCH(1,(A270=$A$4:A1358)*(C270=$C$4:C1358)*("Y"=$K$4:K1360),0))</f>
        <v>#N/A</v>
      </c>
      <c r="M270" s="1"/>
      <c r="P270"/>
      <c r="Q270" s="6">
        <f>(SUM(Pcfu4[[#This Row],[R1]:[R3]]))/(Pcfu4[[#This Row],[No. Reps]]*0.025)*Pcfu4[[#This Row],[Best DF]]</f>
        <v>0</v>
      </c>
      <c r="R270" s="1" t="e">
        <f>_xlfn.STDEV.S(Pcfu4[[#This Row],[R1]:[R3]])/0.025*Pcfu4[[#This Row],[Best DF]]</f>
        <v>#DIV/0!</v>
      </c>
      <c r="S270" s="6">
        <f>Pcfu4[[#This Row],[CFU/mL]]*Pcfu4[[#This Row],[mL]]/Pcfu4[[#This Row],[grams]]</f>
        <v>0</v>
      </c>
      <c r="T270" s="1" t="e">
        <f>Pcfu4[[#This Row],[SD CFU/mL]]*Pcfu4[[#This Row],[mL]]/Pcfu4[[#This Row],[grams]]</f>
        <v>#DIV/0!</v>
      </c>
      <c r="U270" s="7" t="e">
        <f>_xlfn.STDEV.S(Pcfu43[[#This Row],[R1]:[R3]])/AVERAGE(Pcfu43[[#This Row],[R1]:[R3]])</f>
        <v>#DIV/0!</v>
      </c>
      <c r="V270" s="96"/>
      <c r="W270" s="7"/>
      <c r="X270" t="s">
        <v>334</v>
      </c>
    </row>
    <row r="271" spans="1:24" x14ac:dyDescent="0.15">
      <c r="A271" t="s">
        <v>216</v>
      </c>
      <c r="B271" t="s">
        <v>336</v>
      </c>
      <c r="D271" t="s">
        <v>246</v>
      </c>
      <c r="E271" s="3">
        <v>2</v>
      </c>
      <c r="G271">
        <v>0.26140000000000002</v>
      </c>
      <c r="H271" s="5">
        <v>6</v>
      </c>
      <c r="I271" s="3" t="s">
        <v>28</v>
      </c>
      <c r="J271" s="59">
        <v>44897</v>
      </c>
      <c r="L271" s="59" t="e" cm="1">
        <f t="array" ref="L271">INDEX($J$4:J1361, MATCH(1,(A271=$A$4:A1359)*(C271=$C$4:C1359)*("Y"=$K$4:K1361),0))</f>
        <v>#N/A</v>
      </c>
      <c r="M271" s="1"/>
      <c r="P271"/>
      <c r="Q271" s="6">
        <f>(SUM(Pcfu4[[#This Row],[R1]:[R3]]))/(Pcfu4[[#This Row],[No. Reps]]*0.025)*Pcfu4[[#This Row],[Best DF]]</f>
        <v>0</v>
      </c>
      <c r="R271" s="1" t="e">
        <f>_xlfn.STDEV.S(Pcfu4[[#This Row],[R1]:[R3]])/0.025*Pcfu4[[#This Row],[Best DF]]</f>
        <v>#DIV/0!</v>
      </c>
      <c r="S271" s="6">
        <f>Pcfu4[[#This Row],[CFU/mL]]*Pcfu4[[#This Row],[mL]]/Pcfu4[[#This Row],[grams]]</f>
        <v>0</v>
      </c>
      <c r="T271" s="1" t="e">
        <f>Pcfu4[[#This Row],[SD CFU/mL]]*Pcfu4[[#This Row],[mL]]/Pcfu4[[#This Row],[grams]]</f>
        <v>#DIV/0!</v>
      </c>
      <c r="U271" s="7" t="e">
        <f>_xlfn.STDEV.S(Pcfu43[[#This Row],[R1]:[R3]])/AVERAGE(Pcfu43[[#This Row],[R1]:[R3]])</f>
        <v>#DIV/0!</v>
      </c>
      <c r="V271" s="96"/>
      <c r="W271" s="7"/>
      <c r="X271" t="s">
        <v>334</v>
      </c>
    </row>
    <row r="272" spans="1:24" x14ac:dyDescent="0.15">
      <c r="A272" t="s">
        <v>326</v>
      </c>
      <c r="B272" t="s">
        <v>330</v>
      </c>
      <c r="D272" t="s">
        <v>331</v>
      </c>
      <c r="E272" s="3">
        <v>2</v>
      </c>
      <c r="G272">
        <v>0.32450000000000001</v>
      </c>
      <c r="H272" s="5">
        <v>6</v>
      </c>
      <c r="I272" s="3" t="s">
        <v>28</v>
      </c>
      <c r="J272" s="59">
        <v>44897</v>
      </c>
      <c r="L272" s="59" t="e" cm="1">
        <f t="array" ref="L272">INDEX($J$4:J1362, MATCH(1,(A272=$A$4:A1360)*(C272=$C$4:C1360)*("Y"=$K$4:K1362),0))</f>
        <v>#N/A</v>
      </c>
      <c r="M272" s="1">
        <v>100</v>
      </c>
      <c r="N272">
        <v>0</v>
      </c>
      <c r="O272">
        <v>0</v>
      </c>
      <c r="P272"/>
      <c r="Q272" s="6">
        <f>(SUM(Pcfu4[[#This Row],[R1]:[R3]]))/(Pcfu4[[#This Row],[No. Reps]]*0.025)*Pcfu4[[#This Row],[Best DF]]</f>
        <v>0</v>
      </c>
      <c r="R272" s="1">
        <f>_xlfn.STDEV.S(Pcfu4[[#This Row],[R1]:[R3]])/0.025*Pcfu4[[#This Row],[Best DF]]</f>
        <v>0</v>
      </c>
      <c r="S272" s="6">
        <f>Pcfu4[[#This Row],[CFU/mL]]*Pcfu4[[#This Row],[mL]]/Pcfu4[[#This Row],[grams]]</f>
        <v>0</v>
      </c>
      <c r="T272" s="1">
        <f>Pcfu4[[#This Row],[SD CFU/mL]]*Pcfu4[[#This Row],[mL]]/Pcfu4[[#This Row],[grams]]</f>
        <v>0</v>
      </c>
      <c r="U272" s="7" t="e">
        <f>_xlfn.STDEV.S(Pcfu43[[#This Row],[R1]:[R3]])/AVERAGE(Pcfu43[[#This Row],[R1]:[R3]])</f>
        <v>#DIV/0!</v>
      </c>
      <c r="V272" s="96"/>
      <c r="W272" s="7"/>
      <c r="X272" t="s">
        <v>332</v>
      </c>
    </row>
    <row r="273" spans="1:24" x14ac:dyDescent="0.15">
      <c r="A273" t="s">
        <v>322</v>
      </c>
      <c r="B273" t="s">
        <v>330</v>
      </c>
      <c r="D273" t="s">
        <v>333</v>
      </c>
      <c r="E273" s="3">
        <v>2</v>
      </c>
      <c r="G273">
        <v>0.29120000000000001</v>
      </c>
      <c r="H273" s="5">
        <v>6</v>
      </c>
      <c r="I273" s="3" t="s">
        <v>28</v>
      </c>
      <c r="J273" s="59">
        <v>44897</v>
      </c>
      <c r="L273" s="59" t="e" cm="1">
        <f t="array" ref="L273">INDEX($J$4:J1363, MATCH(1,(A273=$A$4:A1361)*(C273=$C$4:C1361)*("Y"=$K$4:K1363),0))</f>
        <v>#N/A</v>
      </c>
      <c r="M273" s="1">
        <v>10000</v>
      </c>
      <c r="N273">
        <v>76</v>
      </c>
      <c r="O273">
        <v>61</v>
      </c>
      <c r="P273"/>
      <c r="Q273" s="6">
        <f>(SUM(Pcfu4[[#This Row],[R1]:[R3]]))/(Pcfu4[[#This Row],[No. Reps]]*0.025)*Pcfu4[[#This Row],[Best DF]]</f>
        <v>27400000</v>
      </c>
      <c r="R273" s="1">
        <f>_xlfn.STDEV.S(Pcfu4[[#This Row],[R1]:[R3]])/0.025*Pcfu4[[#This Row],[Best DF]]</f>
        <v>4242640.6871192856</v>
      </c>
      <c r="S273" s="6">
        <f>Pcfu4[[#This Row],[CFU/mL]]*Pcfu4[[#This Row],[mL]]/Pcfu4[[#This Row],[grams]]</f>
        <v>564560439.56043959</v>
      </c>
      <c r="T273" s="1">
        <f>Pcfu4[[#This Row],[SD CFU/mL]]*Pcfu4[[#This Row],[mL]]/Pcfu4[[#This Row],[grams]]</f>
        <v>87417047.124710545</v>
      </c>
      <c r="U273" s="7" t="e">
        <f>_xlfn.STDEV.S(Pcfu43[[#This Row],[R1]:[R3]])/AVERAGE(Pcfu43[[#This Row],[R1]:[R3]])</f>
        <v>#DIV/0!</v>
      </c>
      <c r="V273" s="96"/>
      <c r="W273" s="7"/>
      <c r="X273" t="s">
        <v>334</v>
      </c>
    </row>
    <row r="274" spans="1:24" x14ac:dyDescent="0.15">
      <c r="A274" t="s">
        <v>288</v>
      </c>
      <c r="B274" t="s">
        <v>337</v>
      </c>
      <c r="D274" t="s">
        <v>37</v>
      </c>
      <c r="E274" s="3">
        <v>2</v>
      </c>
      <c r="G274">
        <v>0.1</v>
      </c>
      <c r="H274" s="5">
        <f>19*Pcfu4[[#This Row],[grams]]</f>
        <v>1.9000000000000001</v>
      </c>
      <c r="I274" s="3" t="s">
        <v>170</v>
      </c>
      <c r="J274" s="59">
        <v>44907</v>
      </c>
      <c r="L274" s="59" t="e" cm="1">
        <f t="array" ref="L274">INDEX($J$4:J1364, MATCH(1,(A274=$A$4:A1362)*(C274=$C$4:C1362)*("Y"=$K$4:K1364),0))</f>
        <v>#N/A</v>
      </c>
      <c r="M274" s="1">
        <v>100000</v>
      </c>
      <c r="N274">
        <v>5</v>
      </c>
      <c r="O274">
        <v>11</v>
      </c>
      <c r="P274"/>
      <c r="Q274" s="6">
        <f>(SUM(Pcfu4[[#This Row],[R1]:[R3]]))/(Pcfu4[[#This Row],[No. Reps]]*0.025)*Pcfu4[[#This Row],[Best DF]]</f>
        <v>32000000</v>
      </c>
      <c r="R274" s="1">
        <f>_xlfn.STDEV.S(Pcfu4[[#This Row],[R1]:[R3]])/0.025*Pcfu4[[#This Row],[Best DF]]</f>
        <v>16970562.748477139</v>
      </c>
      <c r="S274" s="6">
        <f>Pcfu4[[#This Row],[CFU/mL]]*Pcfu4[[#This Row],[mL]]/Pcfu4[[#This Row],[grams]]</f>
        <v>608000000</v>
      </c>
      <c r="T274" s="1">
        <f>Pcfu4[[#This Row],[SD CFU/mL]]*Pcfu4[[#This Row],[mL]]/Pcfu4[[#This Row],[grams]]</f>
        <v>322440692.22106564</v>
      </c>
      <c r="U274" s="7" t="e">
        <f>_xlfn.STDEV.S(Pcfu43[[#This Row],[R1]:[R3]])/AVERAGE(Pcfu43[[#This Row],[R1]:[R3]])</f>
        <v>#DIV/0!</v>
      </c>
      <c r="V274" s="96"/>
      <c r="W274" s="7"/>
    </row>
    <row r="275" spans="1:24" x14ac:dyDescent="0.15">
      <c r="A275" t="s">
        <v>291</v>
      </c>
      <c r="B275" t="s">
        <v>337</v>
      </c>
      <c r="D275" t="s">
        <v>37</v>
      </c>
      <c r="E275" s="3">
        <v>2</v>
      </c>
      <c r="G275">
        <v>0.1</v>
      </c>
      <c r="H275" s="5">
        <f>19*Pcfu4[[#This Row],[grams]]</f>
        <v>1.9000000000000001</v>
      </c>
      <c r="I275" s="3" t="s">
        <v>170</v>
      </c>
      <c r="J275" s="59">
        <v>44907</v>
      </c>
      <c r="L275" s="59" t="e" cm="1">
        <f t="array" ref="L275">INDEX($J$4:J1365, MATCH(1,(A275=$A$4:A1363)*(C275=$C$4:C1363)*("Y"=$K$4:K1365),0))</f>
        <v>#N/A</v>
      </c>
      <c r="M275" s="1">
        <v>1000000</v>
      </c>
      <c r="N275">
        <v>94</v>
      </c>
      <c r="O275">
        <v>101</v>
      </c>
      <c r="P275"/>
      <c r="Q275" s="6">
        <f>(SUM(Pcfu4[[#This Row],[R1]:[R3]]))/(Pcfu4[[#This Row],[No. Reps]]*0.025)*Pcfu4[[#This Row],[Best DF]]</f>
        <v>3900000000</v>
      </c>
      <c r="R275" s="1">
        <f>_xlfn.STDEV.S(Pcfu4[[#This Row],[R1]:[R3]])/0.025*Pcfu4[[#This Row],[Best DF]]</f>
        <v>197989898.73223329</v>
      </c>
      <c r="S275" s="6">
        <f>Pcfu4[[#This Row],[CFU/mL]]*Pcfu4[[#This Row],[mL]]/Pcfu4[[#This Row],[grams]]</f>
        <v>74100000000</v>
      </c>
      <c r="T275" s="1">
        <f>Pcfu4[[#This Row],[SD CFU/mL]]*Pcfu4[[#This Row],[mL]]/Pcfu4[[#This Row],[grams]]</f>
        <v>3761808075.9124327</v>
      </c>
      <c r="U275" s="7" t="e">
        <f>_xlfn.STDEV.S(Pcfu43[[#This Row],[R1]:[R3]])/AVERAGE(Pcfu43[[#This Row],[R1]:[R3]])</f>
        <v>#DIV/0!</v>
      </c>
      <c r="V275" s="96"/>
      <c r="W275" s="7"/>
      <c r="X275" t="s">
        <v>338</v>
      </c>
    </row>
    <row r="276" spans="1:24" x14ac:dyDescent="0.15">
      <c r="A276" t="s">
        <v>339</v>
      </c>
      <c r="B276" t="s">
        <v>340</v>
      </c>
      <c r="D276" t="s">
        <v>26</v>
      </c>
      <c r="E276" s="3">
        <v>2</v>
      </c>
      <c r="G276">
        <v>0.1</v>
      </c>
      <c r="H276" s="5">
        <f>19*Pcfu4[[#This Row],[grams]]</f>
        <v>1.9000000000000001</v>
      </c>
      <c r="I276" s="3" t="s">
        <v>170</v>
      </c>
      <c r="J276" s="59">
        <v>44907</v>
      </c>
      <c r="L276" s="59" t="e" cm="1">
        <f t="array" ref="L276">INDEX($J$4:J1366, MATCH(1,(A276=$A$4:A1364)*(C276=$C$4:C1364)*("Y"=$K$4:K1366),0))</f>
        <v>#N/A</v>
      </c>
      <c r="M276" s="1">
        <v>10000</v>
      </c>
      <c r="N276">
        <v>1</v>
      </c>
      <c r="O276">
        <v>1</v>
      </c>
      <c r="P276"/>
      <c r="Q276" s="6">
        <f>(SUM(Pcfu4[[#This Row],[R1]:[R3]]))/(Pcfu4[[#This Row],[No. Reps]]*0.025)*Pcfu4[[#This Row],[Best DF]]</f>
        <v>400000</v>
      </c>
      <c r="R276" s="1">
        <f>_xlfn.STDEV.S(Pcfu4[[#This Row],[R1]:[R3]])/0.025*Pcfu4[[#This Row],[Best DF]]</f>
        <v>0</v>
      </c>
      <c r="S276" s="6">
        <f>Pcfu4[[#This Row],[CFU/mL]]*Pcfu4[[#This Row],[mL]]/Pcfu4[[#This Row],[grams]]</f>
        <v>7600000</v>
      </c>
      <c r="T276" s="1">
        <f>Pcfu4[[#This Row],[SD CFU/mL]]*Pcfu4[[#This Row],[mL]]/Pcfu4[[#This Row],[grams]]</f>
        <v>0</v>
      </c>
      <c r="U276" s="7" t="e">
        <f>_xlfn.STDEV.S(Pcfu43[[#This Row],[R1]:[R3]])/AVERAGE(Pcfu43[[#This Row],[R1]:[R3]])</f>
        <v>#DIV/0!</v>
      </c>
      <c r="V276" s="96"/>
      <c r="W276" s="7"/>
    </row>
    <row r="277" spans="1:24" x14ac:dyDescent="0.15">
      <c r="A277" t="s">
        <v>341</v>
      </c>
      <c r="B277" t="s">
        <v>340</v>
      </c>
      <c r="D277" t="s">
        <v>26</v>
      </c>
      <c r="E277" s="3">
        <v>2</v>
      </c>
      <c r="G277">
        <v>0.1</v>
      </c>
      <c r="H277" s="5">
        <f>19*Pcfu4[[#This Row],[grams]]</f>
        <v>1.9000000000000001</v>
      </c>
      <c r="I277" s="3" t="s">
        <v>170</v>
      </c>
      <c r="J277" s="59">
        <v>44907</v>
      </c>
      <c r="L277" s="59" t="e" cm="1">
        <f t="array" ref="L277">INDEX($J$4:J1367, MATCH(1,(A277=$A$4:A1365)*(C277=$C$4:C1365)*("Y"=$K$4:K1367),0))</f>
        <v>#N/A</v>
      </c>
      <c r="M277" s="1">
        <v>10000</v>
      </c>
      <c r="N277">
        <v>1</v>
      </c>
      <c r="O277">
        <v>0</v>
      </c>
      <c r="P277"/>
      <c r="Q277" s="6">
        <f>(SUM(Pcfu4[[#This Row],[R1]:[R3]]))/(Pcfu4[[#This Row],[No. Reps]]*0.025)*Pcfu4[[#This Row],[Best DF]]</f>
        <v>200000</v>
      </c>
      <c r="R277" s="1">
        <f>_xlfn.STDEV.S(Pcfu4[[#This Row],[R1]:[R3]])/0.025*Pcfu4[[#This Row],[Best DF]]</f>
        <v>282842.71247461904</v>
      </c>
      <c r="S277" s="6">
        <f>Pcfu4[[#This Row],[CFU/mL]]*Pcfu4[[#This Row],[mL]]/Pcfu4[[#This Row],[grams]]</f>
        <v>3800000</v>
      </c>
      <c r="T277" s="1">
        <f>Pcfu4[[#This Row],[SD CFU/mL]]*Pcfu4[[#This Row],[mL]]/Pcfu4[[#This Row],[grams]]</f>
        <v>5374011.5370177617</v>
      </c>
      <c r="U277" s="7" t="e">
        <f>_xlfn.STDEV.S(Pcfu43[[#This Row],[R1]:[R3]])/AVERAGE(Pcfu43[[#This Row],[R1]:[R3]])</f>
        <v>#DIV/0!</v>
      </c>
      <c r="V277" s="96"/>
      <c r="W277" s="7"/>
    </row>
    <row r="278" spans="1:24" x14ac:dyDescent="0.15">
      <c r="A278" t="s">
        <v>342</v>
      </c>
      <c r="B278" t="s">
        <v>340</v>
      </c>
      <c r="D278" t="s">
        <v>26</v>
      </c>
      <c r="E278" s="3">
        <v>2</v>
      </c>
      <c r="G278">
        <v>0.1</v>
      </c>
      <c r="H278" s="5">
        <f>19*Pcfu4[[#This Row],[grams]]</f>
        <v>1.9000000000000001</v>
      </c>
      <c r="I278" s="3" t="s">
        <v>170</v>
      </c>
      <c r="J278" s="59">
        <v>44907</v>
      </c>
      <c r="L278" s="59" t="e" cm="1">
        <f t="array" ref="L278">INDEX($J$4:J1368, MATCH(1,(A278=$A$4:A1366)*(C278=$C$4:C1366)*("Y"=$K$4:K1368),0))</f>
        <v>#N/A</v>
      </c>
      <c r="M278" s="1">
        <v>10000</v>
      </c>
      <c r="N278">
        <v>3</v>
      </c>
      <c r="O278">
        <v>1</v>
      </c>
      <c r="P278"/>
      <c r="Q278" s="6">
        <f>(SUM(Pcfu4[[#This Row],[R1]:[R3]]))/(Pcfu4[[#This Row],[No. Reps]]*0.025)*Pcfu4[[#This Row],[Best DF]]</f>
        <v>800000</v>
      </c>
      <c r="R278" s="1">
        <f>_xlfn.STDEV.S(Pcfu4[[#This Row],[R1]:[R3]])/0.025*Pcfu4[[#This Row],[Best DF]]</f>
        <v>565685.42494923808</v>
      </c>
      <c r="S278" s="6">
        <f>Pcfu4[[#This Row],[CFU/mL]]*Pcfu4[[#This Row],[mL]]/Pcfu4[[#This Row],[grams]]</f>
        <v>15200000</v>
      </c>
      <c r="T278" s="1">
        <f>Pcfu4[[#This Row],[SD CFU/mL]]*Pcfu4[[#This Row],[mL]]/Pcfu4[[#This Row],[grams]]</f>
        <v>10748023.074035523</v>
      </c>
      <c r="U278" s="7" t="e">
        <f>_xlfn.STDEV.S(Pcfu43[[#This Row],[R1]:[R3]])/AVERAGE(Pcfu43[[#This Row],[R1]:[R3]])</f>
        <v>#DIV/0!</v>
      </c>
      <c r="V278" s="96"/>
      <c r="W278" s="7"/>
    </row>
    <row r="279" spans="1:24" x14ac:dyDescent="0.15">
      <c r="A279" t="s">
        <v>343</v>
      </c>
      <c r="B279" t="s">
        <v>340</v>
      </c>
      <c r="D279" t="s">
        <v>26</v>
      </c>
      <c r="E279" s="3">
        <v>2</v>
      </c>
      <c r="G279">
        <v>0.1</v>
      </c>
      <c r="H279" s="5">
        <f>19*Pcfu4[[#This Row],[grams]]</f>
        <v>1.9000000000000001</v>
      </c>
      <c r="I279" s="3" t="s">
        <v>170</v>
      </c>
      <c r="J279" s="59">
        <v>44907</v>
      </c>
      <c r="L279" s="59" t="e" cm="1">
        <f t="array" ref="L279">INDEX($J$4:J1369, MATCH(1,(A279=$A$4:A1367)*(C279=$C$4:C1367)*("Y"=$K$4:K1369),0))</f>
        <v>#N/A</v>
      </c>
      <c r="M279" s="1">
        <v>10000</v>
      </c>
      <c r="N279">
        <v>0</v>
      </c>
      <c r="O279">
        <v>0</v>
      </c>
      <c r="P279"/>
      <c r="Q279" s="6">
        <f>(SUM(Pcfu4[[#This Row],[R1]:[R3]]))/(Pcfu4[[#This Row],[No. Reps]]*0.025)*Pcfu4[[#This Row],[Best DF]]</f>
        <v>0</v>
      </c>
      <c r="R279" s="1">
        <f>_xlfn.STDEV.S(Pcfu4[[#This Row],[R1]:[R3]])/0.025*Pcfu4[[#This Row],[Best DF]]</f>
        <v>0</v>
      </c>
      <c r="S279" s="6">
        <f>Pcfu4[[#This Row],[CFU/mL]]*Pcfu4[[#This Row],[mL]]/Pcfu4[[#This Row],[grams]]</f>
        <v>0</v>
      </c>
      <c r="T279" s="1">
        <f>Pcfu4[[#This Row],[SD CFU/mL]]*Pcfu4[[#This Row],[mL]]/Pcfu4[[#This Row],[grams]]</f>
        <v>0</v>
      </c>
      <c r="U279" s="7" t="e">
        <f>_xlfn.STDEV.S(Pcfu43[[#This Row],[R1]:[R3]])/AVERAGE(Pcfu43[[#This Row],[R1]:[R3]])</f>
        <v>#DIV/0!</v>
      </c>
      <c r="V279" s="96"/>
      <c r="W279" s="7"/>
    </row>
    <row r="280" spans="1:24" x14ac:dyDescent="0.15">
      <c r="A280" t="s">
        <v>344</v>
      </c>
      <c r="B280" t="s">
        <v>340</v>
      </c>
      <c r="D280" t="s">
        <v>37</v>
      </c>
      <c r="E280" s="3">
        <v>2</v>
      </c>
      <c r="G280">
        <v>0.1</v>
      </c>
      <c r="H280" s="5">
        <f>19*Pcfu4[[#This Row],[grams]]</f>
        <v>1.9000000000000001</v>
      </c>
      <c r="I280" s="3" t="s">
        <v>170</v>
      </c>
      <c r="J280" s="59">
        <v>44907</v>
      </c>
      <c r="L280" s="59" t="e" cm="1">
        <f t="array" ref="L280">INDEX($J$4:J1370, MATCH(1,(A280=$A$4:A1368)*(C280=$C$4:C1368)*("Y"=$K$4:K1370),0))</f>
        <v>#N/A</v>
      </c>
      <c r="M280" s="1">
        <v>1000000</v>
      </c>
      <c r="N280">
        <v>0</v>
      </c>
      <c r="O280">
        <v>0</v>
      </c>
      <c r="P280"/>
      <c r="Q280" s="6">
        <f>(SUM(Pcfu4[[#This Row],[R1]:[R3]]))/(Pcfu4[[#This Row],[No. Reps]]*0.025)*Pcfu4[[#This Row],[Best DF]]</f>
        <v>0</v>
      </c>
      <c r="R280" s="1">
        <f>_xlfn.STDEV.S(Pcfu4[[#This Row],[R1]:[R3]])/0.025*Pcfu4[[#This Row],[Best DF]]</f>
        <v>0</v>
      </c>
      <c r="S280" s="6">
        <f>Pcfu4[[#This Row],[CFU/mL]]*Pcfu4[[#This Row],[mL]]/Pcfu4[[#This Row],[grams]]</f>
        <v>0</v>
      </c>
      <c r="T280" s="1">
        <f>Pcfu4[[#This Row],[SD CFU/mL]]*Pcfu4[[#This Row],[mL]]/Pcfu4[[#This Row],[grams]]</f>
        <v>0</v>
      </c>
      <c r="U280" s="7" t="e">
        <f>_xlfn.STDEV.S(Pcfu43[[#This Row],[R1]:[R3]])/AVERAGE(Pcfu43[[#This Row],[R1]:[R3]])</f>
        <v>#DIV/0!</v>
      </c>
      <c r="V280" s="96"/>
      <c r="W280" s="7"/>
    </row>
    <row r="281" spans="1:24" x14ac:dyDescent="0.15">
      <c r="A281" t="s">
        <v>345</v>
      </c>
      <c r="B281" t="s">
        <v>340</v>
      </c>
      <c r="D281" t="s">
        <v>37</v>
      </c>
      <c r="E281" s="3">
        <v>2</v>
      </c>
      <c r="G281">
        <v>0.1</v>
      </c>
      <c r="H281" s="5">
        <f>19*Pcfu4[[#This Row],[grams]]</f>
        <v>1.9000000000000001</v>
      </c>
      <c r="I281" s="3" t="s">
        <v>170</v>
      </c>
      <c r="J281" s="59">
        <v>44907</v>
      </c>
      <c r="L281" s="59" t="e" cm="1">
        <f t="array" ref="L281">INDEX($J$4:J1371, MATCH(1,(A281=$A$4:A1369)*(C281=$C$4:C1369)*("Y"=$K$4:K1371),0))</f>
        <v>#N/A</v>
      </c>
      <c r="M281" s="1">
        <v>100000</v>
      </c>
      <c r="N281">
        <v>4</v>
      </c>
      <c r="O281">
        <v>2</v>
      </c>
      <c r="P281"/>
      <c r="Q281" s="6">
        <f>(SUM(Pcfu4[[#This Row],[R1]:[R3]]))/(Pcfu4[[#This Row],[No. Reps]]*0.025)*Pcfu4[[#This Row],[Best DF]]</f>
        <v>12000000</v>
      </c>
      <c r="R281" s="1">
        <f>_xlfn.STDEV.S(Pcfu4[[#This Row],[R1]:[R3]])/0.025*Pcfu4[[#This Row],[Best DF]]</f>
        <v>5656854.2494923808</v>
      </c>
      <c r="S281" s="6">
        <f>Pcfu4[[#This Row],[CFU/mL]]*Pcfu4[[#This Row],[mL]]/Pcfu4[[#This Row],[grams]]</f>
        <v>228000000</v>
      </c>
      <c r="T281" s="1">
        <f>Pcfu4[[#This Row],[SD CFU/mL]]*Pcfu4[[#This Row],[mL]]/Pcfu4[[#This Row],[grams]]</f>
        <v>107480230.74035522</v>
      </c>
      <c r="U281" s="7" t="e">
        <f>_xlfn.STDEV.S(Pcfu43[[#This Row],[R1]:[R3]])/AVERAGE(Pcfu43[[#This Row],[R1]:[R3]])</f>
        <v>#DIV/0!</v>
      </c>
      <c r="V281" s="96"/>
      <c r="W281" s="7"/>
    </row>
    <row r="282" spans="1:24" x14ac:dyDescent="0.15">
      <c r="A282" t="s">
        <v>292</v>
      </c>
      <c r="B282" t="s">
        <v>340</v>
      </c>
      <c r="D282" t="s">
        <v>37</v>
      </c>
      <c r="E282" s="3">
        <v>2</v>
      </c>
      <c r="G282">
        <v>0.1</v>
      </c>
      <c r="H282" s="5">
        <f>19*Pcfu4[[#This Row],[grams]]</f>
        <v>1.9000000000000001</v>
      </c>
      <c r="I282" s="3" t="s">
        <v>170</v>
      </c>
      <c r="J282" s="59">
        <v>44907</v>
      </c>
      <c r="L282" s="59" t="e" cm="1">
        <f t="array" ref="L282">INDEX($J$4:J1372, MATCH(1,(A282=$A$4:A1370)*(C282=$C$4:C1370)*("Y"=$K$4:K1372),0))</f>
        <v>#N/A</v>
      </c>
      <c r="M282" s="1">
        <v>100000</v>
      </c>
      <c r="N282">
        <v>19</v>
      </c>
      <c r="O282">
        <v>28</v>
      </c>
      <c r="P282"/>
      <c r="Q282" s="6">
        <f>(SUM(Pcfu4[[#This Row],[R1]:[R3]]))/(Pcfu4[[#This Row],[No. Reps]]*0.025)*Pcfu4[[#This Row],[Best DF]]</f>
        <v>94000000</v>
      </c>
      <c r="R282" s="1">
        <f>_xlfn.STDEV.S(Pcfu4[[#This Row],[R1]:[R3]])/0.025*Pcfu4[[#This Row],[Best DF]]</f>
        <v>25455844.122715708</v>
      </c>
      <c r="S282" s="6">
        <f>Pcfu4[[#This Row],[CFU/mL]]*Pcfu4[[#This Row],[mL]]/Pcfu4[[#This Row],[grams]]</f>
        <v>1786000000</v>
      </c>
      <c r="T282" s="1">
        <f>Pcfu4[[#This Row],[SD CFU/mL]]*Pcfu4[[#This Row],[mL]]/Pcfu4[[#This Row],[grams]]</f>
        <v>483661038.33159846</v>
      </c>
      <c r="U282" s="7" t="e">
        <f>_xlfn.STDEV.S(Pcfu43[[#This Row],[R1]:[R3]])/AVERAGE(Pcfu43[[#This Row],[R1]:[R3]])</f>
        <v>#DIV/0!</v>
      </c>
      <c r="V282" s="96"/>
      <c r="W282" s="7"/>
    </row>
    <row r="283" spans="1:24" x14ac:dyDescent="0.15">
      <c r="A283" t="s">
        <v>293</v>
      </c>
      <c r="B283" t="s">
        <v>340</v>
      </c>
      <c r="D283" t="s">
        <v>37</v>
      </c>
      <c r="E283" s="3">
        <v>2</v>
      </c>
      <c r="G283">
        <v>0.1</v>
      </c>
      <c r="H283" s="5">
        <f>19*Pcfu4[[#This Row],[grams]]</f>
        <v>1.9000000000000001</v>
      </c>
      <c r="I283" s="3" t="s">
        <v>170</v>
      </c>
      <c r="J283" s="59">
        <v>44907</v>
      </c>
      <c r="L283" s="59" t="e" cm="1">
        <f t="array" ref="L283">INDEX($J$4:J1373, MATCH(1,(A283=$A$4:A1371)*(C283=$C$4:C1371)*("Y"=$K$4:K1373),0))</f>
        <v>#N/A</v>
      </c>
      <c r="M283" s="1">
        <v>100000</v>
      </c>
      <c r="N283">
        <v>21</v>
      </c>
      <c r="O283">
        <v>23</v>
      </c>
      <c r="P283"/>
      <c r="Q283" s="6">
        <f>(SUM(Pcfu4[[#This Row],[R1]:[R3]]))/(Pcfu4[[#This Row],[No. Reps]]*0.025)*Pcfu4[[#This Row],[Best DF]]</f>
        <v>88000000</v>
      </c>
      <c r="R283" s="1">
        <f>_xlfn.STDEV.S(Pcfu4[[#This Row],[R1]:[R3]])/0.025*Pcfu4[[#This Row],[Best DF]]</f>
        <v>5656854.2494923808</v>
      </c>
      <c r="S283" s="6">
        <f>Pcfu4[[#This Row],[CFU/mL]]*Pcfu4[[#This Row],[mL]]/Pcfu4[[#This Row],[grams]]</f>
        <v>1672000000</v>
      </c>
      <c r="T283" s="1">
        <f>Pcfu4[[#This Row],[SD CFU/mL]]*Pcfu4[[#This Row],[mL]]/Pcfu4[[#This Row],[grams]]</f>
        <v>107480230.74035522</v>
      </c>
      <c r="U283" s="7" t="e">
        <f>_xlfn.STDEV.S(Pcfu43[[#This Row],[R1]:[R3]])/AVERAGE(Pcfu43[[#This Row],[R1]:[R3]])</f>
        <v>#DIV/0!</v>
      </c>
      <c r="V283" s="96"/>
      <c r="W283" s="7"/>
    </row>
    <row r="284" spans="1:24" x14ac:dyDescent="0.15">
      <c r="A284" t="s">
        <v>294</v>
      </c>
      <c r="B284" t="s">
        <v>340</v>
      </c>
      <c r="D284" t="s">
        <v>37</v>
      </c>
      <c r="E284" s="3">
        <v>2</v>
      </c>
      <c r="G284">
        <v>0.1</v>
      </c>
      <c r="H284" s="5">
        <f>19*Pcfu4[[#This Row],[grams]]</f>
        <v>1.9000000000000001</v>
      </c>
      <c r="I284" s="3" t="s">
        <v>170</v>
      </c>
      <c r="J284" s="59">
        <v>44907</v>
      </c>
      <c r="L284" s="59" t="e" cm="1">
        <f t="array" ref="L284">INDEX($J$4:J1374, MATCH(1,(A284=$A$4:A1372)*(C284=$C$4:C1372)*("Y"=$K$4:K1374),0))</f>
        <v>#N/A</v>
      </c>
      <c r="M284" s="1">
        <v>1000000</v>
      </c>
      <c r="N284">
        <v>65</v>
      </c>
      <c r="O284">
        <v>66</v>
      </c>
      <c r="P284"/>
      <c r="Q284" s="6">
        <f>(SUM(Pcfu4[[#This Row],[R1]:[R3]]))/(Pcfu4[[#This Row],[No. Reps]]*0.025)*Pcfu4[[#This Row],[Best DF]]</f>
        <v>2620000000</v>
      </c>
      <c r="R284" s="1">
        <f>_xlfn.STDEV.S(Pcfu4[[#This Row],[R1]:[R3]])/0.025*Pcfu4[[#This Row],[Best DF]]</f>
        <v>28284271.247461904</v>
      </c>
      <c r="S284" s="6">
        <f>Pcfu4[[#This Row],[CFU/mL]]*Pcfu4[[#This Row],[mL]]/Pcfu4[[#This Row],[grams]]</f>
        <v>49780000000</v>
      </c>
      <c r="T284" s="1">
        <f>Pcfu4[[#This Row],[SD CFU/mL]]*Pcfu4[[#This Row],[mL]]/Pcfu4[[#This Row],[grams]]</f>
        <v>537401153.70177615</v>
      </c>
      <c r="U284" s="7" t="e">
        <f>_xlfn.STDEV.S(Pcfu43[[#This Row],[R1]:[R3]])/AVERAGE(Pcfu43[[#This Row],[R1]:[R3]])</f>
        <v>#DIV/0!</v>
      </c>
      <c r="V284" s="96"/>
      <c r="W284" s="7"/>
      <c r="X284" t="s">
        <v>346</v>
      </c>
    </row>
    <row r="285" spans="1:24" x14ac:dyDescent="0.15">
      <c r="A285" t="s">
        <v>295</v>
      </c>
      <c r="B285" t="s">
        <v>340</v>
      </c>
      <c r="D285" t="s">
        <v>37</v>
      </c>
      <c r="E285" s="3">
        <v>2</v>
      </c>
      <c r="G285">
        <v>0.1</v>
      </c>
      <c r="H285" s="5">
        <f>19*Pcfu4[[#This Row],[grams]]</f>
        <v>1.9000000000000001</v>
      </c>
      <c r="I285" s="3" t="s">
        <v>170</v>
      </c>
      <c r="J285" s="59">
        <v>44907</v>
      </c>
      <c r="L285" s="59" t="e" cm="1">
        <f t="array" ref="L285">INDEX($J$4:J1375, MATCH(1,(A285=$A$4:A1373)*(C285=$C$4:C1373)*("Y"=$K$4:K1375),0))</f>
        <v>#N/A</v>
      </c>
      <c r="M285" s="1">
        <v>1000000</v>
      </c>
      <c r="N285">
        <v>31</v>
      </c>
      <c r="O285">
        <v>55</v>
      </c>
      <c r="P285"/>
      <c r="Q285" s="6">
        <f>(SUM(Pcfu4[[#This Row],[R1]:[R3]]))/(Pcfu4[[#This Row],[No. Reps]]*0.025)*Pcfu4[[#This Row],[Best DF]]</f>
        <v>1720000000</v>
      </c>
      <c r="R285" s="1">
        <f>_xlfn.STDEV.S(Pcfu4[[#This Row],[R1]:[R3]])/0.025*Pcfu4[[#This Row],[Best DF]]</f>
        <v>678822509.93908548</v>
      </c>
      <c r="S285" s="6">
        <f>Pcfu4[[#This Row],[CFU/mL]]*Pcfu4[[#This Row],[mL]]/Pcfu4[[#This Row],[grams]]</f>
        <v>32680000000</v>
      </c>
      <c r="T285" s="1">
        <f>Pcfu4[[#This Row],[SD CFU/mL]]*Pcfu4[[#This Row],[mL]]/Pcfu4[[#This Row],[grams]]</f>
        <v>12897627688.842625</v>
      </c>
      <c r="U285" s="7" t="e">
        <f>_xlfn.STDEV.S(Pcfu43[[#This Row],[R1]:[R3]])/AVERAGE(Pcfu43[[#This Row],[R1]:[R3]])</f>
        <v>#DIV/0!</v>
      </c>
      <c r="V285" s="96"/>
      <c r="W285" s="7"/>
      <c r="X285" t="s">
        <v>347</v>
      </c>
    </row>
    <row r="286" spans="1:24" x14ac:dyDescent="0.15">
      <c r="A286" t="s">
        <v>348</v>
      </c>
      <c r="B286" t="s">
        <v>340</v>
      </c>
      <c r="D286" t="s">
        <v>37</v>
      </c>
      <c r="E286" s="3">
        <v>2</v>
      </c>
      <c r="G286">
        <v>0.1</v>
      </c>
      <c r="H286" s="5">
        <f>19*Pcfu4[[#This Row],[grams]]</f>
        <v>1.9000000000000001</v>
      </c>
      <c r="I286" s="3" t="s">
        <v>170</v>
      </c>
      <c r="J286" s="59">
        <v>44907</v>
      </c>
      <c r="L286" s="59" t="e" cm="1">
        <f t="array" ref="L286">INDEX($J$4:J1376, MATCH(1,(A286=$A$4:A1374)*(C286=$C$4:C1374)*("Y"=$K$4:K1376),0))</f>
        <v>#N/A</v>
      </c>
      <c r="M286" s="1">
        <v>100000</v>
      </c>
      <c r="N286">
        <v>54</v>
      </c>
      <c r="O286">
        <v>47</v>
      </c>
      <c r="P286"/>
      <c r="Q286" s="6">
        <f>(SUM(Pcfu4[[#This Row],[R1]:[R3]]))/(Pcfu4[[#This Row],[No. Reps]]*0.025)*Pcfu4[[#This Row],[Best DF]]</f>
        <v>202000000</v>
      </c>
      <c r="R286" s="1">
        <f>_xlfn.STDEV.S(Pcfu4[[#This Row],[R1]:[R3]])/0.025*Pcfu4[[#This Row],[Best DF]]</f>
        <v>19798989.873223327</v>
      </c>
      <c r="S286" s="6">
        <f>Pcfu4[[#This Row],[CFU/mL]]*Pcfu4[[#This Row],[mL]]/Pcfu4[[#This Row],[grams]]</f>
        <v>3838000000</v>
      </c>
      <c r="T286" s="1">
        <f>Pcfu4[[#This Row],[SD CFU/mL]]*Pcfu4[[#This Row],[mL]]/Pcfu4[[#This Row],[grams]]</f>
        <v>376180807.59124321</v>
      </c>
      <c r="U286" s="7">
        <f>_xlfn.STDEV.S(Pcfu43[[#This Row],[R1]:[R3]])/AVERAGE(Pcfu43[[#This Row],[R1]:[R3]])</f>
        <v>5.0507627227610541E-2</v>
      </c>
      <c r="V286" s="96"/>
      <c r="W286" s="7"/>
    </row>
    <row r="287" spans="1:24" x14ac:dyDescent="0.15">
      <c r="A287" t="s">
        <v>349</v>
      </c>
      <c r="B287" t="s">
        <v>340</v>
      </c>
      <c r="D287" t="s">
        <v>37</v>
      </c>
      <c r="E287" s="3">
        <v>2</v>
      </c>
      <c r="G287">
        <v>0.1</v>
      </c>
      <c r="H287" s="5">
        <f>19*Pcfu4[[#This Row],[grams]]</f>
        <v>1.9000000000000001</v>
      </c>
      <c r="I287" s="3" t="s">
        <v>170</v>
      </c>
      <c r="J287" s="59">
        <v>44907</v>
      </c>
      <c r="L287" s="59" t="e" cm="1">
        <f t="array" ref="L287">INDEX($J$4:J1377, MATCH(1,(A287=$A$4:A1375)*(C287=$C$4:C1375)*("Y"=$K$4:K1377),0))</f>
        <v>#N/A</v>
      </c>
      <c r="M287" s="1">
        <v>100000</v>
      </c>
      <c r="N287">
        <v>50</v>
      </c>
      <c r="O287">
        <v>54</v>
      </c>
      <c r="P287"/>
      <c r="Q287" s="6">
        <f>(SUM(Pcfu4[[#This Row],[R1]:[R3]]))/(Pcfu4[[#This Row],[No. Reps]]*0.025)*Pcfu4[[#This Row],[Best DF]]</f>
        <v>208000000</v>
      </c>
      <c r="R287" s="1">
        <f>_xlfn.STDEV.S(Pcfu4[[#This Row],[R1]:[R3]])/0.025*Pcfu4[[#This Row],[Best DF]]</f>
        <v>11313708.498984762</v>
      </c>
      <c r="S287" s="6">
        <f>Pcfu4[[#This Row],[CFU/mL]]*Pcfu4[[#This Row],[mL]]/Pcfu4[[#This Row],[grams]]</f>
        <v>3952000000</v>
      </c>
      <c r="T287" s="1">
        <f>Pcfu4[[#This Row],[SD CFU/mL]]*Pcfu4[[#This Row],[mL]]/Pcfu4[[#This Row],[grams]]</f>
        <v>214960461.48071045</v>
      </c>
      <c r="U287" s="7">
        <f>_xlfn.STDEV.S(Pcfu43[[#This Row],[R1]:[R3]])/AVERAGE(Pcfu43[[#This Row],[R1]:[R3]])</f>
        <v>0</v>
      </c>
      <c r="V287" s="96"/>
      <c r="W287" s="7"/>
    </row>
    <row r="288" spans="1:24" x14ac:dyDescent="0.15">
      <c r="A288" t="s">
        <v>350</v>
      </c>
      <c r="B288" t="s">
        <v>340</v>
      </c>
      <c r="D288" t="s">
        <v>37</v>
      </c>
      <c r="E288" s="3">
        <v>2</v>
      </c>
      <c r="G288">
        <v>0.1</v>
      </c>
      <c r="H288" s="5">
        <f>19*Pcfu4[[#This Row],[grams]]</f>
        <v>1.9000000000000001</v>
      </c>
      <c r="I288" s="3" t="s">
        <v>170</v>
      </c>
      <c r="J288" s="59">
        <v>44907</v>
      </c>
      <c r="L288" s="59" t="e" cm="1">
        <f t="array" ref="L288">INDEX($J$4:J1378, MATCH(1,(A288=$A$4:A1376)*(C288=$C$4:C1376)*("Y"=$K$4:K1378),0))</f>
        <v>#N/A</v>
      </c>
      <c r="M288" s="1">
        <v>1000000</v>
      </c>
      <c r="N288">
        <v>43</v>
      </c>
      <c r="O288">
        <v>30</v>
      </c>
      <c r="P288"/>
      <c r="Q288" s="6">
        <f>(SUM(Pcfu4[[#This Row],[R1]:[R3]]))/(Pcfu4[[#This Row],[No. Reps]]*0.025)*Pcfu4[[#This Row],[Best DF]]</f>
        <v>1460000000</v>
      </c>
      <c r="R288" s="1">
        <f>_xlfn.STDEV.S(Pcfu4[[#This Row],[R1]:[R3]])/0.025*Pcfu4[[#This Row],[Best DF]]</f>
        <v>367695526.21700466</v>
      </c>
      <c r="S288" s="6">
        <f>Pcfu4[[#This Row],[CFU/mL]]*Pcfu4[[#This Row],[mL]]/Pcfu4[[#This Row],[grams]]</f>
        <v>27740000000</v>
      </c>
      <c r="T288" s="1">
        <f>Pcfu4[[#This Row],[SD CFU/mL]]*Pcfu4[[#This Row],[mL]]/Pcfu4[[#This Row],[grams]]</f>
        <v>6986214998.1230888</v>
      </c>
      <c r="U288" s="7">
        <f>_xlfn.STDEV.S(Pcfu43[[#This Row],[R1]:[R3]])/AVERAGE(Pcfu43[[#This Row],[R1]:[R3]])</f>
        <v>0.28284271247461901</v>
      </c>
      <c r="V288" s="96"/>
      <c r="W288" s="7"/>
      <c r="X288" t="s">
        <v>351</v>
      </c>
    </row>
    <row r="289" spans="1:24" x14ac:dyDescent="0.15">
      <c r="A289" t="s">
        <v>288</v>
      </c>
      <c r="B289" t="s">
        <v>352</v>
      </c>
      <c r="D289" t="s">
        <v>37</v>
      </c>
      <c r="E289" s="3">
        <v>2</v>
      </c>
      <c r="G289">
        <v>0.1</v>
      </c>
      <c r="H289" s="5">
        <f>19*Pcfu4[[#This Row],[grams]]</f>
        <v>1.9000000000000001</v>
      </c>
      <c r="I289" s="3" t="s">
        <v>170</v>
      </c>
      <c r="J289" s="59">
        <v>44907</v>
      </c>
      <c r="L289" s="59" t="e" cm="1">
        <f t="array" ref="L289">INDEX($J$4:J1379, MATCH(1,(A289=$A$4:A1377)*(C289=$C$4:C1377)*("Y"=$K$4:K1379),0))</f>
        <v>#N/A</v>
      </c>
      <c r="M289" s="1">
        <v>100000</v>
      </c>
      <c r="N289">
        <v>13</v>
      </c>
      <c r="O289">
        <v>16</v>
      </c>
      <c r="P289"/>
      <c r="Q289" s="6">
        <f>(SUM(Pcfu4[[#This Row],[R1]:[R3]]))/(Pcfu4[[#This Row],[No. Reps]]*0.025)*Pcfu4[[#This Row],[Best DF]]</f>
        <v>58000000</v>
      </c>
      <c r="R289" s="1">
        <f>_xlfn.STDEV.S(Pcfu4[[#This Row],[R1]:[R3]])/0.025*Pcfu4[[#This Row],[Best DF]]</f>
        <v>8485281.3742385693</v>
      </c>
      <c r="S289" s="6">
        <f>Pcfu4[[#This Row],[CFU/mL]]*Pcfu4[[#This Row],[mL]]/Pcfu4[[#This Row],[grams]]</f>
        <v>1102000000</v>
      </c>
      <c r="T289" s="1">
        <f>Pcfu4[[#This Row],[SD CFU/mL]]*Pcfu4[[#This Row],[mL]]/Pcfu4[[#This Row],[grams]]</f>
        <v>161220346.11053282</v>
      </c>
      <c r="U289" s="7">
        <f>_xlfn.STDEV.S(Pcfu43[[#This Row],[R1]:[R3]])/AVERAGE(Pcfu43[[#This Row],[R1]:[R3]])</f>
        <v>0.28284271247461901</v>
      </c>
      <c r="V289" s="96"/>
      <c r="W289" s="7"/>
    </row>
    <row r="290" spans="1:24" x14ac:dyDescent="0.15">
      <c r="A290" t="s">
        <v>291</v>
      </c>
      <c r="B290" t="s">
        <v>352</v>
      </c>
      <c r="D290" t="s">
        <v>37</v>
      </c>
      <c r="E290" s="3">
        <v>2</v>
      </c>
      <c r="G290">
        <v>0.1</v>
      </c>
      <c r="H290" s="5">
        <f>19*Pcfu4[[#This Row],[grams]]</f>
        <v>1.9000000000000001</v>
      </c>
      <c r="I290" s="3" t="s">
        <v>170</v>
      </c>
      <c r="J290" s="59">
        <v>44907</v>
      </c>
      <c r="L290" s="59" t="e" cm="1">
        <f t="array" ref="L290">INDEX($J$4:J1380, MATCH(1,(A290=$A$4:A1378)*(C290=$C$4:C1378)*("Y"=$K$4:K1380),0))</f>
        <v>#N/A</v>
      </c>
      <c r="M290" s="1">
        <v>100000</v>
      </c>
      <c r="N290">
        <v>254</v>
      </c>
      <c r="O290">
        <v>36</v>
      </c>
      <c r="P290"/>
      <c r="Q290" s="6">
        <f>(SUM(Pcfu4[[#This Row],[R1]:[R3]]))/(Pcfu4[[#This Row],[No. Reps]]*0.025)*Pcfu4[[#This Row],[Best DF]]</f>
        <v>580000000</v>
      </c>
      <c r="R290" s="1">
        <f>_xlfn.STDEV.S(Pcfu4[[#This Row],[R1]:[R3]])/0.025*Pcfu4[[#This Row],[Best DF]]</f>
        <v>616597113.19466937</v>
      </c>
      <c r="S290" s="6">
        <f>Pcfu4[[#This Row],[CFU/mL]]*Pcfu4[[#This Row],[mL]]/Pcfu4[[#This Row],[grams]]</f>
        <v>11020000000</v>
      </c>
      <c r="T290" s="1">
        <f>Pcfu4[[#This Row],[SD CFU/mL]]*Pcfu4[[#This Row],[mL]]/Pcfu4[[#This Row],[grams]]</f>
        <v>11715345150.698719</v>
      </c>
      <c r="U290" s="7">
        <f>_xlfn.STDEV.S(Pcfu43[[#This Row],[R1]:[R3]])/AVERAGE(Pcfu43[[#This Row],[R1]:[R3]])</f>
        <v>6.1769118400826772E-2</v>
      </c>
      <c r="V290" s="96"/>
      <c r="W290" s="7"/>
      <c r="X290" t="s">
        <v>353</v>
      </c>
    </row>
    <row r="291" spans="1:24" x14ac:dyDescent="0.15">
      <c r="A291" t="s">
        <v>292</v>
      </c>
      <c r="B291" t="s">
        <v>354</v>
      </c>
      <c r="D291" t="s">
        <v>37</v>
      </c>
      <c r="E291" s="3">
        <v>2</v>
      </c>
      <c r="G291">
        <v>0.1</v>
      </c>
      <c r="H291" s="5">
        <f>19*Pcfu4[[#This Row],[grams]]</f>
        <v>1.9000000000000001</v>
      </c>
      <c r="I291" s="3" t="s">
        <v>170</v>
      </c>
      <c r="J291" s="59">
        <v>44908</v>
      </c>
      <c r="L291" s="59" t="e" cm="1">
        <f t="array" ref="L291">INDEX($J$4:J1381, MATCH(1,(A291=$A$4:A1379)*(C291=$C$4:C1379)*("Y"=$K$4:K1381),0))</f>
        <v>#N/A</v>
      </c>
      <c r="M291" s="1">
        <v>1000000</v>
      </c>
      <c r="N291">
        <v>114</v>
      </c>
      <c r="O291">
        <v>92</v>
      </c>
      <c r="P291"/>
      <c r="Q291" s="6">
        <f>(SUM(Pcfu4[[#This Row],[R1]:[R3]]))/(Pcfu4[[#This Row],[No. Reps]]*0.025)*Pcfu4[[#This Row],[Best DF]]</f>
        <v>4120000000</v>
      </c>
      <c r="R291" s="1">
        <f>_xlfn.STDEV.S(Pcfu4[[#This Row],[R1]:[R3]])/0.025*Pcfu4[[#This Row],[Best DF]]</f>
        <v>622253967.44416177</v>
      </c>
      <c r="S291" s="6">
        <f>Pcfu4[[#This Row],[CFU/mL]]*Pcfu4[[#This Row],[mL]]/Pcfu4[[#This Row],[grams]]</f>
        <v>78280000000</v>
      </c>
      <c r="T291" s="1">
        <f>Pcfu4[[#This Row],[SD CFU/mL]]*Pcfu4[[#This Row],[mL]]/Pcfu4[[#This Row],[grams]]</f>
        <v>11822825381.439075</v>
      </c>
      <c r="U291" s="7">
        <f>_xlfn.STDEV.S(Pcfu43[[#This Row],[R1]:[R3]])/AVERAGE(Pcfu43[[#This Row],[R1]:[R3]])</f>
        <v>9.4758672685666817E-2</v>
      </c>
      <c r="V291" s="96"/>
      <c r="W291" s="7"/>
    </row>
    <row r="292" spans="1:24" x14ac:dyDescent="0.15">
      <c r="A292" t="s">
        <v>293</v>
      </c>
      <c r="B292" t="s">
        <v>354</v>
      </c>
      <c r="D292" t="s">
        <v>37</v>
      </c>
      <c r="E292" s="3">
        <v>2</v>
      </c>
      <c r="G292">
        <v>0.1</v>
      </c>
      <c r="H292" s="5">
        <f>19*Pcfu4[[#This Row],[grams]]</f>
        <v>1.9000000000000001</v>
      </c>
      <c r="I292" s="3" t="s">
        <v>170</v>
      </c>
      <c r="J292" s="59">
        <v>44908</v>
      </c>
      <c r="L292" s="59" t="e" cm="1">
        <f t="array" ref="L292">INDEX($J$4:J1382, MATCH(1,(A292=$A$4:A1380)*(C292=$C$4:C1380)*("Y"=$K$4:K1382),0))</f>
        <v>#N/A</v>
      </c>
      <c r="M292" s="1">
        <v>1000000</v>
      </c>
      <c r="N292">
        <v>62</v>
      </c>
      <c r="O292">
        <v>46</v>
      </c>
      <c r="P292"/>
      <c r="Q292" s="6">
        <f>(SUM(Pcfu4[[#This Row],[R1]:[R3]]))/(Pcfu4[[#This Row],[No. Reps]]*0.025)*Pcfu4[[#This Row],[Best DF]]</f>
        <v>2160000000</v>
      </c>
      <c r="R292" s="1">
        <f>_xlfn.STDEV.S(Pcfu4[[#This Row],[R1]:[R3]])/0.025*Pcfu4[[#This Row],[Best DF]]</f>
        <v>452548339.95939046</v>
      </c>
      <c r="S292" s="6">
        <f>Pcfu4[[#This Row],[CFU/mL]]*Pcfu4[[#This Row],[mL]]/Pcfu4[[#This Row],[grams]]</f>
        <v>41040000000</v>
      </c>
      <c r="T292" s="1">
        <f>Pcfu4[[#This Row],[SD CFU/mL]]*Pcfu4[[#This Row],[mL]]/Pcfu4[[#This Row],[grams]]</f>
        <v>8598418459.2284184</v>
      </c>
      <c r="U292" s="7">
        <f>_xlfn.STDEV.S(Pcfu43[[#This Row],[R1]:[R3]])/AVERAGE(Pcfu43[[#This Row],[R1]:[R3]])</f>
        <v>9.1337259582472449E-2</v>
      </c>
      <c r="V292" s="96"/>
      <c r="W292" s="7"/>
    </row>
    <row r="293" spans="1:24" x14ac:dyDescent="0.15">
      <c r="A293" t="s">
        <v>344</v>
      </c>
      <c r="B293" t="s">
        <v>354</v>
      </c>
      <c r="D293" t="s">
        <v>37</v>
      </c>
      <c r="E293" s="3">
        <v>2</v>
      </c>
      <c r="G293">
        <v>0.1</v>
      </c>
      <c r="H293" s="5">
        <f>19*Pcfu4[[#This Row],[grams]]</f>
        <v>1.9000000000000001</v>
      </c>
      <c r="I293" s="3" t="s">
        <v>170</v>
      </c>
      <c r="J293" s="59">
        <v>44908</v>
      </c>
      <c r="L293" s="59" t="e" cm="1">
        <f t="array" ref="L293">INDEX($J$4:J1383, MATCH(1,(A293=$A$4:A1381)*(C293=$C$4:C1381)*("Y"=$K$4:K1383),0))</f>
        <v>#N/A</v>
      </c>
      <c r="M293" s="1">
        <v>1000000</v>
      </c>
      <c r="N293">
        <v>131</v>
      </c>
      <c r="O293">
        <v>135</v>
      </c>
      <c r="P293"/>
      <c r="Q293" s="6">
        <f>(SUM(Pcfu4[[#This Row],[R1]:[R3]]))/(Pcfu4[[#This Row],[No. Reps]]*0.025)*Pcfu4[[#This Row],[Best DF]]</f>
        <v>5320000000</v>
      </c>
      <c r="R293" s="1">
        <f>_xlfn.STDEV.S(Pcfu4[[#This Row],[R1]:[R3]])/0.025*Pcfu4[[#This Row],[Best DF]]</f>
        <v>113137084.98984762</v>
      </c>
      <c r="S293" s="6">
        <f>Pcfu4[[#This Row],[CFU/mL]]*Pcfu4[[#This Row],[mL]]/Pcfu4[[#This Row],[grams]]</f>
        <v>101080000000</v>
      </c>
      <c r="T293" s="1">
        <f>Pcfu4[[#This Row],[SD CFU/mL]]*Pcfu4[[#This Row],[mL]]/Pcfu4[[#This Row],[grams]]</f>
        <v>2149604614.8071046</v>
      </c>
      <c r="U293" s="7">
        <f>_xlfn.STDEV.S(Pcfu43[[#This Row],[R1]:[R3]])/AVERAGE(Pcfu43[[#This Row],[R1]:[R3]])</f>
        <v>3.5348541916313619E-2</v>
      </c>
      <c r="V293" s="96"/>
      <c r="W293" s="7"/>
    </row>
    <row r="294" spans="1:24" x14ac:dyDescent="0.15">
      <c r="A294" t="s">
        <v>345</v>
      </c>
      <c r="B294" t="s">
        <v>354</v>
      </c>
      <c r="D294" t="s">
        <v>37</v>
      </c>
      <c r="E294" s="3">
        <v>2</v>
      </c>
      <c r="G294">
        <v>0.1</v>
      </c>
      <c r="H294" s="5">
        <f>19*Pcfu4[[#This Row],[grams]]</f>
        <v>1.9000000000000001</v>
      </c>
      <c r="I294" s="3" t="s">
        <v>170</v>
      </c>
      <c r="J294" s="59">
        <v>44908</v>
      </c>
      <c r="L294" s="59" t="e" cm="1">
        <f t="array" ref="L294">INDEX($J$4:J1384, MATCH(1,(A294=$A$4:A1382)*(C294=$C$4:C1382)*("Y"=$K$4:K1384),0))</f>
        <v>#N/A</v>
      </c>
      <c r="M294" s="1">
        <v>1000000</v>
      </c>
      <c r="N294">
        <v>120</v>
      </c>
      <c r="O294">
        <v>130</v>
      </c>
      <c r="P294"/>
      <c r="Q294" s="6">
        <f>(SUM(Pcfu4[[#This Row],[R1]:[R3]]))/(Pcfu4[[#This Row],[No. Reps]]*0.025)*Pcfu4[[#This Row],[Best DF]]</f>
        <v>5000000000</v>
      </c>
      <c r="R294" s="1">
        <f>_xlfn.STDEV.S(Pcfu4[[#This Row],[R1]:[R3]])/0.025*Pcfu4[[#This Row],[Best DF]]</f>
        <v>282842712.47461903</v>
      </c>
      <c r="S294" s="6">
        <f>Pcfu4[[#This Row],[CFU/mL]]*Pcfu4[[#This Row],[mL]]/Pcfu4[[#This Row],[grams]]</f>
        <v>95000000000</v>
      </c>
      <c r="T294" s="1">
        <f>Pcfu4[[#This Row],[SD CFU/mL]]*Pcfu4[[#This Row],[mL]]/Pcfu4[[#This Row],[grams]]</f>
        <v>5374011537.0177612</v>
      </c>
      <c r="U294" s="7">
        <f>_xlfn.STDEV.S(Pcfu43[[#This Row],[R1]:[R3]])/AVERAGE(Pcfu43[[#This Row],[R1]:[R3]])</f>
        <v>6.5574385243020006E-2</v>
      </c>
      <c r="V294" s="96"/>
      <c r="W294" s="7"/>
    </row>
    <row r="295" spans="1:24" x14ac:dyDescent="0.15">
      <c r="A295" t="s">
        <v>339</v>
      </c>
      <c r="B295" t="s">
        <v>354</v>
      </c>
      <c r="D295" t="s">
        <v>37</v>
      </c>
      <c r="E295" s="3">
        <v>2</v>
      </c>
      <c r="G295">
        <v>0.1</v>
      </c>
      <c r="H295" s="5">
        <f>19*Pcfu4[[#This Row],[grams]]</f>
        <v>1.9000000000000001</v>
      </c>
      <c r="I295" s="3" t="s">
        <v>170</v>
      </c>
      <c r="J295" s="59">
        <v>44908</v>
      </c>
      <c r="L295" s="59" t="e" cm="1">
        <f t="array" ref="L295">INDEX($J$4:J1385, MATCH(1,(A295=$A$4:A1383)*(C295=$C$4:C1383)*("Y"=$K$4:K1385),0))</f>
        <v>#N/A</v>
      </c>
      <c r="M295" s="1">
        <v>1000000</v>
      </c>
      <c r="N295">
        <v>93</v>
      </c>
      <c r="O295">
        <v>103</v>
      </c>
      <c r="P295"/>
      <c r="Q295" s="6">
        <f>(SUM(Pcfu4[[#This Row],[R1]:[R3]]))/(Pcfu4[[#This Row],[No. Reps]]*0.025)*Pcfu4[[#This Row],[Best DF]]</f>
        <v>3920000000</v>
      </c>
      <c r="R295" s="1">
        <f>_xlfn.STDEV.S(Pcfu4[[#This Row],[R1]:[R3]])/0.025*Pcfu4[[#This Row],[Best DF]]</f>
        <v>282842712.47461903</v>
      </c>
      <c r="S295" s="6">
        <f>Pcfu4[[#This Row],[CFU/mL]]*Pcfu4[[#This Row],[mL]]/Pcfu4[[#This Row],[grams]]</f>
        <v>74480000000</v>
      </c>
      <c r="T295" s="1">
        <f>Pcfu4[[#This Row],[SD CFU/mL]]*Pcfu4[[#This Row],[mL]]/Pcfu4[[#This Row],[grams]]</f>
        <v>5374011537.0177612</v>
      </c>
      <c r="U295" s="7">
        <f>_xlfn.STDEV.S(Pcfu43[[#This Row],[R1]:[R3]])/AVERAGE(Pcfu43[[#This Row],[R1]:[R3]])</f>
        <v>0.11471497861679894</v>
      </c>
      <c r="V295" s="96"/>
      <c r="W295" s="7"/>
    </row>
    <row r="296" spans="1:24" x14ac:dyDescent="0.15">
      <c r="A296" t="s">
        <v>341</v>
      </c>
      <c r="B296" t="s">
        <v>354</v>
      </c>
      <c r="D296" t="s">
        <v>37</v>
      </c>
      <c r="E296" s="3">
        <v>2</v>
      </c>
      <c r="G296">
        <v>0.1</v>
      </c>
      <c r="H296" s="5">
        <f>19*Pcfu4[[#This Row],[grams]]</f>
        <v>1.9000000000000001</v>
      </c>
      <c r="I296" s="3" t="s">
        <v>170</v>
      </c>
      <c r="J296" s="59">
        <v>44908</v>
      </c>
      <c r="L296" s="59" t="e" cm="1">
        <f t="array" ref="L296">INDEX($J$4:J1386, MATCH(1,(A296=$A$4:A1384)*(C296=$C$4:C1384)*("Y"=$K$4:K1386),0))</f>
        <v>#N/A</v>
      </c>
      <c r="M296" s="1">
        <v>1000000</v>
      </c>
      <c r="N296">
        <v>80</v>
      </c>
      <c r="O296">
        <v>87</v>
      </c>
      <c r="P296"/>
      <c r="Q296" s="6">
        <f>(SUM(Pcfu4[[#This Row],[R1]:[R3]]))/(Pcfu4[[#This Row],[No. Reps]]*0.025)*Pcfu4[[#This Row],[Best DF]]</f>
        <v>3340000000</v>
      </c>
      <c r="R296" s="1">
        <f>_xlfn.STDEV.S(Pcfu4[[#This Row],[R1]:[R3]])/0.025*Pcfu4[[#This Row],[Best DF]]</f>
        <v>197989898.73223329</v>
      </c>
      <c r="S296" s="6">
        <f>Pcfu4[[#This Row],[CFU/mL]]*Pcfu4[[#This Row],[mL]]/Pcfu4[[#This Row],[grams]]</f>
        <v>63460000000</v>
      </c>
      <c r="T296" s="1">
        <f>Pcfu4[[#This Row],[SD CFU/mL]]*Pcfu4[[#This Row],[mL]]/Pcfu4[[#This Row],[grams]]</f>
        <v>3761808075.9124327</v>
      </c>
      <c r="U296" s="7">
        <f>_xlfn.STDEV.S(Pcfu43[[#This Row],[R1]:[R3]])/AVERAGE(Pcfu43[[#This Row],[R1]:[R3]])</f>
        <v>5.7522754525808836E-2</v>
      </c>
      <c r="V296" s="96"/>
      <c r="W296" s="7"/>
    </row>
    <row r="297" spans="1:24" x14ac:dyDescent="0.15">
      <c r="A297" t="s">
        <v>342</v>
      </c>
      <c r="B297" t="s">
        <v>354</v>
      </c>
      <c r="D297" t="s">
        <v>37</v>
      </c>
      <c r="E297" s="3">
        <v>2</v>
      </c>
      <c r="G297">
        <v>0.1</v>
      </c>
      <c r="H297" s="5">
        <f>19*Pcfu4[[#This Row],[grams]]</f>
        <v>1.9000000000000001</v>
      </c>
      <c r="I297" s="3" t="s">
        <v>170</v>
      </c>
      <c r="J297" s="59">
        <v>44908</v>
      </c>
      <c r="L297" s="59" t="e" cm="1">
        <f t="array" ref="L297">INDEX($J$4:J1387, MATCH(1,(A297=$A$4:A1385)*(C297=$C$4:C1385)*("Y"=$K$4:K1387),0))</f>
        <v>#N/A</v>
      </c>
      <c r="M297" s="1">
        <v>1000000</v>
      </c>
      <c r="N297">
        <v>71</v>
      </c>
      <c r="O297">
        <v>92</v>
      </c>
      <c r="P297"/>
      <c r="Q297" s="6">
        <f>(SUM(Pcfu4[[#This Row],[R1]:[R3]]))/(Pcfu4[[#This Row],[No. Reps]]*0.025)*Pcfu4[[#This Row],[Best DF]]</f>
        <v>3260000000</v>
      </c>
      <c r="R297" s="1">
        <f>_xlfn.STDEV.S(Pcfu4[[#This Row],[R1]:[R3]])/0.025*Pcfu4[[#This Row],[Best DF]]</f>
        <v>593969696.19669986</v>
      </c>
      <c r="S297" s="6">
        <f>Pcfu4[[#This Row],[CFU/mL]]*Pcfu4[[#This Row],[mL]]/Pcfu4[[#This Row],[grams]]</f>
        <v>61940000000</v>
      </c>
      <c r="T297" s="1">
        <f>Pcfu4[[#This Row],[SD CFU/mL]]*Pcfu4[[#This Row],[mL]]/Pcfu4[[#This Row],[grams]]</f>
        <v>11285424227.737297</v>
      </c>
      <c r="U297" s="7">
        <f>_xlfn.STDEV.S(Pcfu43[[#This Row],[R1]:[R3]])/AVERAGE(Pcfu43[[#This Row],[R1]:[R3]])</f>
        <v>6.9559284762573392E-2</v>
      </c>
      <c r="V297" s="96"/>
      <c r="W297" s="7"/>
    </row>
    <row r="298" spans="1:24" x14ac:dyDescent="0.15">
      <c r="A298" t="s">
        <v>288</v>
      </c>
      <c r="B298" t="s">
        <v>354</v>
      </c>
      <c r="D298" t="s">
        <v>37</v>
      </c>
      <c r="E298" s="3">
        <v>2</v>
      </c>
      <c r="G298">
        <v>0.1</v>
      </c>
      <c r="H298" s="5">
        <f>19*Pcfu4[[#This Row],[grams]]</f>
        <v>1.9000000000000001</v>
      </c>
      <c r="I298" s="3" t="s">
        <v>170</v>
      </c>
      <c r="J298" s="59">
        <v>44908</v>
      </c>
      <c r="L298" s="59" t="e" cm="1">
        <f t="array" ref="L298">INDEX($J$4:J1388, MATCH(1,(A298=$A$4:A1386)*(C298=$C$4:C1386)*("Y"=$K$4:K1388),0))</f>
        <v>#N/A</v>
      </c>
      <c r="M298" s="1">
        <v>1000000</v>
      </c>
      <c r="N298">
        <v>145</v>
      </c>
      <c r="O298">
        <v>144</v>
      </c>
      <c r="P298"/>
      <c r="Q298" s="6">
        <f>(SUM(Pcfu4[[#This Row],[R1]:[R3]]))/(Pcfu4[[#This Row],[No. Reps]]*0.025)*Pcfu4[[#This Row],[Best DF]]</f>
        <v>5780000000</v>
      </c>
      <c r="R298" s="1">
        <f>_xlfn.STDEV.S(Pcfu4[[#This Row],[R1]:[R3]])/0.025*Pcfu4[[#This Row],[Best DF]]</f>
        <v>28284271.247461904</v>
      </c>
      <c r="S298" s="6">
        <f>Pcfu4[[#This Row],[CFU/mL]]*Pcfu4[[#This Row],[mL]]/Pcfu4[[#This Row],[grams]]</f>
        <v>109820000000</v>
      </c>
      <c r="T298" s="1">
        <f>Pcfu4[[#This Row],[SD CFU/mL]]*Pcfu4[[#This Row],[mL]]/Pcfu4[[#This Row],[grams]]</f>
        <v>537401153.70177615</v>
      </c>
      <c r="U298" s="7">
        <f>_xlfn.STDEV.S(Pcfu43[[#This Row],[R1]:[R3]])/AVERAGE(Pcfu43[[#This Row],[R1]:[R3]])</f>
        <v>6.2472816073624905E-2</v>
      </c>
      <c r="V298" s="96"/>
      <c r="W298" s="7"/>
    </row>
    <row r="299" spans="1:24" x14ac:dyDescent="0.15">
      <c r="A299" t="s">
        <v>348</v>
      </c>
      <c r="B299" t="s">
        <v>354</v>
      </c>
      <c r="D299" t="s">
        <v>37</v>
      </c>
      <c r="E299" s="3">
        <v>2</v>
      </c>
      <c r="G299">
        <v>0.1</v>
      </c>
      <c r="H299" s="5">
        <f>19*Pcfu4[[#This Row],[grams]]</f>
        <v>1.9000000000000001</v>
      </c>
      <c r="I299" s="3" t="s">
        <v>170</v>
      </c>
      <c r="J299" s="59">
        <v>44908</v>
      </c>
      <c r="L299" s="59" t="e" cm="1">
        <f t="array" ref="L299">INDEX($J$4:J1389, MATCH(1,(A299=$A$4:A1387)*(C299=$C$4:C1387)*("Y"=$K$4:K1389),0))</f>
        <v>#N/A</v>
      </c>
      <c r="M299" s="1">
        <v>1000000</v>
      </c>
      <c r="N299">
        <v>112</v>
      </c>
      <c r="O299">
        <v>123</v>
      </c>
      <c r="P299"/>
      <c r="Q299" s="6">
        <f>(SUM(Pcfu4[[#This Row],[R1]:[R3]]))/(Pcfu4[[#This Row],[No. Reps]]*0.025)*Pcfu4[[#This Row],[Best DF]]</f>
        <v>4700000000</v>
      </c>
      <c r="R299" s="1">
        <f>_xlfn.STDEV.S(Pcfu4[[#This Row],[R1]:[R3]])/0.025*Pcfu4[[#This Row],[Best DF]]</f>
        <v>311126983.72208089</v>
      </c>
      <c r="S299" s="6">
        <f>Pcfu4[[#This Row],[CFU/mL]]*Pcfu4[[#This Row],[mL]]/Pcfu4[[#This Row],[grams]]</f>
        <v>89300000000</v>
      </c>
      <c r="T299" s="1">
        <f>Pcfu4[[#This Row],[SD CFU/mL]]*Pcfu4[[#This Row],[mL]]/Pcfu4[[#This Row],[grams]]</f>
        <v>5911412690.7195377</v>
      </c>
      <c r="U299" s="7">
        <f>_xlfn.STDEV.S(Pcfu43[[#This Row],[R1]:[R3]])/AVERAGE(Pcfu43[[#This Row],[R1]:[R3]])</f>
        <v>2.6488876849455723E-2</v>
      </c>
      <c r="V299" s="96"/>
      <c r="W299" s="7"/>
    </row>
    <row r="300" spans="1:24" x14ac:dyDescent="0.15">
      <c r="A300" t="s">
        <v>349</v>
      </c>
      <c r="B300" t="s">
        <v>354</v>
      </c>
      <c r="D300" t="s">
        <v>37</v>
      </c>
      <c r="E300" s="3">
        <v>2</v>
      </c>
      <c r="G300">
        <v>0.1</v>
      </c>
      <c r="H300" s="5">
        <f>19*Pcfu4[[#This Row],[grams]]</f>
        <v>1.9000000000000001</v>
      </c>
      <c r="I300" s="3" t="s">
        <v>170</v>
      </c>
      <c r="J300" s="59">
        <v>44908</v>
      </c>
      <c r="L300" s="59" t="e" cm="1">
        <f t="array" ref="L300">INDEX($J$4:J1390, MATCH(1,(A300=$A$4:A1388)*(C300=$C$4:C1388)*("Y"=$K$4:K1390),0))</f>
        <v>#N/A</v>
      </c>
      <c r="M300" s="1">
        <v>1000000</v>
      </c>
      <c r="N300">
        <v>86</v>
      </c>
      <c r="O300">
        <v>81</v>
      </c>
      <c r="P300"/>
      <c r="Q300" s="6">
        <f>(SUM(Pcfu4[[#This Row],[R1]:[R3]]))/(Pcfu4[[#This Row],[No. Reps]]*0.025)*Pcfu4[[#This Row],[Best DF]]</f>
        <v>3340000000</v>
      </c>
      <c r="R300" s="1">
        <f>_xlfn.STDEV.S(Pcfu4[[#This Row],[R1]:[R3]])/0.025*Pcfu4[[#This Row],[Best DF]]</f>
        <v>141421356.23730952</v>
      </c>
      <c r="S300" s="6">
        <f>Pcfu4[[#This Row],[CFU/mL]]*Pcfu4[[#This Row],[mL]]/Pcfu4[[#This Row],[grams]]</f>
        <v>63460000000</v>
      </c>
      <c r="T300" s="1">
        <f>Pcfu4[[#This Row],[SD CFU/mL]]*Pcfu4[[#This Row],[mL]]/Pcfu4[[#This Row],[grams]]</f>
        <v>2687005768.5088806</v>
      </c>
      <c r="U300" s="7">
        <f>_xlfn.STDEV.S(Pcfu43[[#This Row],[R1]:[R3]])/AVERAGE(Pcfu43[[#This Row],[R1]:[R3]])</f>
        <v>0.14642840695062714</v>
      </c>
      <c r="V300" s="96"/>
      <c r="W300" s="7"/>
    </row>
    <row r="301" spans="1:24" x14ac:dyDescent="0.15">
      <c r="A301" t="s">
        <v>294</v>
      </c>
      <c r="B301" t="s">
        <v>354</v>
      </c>
      <c r="D301" t="s">
        <v>86</v>
      </c>
      <c r="E301" s="3">
        <v>2</v>
      </c>
      <c r="G301">
        <v>0.1</v>
      </c>
      <c r="H301" s="5">
        <f>19*Pcfu4[[#This Row],[grams]]</f>
        <v>1.9000000000000001</v>
      </c>
      <c r="I301" s="3" t="s">
        <v>170</v>
      </c>
      <c r="J301" s="59">
        <v>44908</v>
      </c>
      <c r="L301" s="59" t="e" cm="1">
        <f t="array" ref="L301">INDEX($J$4:J1391, MATCH(1,(A301=$A$4:A1389)*(C301=$C$4:C1389)*("Y"=$K$4:K1391),0))</f>
        <v>#N/A</v>
      </c>
      <c r="M301" s="1">
        <v>10000000</v>
      </c>
      <c r="N301">
        <v>37</v>
      </c>
      <c r="O301">
        <v>28</v>
      </c>
      <c r="P301"/>
      <c r="Q301" s="6">
        <f>(SUM(Pcfu4[[#This Row],[R1]:[R3]]))/(Pcfu4[[#This Row],[No. Reps]]*0.025)*Pcfu4[[#This Row],[Best DF]]</f>
        <v>13000000000</v>
      </c>
      <c r="R301" s="1">
        <f>_xlfn.STDEV.S(Pcfu4[[#This Row],[R1]:[R3]])/0.025*Pcfu4[[#This Row],[Best DF]]</f>
        <v>2545584412.2715707</v>
      </c>
      <c r="S301" s="6">
        <f>Pcfu4[[#This Row],[CFU/mL]]*Pcfu4[[#This Row],[mL]]/Pcfu4[[#This Row],[grams]]</f>
        <v>247000000000</v>
      </c>
      <c r="T301" s="1">
        <f>Pcfu4[[#This Row],[SD CFU/mL]]*Pcfu4[[#This Row],[mL]]/Pcfu4[[#This Row],[grams]]</f>
        <v>48366103833.159843</v>
      </c>
      <c r="U301" s="7">
        <f>_xlfn.STDEV.S(Pcfu43[[#This Row],[R1]:[R3]])/AVERAGE(Pcfu43[[#This Row],[R1]:[R3]])</f>
        <v>0.11213547396503436</v>
      </c>
      <c r="V301" s="96"/>
      <c r="W301" s="7"/>
      <c r="X301" t="s">
        <v>355</v>
      </c>
    </row>
    <row r="302" spans="1:24" x14ac:dyDescent="0.15">
      <c r="A302" t="s">
        <v>295</v>
      </c>
      <c r="B302" t="s">
        <v>354</v>
      </c>
      <c r="D302" t="s">
        <v>86</v>
      </c>
      <c r="E302" s="3">
        <v>2</v>
      </c>
      <c r="G302">
        <v>0.1</v>
      </c>
      <c r="H302" s="5">
        <f>19*Pcfu4[[#This Row],[grams]]</f>
        <v>1.9000000000000001</v>
      </c>
      <c r="I302" s="3" t="s">
        <v>170</v>
      </c>
      <c r="J302" s="59">
        <v>44908</v>
      </c>
      <c r="L302" s="59" t="e" cm="1">
        <f t="array" ref="L302">INDEX($J$4:J1392, MATCH(1,(A302=$A$4:A1390)*(C302=$C$4:C1390)*("Y"=$K$4:K1392),0))</f>
        <v>#N/A</v>
      </c>
      <c r="M302" s="1">
        <v>1000000</v>
      </c>
      <c r="N302">
        <v>46</v>
      </c>
      <c r="O302">
        <v>35</v>
      </c>
      <c r="P302"/>
      <c r="Q302" s="6">
        <f>(SUM(Pcfu4[[#This Row],[R1]:[R3]]))/(Pcfu4[[#This Row],[No. Reps]]*0.025)*Pcfu4[[#This Row],[Best DF]]</f>
        <v>1620000000</v>
      </c>
      <c r="R302" s="1">
        <f>_xlfn.STDEV.S(Pcfu4[[#This Row],[R1]:[R3]])/0.025*Pcfu4[[#This Row],[Best DF]]</f>
        <v>311126983.72208089</v>
      </c>
      <c r="S302" s="6">
        <f>Pcfu4[[#This Row],[CFU/mL]]*Pcfu4[[#This Row],[mL]]/Pcfu4[[#This Row],[grams]]</f>
        <v>30780000000</v>
      </c>
      <c r="T302" s="1">
        <f>Pcfu4[[#This Row],[SD CFU/mL]]*Pcfu4[[#This Row],[mL]]/Pcfu4[[#This Row],[grams]]</f>
        <v>5911412690.7195377</v>
      </c>
      <c r="U302" s="7">
        <f>_xlfn.STDEV.S(Pcfu43[[#This Row],[R1]:[R3]])/AVERAGE(Pcfu43[[#This Row],[R1]:[R3]])</f>
        <v>5.5872606695770231E-2</v>
      </c>
      <c r="V302" s="96"/>
      <c r="W302" s="7"/>
    </row>
    <row r="303" spans="1:24" x14ac:dyDescent="0.15">
      <c r="A303" t="s">
        <v>291</v>
      </c>
      <c r="B303" t="s">
        <v>354</v>
      </c>
      <c r="D303" t="s">
        <v>86</v>
      </c>
      <c r="E303" s="3">
        <v>2</v>
      </c>
      <c r="G303">
        <v>0.1</v>
      </c>
      <c r="H303" s="5">
        <f>19*Pcfu4[[#This Row],[grams]]</f>
        <v>1.9000000000000001</v>
      </c>
      <c r="I303" s="3" t="s">
        <v>170</v>
      </c>
      <c r="J303" s="59">
        <v>44908</v>
      </c>
      <c r="L303" s="59" t="e" cm="1">
        <f t="array" ref="L303">INDEX($J$4:J1393, MATCH(1,(A303=$A$4:A1391)*(C303=$C$4:C1391)*("Y"=$K$4:K1393),0))</f>
        <v>#N/A</v>
      </c>
      <c r="M303" s="1">
        <v>10000000</v>
      </c>
      <c r="N303">
        <v>70</v>
      </c>
      <c r="O303">
        <v>81</v>
      </c>
      <c r="P303"/>
      <c r="Q303" s="6">
        <f>(SUM(Pcfu4[[#This Row],[R1]:[R3]]))/(Pcfu4[[#This Row],[No. Reps]]*0.025)*Pcfu4[[#This Row],[Best DF]]</f>
        <v>30200000000</v>
      </c>
      <c r="R303" s="1">
        <f>_xlfn.STDEV.S(Pcfu4[[#This Row],[R1]:[R3]])/0.025*Pcfu4[[#This Row],[Best DF]]</f>
        <v>3111269837.2208085</v>
      </c>
      <c r="S303" s="6">
        <f>Pcfu4[[#This Row],[CFU/mL]]*Pcfu4[[#This Row],[mL]]/Pcfu4[[#This Row],[grams]]</f>
        <v>573800000000</v>
      </c>
      <c r="T303" s="1">
        <f>Pcfu4[[#This Row],[SD CFU/mL]]*Pcfu4[[#This Row],[mL]]/Pcfu4[[#This Row],[grams]]</f>
        <v>59114126907.195366</v>
      </c>
      <c r="U303" s="7">
        <f>_xlfn.STDEV.S(Pcfu43[[#This Row],[R1]:[R3]])/AVERAGE(Pcfu43[[#This Row],[R1]:[R3]])</f>
        <v>0.12693558738376753</v>
      </c>
      <c r="V303" s="96"/>
      <c r="W303" s="7"/>
      <c r="X303" t="s">
        <v>356</v>
      </c>
    </row>
    <row r="304" spans="1:24" x14ac:dyDescent="0.15">
      <c r="A304" t="s">
        <v>350</v>
      </c>
      <c r="B304" t="s">
        <v>354</v>
      </c>
      <c r="D304" t="s">
        <v>86</v>
      </c>
      <c r="E304" s="3">
        <v>2</v>
      </c>
      <c r="G304">
        <v>0.1</v>
      </c>
      <c r="H304" s="5">
        <f>19*Pcfu4[[#This Row],[grams]]</f>
        <v>1.9000000000000001</v>
      </c>
      <c r="I304" s="3" t="s">
        <v>170</v>
      </c>
      <c r="J304" s="59">
        <v>44908</v>
      </c>
      <c r="L304" s="59" t="e" cm="1">
        <f t="array" ref="L304">INDEX($J$4:J1394, MATCH(1,(A304=$A$4:A1392)*(C304=$C$4:C1392)*("Y"=$K$4:K1394),0))</f>
        <v>#N/A</v>
      </c>
      <c r="M304" s="1">
        <v>10000000</v>
      </c>
      <c r="N304">
        <v>30</v>
      </c>
      <c r="O304">
        <v>57</v>
      </c>
      <c r="P304"/>
      <c r="Q304" s="6">
        <f>(SUM(Pcfu4[[#This Row],[R1]:[R3]]))/(Pcfu4[[#This Row],[No. Reps]]*0.025)*Pcfu4[[#This Row],[Best DF]]</f>
        <v>17400000000</v>
      </c>
      <c r="R304" s="1">
        <f>_xlfn.STDEV.S(Pcfu4[[#This Row],[R1]:[R3]])/0.025*Pcfu4[[#This Row],[Best DF]]</f>
        <v>7636753236.8147135</v>
      </c>
      <c r="S304" s="6">
        <f>Pcfu4[[#This Row],[CFU/mL]]*Pcfu4[[#This Row],[mL]]/Pcfu4[[#This Row],[grams]]</f>
        <v>330600000000</v>
      </c>
      <c r="T304" s="1">
        <f>Pcfu4[[#This Row],[SD CFU/mL]]*Pcfu4[[#This Row],[mL]]/Pcfu4[[#This Row],[grams]]</f>
        <v>145098311499.47955</v>
      </c>
      <c r="U304" s="7">
        <f>_xlfn.STDEV.S(Pcfu43[[#This Row],[R1]:[R3]])/AVERAGE(Pcfu43[[#This Row],[R1]:[R3]])</f>
        <v>0.24753555525477886</v>
      </c>
      <c r="V304" s="96"/>
      <c r="W304" s="7"/>
      <c r="X304" t="s">
        <v>356</v>
      </c>
    </row>
    <row r="305" spans="1:24" x14ac:dyDescent="0.15">
      <c r="A305" t="s">
        <v>278</v>
      </c>
      <c r="B305" t="s">
        <v>357</v>
      </c>
      <c r="D305" t="s">
        <v>253</v>
      </c>
      <c r="E305" s="3">
        <v>2</v>
      </c>
      <c r="G305">
        <v>0.1</v>
      </c>
      <c r="H305" s="5">
        <f>19*Pcfu4[[#This Row],[grams]]</f>
        <v>1.9000000000000001</v>
      </c>
      <c r="I305" s="3" t="s">
        <v>170</v>
      </c>
      <c r="J305" s="59">
        <v>44909</v>
      </c>
      <c r="L305" s="59" t="e" cm="1">
        <f t="array" ref="L305">INDEX($J$4:J1395, MATCH(1,(A305=$A$4:A1393)*(C305=$C$4:C1393)*("Y"=$K$4:K1395),0))</f>
        <v>#N/A</v>
      </c>
      <c r="M305" s="1">
        <v>1</v>
      </c>
      <c r="N305">
        <v>256</v>
      </c>
      <c r="O305">
        <v>277</v>
      </c>
      <c r="P305"/>
      <c r="Q305" s="6">
        <f>(SUM(Pcfu4[[#This Row],[R1]:[R3]]))/(Pcfu4[[#This Row],[No. Reps]]*0.025)*Pcfu4[[#This Row],[Best DF]]</f>
        <v>10660</v>
      </c>
      <c r="R305" s="1">
        <f>_xlfn.STDEV.S(Pcfu4[[#This Row],[R1]:[R3]])/0.025*Pcfu4[[#This Row],[Best DF]]</f>
        <v>593.96969619669983</v>
      </c>
      <c r="S305" s="6">
        <f>Pcfu4[[#This Row],[CFU/mL]]*Pcfu4[[#This Row],[mL]]/Pcfu4[[#This Row],[grams]]</f>
        <v>202540</v>
      </c>
      <c r="T305" s="1">
        <f>Pcfu4[[#This Row],[SD CFU/mL]]*Pcfu4[[#This Row],[mL]]/Pcfu4[[#This Row],[grams]]</f>
        <v>11285.424227737296</v>
      </c>
      <c r="U305" s="7">
        <f>_xlfn.STDEV.S(Pcfu43[[#This Row],[R1]:[R3]])/AVERAGE(Pcfu43[[#This Row],[R1]:[R3]])</f>
        <v>0.14181839354401429</v>
      </c>
      <c r="V305" s="96"/>
      <c r="W305" s="7"/>
    </row>
    <row r="306" spans="1:24" x14ac:dyDescent="0.15">
      <c r="A306" t="s">
        <v>274</v>
      </c>
      <c r="B306" t="s">
        <v>357</v>
      </c>
      <c r="D306" t="s">
        <v>253</v>
      </c>
      <c r="E306" s="3">
        <v>2</v>
      </c>
      <c r="G306">
        <v>0.1</v>
      </c>
      <c r="H306" s="5">
        <f>19*Pcfu4[[#This Row],[grams]]</f>
        <v>1.9000000000000001</v>
      </c>
      <c r="I306" s="3" t="s">
        <v>170</v>
      </c>
      <c r="J306" s="59">
        <v>44909</v>
      </c>
      <c r="L306" s="59" t="e" cm="1">
        <f t="array" ref="L306">INDEX($J$4:J1396, MATCH(1,(A306=$A$4:A1394)*(C306=$C$4:C1394)*("Y"=$K$4:K1396),0))</f>
        <v>#N/A</v>
      </c>
      <c r="M306" s="1">
        <v>10</v>
      </c>
      <c r="N306">
        <v>298</v>
      </c>
      <c r="O306">
        <v>296</v>
      </c>
      <c r="P306"/>
      <c r="Q306" s="6">
        <f>(SUM(Pcfu4[[#This Row],[R1]:[R3]]))/(Pcfu4[[#This Row],[No. Reps]]*0.025)*Pcfu4[[#This Row],[Best DF]]</f>
        <v>118800</v>
      </c>
      <c r="R306" s="1">
        <f>_xlfn.STDEV.S(Pcfu4[[#This Row],[R1]:[R3]])/0.025*Pcfu4[[#This Row],[Best DF]]</f>
        <v>565.68542494923804</v>
      </c>
      <c r="S306" s="6">
        <f>Pcfu4[[#This Row],[CFU/mL]]*Pcfu4[[#This Row],[mL]]/Pcfu4[[#This Row],[grams]]</f>
        <v>2257200</v>
      </c>
      <c r="T306" s="1">
        <f>Pcfu4[[#This Row],[SD CFU/mL]]*Pcfu4[[#This Row],[mL]]/Pcfu4[[#This Row],[grams]]</f>
        <v>10748.023074035522</v>
      </c>
      <c r="U306" s="7">
        <f>_xlfn.STDEV.S(Pcfu43[[#This Row],[R1]:[R3]])/AVERAGE(Pcfu43[[#This Row],[R1]:[R3]])</f>
        <v>0.2</v>
      </c>
      <c r="V306" s="96"/>
      <c r="W306" s="7"/>
    </row>
    <row r="307" spans="1:24" x14ac:dyDescent="0.15">
      <c r="A307" t="s">
        <v>275</v>
      </c>
      <c r="B307" t="s">
        <v>357</v>
      </c>
      <c r="D307" t="s">
        <v>253</v>
      </c>
      <c r="E307" s="3">
        <v>2</v>
      </c>
      <c r="G307">
        <v>0.1</v>
      </c>
      <c r="H307" s="5">
        <f>19*Pcfu4[[#This Row],[grams]]</f>
        <v>1.9000000000000001</v>
      </c>
      <c r="I307" s="3" t="s">
        <v>170</v>
      </c>
      <c r="J307" s="59">
        <v>44909</v>
      </c>
      <c r="L307" s="59" t="e" cm="1">
        <f t="array" ref="L307">INDEX($J$4:J1397, MATCH(1,(A307=$A$4:A1395)*(C307=$C$4:C1395)*("Y"=$K$4:K1397),0))</f>
        <v>#N/A</v>
      </c>
      <c r="M307" s="1">
        <v>10</v>
      </c>
      <c r="N307">
        <v>101</v>
      </c>
      <c r="O307">
        <v>115</v>
      </c>
      <c r="P307"/>
      <c r="Q307" s="6">
        <f>(SUM(Pcfu4[[#This Row],[R1]:[R3]]))/(Pcfu4[[#This Row],[No. Reps]]*0.025)*Pcfu4[[#This Row],[Best DF]]</f>
        <v>43200</v>
      </c>
      <c r="R307" s="1">
        <f>_xlfn.STDEV.S(Pcfu4[[#This Row],[R1]:[R3]])/0.025*Pcfu4[[#This Row],[Best DF]]</f>
        <v>3959.7979746446658</v>
      </c>
      <c r="S307" s="6">
        <f>Pcfu4[[#This Row],[CFU/mL]]*Pcfu4[[#This Row],[mL]]/Pcfu4[[#This Row],[grams]]</f>
        <v>820800</v>
      </c>
      <c r="T307" s="1">
        <f>Pcfu4[[#This Row],[SD CFU/mL]]*Pcfu4[[#This Row],[mL]]/Pcfu4[[#This Row],[grams]]</f>
        <v>75236.161518248657</v>
      </c>
      <c r="U307" s="7" t="e">
        <f>_xlfn.STDEV.S(Pcfu43[[#This Row],[R1]:[R3]])/AVERAGE(Pcfu43[[#This Row],[R1]:[R3]])</f>
        <v>#DIV/0!</v>
      </c>
      <c r="V307" s="96"/>
      <c r="W307" s="7"/>
    </row>
    <row r="308" spans="1:24" x14ac:dyDescent="0.15">
      <c r="A308" t="s">
        <v>277</v>
      </c>
      <c r="B308" t="s">
        <v>357</v>
      </c>
      <c r="D308" t="s">
        <v>253</v>
      </c>
      <c r="E308" s="3">
        <v>2</v>
      </c>
      <c r="G308">
        <v>0.1</v>
      </c>
      <c r="H308" s="5">
        <f>19*Pcfu4[[#This Row],[grams]]</f>
        <v>1.9000000000000001</v>
      </c>
      <c r="I308" s="3" t="s">
        <v>170</v>
      </c>
      <c r="J308" s="59">
        <v>44909</v>
      </c>
      <c r="L308" s="59" t="e" cm="1">
        <f t="array" ref="L308">INDEX($J$4:J1398, MATCH(1,(A308=$A$4:A1396)*(C308=$C$4:C1396)*("Y"=$K$4:K1398),0))</f>
        <v>#N/A</v>
      </c>
      <c r="M308" s="1"/>
      <c r="P308"/>
      <c r="Q308" s="6">
        <f>(SUM(Pcfu4[[#This Row],[R1]:[R3]]))/(Pcfu4[[#This Row],[No. Reps]]*0.025)*Pcfu4[[#This Row],[Best DF]]</f>
        <v>0</v>
      </c>
      <c r="R308" s="1" t="e">
        <f>_xlfn.STDEV.S(Pcfu4[[#This Row],[R1]:[R3]])/0.025*Pcfu4[[#This Row],[Best DF]]</f>
        <v>#DIV/0!</v>
      </c>
      <c r="S308" s="6">
        <f>Pcfu4[[#This Row],[CFU/mL]]*Pcfu4[[#This Row],[mL]]/Pcfu4[[#This Row],[grams]]</f>
        <v>0</v>
      </c>
      <c r="T308" s="1" t="e">
        <f>Pcfu4[[#This Row],[SD CFU/mL]]*Pcfu4[[#This Row],[mL]]/Pcfu4[[#This Row],[grams]]</f>
        <v>#DIV/0!</v>
      </c>
      <c r="U308" s="7" t="e">
        <f>_xlfn.STDEV.S(Pcfu43[[#This Row],[R1]:[R3]])/AVERAGE(Pcfu43[[#This Row],[R1]:[R3]])</f>
        <v>#DIV/0!</v>
      </c>
      <c r="V308" s="96"/>
      <c r="W308" s="7" t="s">
        <v>206</v>
      </c>
      <c r="X308" t="s">
        <v>358</v>
      </c>
    </row>
    <row r="309" spans="1:24" x14ac:dyDescent="0.15">
      <c r="A309" t="s">
        <v>276</v>
      </c>
      <c r="B309" t="s">
        <v>357</v>
      </c>
      <c r="D309" t="s">
        <v>243</v>
      </c>
      <c r="E309" s="3">
        <v>2</v>
      </c>
      <c r="G309">
        <v>0.1</v>
      </c>
      <c r="H309" s="5">
        <f>19*Pcfu4[[#This Row],[grams]]</f>
        <v>1.9000000000000001</v>
      </c>
      <c r="I309" s="3" t="s">
        <v>170</v>
      </c>
      <c r="J309" s="59">
        <v>44909</v>
      </c>
      <c r="L309" s="59" t="e" cm="1">
        <f t="array" ref="L309">INDEX($J$4:J1399, MATCH(1,(A309=$A$4:A1397)*(C309=$C$4:C1397)*("Y"=$K$4:K1399),0))</f>
        <v>#N/A</v>
      </c>
      <c r="M309" s="1">
        <v>1</v>
      </c>
      <c r="N309">
        <v>235</v>
      </c>
      <c r="O309">
        <v>276</v>
      </c>
      <c r="P309"/>
      <c r="Q309" s="6">
        <f>(SUM(Pcfu4[[#This Row],[R1]:[R3]]))/(Pcfu4[[#This Row],[No. Reps]]*0.025)*Pcfu4[[#This Row],[Best DF]]</f>
        <v>10220</v>
      </c>
      <c r="R309" s="1">
        <f>_xlfn.STDEV.S(Pcfu4[[#This Row],[R1]:[R3]])/0.025*Pcfu4[[#This Row],[Best DF]]</f>
        <v>1159.6551211459378</v>
      </c>
      <c r="S309" s="6">
        <f>Pcfu4[[#This Row],[CFU/mL]]*Pcfu4[[#This Row],[mL]]/Pcfu4[[#This Row],[grams]]</f>
        <v>194180</v>
      </c>
      <c r="T309" s="1">
        <f>Pcfu4[[#This Row],[SD CFU/mL]]*Pcfu4[[#This Row],[mL]]/Pcfu4[[#This Row],[grams]]</f>
        <v>22033.447301772816</v>
      </c>
      <c r="U309" s="7" t="e">
        <f>_xlfn.STDEV.S(Pcfu43[[#This Row],[R1]:[R3]])/AVERAGE(Pcfu43[[#This Row],[R1]:[R3]])</f>
        <v>#DIV/0!</v>
      </c>
      <c r="V309" s="96"/>
      <c r="W309" s="7"/>
    </row>
    <row r="310" spans="1:24" x14ac:dyDescent="0.15">
      <c r="A310" t="s">
        <v>283</v>
      </c>
      <c r="B310" t="s">
        <v>357</v>
      </c>
      <c r="D310" t="s">
        <v>246</v>
      </c>
      <c r="E310" s="3">
        <v>2</v>
      </c>
      <c r="G310">
        <v>0.1</v>
      </c>
      <c r="H310" s="5">
        <f>19*Pcfu4[[#This Row],[grams]]</f>
        <v>1.9000000000000001</v>
      </c>
      <c r="I310" s="3" t="s">
        <v>170</v>
      </c>
      <c r="J310" s="59">
        <v>44909</v>
      </c>
      <c r="L310" s="59" t="e" cm="1">
        <f t="array" ref="L310">INDEX($J$4:J1400, MATCH(1,(A310=$A$4:A1398)*(C310=$C$4:C1398)*("Y"=$K$4:K1400),0))</f>
        <v>#N/A</v>
      </c>
      <c r="M310" s="1">
        <v>100</v>
      </c>
      <c r="N310">
        <v>89</v>
      </c>
      <c r="O310">
        <v>103</v>
      </c>
      <c r="P310"/>
      <c r="Q310" s="6">
        <f>(SUM(Pcfu4[[#This Row],[R1]:[R3]]))/(Pcfu4[[#This Row],[No. Reps]]*0.025)*Pcfu4[[#This Row],[Best DF]]</f>
        <v>384000</v>
      </c>
      <c r="R310" s="1">
        <f>_xlfn.STDEV.S(Pcfu4[[#This Row],[R1]:[R3]])/0.025*Pcfu4[[#This Row],[Best DF]]</f>
        <v>39597.979746446654</v>
      </c>
      <c r="S310" s="6">
        <f>Pcfu4[[#This Row],[CFU/mL]]*Pcfu4[[#This Row],[mL]]/Pcfu4[[#This Row],[grams]]</f>
        <v>7296000</v>
      </c>
      <c r="T310" s="1">
        <f>Pcfu4[[#This Row],[SD CFU/mL]]*Pcfu4[[#This Row],[mL]]/Pcfu4[[#This Row],[grams]]</f>
        <v>752361.61518248636</v>
      </c>
      <c r="U310" s="7" t="e">
        <f>_xlfn.STDEV.S(Pcfu43[[#This Row],[R1]:[R3]])/AVERAGE(Pcfu43[[#This Row],[R1]:[R3]])</f>
        <v>#DIV/0!</v>
      </c>
      <c r="V310" s="96"/>
      <c r="W310" s="7"/>
    </row>
    <row r="311" spans="1:24" x14ac:dyDescent="0.15">
      <c r="A311" t="s">
        <v>284</v>
      </c>
      <c r="B311" t="s">
        <v>357</v>
      </c>
      <c r="D311" t="s">
        <v>246</v>
      </c>
      <c r="E311" s="3">
        <v>2</v>
      </c>
      <c r="G311">
        <v>0.1</v>
      </c>
      <c r="H311" s="5">
        <f>19*Pcfu4[[#This Row],[grams]]</f>
        <v>1.9000000000000001</v>
      </c>
      <c r="I311" s="3" t="s">
        <v>170</v>
      </c>
      <c r="J311" s="59">
        <v>44909</v>
      </c>
      <c r="L311" s="59" t="e" cm="1">
        <f t="array" ref="L311">INDEX($J$4:J1401, MATCH(1,(A311=$A$4:A1399)*(C311=$C$4:C1399)*("Y"=$K$4:K1401),0))</f>
        <v>#N/A</v>
      </c>
      <c r="M311" s="1">
        <v>100</v>
      </c>
      <c r="N311">
        <v>73</v>
      </c>
      <c r="O311">
        <v>73</v>
      </c>
      <c r="P311"/>
      <c r="Q311" s="6">
        <f>(SUM(Pcfu4[[#This Row],[R1]:[R3]]))/(Pcfu4[[#This Row],[No. Reps]]*0.025)*Pcfu4[[#This Row],[Best DF]]</f>
        <v>292000</v>
      </c>
      <c r="R311" s="1">
        <f>_xlfn.STDEV.S(Pcfu4[[#This Row],[R1]:[R3]])/0.025*Pcfu4[[#This Row],[Best DF]]</f>
        <v>0</v>
      </c>
      <c r="S311" s="6">
        <f>Pcfu4[[#This Row],[CFU/mL]]*Pcfu4[[#This Row],[mL]]/Pcfu4[[#This Row],[grams]]</f>
        <v>5548000</v>
      </c>
      <c r="T311" s="1">
        <f>Pcfu4[[#This Row],[SD CFU/mL]]*Pcfu4[[#This Row],[mL]]/Pcfu4[[#This Row],[grams]]</f>
        <v>0</v>
      </c>
      <c r="U311" s="7" t="e">
        <f>_xlfn.STDEV.S(Pcfu43[[#This Row],[R1]:[R3]])/AVERAGE(Pcfu43[[#This Row],[R1]:[R3]])</f>
        <v>#DIV/0!</v>
      </c>
      <c r="V311" s="96"/>
      <c r="W311" s="7"/>
      <c r="X311" t="s">
        <v>359</v>
      </c>
    </row>
    <row r="312" spans="1:24" x14ac:dyDescent="0.15">
      <c r="A312" t="s">
        <v>273</v>
      </c>
      <c r="B312" t="s">
        <v>357</v>
      </c>
      <c r="D312" t="s">
        <v>246</v>
      </c>
      <c r="E312" s="3">
        <v>2</v>
      </c>
      <c r="G312">
        <v>0.1</v>
      </c>
      <c r="H312" s="5">
        <f>19*Pcfu4[[#This Row],[grams]]</f>
        <v>1.9000000000000001</v>
      </c>
      <c r="I312" s="3" t="s">
        <v>170</v>
      </c>
      <c r="J312" s="59">
        <v>44909</v>
      </c>
      <c r="L312" s="59" t="e" cm="1">
        <f t="array" ref="L312">INDEX($J$4:J1402, MATCH(1,(A312=$A$4:A1400)*(C312=$C$4:C1400)*("Y"=$K$4:K1402),0))</f>
        <v>#N/A</v>
      </c>
      <c r="M312" s="1">
        <v>1000</v>
      </c>
      <c r="N312">
        <v>34</v>
      </c>
      <c r="O312">
        <v>43</v>
      </c>
      <c r="P312"/>
      <c r="Q312" s="6">
        <f>(SUM(Pcfu4[[#This Row],[R1]:[R3]]))/(Pcfu4[[#This Row],[No. Reps]]*0.025)*Pcfu4[[#This Row],[Best DF]]</f>
        <v>1540000</v>
      </c>
      <c r="R312" s="1">
        <f>_xlfn.STDEV.S(Pcfu4[[#This Row],[R1]:[R3]])/0.025*Pcfu4[[#This Row],[Best DF]]</f>
        <v>254558.44122715708</v>
      </c>
      <c r="S312" s="6">
        <f>Pcfu4[[#This Row],[CFU/mL]]*Pcfu4[[#This Row],[mL]]/Pcfu4[[#This Row],[grams]]</f>
        <v>29260000</v>
      </c>
      <c r="T312" s="1">
        <f>Pcfu4[[#This Row],[SD CFU/mL]]*Pcfu4[[#This Row],[mL]]/Pcfu4[[#This Row],[grams]]</f>
        <v>4836610.3833159842</v>
      </c>
      <c r="U312" s="7" t="e">
        <f>_xlfn.STDEV.S(Pcfu43[[#This Row],[R1]:[R3]])/AVERAGE(Pcfu43[[#This Row],[R1]:[R3]])</f>
        <v>#DIV/0!</v>
      </c>
      <c r="V312" s="96"/>
      <c r="W312" s="7"/>
    </row>
    <row r="313" spans="1:24" x14ac:dyDescent="0.15">
      <c r="A313" t="s">
        <v>282</v>
      </c>
      <c r="B313" t="s">
        <v>357</v>
      </c>
      <c r="D313" t="s">
        <v>205</v>
      </c>
      <c r="E313" s="3">
        <v>2</v>
      </c>
      <c r="G313">
        <v>0.1</v>
      </c>
      <c r="H313" s="5">
        <f>19*Pcfu4[[#This Row],[grams]]</f>
        <v>1.9000000000000001</v>
      </c>
      <c r="I313" s="3" t="s">
        <v>170</v>
      </c>
      <c r="J313" s="59">
        <v>44909</v>
      </c>
      <c r="L313" s="59" t="e" cm="1">
        <f t="array" ref="L313">INDEX($J$4:J1403, MATCH(1,(A313=$A$4:A1401)*(C313=$C$4:C1401)*("Y"=$K$4:K1403),0))</f>
        <v>#N/A</v>
      </c>
      <c r="M313" s="1">
        <v>1000</v>
      </c>
      <c r="N313">
        <v>28</v>
      </c>
      <c r="O313">
        <v>31</v>
      </c>
      <c r="P313"/>
      <c r="Q313" s="6">
        <f>(SUM(Pcfu4[[#This Row],[R1]:[R3]]))/(Pcfu4[[#This Row],[No. Reps]]*0.025)*Pcfu4[[#This Row],[Best DF]]</f>
        <v>1180000</v>
      </c>
      <c r="R313" s="1">
        <f>_xlfn.STDEV.S(Pcfu4[[#This Row],[R1]:[R3]])/0.025*Pcfu4[[#This Row],[Best DF]]</f>
        <v>84852.813742385697</v>
      </c>
      <c r="S313" s="6">
        <f>Pcfu4[[#This Row],[CFU/mL]]*Pcfu4[[#This Row],[mL]]/Pcfu4[[#This Row],[grams]]</f>
        <v>22420000</v>
      </c>
      <c r="T313" s="1">
        <f>Pcfu4[[#This Row],[SD CFU/mL]]*Pcfu4[[#This Row],[mL]]/Pcfu4[[#This Row],[grams]]</f>
        <v>1612203.4611053283</v>
      </c>
      <c r="U313" s="7" t="e">
        <f>_xlfn.STDEV.S(Pcfu43[[#This Row],[R1]:[R3]])/AVERAGE(Pcfu43[[#This Row],[R1]:[R3]])</f>
        <v>#DIV/0!</v>
      </c>
      <c r="V313" s="96"/>
      <c r="W313" s="7"/>
    </row>
    <row r="314" spans="1:24" x14ac:dyDescent="0.15">
      <c r="A314" t="s">
        <v>279</v>
      </c>
      <c r="B314" t="s">
        <v>357</v>
      </c>
      <c r="D314" t="s">
        <v>205</v>
      </c>
      <c r="E314" s="3">
        <v>2</v>
      </c>
      <c r="G314">
        <v>0.1</v>
      </c>
      <c r="H314" s="5">
        <f>19*Pcfu4[[#This Row],[grams]]</f>
        <v>1.9000000000000001</v>
      </c>
      <c r="I314" s="3" t="s">
        <v>170</v>
      </c>
      <c r="J314" s="59">
        <v>44909</v>
      </c>
      <c r="L314" s="59" t="e" cm="1">
        <f t="array" ref="L314">INDEX($J$4:J1404, MATCH(1,(A314=$A$4:A1402)*(C314=$C$4:C1402)*("Y"=$K$4:K1404),0))</f>
        <v>#N/A</v>
      </c>
      <c r="M314" s="1">
        <v>1000</v>
      </c>
      <c r="N314">
        <v>34</v>
      </c>
      <c r="O314">
        <v>37</v>
      </c>
      <c r="P314"/>
      <c r="Q314" s="6">
        <f>(SUM(Pcfu4[[#This Row],[R1]:[R3]]))/(Pcfu4[[#This Row],[No. Reps]]*0.025)*Pcfu4[[#This Row],[Best DF]]</f>
        <v>1420000</v>
      </c>
      <c r="R314" s="1">
        <f>_xlfn.STDEV.S(Pcfu4[[#This Row],[R1]:[R3]])/0.025*Pcfu4[[#This Row],[Best DF]]</f>
        <v>84852.813742385697</v>
      </c>
      <c r="S314" s="6">
        <f>Pcfu4[[#This Row],[CFU/mL]]*Pcfu4[[#This Row],[mL]]/Pcfu4[[#This Row],[grams]]</f>
        <v>26980000</v>
      </c>
      <c r="T314" s="1">
        <f>Pcfu4[[#This Row],[SD CFU/mL]]*Pcfu4[[#This Row],[mL]]/Pcfu4[[#This Row],[grams]]</f>
        <v>1612203.4611053283</v>
      </c>
      <c r="U314" s="7" t="e">
        <f>_xlfn.STDEV.S(Pcfu43[[#This Row],[R1]:[R3]])/AVERAGE(Pcfu43[[#This Row],[R1]:[R3]])</f>
        <v>#DIV/0!</v>
      </c>
      <c r="V314" s="96"/>
      <c r="W314" s="7"/>
    </row>
    <row r="315" spans="1:24" x14ac:dyDescent="0.15">
      <c r="A315" t="s">
        <v>280</v>
      </c>
      <c r="B315" t="s">
        <v>357</v>
      </c>
      <c r="D315" t="s">
        <v>205</v>
      </c>
      <c r="E315" s="3">
        <v>2</v>
      </c>
      <c r="G315">
        <v>0.1</v>
      </c>
      <c r="H315" s="5">
        <f>19*Pcfu4[[#This Row],[grams]]</f>
        <v>1.9000000000000001</v>
      </c>
      <c r="I315" s="3" t="s">
        <v>170</v>
      </c>
      <c r="J315" s="59">
        <v>44909</v>
      </c>
      <c r="L315" s="59" t="e" cm="1">
        <f t="array" ref="L315">INDEX($J$4:J1405, MATCH(1,(A315=$A$4:A1403)*(C315=$C$4:C1403)*("Y"=$K$4:K1405),0))</f>
        <v>#N/A</v>
      </c>
      <c r="M315" s="1">
        <v>1000</v>
      </c>
      <c r="N315">
        <v>104</v>
      </c>
      <c r="O315">
        <v>130</v>
      </c>
      <c r="P315"/>
      <c r="Q315" s="6">
        <f>(SUM(Pcfu4[[#This Row],[R1]:[R3]]))/(Pcfu4[[#This Row],[No. Reps]]*0.025)*Pcfu4[[#This Row],[Best DF]]</f>
        <v>4680000</v>
      </c>
      <c r="R315" s="1">
        <f>_xlfn.STDEV.S(Pcfu4[[#This Row],[R1]:[R3]])/0.025*Pcfu4[[#This Row],[Best DF]]</f>
        <v>735391.05243400938</v>
      </c>
      <c r="S315" s="6">
        <f>Pcfu4[[#This Row],[CFU/mL]]*Pcfu4[[#This Row],[mL]]/Pcfu4[[#This Row],[grams]]</f>
        <v>88920000</v>
      </c>
      <c r="T315" s="1">
        <f>Pcfu4[[#This Row],[SD CFU/mL]]*Pcfu4[[#This Row],[mL]]/Pcfu4[[#This Row],[grams]]</f>
        <v>13972429.996246178</v>
      </c>
      <c r="U315" s="7" t="e">
        <f>_xlfn.STDEV.S(Pcfu43[[#This Row],[R1]:[R3]])/AVERAGE(Pcfu43[[#This Row],[R1]:[R3]])</f>
        <v>#DIV/0!</v>
      </c>
      <c r="V315" s="96"/>
      <c r="W315" s="7"/>
    </row>
    <row r="316" spans="1:24" x14ac:dyDescent="0.15">
      <c r="A316" t="s">
        <v>281</v>
      </c>
      <c r="B316" t="s">
        <v>357</v>
      </c>
      <c r="D316" t="s">
        <v>205</v>
      </c>
      <c r="E316" s="3">
        <v>2</v>
      </c>
      <c r="G316">
        <v>0.1</v>
      </c>
      <c r="H316" s="5">
        <f>19*Pcfu4[[#This Row],[grams]]</f>
        <v>1.9000000000000001</v>
      </c>
      <c r="I316" s="3" t="s">
        <v>170</v>
      </c>
      <c r="J316" s="59">
        <v>44909</v>
      </c>
      <c r="L316" s="59" t="e" cm="1">
        <f t="array" ref="L316">INDEX($J$4:J1406, MATCH(1,(A316=$A$4:A1404)*(C316=$C$4:C1404)*("Y"=$K$4:K1406),0))</f>
        <v>#N/A</v>
      </c>
      <c r="M316" s="1">
        <v>1000</v>
      </c>
      <c r="N316">
        <v>184</v>
      </c>
      <c r="O316">
        <v>186</v>
      </c>
      <c r="P316"/>
      <c r="Q316" s="6">
        <f>(SUM(Pcfu4[[#This Row],[R1]:[R3]]))/(Pcfu4[[#This Row],[No. Reps]]*0.025)*Pcfu4[[#This Row],[Best DF]]</f>
        <v>7400000</v>
      </c>
      <c r="R316" s="1">
        <f>_xlfn.STDEV.S(Pcfu4[[#This Row],[R1]:[R3]])/0.025*Pcfu4[[#This Row],[Best DF]]</f>
        <v>56568.542494923808</v>
      </c>
      <c r="S316" s="6">
        <f>Pcfu4[[#This Row],[CFU/mL]]*Pcfu4[[#This Row],[mL]]/Pcfu4[[#This Row],[grams]]</f>
        <v>140600000</v>
      </c>
      <c r="T316" s="1">
        <f>Pcfu4[[#This Row],[SD CFU/mL]]*Pcfu4[[#This Row],[mL]]/Pcfu4[[#This Row],[grams]]</f>
        <v>1074802.3074035523</v>
      </c>
      <c r="U316" s="7" t="e">
        <f>_xlfn.STDEV.S(Pcfu43[[#This Row],[R1]:[R3]])/AVERAGE(Pcfu43[[#This Row],[R1]:[R3]])</f>
        <v>#DIV/0!</v>
      </c>
      <c r="V316" s="96"/>
      <c r="W316" s="7"/>
    </row>
    <row r="317" spans="1:24" x14ac:dyDescent="0.15">
      <c r="A317" t="s">
        <v>285</v>
      </c>
      <c r="B317" t="s">
        <v>357</v>
      </c>
      <c r="D317" t="s">
        <v>26</v>
      </c>
      <c r="E317" s="3">
        <v>2</v>
      </c>
      <c r="G317">
        <v>0.1</v>
      </c>
      <c r="H317" s="5">
        <f>19*Pcfu4[[#This Row],[grams]]</f>
        <v>1.9000000000000001</v>
      </c>
      <c r="I317" s="3" t="s">
        <v>170</v>
      </c>
      <c r="J317" s="59">
        <v>44909</v>
      </c>
      <c r="L317" s="59" t="e" cm="1">
        <f t="array" ref="L317">INDEX($J$4:J1407, MATCH(1,(A317=$A$4:A1405)*(C317=$C$4:C1405)*("Y"=$K$4:K1407),0))</f>
        <v>#N/A</v>
      </c>
      <c r="M317" s="1">
        <v>100000</v>
      </c>
      <c r="N317">
        <v>66</v>
      </c>
      <c r="O317">
        <v>59</v>
      </c>
      <c r="P317"/>
      <c r="Q317" s="6">
        <f>(SUM(Pcfu4[[#This Row],[R1]:[R3]]))/(Pcfu4[[#This Row],[No. Reps]]*0.025)*Pcfu4[[#This Row],[Best DF]]</f>
        <v>250000000</v>
      </c>
      <c r="R317" s="1">
        <f>_xlfn.STDEV.S(Pcfu4[[#This Row],[R1]:[R3]])/0.025*Pcfu4[[#This Row],[Best DF]]</f>
        <v>19798989.873223327</v>
      </c>
      <c r="S317" s="6">
        <f>Pcfu4[[#This Row],[CFU/mL]]*Pcfu4[[#This Row],[mL]]/Pcfu4[[#This Row],[grams]]</f>
        <v>4750000000</v>
      </c>
      <c r="T317" s="1">
        <f>Pcfu4[[#This Row],[SD CFU/mL]]*Pcfu4[[#This Row],[mL]]/Pcfu4[[#This Row],[grams]]</f>
        <v>376180807.59124321</v>
      </c>
      <c r="U317" s="7" t="e">
        <f>_xlfn.STDEV.S(Pcfu43[[#This Row],[R1]:[R3]])/AVERAGE(Pcfu43[[#This Row],[R1]:[R3]])</f>
        <v>#DIV/0!</v>
      </c>
      <c r="V317" s="96"/>
      <c r="W317" s="7"/>
      <c r="X317" t="s">
        <v>360</v>
      </c>
    </row>
    <row r="318" spans="1:24" x14ac:dyDescent="0.15">
      <c r="A318" t="s">
        <v>240</v>
      </c>
      <c r="B318" t="s">
        <v>357</v>
      </c>
      <c r="D318" t="s">
        <v>26</v>
      </c>
      <c r="E318" s="3">
        <v>2</v>
      </c>
      <c r="G318">
        <v>0.1</v>
      </c>
      <c r="H318" s="5">
        <f>19*Pcfu4[[#This Row],[grams]]</f>
        <v>1.9000000000000001</v>
      </c>
      <c r="I318" s="3" t="s">
        <v>170</v>
      </c>
      <c r="J318" s="59">
        <v>44909</v>
      </c>
      <c r="L318" s="59" t="e" cm="1">
        <f t="array" ref="L318">INDEX($J$4:J1408, MATCH(1,(A318=$A$4:A1406)*(C318=$C$4:C1406)*("Y"=$K$4:K1408),0))</f>
        <v>#N/A</v>
      </c>
      <c r="M318" s="1">
        <v>10000</v>
      </c>
      <c r="N318">
        <v>14</v>
      </c>
      <c r="O318">
        <v>8</v>
      </c>
      <c r="P318"/>
      <c r="Q318" s="6">
        <f>(SUM(Pcfu4[[#This Row],[R1]:[R3]]))/(Pcfu4[[#This Row],[No. Reps]]*0.025)*Pcfu4[[#This Row],[Best DF]]</f>
        <v>4400000</v>
      </c>
      <c r="R318" s="1">
        <f>_xlfn.STDEV.S(Pcfu4[[#This Row],[R1]:[R3]])/0.025*Pcfu4[[#This Row],[Best DF]]</f>
        <v>1697056.2748477138</v>
      </c>
      <c r="S318" s="6">
        <f>Pcfu4[[#This Row],[CFU/mL]]*Pcfu4[[#This Row],[mL]]/Pcfu4[[#This Row],[grams]]</f>
        <v>83600000</v>
      </c>
      <c r="T318" s="1">
        <f>Pcfu4[[#This Row],[SD CFU/mL]]*Pcfu4[[#This Row],[mL]]/Pcfu4[[#This Row],[grams]]</f>
        <v>32244069.222106565</v>
      </c>
      <c r="U318" s="7" t="e">
        <f>_xlfn.STDEV.S(Pcfu43[[#This Row],[R1]:[R3]])/AVERAGE(Pcfu43[[#This Row],[R1]:[R3]])</f>
        <v>#DIV/0!</v>
      </c>
      <c r="V318" s="96"/>
      <c r="W318" s="7"/>
      <c r="X318" t="s">
        <v>359</v>
      </c>
    </row>
    <row r="319" spans="1:24" x14ac:dyDescent="0.15">
      <c r="A319" t="s">
        <v>286</v>
      </c>
      <c r="B319" t="s">
        <v>357</v>
      </c>
      <c r="D319" t="s">
        <v>26</v>
      </c>
      <c r="E319" s="3">
        <v>2</v>
      </c>
      <c r="G319">
        <v>0.1</v>
      </c>
      <c r="H319" s="5">
        <f>19*Pcfu4[[#This Row],[grams]]</f>
        <v>1.9000000000000001</v>
      </c>
      <c r="I319" s="3" t="s">
        <v>170</v>
      </c>
      <c r="J319" s="59">
        <v>44909</v>
      </c>
      <c r="L319" s="59" t="e" cm="1">
        <f t="array" ref="L319">INDEX($J$4:J1409, MATCH(1,(A319=$A$4:A1407)*(C319=$C$4:C1407)*("Y"=$K$4:K1409),0))</f>
        <v>#N/A</v>
      </c>
      <c r="M319" s="1">
        <v>10000</v>
      </c>
      <c r="N319">
        <v>11</v>
      </c>
      <c r="O319">
        <v>15</v>
      </c>
      <c r="P319"/>
      <c r="Q319" s="6">
        <f>(SUM(Pcfu4[[#This Row],[R1]:[R3]]))/(Pcfu4[[#This Row],[No. Reps]]*0.025)*Pcfu4[[#This Row],[Best DF]]</f>
        <v>5200000</v>
      </c>
      <c r="R319" s="1">
        <f>_xlfn.STDEV.S(Pcfu4[[#This Row],[R1]:[R3]])/0.025*Pcfu4[[#This Row],[Best DF]]</f>
        <v>1131370.8498984762</v>
      </c>
      <c r="S319" s="6">
        <f>Pcfu4[[#This Row],[CFU/mL]]*Pcfu4[[#This Row],[mL]]/Pcfu4[[#This Row],[grams]]</f>
        <v>98800000</v>
      </c>
      <c r="T319" s="1">
        <f>Pcfu4[[#This Row],[SD CFU/mL]]*Pcfu4[[#This Row],[mL]]/Pcfu4[[#This Row],[grams]]</f>
        <v>21496046.148071047</v>
      </c>
      <c r="U319" s="7" t="e">
        <f>_xlfn.STDEV.S(Pcfu43[[#This Row],[R1]:[R3]])/AVERAGE(Pcfu43[[#This Row],[R1]:[R3]])</f>
        <v>#DIV/0!</v>
      </c>
      <c r="V319" s="96"/>
      <c r="W319" s="7"/>
    </row>
    <row r="320" spans="1:24" x14ac:dyDescent="0.15">
      <c r="A320" t="s">
        <v>287</v>
      </c>
      <c r="B320" t="s">
        <v>357</v>
      </c>
      <c r="D320" t="s">
        <v>37</v>
      </c>
      <c r="E320" s="3">
        <v>2</v>
      </c>
      <c r="G320">
        <v>0.1</v>
      </c>
      <c r="H320" s="5">
        <f>19*Pcfu4[[#This Row],[grams]]</f>
        <v>1.9000000000000001</v>
      </c>
      <c r="I320" s="3" t="s">
        <v>170</v>
      </c>
      <c r="J320" s="59">
        <v>44909</v>
      </c>
      <c r="L320" s="59" t="e" cm="1">
        <f t="array" ref="L320">INDEX($J$4:J1410, MATCH(1,(A320=$A$4:A1408)*(C320=$C$4:C1408)*("Y"=$K$4:K1410),0))</f>
        <v>#N/A</v>
      </c>
      <c r="M320" s="1">
        <v>100000</v>
      </c>
      <c r="N320">
        <v>205</v>
      </c>
      <c r="O320">
        <v>237</v>
      </c>
      <c r="P320"/>
      <c r="Q320" s="6">
        <f>(SUM(Pcfu4[[#This Row],[R1]:[R3]]))/(Pcfu4[[#This Row],[No. Reps]]*0.025)*Pcfu4[[#This Row],[Best DF]]</f>
        <v>884000000</v>
      </c>
      <c r="R320" s="1">
        <f>_xlfn.STDEV.S(Pcfu4[[#This Row],[R1]:[R3]])/0.025*Pcfu4[[#This Row],[Best DF]]</f>
        <v>90509667.991878092</v>
      </c>
      <c r="S320" s="6">
        <f>Pcfu4[[#This Row],[CFU/mL]]*Pcfu4[[#This Row],[mL]]/Pcfu4[[#This Row],[grams]]</f>
        <v>16796000000</v>
      </c>
      <c r="T320" s="1">
        <f>Pcfu4[[#This Row],[SD CFU/mL]]*Pcfu4[[#This Row],[mL]]/Pcfu4[[#This Row],[grams]]</f>
        <v>1719683691.8456836</v>
      </c>
      <c r="U320" s="7" t="e">
        <f>_xlfn.STDEV.S(Pcfu43[[#This Row],[R1]:[R3]])/AVERAGE(Pcfu43[[#This Row],[R1]:[R3]])</f>
        <v>#DIV/0!</v>
      </c>
      <c r="V320" s="96"/>
      <c r="W320" s="7"/>
      <c r="X320" t="s">
        <v>359</v>
      </c>
    </row>
    <row r="321" spans="1:24" x14ac:dyDescent="0.15">
      <c r="A321" t="s">
        <v>325</v>
      </c>
      <c r="B321" t="s">
        <v>328</v>
      </c>
      <c r="D321" t="s">
        <v>217</v>
      </c>
      <c r="E321" s="3">
        <v>2</v>
      </c>
      <c r="G321">
        <v>0.1</v>
      </c>
      <c r="H321" s="5">
        <f>19*Pcfu4[[#This Row],[grams]]</f>
        <v>1.9000000000000001</v>
      </c>
      <c r="I321" s="3" t="s">
        <v>170</v>
      </c>
      <c r="J321" s="59">
        <v>44909</v>
      </c>
      <c r="L321" s="59" t="e" cm="1">
        <f t="array" ref="L321">INDEX($J$4:J1411, MATCH(1,(A321=$A$4:A1409)*(C321=$C$4:C1409)*("Y"=$K$4:K1411),0))</f>
        <v>#N/A</v>
      </c>
      <c r="M321" s="1">
        <v>100</v>
      </c>
      <c r="N321">
        <v>57</v>
      </c>
      <c r="O321">
        <v>75</v>
      </c>
      <c r="P321"/>
      <c r="Q321" s="6">
        <f>(SUM(Pcfu4[[#This Row],[R1]:[R3]]))/(Pcfu4[[#This Row],[No. Reps]]*0.025)*Pcfu4[[#This Row],[Best DF]]</f>
        <v>264000</v>
      </c>
      <c r="R321" s="1">
        <f>_xlfn.STDEV.S(Pcfu4[[#This Row],[R1]:[R3]])/0.025*Pcfu4[[#This Row],[Best DF]]</f>
        <v>50911.688245431418</v>
      </c>
      <c r="S321" s="6">
        <f>Pcfu4[[#This Row],[CFU/mL]]*Pcfu4[[#This Row],[mL]]/Pcfu4[[#This Row],[grams]]</f>
        <v>5016000</v>
      </c>
      <c r="T321" s="1">
        <f>Pcfu4[[#This Row],[SD CFU/mL]]*Pcfu4[[#This Row],[mL]]/Pcfu4[[#This Row],[grams]]</f>
        <v>967322.07666319702</v>
      </c>
      <c r="U321" s="7" t="e">
        <f>_xlfn.STDEV.S(Pcfu43[[#This Row],[R1]:[R3]])/AVERAGE(Pcfu43[[#This Row],[R1]:[R3]])</f>
        <v>#DIV/0!</v>
      </c>
      <c r="V321" s="96"/>
      <c r="W321" s="7"/>
    </row>
    <row r="322" spans="1:24" x14ac:dyDescent="0.15">
      <c r="A322" t="s">
        <v>324</v>
      </c>
      <c r="B322" t="s">
        <v>328</v>
      </c>
      <c r="D322" t="s">
        <v>217</v>
      </c>
      <c r="E322" s="3">
        <v>2</v>
      </c>
      <c r="G322">
        <v>0.1</v>
      </c>
      <c r="H322" s="5">
        <f>19*Pcfu4[[#This Row],[grams]]</f>
        <v>1.9000000000000001</v>
      </c>
      <c r="I322" s="3" t="s">
        <v>170</v>
      </c>
      <c r="J322" s="59">
        <v>44909</v>
      </c>
      <c r="L322" s="59" t="e" cm="1">
        <f t="array" ref="L322">INDEX($J$4:J1412, MATCH(1,(A322=$A$4:A1410)*(C322=$C$4:C1410)*("Y"=$K$4:K1412),0))</f>
        <v>#N/A</v>
      </c>
      <c r="M322" s="1">
        <v>10000</v>
      </c>
      <c r="N322">
        <v>62</v>
      </c>
      <c r="O322">
        <v>63</v>
      </c>
      <c r="P322"/>
      <c r="Q322" s="6">
        <f>(SUM(Pcfu4[[#This Row],[R1]:[R3]]))/(Pcfu4[[#This Row],[No. Reps]]*0.025)*Pcfu4[[#This Row],[Best DF]]</f>
        <v>25000000</v>
      </c>
      <c r="R322" s="1">
        <f>_xlfn.STDEV.S(Pcfu4[[#This Row],[R1]:[R3]])/0.025*Pcfu4[[#This Row],[Best DF]]</f>
        <v>282842.71247461904</v>
      </c>
      <c r="S322" s="6">
        <f>Pcfu4[[#This Row],[CFU/mL]]*Pcfu4[[#This Row],[mL]]/Pcfu4[[#This Row],[grams]]</f>
        <v>475000000</v>
      </c>
      <c r="T322" s="1">
        <f>Pcfu4[[#This Row],[SD CFU/mL]]*Pcfu4[[#This Row],[mL]]/Pcfu4[[#This Row],[grams]]</f>
        <v>5374011.5370177617</v>
      </c>
      <c r="U322" s="7" t="e">
        <f>_xlfn.STDEV.S(Pcfu43[[#This Row],[R1]:[R3]])/AVERAGE(Pcfu43[[#This Row],[R1]:[R3]])</f>
        <v>#DIV/0!</v>
      </c>
      <c r="V322" s="96"/>
      <c r="W322" s="7"/>
    </row>
    <row r="323" spans="1:24" x14ac:dyDescent="0.15">
      <c r="A323" t="s">
        <v>325</v>
      </c>
      <c r="B323" t="s">
        <v>330</v>
      </c>
      <c r="D323" t="s">
        <v>217</v>
      </c>
      <c r="E323" s="3">
        <v>2</v>
      </c>
      <c r="G323">
        <v>0.1</v>
      </c>
      <c r="H323" s="5">
        <f>19*Pcfu4[[#This Row],[grams]]</f>
        <v>1.9000000000000001</v>
      </c>
      <c r="I323" s="3" t="s">
        <v>170</v>
      </c>
      <c r="J323" s="59">
        <v>44909</v>
      </c>
      <c r="L323" s="59" t="e" cm="1">
        <f t="array" ref="L323">INDEX($J$4:J1413, MATCH(1,(A323=$A$4:A1411)*(C323=$C$4:C1411)*("Y"=$K$4:K1413),0))</f>
        <v>#N/A</v>
      </c>
      <c r="M323" s="1">
        <v>100</v>
      </c>
      <c r="N323">
        <v>31</v>
      </c>
      <c r="O323">
        <v>28</v>
      </c>
      <c r="P323"/>
      <c r="Q323" s="6">
        <f>(SUM(Pcfu4[[#This Row],[R1]:[R3]]))/(Pcfu4[[#This Row],[No. Reps]]*0.025)*Pcfu4[[#This Row],[Best DF]]</f>
        <v>118000</v>
      </c>
      <c r="R323" s="1">
        <f>_xlfn.STDEV.S(Pcfu4[[#This Row],[R1]:[R3]])/0.025*Pcfu4[[#This Row],[Best DF]]</f>
        <v>8485.2813742385697</v>
      </c>
      <c r="S323" s="6">
        <f>Pcfu4[[#This Row],[CFU/mL]]*Pcfu4[[#This Row],[mL]]/Pcfu4[[#This Row],[grams]]</f>
        <v>2242000</v>
      </c>
      <c r="T323" s="1">
        <f>Pcfu4[[#This Row],[SD CFU/mL]]*Pcfu4[[#This Row],[mL]]/Pcfu4[[#This Row],[grams]]</f>
        <v>161220.34611053282</v>
      </c>
      <c r="U323" s="7" t="e">
        <f>_xlfn.STDEV.S(Pcfu43[[#This Row],[R1]:[R3]])/AVERAGE(Pcfu43[[#This Row],[R1]:[R3]])</f>
        <v>#DIV/0!</v>
      </c>
      <c r="V323" s="96"/>
      <c r="W323" s="7"/>
    </row>
    <row r="324" spans="1:24" x14ac:dyDescent="0.15">
      <c r="A324" t="s">
        <v>324</v>
      </c>
      <c r="B324" t="s">
        <v>330</v>
      </c>
      <c r="D324" t="s">
        <v>217</v>
      </c>
      <c r="E324" s="3">
        <v>2</v>
      </c>
      <c r="G324">
        <v>0.1</v>
      </c>
      <c r="H324" s="5">
        <f>19*Pcfu4[[#This Row],[grams]]</f>
        <v>1.9000000000000001</v>
      </c>
      <c r="I324" s="3" t="s">
        <v>170</v>
      </c>
      <c r="J324" s="59">
        <v>44909</v>
      </c>
      <c r="L324" s="59" t="e" cm="1">
        <f t="array" ref="L324">INDEX($J$4:J1414, MATCH(1,(A324=$A$4:A1412)*(C324=$C$4:C1412)*("Y"=$K$4:K1414),0))</f>
        <v>#N/A</v>
      </c>
      <c r="M324" s="1">
        <v>10000</v>
      </c>
      <c r="N324">
        <v>220</v>
      </c>
      <c r="O324">
        <v>200</v>
      </c>
      <c r="P324"/>
      <c r="Q324" s="6">
        <f>(SUM(Pcfu4[[#This Row],[R1]:[R3]]))/(Pcfu4[[#This Row],[No. Reps]]*0.025)*Pcfu4[[#This Row],[Best DF]]</f>
        <v>84000000</v>
      </c>
      <c r="R324" s="1">
        <f>_xlfn.STDEV.S(Pcfu4[[#This Row],[R1]:[R3]])/0.025*Pcfu4[[#This Row],[Best DF]]</f>
        <v>5656854.2494923808</v>
      </c>
      <c r="S324" s="6">
        <f>Pcfu4[[#This Row],[CFU/mL]]*Pcfu4[[#This Row],[mL]]/Pcfu4[[#This Row],[grams]]</f>
        <v>1596000000</v>
      </c>
      <c r="T324" s="1">
        <f>Pcfu4[[#This Row],[SD CFU/mL]]*Pcfu4[[#This Row],[mL]]/Pcfu4[[#This Row],[grams]]</f>
        <v>107480230.74035522</v>
      </c>
      <c r="U324" s="7" t="e">
        <f>_xlfn.STDEV.S(Pcfu43[[#This Row],[R1]:[R3]])/AVERAGE(Pcfu43[[#This Row],[R1]:[R3]])</f>
        <v>#DIV/0!</v>
      </c>
      <c r="V324" s="96"/>
      <c r="W324" s="7"/>
    </row>
    <row r="325" spans="1:24" x14ac:dyDescent="0.15">
      <c r="A325" t="s">
        <v>275</v>
      </c>
      <c r="B325" t="s">
        <v>361</v>
      </c>
      <c r="D325" t="s">
        <v>243</v>
      </c>
      <c r="E325" s="3">
        <v>2</v>
      </c>
      <c r="G325">
        <v>0.1</v>
      </c>
      <c r="H325" s="5">
        <f>19*Pcfu4[[#This Row],[grams]]</f>
        <v>1.9000000000000001</v>
      </c>
      <c r="I325" s="3" t="s">
        <v>170</v>
      </c>
      <c r="J325" s="59">
        <v>44910</v>
      </c>
      <c r="L325" s="59" t="e" cm="1">
        <f t="array" ref="L325">INDEX($J$4:J1415, MATCH(1,(A325=$A$4:A1413)*(C325=$C$4:C1413)*("Y"=$K$4:K1415),0))</f>
        <v>#N/A</v>
      </c>
      <c r="M325" s="1">
        <v>10</v>
      </c>
      <c r="N325">
        <v>27</v>
      </c>
      <c r="O325">
        <v>26</v>
      </c>
      <c r="P325"/>
      <c r="Q325" s="6">
        <f>(SUM(Pcfu4[[#This Row],[R1]:[R3]]))/(Pcfu4[[#This Row],[No. Reps]]*0.025)*Pcfu4[[#This Row],[Best DF]]</f>
        <v>10600</v>
      </c>
      <c r="R325" s="1">
        <f>_xlfn.STDEV.S(Pcfu4[[#This Row],[R1]:[R3]])/0.025*Pcfu4[[#This Row],[Best DF]]</f>
        <v>282.84271247461902</v>
      </c>
      <c r="S325" s="6">
        <f>Pcfu4[[#This Row],[CFU/mL]]*Pcfu4[[#This Row],[mL]]/Pcfu4[[#This Row],[grams]]</f>
        <v>201400</v>
      </c>
      <c r="T325" s="1">
        <f>Pcfu4[[#This Row],[SD CFU/mL]]*Pcfu4[[#This Row],[mL]]/Pcfu4[[#This Row],[grams]]</f>
        <v>5374.0115370177609</v>
      </c>
      <c r="U325" s="7" t="e">
        <f>_xlfn.STDEV.S(Pcfu43[[#This Row],[R1]:[R3]])/AVERAGE(Pcfu43[[#This Row],[R1]:[R3]])</f>
        <v>#DIV/0!</v>
      </c>
      <c r="V325" s="96"/>
      <c r="W325" s="7"/>
    </row>
    <row r="326" spans="1:24" x14ac:dyDescent="0.15">
      <c r="A326" t="s">
        <v>276</v>
      </c>
      <c r="B326" t="s">
        <v>361</v>
      </c>
      <c r="D326" t="s">
        <v>243</v>
      </c>
      <c r="E326" s="3">
        <v>2</v>
      </c>
      <c r="G326">
        <v>0.1</v>
      </c>
      <c r="H326" s="5">
        <f>19*Pcfu4[[#This Row],[grams]]</f>
        <v>1.9000000000000001</v>
      </c>
      <c r="I326" s="3" t="s">
        <v>170</v>
      </c>
      <c r="J326" s="59">
        <v>44910</v>
      </c>
      <c r="L326" s="59" t="e" cm="1">
        <f t="array" ref="L326">INDEX($J$4:J1416, MATCH(1,(A326=$A$4:A1414)*(C326=$C$4:C1414)*("Y"=$K$4:K1416),0))</f>
        <v>#N/A</v>
      </c>
      <c r="M326" s="1">
        <v>10</v>
      </c>
      <c r="N326">
        <v>20</v>
      </c>
      <c r="O326">
        <v>22</v>
      </c>
      <c r="P326"/>
      <c r="Q326" s="6">
        <f>(SUM(Pcfu4[[#This Row],[R1]:[R3]]))/(Pcfu4[[#This Row],[No. Reps]]*0.025)*Pcfu4[[#This Row],[Best DF]]</f>
        <v>8400</v>
      </c>
      <c r="R326" s="1">
        <f>_xlfn.STDEV.S(Pcfu4[[#This Row],[R1]:[R3]])/0.025*Pcfu4[[#This Row],[Best DF]]</f>
        <v>565.68542494923804</v>
      </c>
      <c r="S326" s="6">
        <f>Pcfu4[[#This Row],[CFU/mL]]*Pcfu4[[#This Row],[mL]]/Pcfu4[[#This Row],[grams]]</f>
        <v>159600</v>
      </c>
      <c r="T326" s="1">
        <f>Pcfu4[[#This Row],[SD CFU/mL]]*Pcfu4[[#This Row],[mL]]/Pcfu4[[#This Row],[grams]]</f>
        <v>10748.023074035522</v>
      </c>
      <c r="U326" s="7" t="e">
        <f>_xlfn.STDEV.S(Pcfu43[[#This Row],[R1]:[R3]])/AVERAGE(Pcfu43[[#This Row],[R1]:[R3]])</f>
        <v>#DIV/0!</v>
      </c>
      <c r="V326" s="96"/>
      <c r="W326" s="7"/>
    </row>
    <row r="327" spans="1:24" x14ac:dyDescent="0.15">
      <c r="A327" t="s">
        <v>273</v>
      </c>
      <c r="B327" t="s">
        <v>361</v>
      </c>
      <c r="D327" t="s">
        <v>246</v>
      </c>
      <c r="E327" s="3">
        <v>2</v>
      </c>
      <c r="G327">
        <v>0.1</v>
      </c>
      <c r="H327" s="5">
        <f>19*Pcfu4[[#This Row],[grams]]</f>
        <v>1.9000000000000001</v>
      </c>
      <c r="I327" s="3" t="s">
        <v>170</v>
      </c>
      <c r="J327" s="59">
        <v>44910</v>
      </c>
      <c r="L327" s="59" t="e" cm="1">
        <f t="array" ref="L327">INDEX($J$4:J1417, MATCH(1,(A327=$A$4:A1415)*(C327=$C$4:C1415)*("Y"=$K$4:K1417),0))</f>
        <v>#N/A</v>
      </c>
      <c r="M327" s="1">
        <v>100</v>
      </c>
      <c r="N327">
        <v>171</v>
      </c>
      <c r="O327">
        <v>163</v>
      </c>
      <c r="P327"/>
      <c r="Q327" s="6">
        <f>(SUM(Pcfu4[[#This Row],[R1]:[R3]]))/(Pcfu4[[#This Row],[No. Reps]]*0.025)*Pcfu4[[#This Row],[Best DF]]</f>
        <v>668000</v>
      </c>
      <c r="R327" s="1">
        <f>_xlfn.STDEV.S(Pcfu4[[#This Row],[R1]:[R3]])/0.025*Pcfu4[[#This Row],[Best DF]]</f>
        <v>22627.416997969522</v>
      </c>
      <c r="S327" s="6">
        <f>Pcfu4[[#This Row],[CFU/mL]]*Pcfu4[[#This Row],[mL]]/Pcfu4[[#This Row],[grams]]</f>
        <v>12692000</v>
      </c>
      <c r="T327" s="1">
        <f>Pcfu4[[#This Row],[SD CFU/mL]]*Pcfu4[[#This Row],[mL]]/Pcfu4[[#This Row],[grams]]</f>
        <v>429920.9229614209</v>
      </c>
      <c r="U327" s="7" t="e">
        <f>_xlfn.STDEV.S(Pcfu43[[#This Row],[R1]:[R3]])/AVERAGE(Pcfu43[[#This Row],[R1]:[R3]])</f>
        <v>#DIV/0!</v>
      </c>
      <c r="V327" s="96"/>
      <c r="W327" s="7"/>
    </row>
    <row r="328" spans="1:24" x14ac:dyDescent="0.15">
      <c r="A328" t="s">
        <v>274</v>
      </c>
      <c r="B328" t="s">
        <v>361</v>
      </c>
      <c r="D328" t="s">
        <v>246</v>
      </c>
      <c r="E328" s="3">
        <v>2</v>
      </c>
      <c r="G328">
        <v>0.1</v>
      </c>
      <c r="H328" s="5">
        <f>19*Pcfu4[[#This Row],[grams]]</f>
        <v>1.9000000000000001</v>
      </c>
      <c r="I328" s="3" t="s">
        <v>170</v>
      </c>
      <c r="J328" s="59">
        <v>44910</v>
      </c>
      <c r="L328" s="59" t="e" cm="1">
        <f t="array" ref="L328">INDEX($J$4:J1418, MATCH(1,(A328=$A$4:A1416)*(C328=$C$4:C1416)*("Y"=$K$4:K1418),0))</f>
        <v>#N/A</v>
      </c>
      <c r="M328" s="1">
        <v>100</v>
      </c>
      <c r="N328">
        <v>39</v>
      </c>
      <c r="O328">
        <v>50</v>
      </c>
      <c r="P328"/>
      <c r="Q328" s="6">
        <f>(SUM(Pcfu4[[#This Row],[R1]:[R3]]))/(Pcfu4[[#This Row],[No. Reps]]*0.025)*Pcfu4[[#This Row],[Best DF]]</f>
        <v>178000</v>
      </c>
      <c r="R328" s="1">
        <f>_xlfn.STDEV.S(Pcfu4[[#This Row],[R1]:[R3]])/0.025*Pcfu4[[#This Row],[Best DF]]</f>
        <v>31112.698372208088</v>
      </c>
      <c r="S328" s="6">
        <f>Pcfu4[[#This Row],[CFU/mL]]*Pcfu4[[#This Row],[mL]]/Pcfu4[[#This Row],[grams]]</f>
        <v>3382000</v>
      </c>
      <c r="T328" s="1">
        <f>Pcfu4[[#This Row],[SD CFU/mL]]*Pcfu4[[#This Row],[mL]]/Pcfu4[[#This Row],[grams]]</f>
        <v>591141.26907195372</v>
      </c>
      <c r="U328" s="7" t="e">
        <f>_xlfn.STDEV.S(Pcfu43[[#This Row],[R1]:[R3]])/AVERAGE(Pcfu43[[#This Row],[R1]:[R3]])</f>
        <v>#DIV/0!</v>
      </c>
      <c r="V328" s="96"/>
      <c r="W328" s="7"/>
    </row>
    <row r="329" spans="1:24" x14ac:dyDescent="0.15">
      <c r="A329" t="s">
        <v>284</v>
      </c>
      <c r="B329" t="s">
        <v>361</v>
      </c>
      <c r="D329" t="s">
        <v>246</v>
      </c>
      <c r="E329" s="3">
        <v>2</v>
      </c>
      <c r="G329">
        <v>0.1</v>
      </c>
      <c r="H329" s="5">
        <f>19*Pcfu4[[#This Row],[grams]]</f>
        <v>1.9000000000000001</v>
      </c>
      <c r="I329" s="3" t="s">
        <v>170</v>
      </c>
      <c r="J329" s="59">
        <v>44910</v>
      </c>
      <c r="L329" s="59" t="e" cm="1">
        <f t="array" ref="L329">INDEX($J$4:J1419, MATCH(1,(A329=$A$4:A1417)*(C329=$C$4:C1417)*("Y"=$K$4:K1419),0))</f>
        <v>#N/A</v>
      </c>
      <c r="M329" s="1">
        <v>1000</v>
      </c>
      <c r="N329">
        <v>89</v>
      </c>
      <c r="O329">
        <v>63</v>
      </c>
      <c r="P329"/>
      <c r="Q329" s="6">
        <f>(SUM(Pcfu4[[#This Row],[R1]:[R3]]))/(Pcfu4[[#This Row],[No. Reps]]*0.025)*Pcfu4[[#This Row],[Best DF]]</f>
        <v>3040000</v>
      </c>
      <c r="R329" s="1">
        <f>_xlfn.STDEV.S(Pcfu4[[#This Row],[R1]:[R3]])/0.025*Pcfu4[[#This Row],[Best DF]]</f>
        <v>735391.05243400938</v>
      </c>
      <c r="S329" s="6">
        <f>Pcfu4[[#This Row],[CFU/mL]]*Pcfu4[[#This Row],[mL]]/Pcfu4[[#This Row],[grams]]</f>
        <v>57760000</v>
      </c>
      <c r="T329" s="1">
        <f>Pcfu4[[#This Row],[SD CFU/mL]]*Pcfu4[[#This Row],[mL]]/Pcfu4[[#This Row],[grams]]</f>
        <v>13972429.996246178</v>
      </c>
      <c r="U329" s="7" t="e">
        <f>_xlfn.STDEV.S(Pcfu43[[#This Row],[R1]:[R3]])/AVERAGE(Pcfu43[[#This Row],[R1]:[R3]])</f>
        <v>#DIV/0!</v>
      </c>
      <c r="V329" s="96"/>
      <c r="W329" s="7"/>
      <c r="X329" t="s">
        <v>362</v>
      </c>
    </row>
    <row r="330" spans="1:24" x14ac:dyDescent="0.15">
      <c r="A330" t="s">
        <v>283</v>
      </c>
      <c r="B330" t="s">
        <v>361</v>
      </c>
      <c r="D330" t="s">
        <v>205</v>
      </c>
      <c r="E330" s="3">
        <v>2</v>
      </c>
      <c r="G330">
        <v>0.1</v>
      </c>
      <c r="H330" s="5">
        <f>19*Pcfu4[[#This Row],[grams]]</f>
        <v>1.9000000000000001</v>
      </c>
      <c r="I330" s="3" t="s">
        <v>170</v>
      </c>
      <c r="J330" s="59">
        <v>44910</v>
      </c>
      <c r="L330" s="59" t="e" cm="1">
        <f t="array" ref="L330">INDEX($J$4:J1420, MATCH(1,(A330=$A$4:A1418)*(C330=$C$4:C1418)*("Y"=$K$4:K1420),0))</f>
        <v>#N/A</v>
      </c>
      <c r="M330" s="1">
        <v>1000</v>
      </c>
      <c r="N330">
        <v>44</v>
      </c>
      <c r="O330">
        <v>53</v>
      </c>
      <c r="P330"/>
      <c r="Q330" s="6">
        <f>(SUM(Pcfu4[[#This Row],[R1]:[R3]]))/(Pcfu4[[#This Row],[No. Reps]]*0.025)*Pcfu4[[#This Row],[Best DF]]</f>
        <v>1940000</v>
      </c>
      <c r="R330" s="1">
        <f>_xlfn.STDEV.S(Pcfu4[[#This Row],[R1]:[R3]])/0.025*Pcfu4[[#This Row],[Best DF]]</f>
        <v>254558.44122715708</v>
      </c>
      <c r="S330" s="6">
        <f>Pcfu4[[#This Row],[CFU/mL]]*Pcfu4[[#This Row],[mL]]/Pcfu4[[#This Row],[grams]]</f>
        <v>36860000</v>
      </c>
      <c r="T330" s="1">
        <f>Pcfu4[[#This Row],[SD CFU/mL]]*Pcfu4[[#This Row],[mL]]/Pcfu4[[#This Row],[grams]]</f>
        <v>4836610.3833159842</v>
      </c>
      <c r="U330" s="7" t="e">
        <f>_xlfn.STDEV.S(Pcfu43[[#This Row],[R1]:[R3]])/AVERAGE(Pcfu43[[#This Row],[R1]:[R3]])</f>
        <v>#DIV/0!</v>
      </c>
      <c r="V330" s="96"/>
      <c r="W330" s="7"/>
    </row>
    <row r="331" spans="1:24" x14ac:dyDescent="0.15">
      <c r="A331" t="s">
        <v>277</v>
      </c>
      <c r="B331" t="s">
        <v>361</v>
      </c>
      <c r="D331" t="s">
        <v>205</v>
      </c>
      <c r="E331" s="3">
        <v>2</v>
      </c>
      <c r="G331">
        <v>0.1</v>
      </c>
      <c r="H331" s="5">
        <f>19*Pcfu4[[#This Row],[grams]]</f>
        <v>1.9000000000000001</v>
      </c>
      <c r="I331" s="3" t="s">
        <v>170</v>
      </c>
      <c r="J331" s="59">
        <v>44910</v>
      </c>
      <c r="L331" s="59" t="e" cm="1">
        <f t="array" ref="L331">INDEX($J$4:J1421, MATCH(1,(A331=$A$4:A1419)*(C331=$C$4:C1419)*("Y"=$K$4:K1421),0))</f>
        <v>#N/A</v>
      </c>
      <c r="M331" s="1">
        <v>10000</v>
      </c>
      <c r="N331">
        <v>1096</v>
      </c>
      <c r="O331">
        <v>1065</v>
      </c>
      <c r="P331"/>
      <c r="Q331" s="6">
        <f>(SUM(Pcfu4[[#This Row],[R1]:[R3]]))/(Pcfu4[[#This Row],[No. Reps]]*0.025)*Pcfu4[[#This Row],[Best DF]]</f>
        <v>432200000</v>
      </c>
      <c r="R331" s="1">
        <f>_xlfn.STDEV.S(Pcfu4[[#This Row],[R1]:[R3]])/0.025*Pcfu4[[#This Row],[Best DF]]</f>
        <v>8768124.0867131893</v>
      </c>
      <c r="S331" s="6">
        <f>Pcfu4[[#This Row],[CFU/mL]]*Pcfu4[[#This Row],[mL]]/Pcfu4[[#This Row],[grams]]</f>
        <v>8211800000</v>
      </c>
      <c r="T331" s="1">
        <f>Pcfu4[[#This Row],[SD CFU/mL]]*Pcfu4[[#This Row],[mL]]/Pcfu4[[#This Row],[grams]]</f>
        <v>166594357.64755061</v>
      </c>
      <c r="U331" s="7">
        <f>_xlfn.STDEV.S(Pcfu43[[#This Row],[R1]:[R3]])/AVERAGE(Pcfu43[[#This Row],[R1]:[R3]])</f>
        <v>6.3172448457111216E-2</v>
      </c>
      <c r="V331" s="96"/>
      <c r="W331" s="7"/>
      <c r="X331" t="s">
        <v>363</v>
      </c>
    </row>
    <row r="332" spans="1:24" x14ac:dyDescent="0.15">
      <c r="A332" t="s">
        <v>280</v>
      </c>
      <c r="B332" t="s">
        <v>361</v>
      </c>
      <c r="D332" t="s">
        <v>205</v>
      </c>
      <c r="E332" s="3">
        <v>2</v>
      </c>
      <c r="G332">
        <v>0.1</v>
      </c>
      <c r="H332" s="5">
        <f>19*Pcfu4[[#This Row],[grams]]</f>
        <v>1.9000000000000001</v>
      </c>
      <c r="I332" s="3" t="s">
        <v>170</v>
      </c>
      <c r="J332" s="59">
        <v>44910</v>
      </c>
      <c r="L332" s="59" t="e" cm="1">
        <f t="array" ref="L332">INDEX($J$4:J1422, MATCH(1,(A332=$A$4:A1420)*(C332=$C$4:C1420)*("Y"=$K$4:K1422),0))</f>
        <v>#N/A</v>
      </c>
      <c r="M332" s="1">
        <v>1000</v>
      </c>
      <c r="N332">
        <v>163</v>
      </c>
      <c r="O332">
        <v>169</v>
      </c>
      <c r="P332"/>
      <c r="Q332" s="6">
        <f>(SUM(Pcfu4[[#This Row],[R1]:[R3]]))/(Pcfu4[[#This Row],[No. Reps]]*0.025)*Pcfu4[[#This Row],[Best DF]]</f>
        <v>6640000</v>
      </c>
      <c r="R332" s="1">
        <f>_xlfn.STDEV.S(Pcfu4[[#This Row],[R1]:[R3]])/0.025*Pcfu4[[#This Row],[Best DF]]</f>
        <v>169705.62748477139</v>
      </c>
      <c r="S332" s="6">
        <f>Pcfu4[[#This Row],[CFU/mL]]*Pcfu4[[#This Row],[mL]]/Pcfu4[[#This Row],[grams]]</f>
        <v>126160000</v>
      </c>
      <c r="T332" s="1">
        <f>Pcfu4[[#This Row],[SD CFU/mL]]*Pcfu4[[#This Row],[mL]]/Pcfu4[[#This Row],[grams]]</f>
        <v>3224406.9222106566</v>
      </c>
      <c r="U332" s="7">
        <f>_xlfn.STDEV.S(Pcfu43[[#This Row],[R1]:[R3]])/AVERAGE(Pcfu43[[#This Row],[R1]:[R3]])</f>
        <v>0.139964256767178</v>
      </c>
      <c r="V332" s="96"/>
      <c r="W332" s="7"/>
      <c r="X332" t="s">
        <v>364</v>
      </c>
    </row>
    <row r="333" spans="1:24" x14ac:dyDescent="0.15">
      <c r="A333" t="s">
        <v>281</v>
      </c>
      <c r="B333" t="s">
        <v>361</v>
      </c>
      <c r="D333" t="s">
        <v>205</v>
      </c>
      <c r="E333" s="3">
        <v>2</v>
      </c>
      <c r="G333">
        <v>0.1</v>
      </c>
      <c r="H333" s="5">
        <f>19*Pcfu4[[#This Row],[grams]]</f>
        <v>1.9000000000000001</v>
      </c>
      <c r="I333" s="3" t="s">
        <v>170</v>
      </c>
      <c r="J333" s="59">
        <v>44910</v>
      </c>
      <c r="L333" s="59" t="e" cm="1">
        <f t="array" ref="L333">INDEX($J$4:J1423, MATCH(1,(A333=$A$4:A1421)*(C333=$C$4:C1421)*("Y"=$K$4:K1423),0))</f>
        <v>#N/A</v>
      </c>
      <c r="M333" s="1">
        <v>1000</v>
      </c>
      <c r="N333">
        <v>244</v>
      </c>
      <c r="O333">
        <v>263</v>
      </c>
      <c r="P333"/>
      <c r="Q333" s="6">
        <f>(SUM(Pcfu4[[#This Row],[R1]:[R3]]))/(Pcfu4[[#This Row],[No. Reps]]*0.025)*Pcfu4[[#This Row],[Best DF]]</f>
        <v>10140000</v>
      </c>
      <c r="R333" s="1">
        <f>_xlfn.STDEV.S(Pcfu4[[#This Row],[R1]:[R3]])/0.025*Pcfu4[[#This Row],[Best DF]]</f>
        <v>537401.15370177617</v>
      </c>
      <c r="S333" s="6">
        <f>Pcfu4[[#This Row],[CFU/mL]]*Pcfu4[[#This Row],[mL]]/Pcfu4[[#This Row],[grams]]</f>
        <v>192660000</v>
      </c>
      <c r="T333" s="1">
        <f>Pcfu4[[#This Row],[SD CFU/mL]]*Pcfu4[[#This Row],[mL]]/Pcfu4[[#This Row],[grams]]</f>
        <v>10210621.920333747</v>
      </c>
      <c r="U333" s="7">
        <f>_xlfn.STDEV.S(Pcfu43[[#This Row],[R1]:[R3]])/AVERAGE(Pcfu43[[#This Row],[R1]:[R3]])</f>
        <v>3.1224989991991994E-2</v>
      </c>
      <c r="V333" s="96"/>
      <c r="W333" s="7"/>
      <c r="X333" t="s">
        <v>365</v>
      </c>
    </row>
    <row r="334" spans="1:24" x14ac:dyDescent="0.15">
      <c r="A334" t="s">
        <v>285</v>
      </c>
      <c r="B334" t="s">
        <v>361</v>
      </c>
      <c r="D334" t="s">
        <v>26</v>
      </c>
      <c r="E334" s="3">
        <v>2</v>
      </c>
      <c r="G334">
        <v>0.1</v>
      </c>
      <c r="H334" s="5">
        <f>19*Pcfu4[[#This Row],[grams]]</f>
        <v>1.9000000000000001</v>
      </c>
      <c r="I334" s="3" t="s">
        <v>170</v>
      </c>
      <c r="J334" s="59">
        <v>44910</v>
      </c>
      <c r="L334" s="59" t="e" cm="1">
        <f t="array" ref="L334">INDEX($J$4:J1424, MATCH(1,(A334=$A$4:A1422)*(C334=$C$4:C1422)*("Y"=$K$4:K1424),0))</f>
        <v>#N/A</v>
      </c>
      <c r="M334" s="1">
        <v>10000</v>
      </c>
      <c r="N334">
        <v>44</v>
      </c>
      <c r="O334">
        <v>42</v>
      </c>
      <c r="P334"/>
      <c r="Q334" s="6">
        <f>(SUM(Pcfu4[[#This Row],[R1]:[R3]]))/(Pcfu4[[#This Row],[No. Reps]]*0.025)*Pcfu4[[#This Row],[Best DF]]</f>
        <v>17200000</v>
      </c>
      <c r="R334" s="1">
        <f>_xlfn.STDEV.S(Pcfu4[[#This Row],[R1]:[R3]])/0.025*Pcfu4[[#This Row],[Best DF]]</f>
        <v>565685.42494923808</v>
      </c>
      <c r="S334" s="6">
        <f>Pcfu4[[#This Row],[CFU/mL]]*Pcfu4[[#This Row],[mL]]/Pcfu4[[#This Row],[grams]]</f>
        <v>326800000</v>
      </c>
      <c r="T334" s="1">
        <f>Pcfu4[[#This Row],[SD CFU/mL]]*Pcfu4[[#This Row],[mL]]/Pcfu4[[#This Row],[grams]]</f>
        <v>10748023.074035523</v>
      </c>
      <c r="U334" s="7">
        <f>_xlfn.STDEV.S(Pcfu43[[#This Row],[R1]:[R3]])/AVERAGE(Pcfu43[[#This Row],[R1]:[R3]])</f>
        <v>2.3255813953488372E-2</v>
      </c>
      <c r="V334" s="96"/>
      <c r="W334" s="7"/>
      <c r="X334" t="s">
        <v>366</v>
      </c>
    </row>
    <row r="335" spans="1:24" x14ac:dyDescent="0.15">
      <c r="A335" t="s">
        <v>240</v>
      </c>
      <c r="B335" t="s">
        <v>361</v>
      </c>
      <c r="D335" t="s">
        <v>26</v>
      </c>
      <c r="E335" s="3">
        <v>2</v>
      </c>
      <c r="G335">
        <v>0.1</v>
      </c>
      <c r="H335" s="5">
        <f>19*Pcfu4[[#This Row],[grams]]</f>
        <v>1.9000000000000001</v>
      </c>
      <c r="I335" s="3" t="s">
        <v>170</v>
      </c>
      <c r="J335" s="59">
        <v>44910</v>
      </c>
      <c r="L335" s="59" t="e" cm="1">
        <f t="array" ref="L335">INDEX($J$4:J1425, MATCH(1,(A335=$A$4:A1423)*(C335=$C$4:C1423)*("Y"=$K$4:K1425),0))</f>
        <v>#N/A</v>
      </c>
      <c r="M335" s="1">
        <v>10000</v>
      </c>
      <c r="N335">
        <v>14</v>
      </c>
      <c r="O335">
        <v>21</v>
      </c>
      <c r="P335"/>
      <c r="Q335" s="6">
        <f>(SUM(Pcfu4[[#This Row],[R1]:[R3]]))/(Pcfu4[[#This Row],[No. Reps]]*0.025)*Pcfu4[[#This Row],[Best DF]]</f>
        <v>7000000</v>
      </c>
      <c r="R335" s="1">
        <f>_xlfn.STDEV.S(Pcfu4[[#This Row],[R1]:[R3]])/0.025*Pcfu4[[#This Row],[Best DF]]</f>
        <v>1979898.9873223328</v>
      </c>
      <c r="S335" s="6">
        <f>Pcfu4[[#This Row],[CFU/mL]]*Pcfu4[[#This Row],[mL]]/Pcfu4[[#This Row],[grams]]</f>
        <v>133000000.00000001</v>
      </c>
      <c r="T335" s="1">
        <f>Pcfu4[[#This Row],[SD CFU/mL]]*Pcfu4[[#This Row],[mL]]/Pcfu4[[#This Row],[grams]]</f>
        <v>37618080.759124324</v>
      </c>
      <c r="U335" s="7">
        <f>_xlfn.STDEV.S(Pcfu43[[#This Row],[R1]:[R3]])/AVERAGE(Pcfu43[[#This Row],[R1]:[R3]])</f>
        <v>2.8531511127198088E-2</v>
      </c>
      <c r="V335" s="96"/>
      <c r="W335" s="7"/>
    </row>
    <row r="336" spans="1:24" x14ac:dyDescent="0.15">
      <c r="A336" t="s">
        <v>286</v>
      </c>
      <c r="B336" t="s">
        <v>361</v>
      </c>
      <c r="D336" t="s">
        <v>26</v>
      </c>
      <c r="E336" s="3">
        <v>2</v>
      </c>
      <c r="G336">
        <v>0.1</v>
      </c>
      <c r="H336" s="5">
        <f>19*Pcfu4[[#This Row],[grams]]</f>
        <v>1.9000000000000001</v>
      </c>
      <c r="I336" s="3" t="s">
        <v>170</v>
      </c>
      <c r="J336" s="59">
        <v>44910</v>
      </c>
      <c r="L336" s="59" t="e" cm="1">
        <f t="array" ref="L336">INDEX($J$4:J1426, MATCH(1,(A336=$A$4:A1424)*(C336=$C$4:C1424)*("Y"=$K$4:K1426),0))</f>
        <v>#N/A</v>
      </c>
      <c r="M336" s="1">
        <v>10000</v>
      </c>
      <c r="N336">
        <v>120</v>
      </c>
      <c r="O336">
        <v>137</v>
      </c>
      <c r="P336"/>
      <c r="Q336" s="6">
        <f>(SUM(Pcfu4[[#This Row],[R1]:[R3]]))/(Pcfu4[[#This Row],[No. Reps]]*0.025)*Pcfu4[[#This Row],[Best DF]]</f>
        <v>51400000</v>
      </c>
      <c r="R336" s="1">
        <f>_xlfn.STDEV.S(Pcfu4[[#This Row],[R1]:[R3]])/0.025*Pcfu4[[#This Row],[Best DF]]</f>
        <v>4808326.1120685227</v>
      </c>
      <c r="S336" s="6">
        <f>Pcfu4[[#This Row],[CFU/mL]]*Pcfu4[[#This Row],[mL]]/Pcfu4[[#This Row],[grams]]</f>
        <v>976600000</v>
      </c>
      <c r="T336" s="1">
        <f>Pcfu4[[#This Row],[SD CFU/mL]]*Pcfu4[[#This Row],[mL]]/Pcfu4[[#This Row],[grams]]</f>
        <v>91358196.129301935</v>
      </c>
      <c r="U336" s="7">
        <f>_xlfn.STDEV.S(Pcfu43[[#This Row],[R1]:[R3]])/AVERAGE(Pcfu43[[#This Row],[R1]:[R3]])</f>
        <v>6.5050045834087813E-2</v>
      </c>
      <c r="V336" s="96"/>
      <c r="W336" s="7"/>
    </row>
    <row r="337" spans="1:24" x14ac:dyDescent="0.15">
      <c r="A337" t="s">
        <v>282</v>
      </c>
      <c r="B337" t="s">
        <v>361</v>
      </c>
      <c r="D337" t="s">
        <v>26</v>
      </c>
      <c r="E337" s="3">
        <v>2</v>
      </c>
      <c r="G337">
        <v>0.1</v>
      </c>
      <c r="H337" s="5">
        <f>19*Pcfu4[[#This Row],[grams]]</f>
        <v>1.9000000000000001</v>
      </c>
      <c r="I337" s="3" t="s">
        <v>170</v>
      </c>
      <c r="J337" s="59">
        <v>44910</v>
      </c>
      <c r="L337" s="59" t="e" cm="1">
        <f t="array" ref="L337">INDEX($J$4:J1427, MATCH(1,(A337=$A$4:A1425)*(C337=$C$4:C1425)*("Y"=$K$4:K1427),0))</f>
        <v>#N/A</v>
      </c>
      <c r="M337" s="1">
        <v>10000</v>
      </c>
      <c r="N337">
        <v>20</v>
      </c>
      <c r="O337">
        <v>18</v>
      </c>
      <c r="P337"/>
      <c r="Q337" s="6">
        <f>(SUM(Pcfu4[[#This Row],[R1]:[R3]]))/(Pcfu4[[#This Row],[No. Reps]]*0.025)*Pcfu4[[#This Row],[Best DF]]</f>
        <v>7600000</v>
      </c>
      <c r="R337" s="1">
        <f>_xlfn.STDEV.S(Pcfu4[[#This Row],[R1]:[R3]])/0.025*Pcfu4[[#This Row],[Best DF]]</f>
        <v>565685.42494923808</v>
      </c>
      <c r="S337" s="6">
        <f>Pcfu4[[#This Row],[CFU/mL]]*Pcfu4[[#This Row],[mL]]/Pcfu4[[#This Row],[grams]]</f>
        <v>144400000</v>
      </c>
      <c r="T337" s="1">
        <f>Pcfu4[[#This Row],[SD CFU/mL]]*Pcfu4[[#This Row],[mL]]/Pcfu4[[#This Row],[grams]]</f>
        <v>10748023.074035523</v>
      </c>
      <c r="U337" s="7">
        <f>_xlfn.STDEV.S(Pcfu43[[#This Row],[R1]:[R3]])/AVERAGE(Pcfu43[[#This Row],[R1]:[R3]])</f>
        <v>2.6488876849455723E-2</v>
      </c>
      <c r="V337" s="96"/>
      <c r="W337" s="7"/>
    </row>
    <row r="338" spans="1:24" x14ac:dyDescent="0.15">
      <c r="A338" t="s">
        <v>287</v>
      </c>
      <c r="B338" t="s">
        <v>361</v>
      </c>
      <c r="D338" t="s">
        <v>37</v>
      </c>
      <c r="E338" s="3">
        <v>2</v>
      </c>
      <c r="G338">
        <v>0.1</v>
      </c>
      <c r="H338" s="5">
        <f>19*Pcfu4[[#This Row],[grams]]</f>
        <v>1.9000000000000001</v>
      </c>
      <c r="I338" s="3" t="s">
        <v>170</v>
      </c>
      <c r="J338" s="59">
        <v>44910</v>
      </c>
      <c r="L338" s="59" t="e" cm="1">
        <f t="array" ref="L338">INDEX($J$4:J1428, MATCH(1,(A338=$A$4:A1426)*(C338=$C$4:C1426)*("Y"=$K$4:K1428),0))</f>
        <v>#N/A</v>
      </c>
      <c r="M338" s="1">
        <v>100000</v>
      </c>
      <c r="N338">
        <v>31</v>
      </c>
      <c r="O338">
        <v>61</v>
      </c>
      <c r="P338"/>
      <c r="Q338" s="6">
        <f>(SUM(Pcfu4[[#This Row],[R1]:[R3]]))/(Pcfu4[[#This Row],[No. Reps]]*0.025)*Pcfu4[[#This Row],[Best DF]]</f>
        <v>184000000</v>
      </c>
      <c r="R338" s="1">
        <f>_xlfn.STDEV.S(Pcfu4[[#This Row],[R1]:[R3]])/0.025*Pcfu4[[#This Row],[Best DF]]</f>
        <v>84852813.7423857</v>
      </c>
      <c r="S338" s="6">
        <f>Pcfu4[[#This Row],[CFU/mL]]*Pcfu4[[#This Row],[mL]]/Pcfu4[[#This Row],[grams]]</f>
        <v>3496000000</v>
      </c>
      <c r="T338" s="1">
        <f>Pcfu4[[#This Row],[SD CFU/mL]]*Pcfu4[[#This Row],[mL]]/Pcfu4[[#This Row],[grams]]</f>
        <v>1612203461.1053283</v>
      </c>
      <c r="U338" s="7">
        <f>_xlfn.STDEV.S(Pcfu43[[#This Row],[R1]:[R3]])/AVERAGE(Pcfu43[[#This Row],[R1]:[R3]])</f>
        <v>0.14240006242195885</v>
      </c>
      <c r="V338" s="96"/>
      <c r="W338" s="7"/>
      <c r="X338" t="s">
        <v>362</v>
      </c>
    </row>
    <row r="339" spans="1:24" x14ac:dyDescent="0.15">
      <c r="A339" t="s">
        <v>276</v>
      </c>
      <c r="B339" t="s">
        <v>367</v>
      </c>
      <c r="D339" t="s">
        <v>205</v>
      </c>
      <c r="E339" s="3">
        <v>2</v>
      </c>
      <c r="G339">
        <v>0.1</v>
      </c>
      <c r="H339" s="5">
        <f>19*Pcfu4[[#This Row],[grams]]</f>
        <v>1.9000000000000001</v>
      </c>
      <c r="I339" s="3" t="s">
        <v>170</v>
      </c>
      <c r="J339" s="59">
        <v>44911</v>
      </c>
      <c r="L339" s="59" t="e" cm="1">
        <f t="array" ref="L339">INDEX($J$4:J1429, MATCH(1,(A339=$A$4:A1427)*(C339=$C$4:C1427)*("Y"=$K$4:K1429),0))</f>
        <v>#N/A</v>
      </c>
      <c r="M339" s="1">
        <v>10000</v>
      </c>
      <c r="N339">
        <v>635</v>
      </c>
      <c r="O339">
        <v>607</v>
      </c>
      <c r="P339"/>
      <c r="Q339" s="6">
        <f>(SUM(Pcfu4[[#This Row],[R1]:[R3]]))/(Pcfu4[[#This Row],[No. Reps]]*0.025)*Pcfu4[[#This Row],[Best DF]]</f>
        <v>248400000</v>
      </c>
      <c r="R339" s="1">
        <f>_xlfn.STDEV.S(Pcfu4[[#This Row],[R1]:[R3]])/0.025*Pcfu4[[#This Row],[Best DF]]</f>
        <v>7919595.9492893312</v>
      </c>
      <c r="S339" s="6">
        <f>Pcfu4[[#This Row],[CFU/mL]]*Pcfu4[[#This Row],[mL]]/Pcfu4[[#This Row],[grams]]</f>
        <v>4719600000</v>
      </c>
      <c r="T339" s="1">
        <f>Pcfu4[[#This Row],[SD CFU/mL]]*Pcfu4[[#This Row],[mL]]/Pcfu4[[#This Row],[grams]]</f>
        <v>150472323.03649729</v>
      </c>
      <c r="U339" s="7">
        <f>_xlfn.STDEV.S(Pcfu43[[#This Row],[R1]:[R3]])/AVERAGE(Pcfu43[[#This Row],[R1]:[R3]])</f>
        <v>0.13141437075946194</v>
      </c>
      <c r="V339" s="96"/>
      <c r="W339" s="7"/>
    </row>
    <row r="340" spans="1:24" x14ac:dyDescent="0.15">
      <c r="A340" t="s">
        <v>273</v>
      </c>
      <c r="B340" t="s">
        <v>367</v>
      </c>
      <c r="D340" t="s">
        <v>26</v>
      </c>
      <c r="E340" s="3">
        <v>2</v>
      </c>
      <c r="G340">
        <v>0.1</v>
      </c>
      <c r="H340" s="5">
        <f>19*Pcfu4[[#This Row],[grams]]</f>
        <v>1.9000000000000001</v>
      </c>
      <c r="I340" s="3" t="s">
        <v>170</v>
      </c>
      <c r="J340" s="59">
        <v>44911</v>
      </c>
      <c r="L340" s="59" t="e" cm="1">
        <f t="array" ref="L340">INDEX($J$4:J1430, MATCH(1,(A340=$A$4:A1428)*(C340=$C$4:C1428)*("Y"=$K$4:K1430),0))</f>
        <v>#N/A</v>
      </c>
      <c r="M340" s="1">
        <v>100000</v>
      </c>
      <c r="N340">
        <v>380</v>
      </c>
      <c r="O340">
        <v>397</v>
      </c>
      <c r="P340"/>
      <c r="Q340" s="6">
        <f>(SUM(Pcfu4[[#This Row],[R1]:[R3]]))/(Pcfu4[[#This Row],[No. Reps]]*0.025)*Pcfu4[[#This Row],[Best DF]]</f>
        <v>1554000000</v>
      </c>
      <c r="R340" s="1">
        <f>_xlfn.STDEV.S(Pcfu4[[#This Row],[R1]:[R3]])/0.025*Pcfu4[[#This Row],[Best DF]]</f>
        <v>48083261.120685227</v>
      </c>
      <c r="S340" s="6">
        <f>Pcfu4[[#This Row],[CFU/mL]]*Pcfu4[[#This Row],[mL]]/Pcfu4[[#This Row],[grams]]</f>
        <v>29526000000</v>
      </c>
      <c r="T340" s="1">
        <f>Pcfu4[[#This Row],[SD CFU/mL]]*Pcfu4[[#This Row],[mL]]/Pcfu4[[#This Row],[grams]]</f>
        <v>913581961.29301929</v>
      </c>
      <c r="U340" s="7">
        <f>_xlfn.STDEV.S(Pcfu43[[#This Row],[R1]:[R3]])/AVERAGE(Pcfu43[[#This Row],[R1]:[R3]])</f>
        <v>0.21706765615111495</v>
      </c>
      <c r="V340" s="96"/>
      <c r="W340" s="7"/>
    </row>
    <row r="341" spans="1:24" x14ac:dyDescent="0.15">
      <c r="A341" t="s">
        <v>274</v>
      </c>
      <c r="B341" t="s">
        <v>367</v>
      </c>
      <c r="D341" t="s">
        <v>26</v>
      </c>
      <c r="E341" s="3">
        <v>2</v>
      </c>
      <c r="G341">
        <v>0.1</v>
      </c>
      <c r="H341" s="5">
        <f>19*Pcfu4[[#This Row],[grams]]</f>
        <v>1.9000000000000001</v>
      </c>
      <c r="I341" s="3" t="s">
        <v>170</v>
      </c>
      <c r="J341" s="59">
        <v>44911</v>
      </c>
      <c r="L341" s="59" t="e" cm="1">
        <f t="array" ref="L341">INDEX($J$4:J1431, MATCH(1,(A341=$A$4:A1429)*(C341=$C$4:C1429)*("Y"=$K$4:K1431),0))</f>
        <v>#N/A</v>
      </c>
      <c r="M341" s="1">
        <v>100000</v>
      </c>
      <c r="N341">
        <v>70</v>
      </c>
      <c r="O341">
        <v>88</v>
      </c>
      <c r="P341"/>
      <c r="Q341" s="6">
        <f>(SUM(Pcfu4[[#This Row],[R1]:[R3]]))/(Pcfu4[[#This Row],[No. Reps]]*0.025)*Pcfu4[[#This Row],[Best DF]]</f>
        <v>316000000</v>
      </c>
      <c r="R341" s="1">
        <f>_xlfn.STDEV.S(Pcfu4[[#This Row],[R1]:[R3]])/0.025*Pcfu4[[#This Row],[Best DF]]</f>
        <v>50911688.245431416</v>
      </c>
      <c r="S341" s="6">
        <f>Pcfu4[[#This Row],[CFU/mL]]*Pcfu4[[#This Row],[mL]]/Pcfu4[[#This Row],[grams]]</f>
        <v>6004000000</v>
      </c>
      <c r="T341" s="1">
        <f>Pcfu4[[#This Row],[SD CFU/mL]]*Pcfu4[[#This Row],[mL]]/Pcfu4[[#This Row],[grams]]</f>
        <v>967322076.66319692</v>
      </c>
      <c r="U341" s="7">
        <f>_xlfn.STDEV.S(Pcfu43[[#This Row],[R1]:[R3]])/AVERAGE(Pcfu43[[#This Row],[R1]:[R3]])</f>
        <v>4.6812183988348036E-2</v>
      </c>
      <c r="V341" s="96"/>
      <c r="W341" s="7"/>
    </row>
    <row r="342" spans="1:24" x14ac:dyDescent="0.15">
      <c r="A342" t="s">
        <v>275</v>
      </c>
      <c r="B342" t="s">
        <v>367</v>
      </c>
      <c r="D342" t="s">
        <v>37</v>
      </c>
      <c r="E342" s="3">
        <v>2</v>
      </c>
      <c r="G342">
        <v>0.1</v>
      </c>
      <c r="H342" s="5">
        <f>19*Pcfu4[[#This Row],[grams]]</f>
        <v>1.9000000000000001</v>
      </c>
      <c r="I342" s="3" t="s">
        <v>170</v>
      </c>
      <c r="J342" s="59">
        <v>44911</v>
      </c>
      <c r="L342" s="59" t="e" cm="1">
        <f t="array" ref="L342">INDEX($J$4:J1432, MATCH(1,(A342=$A$4:A1430)*(C342=$C$4:C1430)*("Y"=$K$4:K1432),0))</f>
        <v>#N/A</v>
      </c>
      <c r="M342" s="1">
        <v>1000000</v>
      </c>
      <c r="N342">
        <v>49</v>
      </c>
      <c r="O342">
        <v>79</v>
      </c>
      <c r="P342"/>
      <c r="Q342" s="6">
        <f>(SUM(Pcfu4[[#This Row],[R1]:[R3]]))/(Pcfu4[[#This Row],[No. Reps]]*0.025)*Pcfu4[[#This Row],[Best DF]]</f>
        <v>2560000000</v>
      </c>
      <c r="R342" s="1">
        <f>_xlfn.STDEV.S(Pcfu4[[#This Row],[R1]:[R3]])/0.025*Pcfu4[[#This Row],[Best DF]]</f>
        <v>848528137.42385709</v>
      </c>
      <c r="S342" s="6">
        <f>Pcfu4[[#This Row],[CFU/mL]]*Pcfu4[[#This Row],[mL]]/Pcfu4[[#This Row],[grams]]</f>
        <v>48640000000</v>
      </c>
      <c r="T342" s="1">
        <f>Pcfu4[[#This Row],[SD CFU/mL]]*Pcfu4[[#This Row],[mL]]/Pcfu4[[#This Row],[grams]]</f>
        <v>16122034611.053286</v>
      </c>
      <c r="U342" s="7">
        <f>_xlfn.STDEV.S(Pcfu43[[#This Row],[R1]:[R3]])/AVERAGE(Pcfu43[[#This Row],[R1]:[R3]])</f>
        <v>7.5815223950576605E-2</v>
      </c>
      <c r="V342" s="96"/>
      <c r="W342" s="7"/>
    </row>
    <row r="343" spans="1:24" x14ac:dyDescent="0.15">
      <c r="A343" t="s">
        <v>368</v>
      </c>
      <c r="B343" t="s">
        <v>367</v>
      </c>
      <c r="D343" t="s">
        <v>37</v>
      </c>
      <c r="E343" s="3">
        <v>2</v>
      </c>
      <c r="G343">
        <v>0.1</v>
      </c>
      <c r="H343" s="5">
        <f>19*Pcfu4[[#This Row],[grams]]</f>
        <v>1.9000000000000001</v>
      </c>
      <c r="I343" s="3" t="s">
        <v>170</v>
      </c>
      <c r="J343" s="59">
        <v>44911</v>
      </c>
      <c r="L343" s="59" t="e" cm="1">
        <f t="array" ref="L343">INDEX($J$4:J1433, MATCH(1,(A343=$A$4:A1431)*(C343=$C$4:C1431)*("Y"=$K$4:K1433),0))</f>
        <v>#N/A</v>
      </c>
      <c r="M343" s="1">
        <v>1000000</v>
      </c>
      <c r="N343">
        <v>59</v>
      </c>
      <c r="O343">
        <v>43</v>
      </c>
      <c r="P343"/>
      <c r="Q343" s="6">
        <f>(SUM(Pcfu4[[#This Row],[R1]:[R3]]))/(Pcfu4[[#This Row],[No. Reps]]*0.025)*Pcfu4[[#This Row],[Best DF]]</f>
        <v>2040000000</v>
      </c>
      <c r="R343" s="1">
        <f>_xlfn.STDEV.S(Pcfu4[[#This Row],[R1]:[R3]])/0.025*Pcfu4[[#This Row],[Best DF]]</f>
        <v>452548339.95939046</v>
      </c>
      <c r="S343" s="6">
        <f>Pcfu4[[#This Row],[CFU/mL]]*Pcfu4[[#This Row],[mL]]/Pcfu4[[#This Row],[grams]]</f>
        <v>38760000000</v>
      </c>
      <c r="T343" s="1">
        <f>Pcfu4[[#This Row],[SD CFU/mL]]*Pcfu4[[#This Row],[mL]]/Pcfu4[[#This Row],[grams]]</f>
        <v>8598418459.2284184</v>
      </c>
      <c r="U343" s="7">
        <f>_xlfn.STDEV.S(Pcfu43[[#This Row],[R1]:[R3]])/AVERAGE(Pcfu43[[#This Row],[R1]:[R3]])</f>
        <v>0.2037706832433975</v>
      </c>
      <c r="V343" s="96"/>
      <c r="W343" s="7"/>
    </row>
    <row r="344" spans="1:24" x14ac:dyDescent="0.15">
      <c r="A344" t="s">
        <v>281</v>
      </c>
      <c r="B344" t="s">
        <v>367</v>
      </c>
      <c r="D344" t="s">
        <v>37</v>
      </c>
      <c r="E344" s="3">
        <v>2</v>
      </c>
      <c r="G344">
        <v>0.1</v>
      </c>
      <c r="H344" s="5">
        <f>19*Pcfu4[[#This Row],[grams]]</f>
        <v>1.9000000000000001</v>
      </c>
      <c r="I344" s="3" t="s">
        <v>170</v>
      </c>
      <c r="J344" s="59">
        <v>44911</v>
      </c>
      <c r="L344" s="59" t="e" cm="1">
        <f t="array" ref="L344">INDEX($J$4:J1434, MATCH(1,(A344=$A$4:A1432)*(C344=$C$4:C1432)*("Y"=$K$4:K1434),0))</f>
        <v>#N/A</v>
      </c>
      <c r="M344" s="1">
        <v>1000000</v>
      </c>
      <c r="N344">
        <v>197</v>
      </c>
      <c r="O344">
        <v>221</v>
      </c>
      <c r="P344"/>
      <c r="Q344" s="6">
        <f>(SUM(Pcfu4[[#This Row],[R1]:[R3]]))/(Pcfu4[[#This Row],[No. Reps]]*0.025)*Pcfu4[[#This Row],[Best DF]]</f>
        <v>8360000000</v>
      </c>
      <c r="R344" s="1">
        <f>_xlfn.STDEV.S(Pcfu4[[#This Row],[R1]:[R3]])/0.025*Pcfu4[[#This Row],[Best DF]]</f>
        <v>678822509.93908548</v>
      </c>
      <c r="S344" s="6">
        <f>Pcfu4[[#This Row],[CFU/mL]]*Pcfu4[[#This Row],[mL]]/Pcfu4[[#This Row],[grams]]</f>
        <v>158840000000</v>
      </c>
      <c r="T344" s="1">
        <f>Pcfu4[[#This Row],[SD CFU/mL]]*Pcfu4[[#This Row],[mL]]/Pcfu4[[#This Row],[grams]]</f>
        <v>12897627688.842625</v>
      </c>
      <c r="U344" s="7">
        <f>_xlfn.STDEV.S(Pcfu43[[#This Row],[R1]:[R3]])/AVERAGE(Pcfu43[[#This Row],[R1]:[R3]])</f>
        <v>0.32868410517886321</v>
      </c>
      <c r="V344" s="96"/>
      <c r="W344" s="7"/>
      <c r="X344" t="s">
        <v>369</v>
      </c>
    </row>
    <row r="345" spans="1:24" x14ac:dyDescent="0.15">
      <c r="A345" t="s">
        <v>283</v>
      </c>
      <c r="B345" t="s">
        <v>367</v>
      </c>
      <c r="D345" t="s">
        <v>37</v>
      </c>
      <c r="E345" s="3">
        <v>2</v>
      </c>
      <c r="G345">
        <v>0.1</v>
      </c>
      <c r="H345" s="5">
        <f>19*Pcfu4[[#This Row],[grams]]</f>
        <v>1.9000000000000001</v>
      </c>
      <c r="I345" s="3" t="s">
        <v>170</v>
      </c>
      <c r="J345" s="59">
        <v>44911</v>
      </c>
      <c r="L345" s="59" t="e" cm="1">
        <f t="array" ref="L345">INDEX($J$4:J1435, MATCH(1,(A345=$A$4:A1433)*(C345=$C$4:C1433)*("Y"=$K$4:K1435),0))</f>
        <v>#N/A</v>
      </c>
      <c r="M345" s="1">
        <v>1000000</v>
      </c>
      <c r="N345">
        <v>87</v>
      </c>
      <c r="O345">
        <v>94</v>
      </c>
      <c r="P345"/>
      <c r="Q345" s="6">
        <f>(SUM(Pcfu4[[#This Row],[R1]:[R3]]))/(Pcfu4[[#This Row],[No. Reps]]*0.025)*Pcfu4[[#This Row],[Best DF]]</f>
        <v>3620000000</v>
      </c>
      <c r="R345" s="1">
        <f>_xlfn.STDEV.S(Pcfu4[[#This Row],[R1]:[R3]])/0.025*Pcfu4[[#This Row],[Best DF]]</f>
        <v>197989898.73223329</v>
      </c>
      <c r="S345" s="6">
        <f>Pcfu4[[#This Row],[CFU/mL]]*Pcfu4[[#This Row],[mL]]/Pcfu4[[#This Row],[grams]]</f>
        <v>68780000000</v>
      </c>
      <c r="T345" s="1">
        <f>Pcfu4[[#This Row],[SD CFU/mL]]*Pcfu4[[#This Row],[mL]]/Pcfu4[[#This Row],[grams]]</f>
        <v>3761808075.9124327</v>
      </c>
      <c r="U345" s="7">
        <f>_xlfn.STDEV.S(Pcfu43[[#This Row],[R1]:[R3]])/AVERAGE(Pcfu43[[#This Row],[R1]:[R3]])</f>
        <v>0.11764705882352941</v>
      </c>
      <c r="V345" s="96"/>
      <c r="W345" s="7"/>
    </row>
    <row r="346" spans="1:24" x14ac:dyDescent="0.15">
      <c r="A346" t="s">
        <v>278</v>
      </c>
      <c r="B346" t="s">
        <v>367</v>
      </c>
      <c r="D346" t="s">
        <v>37</v>
      </c>
      <c r="E346" s="3">
        <v>2</v>
      </c>
      <c r="G346">
        <v>0.1</v>
      </c>
      <c r="H346" s="5">
        <f>19*Pcfu4[[#This Row],[grams]]</f>
        <v>1.9000000000000001</v>
      </c>
      <c r="I346" s="3" t="s">
        <v>170</v>
      </c>
      <c r="J346" s="59">
        <v>44911</v>
      </c>
      <c r="L346" s="59" t="e" cm="1">
        <f t="array" ref="L346">INDEX($J$4:J1436, MATCH(1,(A346=$A$4:A1434)*(C346=$C$4:C1434)*("Y"=$K$4:K1436),0))</f>
        <v>#N/A</v>
      </c>
      <c r="M346" s="1">
        <v>1000000</v>
      </c>
      <c r="N346">
        <v>95</v>
      </c>
      <c r="O346">
        <v>93</v>
      </c>
      <c r="P346"/>
      <c r="Q346" s="6">
        <f>(SUM(Pcfu4[[#This Row],[R1]:[R3]]))/(Pcfu4[[#This Row],[No. Reps]]*0.025)*Pcfu4[[#This Row],[Best DF]]</f>
        <v>3760000000</v>
      </c>
      <c r="R346" s="1">
        <f>_xlfn.STDEV.S(Pcfu4[[#This Row],[R1]:[R3]])/0.025*Pcfu4[[#This Row],[Best DF]]</f>
        <v>56568542.494923808</v>
      </c>
      <c r="S346" s="6">
        <f>Pcfu4[[#This Row],[CFU/mL]]*Pcfu4[[#This Row],[mL]]/Pcfu4[[#This Row],[grams]]</f>
        <v>71440000000</v>
      </c>
      <c r="T346" s="1">
        <f>Pcfu4[[#This Row],[SD CFU/mL]]*Pcfu4[[#This Row],[mL]]/Pcfu4[[#This Row],[grams]]</f>
        <v>1074802307.4035523</v>
      </c>
      <c r="U346" s="7">
        <f>_xlfn.STDEV.S(Pcfu43[[#This Row],[R1]:[R3]])/AVERAGE(Pcfu43[[#This Row],[R1]:[R3]])</f>
        <v>4.6760976479141222E-2</v>
      </c>
      <c r="V346" s="96"/>
      <c r="W346" s="7"/>
    </row>
    <row r="347" spans="1:24" x14ac:dyDescent="0.15">
      <c r="A347" t="s">
        <v>277</v>
      </c>
      <c r="B347" t="s">
        <v>367</v>
      </c>
      <c r="D347" t="s">
        <v>86</v>
      </c>
      <c r="E347" s="3">
        <v>2</v>
      </c>
      <c r="G347">
        <v>0.1</v>
      </c>
      <c r="H347" s="5">
        <f>19*Pcfu4[[#This Row],[grams]]</f>
        <v>1.9000000000000001</v>
      </c>
      <c r="I347" s="3" t="s">
        <v>170</v>
      </c>
      <c r="J347" s="59">
        <v>44911</v>
      </c>
      <c r="L347" s="59" t="e" cm="1">
        <f t="array" ref="L347">INDEX($J$4:J1437, MATCH(1,(A347=$A$4:A1435)*(C347=$C$4:C1435)*("Y"=$K$4:K1437),0))</f>
        <v>#N/A</v>
      </c>
      <c r="M347" s="1">
        <v>1000000</v>
      </c>
      <c r="N347">
        <v>188</v>
      </c>
      <c r="O347">
        <v>220</v>
      </c>
      <c r="P347"/>
      <c r="Q347" s="6">
        <f>(SUM(Pcfu4[[#This Row],[R1]:[R3]]))/(Pcfu4[[#This Row],[No. Reps]]*0.025)*Pcfu4[[#This Row],[Best DF]]</f>
        <v>8160000000</v>
      </c>
      <c r="R347" s="1">
        <f>_xlfn.STDEV.S(Pcfu4[[#This Row],[R1]:[R3]])/0.025*Pcfu4[[#This Row],[Best DF]]</f>
        <v>905096679.91878092</v>
      </c>
      <c r="S347" s="6">
        <f>Pcfu4[[#This Row],[CFU/mL]]*Pcfu4[[#This Row],[mL]]/Pcfu4[[#This Row],[grams]]</f>
        <v>155040000000</v>
      </c>
      <c r="T347" s="1">
        <f>Pcfu4[[#This Row],[SD CFU/mL]]*Pcfu4[[#This Row],[mL]]/Pcfu4[[#This Row],[grams]]</f>
        <v>17196836918.456837</v>
      </c>
      <c r="U347" s="7">
        <f>_xlfn.STDEV.S(Pcfu43[[#This Row],[R1]:[R3]])/AVERAGE(Pcfu43[[#This Row],[R1]:[R3]])</f>
        <v>8.1081081081081086E-2</v>
      </c>
      <c r="V347" s="96"/>
      <c r="W347" s="7"/>
    </row>
    <row r="348" spans="1:24" x14ac:dyDescent="0.15">
      <c r="A348" t="s">
        <v>280</v>
      </c>
      <c r="B348" t="s">
        <v>367</v>
      </c>
      <c r="D348" t="s">
        <v>86</v>
      </c>
      <c r="E348" s="3">
        <v>2</v>
      </c>
      <c r="G348">
        <v>0.1</v>
      </c>
      <c r="H348" s="5">
        <f>19*Pcfu4[[#This Row],[grams]]</f>
        <v>1.9000000000000001</v>
      </c>
      <c r="I348" s="3" t="s">
        <v>170</v>
      </c>
      <c r="J348" s="59">
        <v>44911</v>
      </c>
      <c r="L348" s="59" t="e" cm="1">
        <f t="array" ref="L348">INDEX($J$4:J1438, MATCH(1,(A348=$A$4:A1436)*(C348=$C$4:C1436)*("Y"=$K$4:K1438),0))</f>
        <v>#N/A</v>
      </c>
      <c r="M348" s="1">
        <v>1000000</v>
      </c>
      <c r="N348">
        <v>182</v>
      </c>
      <c r="O348">
        <v>183</v>
      </c>
      <c r="P348"/>
      <c r="Q348" s="6">
        <f>(SUM(Pcfu4[[#This Row],[R1]:[R3]]))/(Pcfu4[[#This Row],[No. Reps]]*0.025)*Pcfu4[[#This Row],[Best DF]]</f>
        <v>7300000000</v>
      </c>
      <c r="R348" s="1">
        <f>_xlfn.STDEV.S(Pcfu4[[#This Row],[R1]:[R3]])/0.025*Pcfu4[[#This Row],[Best DF]]</f>
        <v>28284271.247461904</v>
      </c>
      <c r="S348" s="6">
        <f>Pcfu4[[#This Row],[CFU/mL]]*Pcfu4[[#This Row],[mL]]/Pcfu4[[#This Row],[grams]]</f>
        <v>138700000000</v>
      </c>
      <c r="T348" s="1">
        <f>Pcfu4[[#This Row],[SD CFU/mL]]*Pcfu4[[#This Row],[mL]]/Pcfu4[[#This Row],[grams]]</f>
        <v>537401153.70177615</v>
      </c>
      <c r="U348" s="7">
        <f>_xlfn.STDEV.S(Pcfu43[[#This Row],[R1]:[R3]])/AVERAGE(Pcfu43[[#This Row],[R1]:[R3]])</f>
        <v>7.0709085589615694E-2</v>
      </c>
      <c r="V348" s="96"/>
      <c r="W348" s="7"/>
    </row>
    <row r="349" spans="1:24" x14ac:dyDescent="0.15">
      <c r="A349" t="s">
        <v>285</v>
      </c>
      <c r="B349" t="s">
        <v>367</v>
      </c>
      <c r="D349" t="s">
        <v>86</v>
      </c>
      <c r="E349" s="3">
        <v>2</v>
      </c>
      <c r="G349">
        <v>0.1</v>
      </c>
      <c r="H349" s="5">
        <f>19*Pcfu4[[#This Row],[grams]]</f>
        <v>1.9000000000000001</v>
      </c>
      <c r="I349" s="3" t="s">
        <v>170</v>
      </c>
      <c r="J349" s="59">
        <v>44911</v>
      </c>
      <c r="L349" s="59" t="e" cm="1">
        <f t="array" ref="L349">INDEX($J$4:J1439, MATCH(1,(A349=$A$4:A1437)*(C349=$C$4:C1437)*("Y"=$K$4:K1439),0))</f>
        <v>#N/A</v>
      </c>
      <c r="M349" s="1">
        <v>1000000</v>
      </c>
      <c r="N349">
        <v>216</v>
      </c>
      <c r="O349">
        <v>231</v>
      </c>
      <c r="P349"/>
      <c r="Q349" s="6">
        <f>(SUM(Pcfu4[[#This Row],[R1]:[R3]]))/(Pcfu4[[#This Row],[No. Reps]]*0.025)*Pcfu4[[#This Row],[Best DF]]</f>
        <v>8940000000</v>
      </c>
      <c r="R349" s="1">
        <f>_xlfn.STDEV.S(Pcfu4[[#This Row],[R1]:[R3]])/0.025*Pcfu4[[#This Row],[Best DF]]</f>
        <v>424264068.71192855</v>
      </c>
      <c r="S349" s="6">
        <f>Pcfu4[[#This Row],[CFU/mL]]*Pcfu4[[#This Row],[mL]]/Pcfu4[[#This Row],[grams]]</f>
        <v>169860000000</v>
      </c>
      <c r="T349" s="1">
        <f>Pcfu4[[#This Row],[SD CFU/mL]]*Pcfu4[[#This Row],[mL]]/Pcfu4[[#This Row],[grams]]</f>
        <v>8061017305.5266428</v>
      </c>
      <c r="U349" s="7">
        <f>_xlfn.STDEV.S(Pcfu43[[#This Row],[R1]:[R3]])/AVERAGE(Pcfu43[[#This Row],[R1]:[R3]])</f>
        <v>9.1160568819414617E-2</v>
      </c>
      <c r="V349" s="96"/>
      <c r="W349" s="7"/>
    </row>
    <row r="350" spans="1:24" x14ac:dyDescent="0.15">
      <c r="A350" t="s">
        <v>287</v>
      </c>
      <c r="B350" t="s">
        <v>367</v>
      </c>
      <c r="D350" t="s">
        <v>86</v>
      </c>
      <c r="E350" s="3">
        <v>2</v>
      </c>
      <c r="G350">
        <v>0.1</v>
      </c>
      <c r="H350" s="5">
        <f>19*Pcfu4[[#This Row],[grams]]</f>
        <v>1.9000000000000001</v>
      </c>
      <c r="I350" s="3" t="s">
        <v>170</v>
      </c>
      <c r="J350" s="59">
        <v>44911</v>
      </c>
      <c r="L350" s="59" t="e" cm="1">
        <f t="array" ref="L350">INDEX($J$4:J1440, MATCH(1,(A350=$A$4:A1438)*(C350=$C$4:C1438)*("Y"=$K$4:K1440),0))</f>
        <v>#N/A</v>
      </c>
      <c r="M350" s="1">
        <v>10000000</v>
      </c>
      <c r="N350">
        <v>39</v>
      </c>
      <c r="O350">
        <v>37</v>
      </c>
      <c r="P350"/>
      <c r="Q350" s="6">
        <f>(SUM(Pcfu4[[#This Row],[R1]:[R3]]))/(Pcfu4[[#This Row],[No. Reps]]*0.025)*Pcfu4[[#This Row],[Best DF]]</f>
        <v>15200000000</v>
      </c>
      <c r="R350" s="1">
        <f>_xlfn.STDEV.S(Pcfu4[[#This Row],[R1]:[R3]])/0.025*Pcfu4[[#This Row],[Best DF]]</f>
        <v>565685424.94923806</v>
      </c>
      <c r="S350" s="6">
        <f>Pcfu4[[#This Row],[CFU/mL]]*Pcfu4[[#This Row],[mL]]/Pcfu4[[#This Row],[grams]]</f>
        <v>288800000000</v>
      </c>
      <c r="T350" s="1">
        <f>Pcfu4[[#This Row],[SD CFU/mL]]*Pcfu4[[#This Row],[mL]]/Pcfu4[[#This Row],[grams]]</f>
        <v>10748023074.035522</v>
      </c>
      <c r="U350" s="7">
        <f>_xlfn.STDEV.S(Pcfu43[[#This Row],[R1]:[R3]])/AVERAGE(Pcfu43[[#This Row],[R1]:[R3]])</f>
        <v>5.4126587736527412E-2</v>
      </c>
      <c r="V350" s="96"/>
      <c r="W350" s="7"/>
      <c r="X350" t="s">
        <v>370</v>
      </c>
    </row>
    <row r="351" spans="1:24" x14ac:dyDescent="0.15">
      <c r="A351" t="s">
        <v>286</v>
      </c>
      <c r="B351" t="s">
        <v>367</v>
      </c>
      <c r="D351" t="s">
        <v>86</v>
      </c>
      <c r="E351" s="3">
        <v>2</v>
      </c>
      <c r="G351">
        <v>0.1</v>
      </c>
      <c r="H351" s="5">
        <f>19*Pcfu4[[#This Row],[grams]]</f>
        <v>1.9000000000000001</v>
      </c>
      <c r="I351" s="3" t="s">
        <v>170</v>
      </c>
      <c r="J351" s="59">
        <v>44911</v>
      </c>
      <c r="L351" s="59" t="e" cm="1">
        <f t="array" ref="L351">INDEX($J$4:J1441, MATCH(1,(A351=$A$4:A1439)*(C351=$C$4:C1439)*("Y"=$K$4:K1441),0))</f>
        <v>#N/A</v>
      </c>
      <c r="M351" s="1">
        <v>10000000</v>
      </c>
      <c r="N351">
        <v>42</v>
      </c>
      <c r="O351">
        <v>51</v>
      </c>
      <c r="P351"/>
      <c r="Q351" s="6">
        <f>(SUM(Pcfu4[[#This Row],[R1]:[R3]]))/(Pcfu4[[#This Row],[No. Reps]]*0.025)*Pcfu4[[#This Row],[Best DF]]</f>
        <v>18600000000</v>
      </c>
      <c r="R351" s="1">
        <f>_xlfn.STDEV.S(Pcfu4[[#This Row],[R1]:[R3]])/0.025*Pcfu4[[#This Row],[Best DF]]</f>
        <v>2545584412.2715707</v>
      </c>
      <c r="S351" s="6">
        <f>Pcfu4[[#This Row],[CFU/mL]]*Pcfu4[[#This Row],[mL]]/Pcfu4[[#This Row],[grams]]</f>
        <v>353400000000</v>
      </c>
      <c r="T351" s="1">
        <f>Pcfu4[[#This Row],[SD CFU/mL]]*Pcfu4[[#This Row],[mL]]/Pcfu4[[#This Row],[grams]]</f>
        <v>48366103833.159843</v>
      </c>
      <c r="U351" s="7">
        <f>_xlfn.STDEV.S(Pcfu43[[#This Row],[R1]:[R3]])/AVERAGE(Pcfu43[[#This Row],[R1]:[R3]])</f>
        <v>0.33333333333333331</v>
      </c>
      <c r="V351" s="96"/>
      <c r="W351" s="7"/>
      <c r="X351" t="s">
        <v>371</v>
      </c>
    </row>
    <row r="352" spans="1:24" x14ac:dyDescent="0.15">
      <c r="A352" t="s">
        <v>282</v>
      </c>
      <c r="B352" t="s">
        <v>367</v>
      </c>
      <c r="D352" t="s">
        <v>86</v>
      </c>
      <c r="E352" s="3">
        <v>2</v>
      </c>
      <c r="G352">
        <v>0.1</v>
      </c>
      <c r="H352" s="5">
        <f>19*Pcfu4[[#This Row],[grams]]</f>
        <v>1.9000000000000001</v>
      </c>
      <c r="I352" s="3" t="s">
        <v>170</v>
      </c>
      <c r="J352" s="59">
        <v>44911</v>
      </c>
      <c r="L352" s="59" t="e" cm="1">
        <f t="array" ref="L352">INDEX($J$4:J1442, MATCH(1,(A352=$A$4:A1440)*(C352=$C$4:C1440)*("Y"=$K$4:K1442),0))</f>
        <v>#N/A</v>
      </c>
      <c r="M352" s="1">
        <v>10000000</v>
      </c>
      <c r="N352">
        <v>37</v>
      </c>
      <c r="O352">
        <v>34</v>
      </c>
      <c r="P352"/>
      <c r="Q352" s="6">
        <f>(SUM(Pcfu4[[#This Row],[R1]:[R3]]))/(Pcfu4[[#This Row],[No. Reps]]*0.025)*Pcfu4[[#This Row],[Best DF]]</f>
        <v>14200000000</v>
      </c>
      <c r="R352" s="1">
        <f>_xlfn.STDEV.S(Pcfu4[[#This Row],[R1]:[R3]])/0.025*Pcfu4[[#This Row],[Best DF]]</f>
        <v>848528137.42385697</v>
      </c>
      <c r="S352" s="6">
        <f>Pcfu4[[#This Row],[CFU/mL]]*Pcfu4[[#This Row],[mL]]/Pcfu4[[#This Row],[grams]]</f>
        <v>269800000000</v>
      </c>
      <c r="T352" s="1">
        <f>Pcfu4[[#This Row],[SD CFU/mL]]*Pcfu4[[#This Row],[mL]]/Pcfu4[[#This Row],[grams]]</f>
        <v>16122034611.053282</v>
      </c>
      <c r="U352" s="7">
        <f>_xlfn.STDEV.S(Pcfu43[[#This Row],[R1]:[R3]])/AVERAGE(Pcfu43[[#This Row],[R1]:[R3]])</f>
        <v>0.26646935501059649</v>
      </c>
      <c r="V352" s="96"/>
      <c r="W352" s="7"/>
    </row>
    <row r="353" spans="1:24" x14ac:dyDescent="0.15">
      <c r="A353" t="s">
        <v>284</v>
      </c>
      <c r="B353" t="s">
        <v>367</v>
      </c>
      <c r="D353" t="s">
        <v>86</v>
      </c>
      <c r="E353" s="3">
        <v>2</v>
      </c>
      <c r="G353">
        <v>0.1</v>
      </c>
      <c r="H353" s="5">
        <f>19*Pcfu4[[#This Row],[grams]]</f>
        <v>1.9000000000000001</v>
      </c>
      <c r="I353" s="3" t="s">
        <v>170</v>
      </c>
      <c r="J353" s="59">
        <v>44911</v>
      </c>
      <c r="L353" s="59" t="e" cm="1">
        <f t="array" ref="L353">INDEX($J$4:J1443, MATCH(1,(A353=$A$4:A1441)*(C353=$C$4:C1441)*("Y"=$K$4:K1443),0))</f>
        <v>#N/A</v>
      </c>
      <c r="M353" s="1">
        <v>10000000</v>
      </c>
      <c r="N353">
        <v>46</v>
      </c>
      <c r="O353">
        <v>51</v>
      </c>
      <c r="P353"/>
      <c r="Q353" s="6">
        <f>(SUM(Pcfu4[[#This Row],[R1]:[R3]]))/(Pcfu4[[#This Row],[No. Reps]]*0.025)*Pcfu4[[#This Row],[Best DF]]</f>
        <v>19400000000</v>
      </c>
      <c r="R353" s="1">
        <f>_xlfn.STDEV.S(Pcfu4[[#This Row],[R1]:[R3]])/0.025*Pcfu4[[#This Row],[Best DF]]</f>
        <v>1414213562.373095</v>
      </c>
      <c r="S353" s="6">
        <f>Pcfu4[[#This Row],[CFU/mL]]*Pcfu4[[#This Row],[mL]]/Pcfu4[[#This Row],[grams]]</f>
        <v>368600000000</v>
      </c>
      <c r="T353" s="1">
        <f>Pcfu4[[#This Row],[SD CFU/mL]]*Pcfu4[[#This Row],[mL]]/Pcfu4[[#This Row],[grams]]</f>
        <v>26870057685.088806</v>
      </c>
      <c r="U353" s="7">
        <f>_xlfn.STDEV.S(Pcfu43[[#This Row],[R1]:[R3]])/AVERAGE(Pcfu43[[#This Row],[R1]:[R3]])</f>
        <v>0.1301807843321901</v>
      </c>
      <c r="V353" s="96"/>
      <c r="W353" s="7"/>
    </row>
    <row r="354" spans="1:24" x14ac:dyDescent="0.15">
      <c r="A354" t="s">
        <v>372</v>
      </c>
      <c r="B354" t="s">
        <v>373</v>
      </c>
      <c r="D354" t="s">
        <v>86</v>
      </c>
      <c r="E354" s="3">
        <v>2</v>
      </c>
      <c r="G354">
        <v>0.3</v>
      </c>
      <c r="H354" s="5">
        <f>19*Pcfu4[[#This Row],[grams]]</f>
        <v>5.7</v>
      </c>
      <c r="I354" s="3" t="s">
        <v>170</v>
      </c>
      <c r="J354" s="59">
        <v>44915</v>
      </c>
      <c r="L354" s="59" t="e" cm="1">
        <f t="array" ref="L354">INDEX($J$4:J1444, MATCH(1,(A354=$A$4:A1442)*(C354=$C$4:C1442)*("Y"=$K$4:K1444),0))</f>
        <v>#N/A</v>
      </c>
      <c r="M354" s="1">
        <v>1000000</v>
      </c>
      <c r="N354">
        <v>191</v>
      </c>
      <c r="O354">
        <v>192</v>
      </c>
      <c r="P354"/>
      <c r="Q354" s="6">
        <f>(SUM(Pcfu4[[#This Row],[R1]:[R3]]))/(Pcfu4[[#This Row],[No. Reps]]*0.025)*Pcfu4[[#This Row],[Best DF]]</f>
        <v>7660000000</v>
      </c>
      <c r="R354" s="1">
        <f>_xlfn.STDEV.S(Pcfu4[[#This Row],[R1]:[R3]])/0.025*Pcfu4[[#This Row],[Best DF]]</f>
        <v>28284271.247461904</v>
      </c>
      <c r="S354" s="6">
        <f>Pcfu4[[#This Row],[CFU/mL]]*Pcfu4[[#This Row],[mL]]/Pcfu4[[#This Row],[grams]]</f>
        <v>145540000000</v>
      </c>
      <c r="T354" s="1">
        <f>Pcfu4[[#This Row],[SD CFU/mL]]*Pcfu4[[#This Row],[mL]]/Pcfu4[[#This Row],[grams]]</f>
        <v>537401153.70177615</v>
      </c>
      <c r="U354" s="7">
        <f>_xlfn.STDEV.S(Pcfu43[[#This Row],[R1]:[R3]])/AVERAGE(Pcfu43[[#This Row],[R1]:[R3]])</f>
        <v>0.1167289345495028</v>
      </c>
      <c r="V354" s="96"/>
      <c r="W354" s="7" t="s">
        <v>206</v>
      </c>
      <c r="X354" t="s">
        <v>374</v>
      </c>
    </row>
    <row r="355" spans="1:24" x14ac:dyDescent="0.15">
      <c r="A355" t="s">
        <v>375</v>
      </c>
      <c r="B355" t="s">
        <v>373</v>
      </c>
      <c r="D355" t="s">
        <v>86</v>
      </c>
      <c r="E355" s="3">
        <v>2</v>
      </c>
      <c r="G355">
        <v>0.3</v>
      </c>
      <c r="H355" s="5">
        <f>19*Pcfu4[[#This Row],[grams]]</f>
        <v>5.7</v>
      </c>
      <c r="I355" s="3" t="s">
        <v>170</v>
      </c>
      <c r="J355" s="59">
        <v>44915</v>
      </c>
      <c r="L355" s="59" t="e" cm="1">
        <f t="array" ref="L355">INDEX($J$4:J1445, MATCH(1,(A355=$A$4:A1443)*(C355=$C$4:C1443)*("Y"=$K$4:K1445),0))</f>
        <v>#N/A</v>
      </c>
      <c r="M355" s="1">
        <v>1000000</v>
      </c>
      <c r="N355">
        <v>35</v>
      </c>
      <c r="O355">
        <v>51</v>
      </c>
      <c r="P355"/>
      <c r="Q355" s="6">
        <f>(SUM(Pcfu4[[#This Row],[R1]:[R3]]))/(Pcfu4[[#This Row],[No. Reps]]*0.025)*Pcfu4[[#This Row],[Best DF]]</f>
        <v>1720000000</v>
      </c>
      <c r="R355" s="1">
        <f>_xlfn.STDEV.S(Pcfu4[[#This Row],[R1]:[R3]])/0.025*Pcfu4[[#This Row],[Best DF]]</f>
        <v>452548339.95939046</v>
      </c>
      <c r="S355" s="6">
        <f>Pcfu4[[#This Row],[CFU/mL]]*Pcfu4[[#This Row],[mL]]/Pcfu4[[#This Row],[grams]]</f>
        <v>32680000000</v>
      </c>
      <c r="T355" s="1">
        <f>Pcfu4[[#This Row],[SD CFU/mL]]*Pcfu4[[#This Row],[mL]]/Pcfu4[[#This Row],[grams]]</f>
        <v>8598418459.2284184</v>
      </c>
      <c r="U355" s="7">
        <f>_xlfn.STDEV.S(Pcfu43[[#This Row],[R1]:[R3]])/AVERAGE(Pcfu43[[#This Row],[R1]:[R3]])</f>
        <v>8.6602540378443865E-2</v>
      </c>
      <c r="V355" s="96"/>
      <c r="W355" s="7"/>
    </row>
    <row r="356" spans="1:24" x14ac:dyDescent="0.15">
      <c r="A356" t="s">
        <v>376</v>
      </c>
      <c r="B356" t="s">
        <v>373</v>
      </c>
      <c r="D356" t="s">
        <v>86</v>
      </c>
      <c r="E356" s="3">
        <v>2</v>
      </c>
      <c r="G356">
        <v>0.3</v>
      </c>
      <c r="H356" s="5">
        <f>19*Pcfu4[[#This Row],[grams]]</f>
        <v>5.7</v>
      </c>
      <c r="I356" s="3" t="s">
        <v>170</v>
      </c>
      <c r="J356" s="59">
        <v>44915</v>
      </c>
      <c r="L356" s="59" t="e" cm="1">
        <f t="array" ref="L356">INDEX($J$4:J1446, MATCH(1,(A356=$A$4:A1444)*(C356=$C$4:C1444)*("Y"=$K$4:K1446),0))</f>
        <v>#N/A</v>
      </c>
      <c r="M356" s="1">
        <v>1000000</v>
      </c>
      <c r="N356">
        <v>189</v>
      </c>
      <c r="O356">
        <v>199</v>
      </c>
      <c r="P356"/>
      <c r="Q356" s="6">
        <f>(SUM(Pcfu4[[#This Row],[R1]:[R3]]))/(Pcfu4[[#This Row],[No. Reps]]*0.025)*Pcfu4[[#This Row],[Best DF]]</f>
        <v>7760000000</v>
      </c>
      <c r="R356" s="1">
        <f>_xlfn.STDEV.S(Pcfu4[[#This Row],[R1]:[R3]])/0.025*Pcfu4[[#This Row],[Best DF]]</f>
        <v>282842712.47461903</v>
      </c>
      <c r="S356" s="6">
        <f>Pcfu4[[#This Row],[CFU/mL]]*Pcfu4[[#This Row],[mL]]/Pcfu4[[#This Row],[grams]]</f>
        <v>147440000000</v>
      </c>
      <c r="T356" s="1">
        <f>Pcfu4[[#This Row],[SD CFU/mL]]*Pcfu4[[#This Row],[mL]]/Pcfu4[[#This Row],[grams]]</f>
        <v>5374011537.0177622</v>
      </c>
      <c r="U356" s="7">
        <f>_xlfn.STDEV.S(Pcfu43[[#This Row],[R1]:[R3]])/AVERAGE(Pcfu43[[#This Row],[R1]:[R3]])</f>
        <v>6.1858957413174182E-2</v>
      </c>
      <c r="V356" s="96"/>
      <c r="W356" s="7"/>
    </row>
    <row r="357" spans="1:24" x14ac:dyDescent="0.15">
      <c r="A357" t="s">
        <v>372</v>
      </c>
      <c r="B357" t="s">
        <v>330</v>
      </c>
      <c r="D357" t="s">
        <v>86</v>
      </c>
      <c r="E357" s="3">
        <v>2</v>
      </c>
      <c r="G357">
        <v>0.3</v>
      </c>
      <c r="H357" s="5">
        <f>19*Pcfu4[[#This Row],[grams]]</f>
        <v>5.7</v>
      </c>
      <c r="I357" s="3" t="s">
        <v>170</v>
      </c>
      <c r="J357" s="59">
        <v>44915</v>
      </c>
      <c r="L357" s="59" t="e" cm="1">
        <f t="array" ref="L357">INDEX($J$4:J1447, MATCH(1,(A357=$A$4:A1445)*(C357=$C$4:C1445)*("Y"=$K$4:K1447),0))</f>
        <v>#N/A</v>
      </c>
      <c r="M357" s="1">
        <v>1000000</v>
      </c>
      <c r="N357">
        <v>225</v>
      </c>
      <c r="O357">
        <v>260</v>
      </c>
      <c r="P357"/>
      <c r="Q357" s="6">
        <f>(SUM(Pcfu4[[#This Row],[R1]:[R3]]))/(Pcfu4[[#This Row],[No. Reps]]*0.025)*Pcfu4[[#This Row],[Best DF]]</f>
        <v>9700000000</v>
      </c>
      <c r="R357" s="1">
        <f>_xlfn.STDEV.S(Pcfu4[[#This Row],[R1]:[R3]])/0.025*Pcfu4[[#This Row],[Best DF]]</f>
        <v>989949493.66116655</v>
      </c>
      <c r="S357" s="6">
        <f>Pcfu4[[#This Row],[CFU/mL]]*Pcfu4[[#This Row],[mL]]/Pcfu4[[#This Row],[grams]]</f>
        <v>184300000000</v>
      </c>
      <c r="T357" s="1">
        <f>Pcfu4[[#This Row],[SD CFU/mL]]*Pcfu4[[#This Row],[mL]]/Pcfu4[[#This Row],[grams]]</f>
        <v>18809040379.562164</v>
      </c>
      <c r="U357" s="7">
        <f>_xlfn.STDEV.S(Pcfu43[[#This Row],[R1]:[R3]])/AVERAGE(Pcfu43[[#This Row],[R1]:[R3]])</f>
        <v>0.12197540898372376</v>
      </c>
      <c r="V357" s="96"/>
      <c r="W357" s="7"/>
    </row>
    <row r="358" spans="1:24" x14ac:dyDescent="0.15">
      <c r="A358" t="s">
        <v>375</v>
      </c>
      <c r="B358" t="s">
        <v>330</v>
      </c>
      <c r="D358" t="s">
        <v>86</v>
      </c>
      <c r="E358" s="3">
        <v>2</v>
      </c>
      <c r="G358">
        <v>0.3</v>
      </c>
      <c r="H358" s="5">
        <f>19*Pcfu4[[#This Row],[grams]]</f>
        <v>5.7</v>
      </c>
      <c r="I358" s="3" t="s">
        <v>170</v>
      </c>
      <c r="J358" s="59">
        <v>44915</v>
      </c>
      <c r="L358" s="59" t="e" cm="1">
        <f t="array" ref="L358">INDEX($J$4:J1448, MATCH(1,(A358=$A$4:A1446)*(C358=$C$4:C1446)*("Y"=$K$4:K1448),0))</f>
        <v>#N/A</v>
      </c>
      <c r="M358" s="1">
        <v>1000000</v>
      </c>
      <c r="N358">
        <v>84</v>
      </c>
      <c r="O358">
        <v>90</v>
      </c>
      <c r="P358"/>
      <c r="Q358" s="6">
        <f>(SUM(Pcfu4[[#This Row],[R1]:[R3]]))/(Pcfu4[[#This Row],[No. Reps]]*0.025)*Pcfu4[[#This Row],[Best DF]]</f>
        <v>3480000000</v>
      </c>
      <c r="R358" s="1">
        <f>_xlfn.STDEV.S(Pcfu4[[#This Row],[R1]:[R3]])/0.025*Pcfu4[[#This Row],[Best DF]]</f>
        <v>169705627.48477137</v>
      </c>
      <c r="S358" s="6">
        <f>Pcfu4[[#This Row],[CFU/mL]]*Pcfu4[[#This Row],[mL]]/Pcfu4[[#This Row],[grams]]</f>
        <v>66120000000</v>
      </c>
      <c r="T358" s="1">
        <f>Pcfu4[[#This Row],[SD CFU/mL]]*Pcfu4[[#This Row],[mL]]/Pcfu4[[#This Row],[grams]]</f>
        <v>3224406922.2106562</v>
      </c>
      <c r="U358" s="7">
        <f>_xlfn.STDEV.S(Pcfu43[[#This Row],[R1]:[R3]])/AVERAGE(Pcfu43[[#This Row],[R1]:[R3]])</f>
        <v>0.22876142741475722</v>
      </c>
      <c r="V358" s="96"/>
      <c r="W358" s="7"/>
    </row>
    <row r="359" spans="1:24" x14ac:dyDescent="0.15">
      <c r="A359" t="s">
        <v>376</v>
      </c>
      <c r="B359" t="s">
        <v>330</v>
      </c>
      <c r="D359" t="s">
        <v>86</v>
      </c>
      <c r="E359" s="3">
        <v>2</v>
      </c>
      <c r="G359">
        <v>0.3</v>
      </c>
      <c r="H359" s="5">
        <f>19*Pcfu4[[#This Row],[grams]]</f>
        <v>5.7</v>
      </c>
      <c r="I359" s="3" t="s">
        <v>170</v>
      </c>
      <c r="J359" s="59">
        <v>44915</v>
      </c>
      <c r="L359" s="59" t="e" cm="1">
        <f t="array" ref="L359">INDEX($J$4:J1449, MATCH(1,(A359=$A$4:A1447)*(C359=$C$4:C1447)*("Y"=$K$4:K1449),0))</f>
        <v>#N/A</v>
      </c>
      <c r="M359" s="1">
        <v>10000000</v>
      </c>
      <c r="N359">
        <v>34</v>
      </c>
      <c r="O359">
        <v>49</v>
      </c>
      <c r="P359"/>
      <c r="Q359" s="6">
        <f>(SUM(Pcfu4[[#This Row],[R1]:[R3]]))/(Pcfu4[[#This Row],[No. Reps]]*0.025)*Pcfu4[[#This Row],[Best DF]]</f>
        <v>16600000000</v>
      </c>
      <c r="R359" s="1">
        <f>_xlfn.STDEV.S(Pcfu4[[#This Row],[R1]:[R3]])/0.025*Pcfu4[[#This Row],[Best DF]]</f>
        <v>4242640687.1192851</v>
      </c>
      <c r="S359" s="6">
        <f>Pcfu4[[#This Row],[CFU/mL]]*Pcfu4[[#This Row],[mL]]/Pcfu4[[#This Row],[grams]]</f>
        <v>315400000000</v>
      </c>
      <c r="T359" s="1">
        <f>Pcfu4[[#This Row],[SD CFU/mL]]*Pcfu4[[#This Row],[mL]]/Pcfu4[[#This Row],[grams]]</f>
        <v>80610173055.266418</v>
      </c>
      <c r="U359" s="7">
        <f>_xlfn.STDEV.S(Pcfu43[[#This Row],[R1]:[R3]])/AVERAGE(Pcfu43[[#This Row],[R1]:[R3]])</f>
        <v>3.5347975664670961E-2</v>
      </c>
      <c r="V359" s="96"/>
      <c r="W359" s="7"/>
    </row>
    <row r="360" spans="1:24" x14ac:dyDescent="0.15">
      <c r="A360" t="s">
        <v>377</v>
      </c>
      <c r="B360" t="s">
        <v>378</v>
      </c>
      <c r="D360"/>
      <c r="E360" s="3">
        <v>3</v>
      </c>
      <c r="G360">
        <v>0.3</v>
      </c>
      <c r="H360" s="5">
        <f>19*Pcfu4[[#This Row],[grams]]</f>
        <v>5.7</v>
      </c>
      <c r="I360" s="3" t="s">
        <v>170</v>
      </c>
      <c r="J360" s="59">
        <v>44916</v>
      </c>
      <c r="L360" s="59" t="e" cm="1">
        <f t="array" ref="L360">INDEX($J$4:J1450, MATCH(1,(A360=$A$4:A1448)*(C360=$C$4:C1448)*("Y"=$K$4:K1450),0))</f>
        <v>#N/A</v>
      </c>
      <c r="M360" s="1">
        <v>10000</v>
      </c>
      <c r="N360">
        <v>204</v>
      </c>
      <c r="O360">
        <v>245</v>
      </c>
      <c r="P360">
        <v>210</v>
      </c>
      <c r="Q360" s="6">
        <f>(SUM(Pcfu4[[#This Row],[R1]:[R3]]))/(Pcfu4[[#This Row],[No. Reps]]*0.025)*Pcfu4[[#This Row],[Best DF]]</f>
        <v>87866666.666666657</v>
      </c>
      <c r="R360" s="1">
        <f>_xlfn.STDEV.S(Pcfu4[[#This Row],[R1]:[R3]])/0.025*Pcfu4[[#This Row],[Best DF]]</f>
        <v>8857388.6294625979</v>
      </c>
      <c r="S360" s="6">
        <f>Pcfu4[[#This Row],[CFU/mL]]*Pcfu4[[#This Row],[mL]]/Pcfu4[[#This Row],[grams]]</f>
        <v>1669466666.6666665</v>
      </c>
      <c r="T360" s="1">
        <f>Pcfu4[[#This Row],[SD CFU/mL]]*Pcfu4[[#This Row],[mL]]/Pcfu4[[#This Row],[grams]]</f>
        <v>168290383.9597894</v>
      </c>
      <c r="U360" s="7">
        <f>_xlfn.STDEV.S(Pcfu43[[#This Row],[R1]:[R3]])/AVERAGE(Pcfu43[[#This Row],[R1]:[R3]])</f>
        <v>2.7152165210427816E-2</v>
      </c>
      <c r="V360" s="96"/>
      <c r="W360" s="7"/>
    </row>
    <row r="361" spans="1:24" x14ac:dyDescent="0.15">
      <c r="A361" t="s">
        <v>73</v>
      </c>
      <c r="B361" t="s">
        <v>378</v>
      </c>
      <c r="D361"/>
      <c r="E361" s="3">
        <v>3</v>
      </c>
      <c r="G361">
        <v>0.3</v>
      </c>
      <c r="H361" s="5">
        <f>19*Pcfu4[[#This Row],[grams]]</f>
        <v>5.7</v>
      </c>
      <c r="I361" s="3" t="s">
        <v>170</v>
      </c>
      <c r="J361" s="59">
        <v>44916</v>
      </c>
      <c r="L361" s="59" t="e" cm="1">
        <f t="array" ref="L361">INDEX($J$4:J1451, MATCH(1,(A361=$A$4:A1449)*(C361=$C$4:C1449)*("Y"=$K$4:K1451),0))</f>
        <v>#N/A</v>
      </c>
      <c r="M361" s="1">
        <v>1000</v>
      </c>
      <c r="N361">
        <v>160</v>
      </c>
      <c r="O361">
        <v>168</v>
      </c>
      <c r="P361">
        <v>201</v>
      </c>
      <c r="Q361" s="6">
        <f>(SUM(Pcfu4[[#This Row],[R1]:[R3]]))/(Pcfu4[[#This Row],[No. Reps]]*0.025)*Pcfu4[[#This Row],[Best DF]]</f>
        <v>7053333.3333333321</v>
      </c>
      <c r="R361" s="1">
        <f>_xlfn.STDEV.S(Pcfu4[[#This Row],[R1]:[R3]])/0.025*Pcfu4[[#This Row],[Best DF]]</f>
        <v>869329.24334416422</v>
      </c>
      <c r="S361" s="6">
        <f>Pcfu4[[#This Row],[CFU/mL]]*Pcfu4[[#This Row],[mL]]/Pcfu4[[#This Row],[grams]]</f>
        <v>134013333.33333331</v>
      </c>
      <c r="T361" s="1">
        <f>Pcfu4[[#This Row],[SD CFU/mL]]*Pcfu4[[#This Row],[mL]]/Pcfu4[[#This Row],[grams]]</f>
        <v>16517255.623539122</v>
      </c>
      <c r="U361" s="7">
        <f>_xlfn.STDEV.S(Pcfu43[[#This Row],[R1]:[R3]])/AVERAGE(Pcfu43[[#This Row],[R1]:[R3]])</f>
        <v>0.42828956637154014</v>
      </c>
      <c r="V361" s="96"/>
      <c r="W361" s="7"/>
    </row>
    <row r="362" spans="1:24" x14ac:dyDescent="0.15">
      <c r="A362" t="s">
        <v>158</v>
      </c>
      <c r="B362" t="s">
        <v>378</v>
      </c>
      <c r="D362"/>
      <c r="E362" s="3">
        <v>3</v>
      </c>
      <c r="G362">
        <v>0.3</v>
      </c>
      <c r="H362" s="5">
        <f>19*Pcfu4[[#This Row],[grams]]</f>
        <v>5.7</v>
      </c>
      <c r="I362" s="3" t="s">
        <v>170</v>
      </c>
      <c r="J362" s="59">
        <v>44916</v>
      </c>
      <c r="L362" s="59" t="e" cm="1">
        <f t="array" ref="L362">INDEX($J$4:J1452, MATCH(1,(A362=$A$4:A1450)*(C362=$C$4:C1450)*("Y"=$K$4:K1452),0))</f>
        <v>#N/A</v>
      </c>
      <c r="M362" s="1">
        <v>1000</v>
      </c>
      <c r="N362">
        <v>252</v>
      </c>
      <c r="O362">
        <v>260</v>
      </c>
      <c r="P362">
        <v>222</v>
      </c>
      <c r="Q362" s="6">
        <f>(SUM(Pcfu4[[#This Row],[R1]:[R3]]))/(Pcfu4[[#This Row],[No. Reps]]*0.025)*Pcfu4[[#This Row],[Best DF]]</f>
        <v>9786666.666666666</v>
      </c>
      <c r="R362" s="1">
        <f>_xlfn.STDEV.S(Pcfu4[[#This Row],[R1]:[R3]])/0.025*Pcfu4[[#This Row],[Best DF]]</f>
        <v>801332.22407022491</v>
      </c>
      <c r="S362" s="6">
        <f>Pcfu4[[#This Row],[CFU/mL]]*Pcfu4[[#This Row],[mL]]/Pcfu4[[#This Row],[grams]]</f>
        <v>185946666.66666669</v>
      </c>
      <c r="T362" s="1">
        <f>Pcfu4[[#This Row],[SD CFU/mL]]*Pcfu4[[#This Row],[mL]]/Pcfu4[[#This Row],[grams]]</f>
        <v>15225312.257334273</v>
      </c>
      <c r="U362" s="7">
        <f>_xlfn.STDEV.S(Pcfu43[[#This Row],[R1]:[R3]])/AVERAGE(Pcfu43[[#This Row],[R1]:[R3]])</f>
        <v>0.28641098093473999</v>
      </c>
      <c r="V362" s="96"/>
      <c r="W362" s="7"/>
    </row>
    <row r="363" spans="1:24" x14ac:dyDescent="0.15">
      <c r="A363" t="s">
        <v>377</v>
      </c>
      <c r="B363" t="s">
        <v>379</v>
      </c>
      <c r="D363"/>
      <c r="E363" s="3">
        <v>3</v>
      </c>
      <c r="G363">
        <v>0.3</v>
      </c>
      <c r="H363" s="5">
        <f>19*Pcfu4[[#This Row],[grams]]</f>
        <v>5.7</v>
      </c>
      <c r="I363" s="3" t="s">
        <v>170</v>
      </c>
      <c r="J363" s="59">
        <v>44916</v>
      </c>
      <c r="L363" s="59" t="e" cm="1">
        <f t="array" ref="L363">INDEX($J$4:J1453, MATCH(1,(A363=$A$4:A1451)*(C363=$C$4:C1451)*("Y"=$K$4:K1453),0))</f>
        <v>#N/A</v>
      </c>
      <c r="M363" s="1">
        <v>100000</v>
      </c>
      <c r="N363">
        <v>65</v>
      </c>
      <c r="O363">
        <v>55</v>
      </c>
      <c r="P363">
        <v>53</v>
      </c>
      <c r="Q363" s="6">
        <f>(SUM(Pcfu4[[#This Row],[R1]:[R3]]))/(Pcfu4[[#This Row],[No. Reps]]*0.025)*Pcfu4[[#This Row],[Best DF]]</f>
        <v>230666666.66666666</v>
      </c>
      <c r="R363" s="1">
        <f>_xlfn.STDEV.S(Pcfu4[[#This Row],[R1]:[R3]])/0.025*Pcfu4[[#This Row],[Best DF]]</f>
        <v>25716402.029314548</v>
      </c>
      <c r="S363" s="6">
        <f>Pcfu4[[#This Row],[CFU/mL]]*Pcfu4[[#This Row],[mL]]/Pcfu4[[#This Row],[grams]]</f>
        <v>4382666666.666667</v>
      </c>
      <c r="T363" s="1">
        <f>Pcfu4[[#This Row],[SD CFU/mL]]*Pcfu4[[#This Row],[mL]]/Pcfu4[[#This Row],[grams]]</f>
        <v>488611638.55697644</v>
      </c>
      <c r="U363" s="7">
        <f>_xlfn.STDEV.S(Pcfu43[[#This Row],[R1]:[R3]])/AVERAGE(Pcfu43[[#This Row],[R1]:[R3]])</f>
        <v>0.3886009541236084</v>
      </c>
      <c r="V363" s="96"/>
      <c r="W363" s="7"/>
    </row>
    <row r="364" spans="1:24" x14ac:dyDescent="0.15">
      <c r="A364" t="s">
        <v>73</v>
      </c>
      <c r="B364" t="s">
        <v>379</v>
      </c>
      <c r="D364"/>
      <c r="E364" s="3">
        <v>3</v>
      </c>
      <c r="G364">
        <v>0.3</v>
      </c>
      <c r="H364" s="5">
        <f>19*Pcfu4[[#This Row],[grams]]</f>
        <v>5.7</v>
      </c>
      <c r="I364" s="3" t="s">
        <v>170</v>
      </c>
      <c r="J364" s="59">
        <v>44916</v>
      </c>
      <c r="L364" s="59" t="e" cm="1">
        <f t="array" ref="L364">INDEX($J$4:J1454, MATCH(1,(A364=$A$4:A1452)*(C364=$C$4:C1452)*("Y"=$K$4:K1454),0))</f>
        <v>#N/A</v>
      </c>
      <c r="M364" s="1">
        <v>1000</v>
      </c>
      <c r="N364">
        <v>166</v>
      </c>
      <c r="O364">
        <v>172</v>
      </c>
      <c r="P364">
        <v>178</v>
      </c>
      <c r="Q364" s="6">
        <f>(SUM(Pcfu4[[#This Row],[R1]:[R3]]))/(Pcfu4[[#This Row],[No. Reps]]*0.025)*Pcfu4[[#This Row],[Best DF]]</f>
        <v>6879999.9999999991</v>
      </c>
      <c r="R364" s="1">
        <f>_xlfn.STDEV.S(Pcfu4[[#This Row],[R1]:[R3]])/0.025*Pcfu4[[#This Row],[Best DF]]</f>
        <v>240000</v>
      </c>
      <c r="S364" s="6">
        <f>Pcfu4[[#This Row],[CFU/mL]]*Pcfu4[[#This Row],[mL]]/Pcfu4[[#This Row],[grams]]</f>
        <v>130719999.99999999</v>
      </c>
      <c r="T364" s="1">
        <f>Pcfu4[[#This Row],[SD CFU/mL]]*Pcfu4[[#This Row],[mL]]/Pcfu4[[#This Row],[grams]]</f>
        <v>4560000</v>
      </c>
      <c r="U364" s="7">
        <f>_xlfn.STDEV.S(Pcfu43[[#This Row],[R1]:[R3]])/AVERAGE(Pcfu43[[#This Row],[R1]:[R3]])</f>
        <v>9.8974331861078693E-2</v>
      </c>
      <c r="V364" s="96"/>
      <c r="W364" s="7"/>
    </row>
    <row r="365" spans="1:24" x14ac:dyDescent="0.15">
      <c r="A365" t="s">
        <v>47</v>
      </c>
      <c r="B365" t="s">
        <v>204</v>
      </c>
      <c r="D365" t="s">
        <v>86</v>
      </c>
      <c r="E365" s="3">
        <v>2</v>
      </c>
      <c r="G365">
        <v>0.3</v>
      </c>
      <c r="H365" s="5">
        <f>19*Pcfu4[[#This Row],[grams]]</f>
        <v>5.7</v>
      </c>
      <c r="I365" s="3" t="s">
        <v>170</v>
      </c>
      <c r="J365" s="59">
        <v>44916</v>
      </c>
      <c r="L365" s="59" t="e" cm="1">
        <f t="array" ref="L365">INDEX($J$4:J1455, MATCH(1,(A365=$A$4:A1453)*(C365=$C$4:C1453)*("Y"=$K$4:K1455),0))</f>
        <v>#N/A</v>
      </c>
      <c r="M365" s="1">
        <v>10000000</v>
      </c>
      <c r="N365">
        <v>36</v>
      </c>
      <c r="O365">
        <v>32</v>
      </c>
      <c r="P365"/>
      <c r="Q365" s="6">
        <f>(SUM(Pcfu4[[#This Row],[R1]:[R3]]))/(Pcfu4[[#This Row],[No. Reps]]*0.025)*Pcfu4[[#This Row],[Best DF]]</f>
        <v>13600000000</v>
      </c>
      <c r="R365" s="1">
        <f>_xlfn.STDEV.S(Pcfu4[[#This Row],[R1]:[R3]])/0.025*Pcfu4[[#This Row],[Best DF]]</f>
        <v>1131370849.8984761</v>
      </c>
      <c r="S365" s="6">
        <f>Pcfu4[[#This Row],[CFU/mL]]*Pcfu4[[#This Row],[mL]]/Pcfu4[[#This Row],[grams]]</f>
        <v>258400000000</v>
      </c>
      <c r="T365" s="1">
        <f>Pcfu4[[#This Row],[SD CFU/mL]]*Pcfu4[[#This Row],[mL]]/Pcfu4[[#This Row],[grams]]</f>
        <v>21496046148.071049</v>
      </c>
      <c r="U365" s="7">
        <f>_xlfn.STDEV.S(Pcfu43[[#This Row],[R1]:[R3]])/AVERAGE(Pcfu43[[#This Row],[R1]:[R3]])</f>
        <v>8.7957718287301395E-2</v>
      </c>
      <c r="V365" s="96">
        <v>0.20699999999999999</v>
      </c>
      <c r="W365" s="7" t="s">
        <v>206</v>
      </c>
      <c r="X365" t="s">
        <v>380</v>
      </c>
    </row>
    <row r="366" spans="1:24" x14ac:dyDescent="0.15">
      <c r="A366" t="s">
        <v>50</v>
      </c>
      <c r="B366" t="s">
        <v>204</v>
      </c>
      <c r="D366" t="s">
        <v>86</v>
      </c>
      <c r="E366" s="3">
        <v>2</v>
      </c>
      <c r="G366">
        <v>0.3</v>
      </c>
      <c r="H366" s="5">
        <f>19*Pcfu4[[#This Row],[grams]]</f>
        <v>5.7</v>
      </c>
      <c r="I366" s="3" t="s">
        <v>170</v>
      </c>
      <c r="J366" s="59">
        <v>44916</v>
      </c>
      <c r="L366" s="59" t="e" cm="1">
        <f t="array" ref="L366">INDEX($J$4:J1456, MATCH(1,(A366=$A$4:A1454)*(C366=$C$4:C1454)*("Y"=$K$4:K1456),0))</f>
        <v>#N/A</v>
      </c>
      <c r="M366" s="1">
        <v>1000000</v>
      </c>
      <c r="N366">
        <v>128</v>
      </c>
      <c r="O366">
        <v>122</v>
      </c>
      <c r="P366"/>
      <c r="Q366" s="6">
        <f>(SUM(Pcfu4[[#This Row],[R1]:[R3]]))/(Pcfu4[[#This Row],[No. Reps]]*0.025)*Pcfu4[[#This Row],[Best DF]]</f>
        <v>5000000000</v>
      </c>
      <c r="R366" s="1">
        <f>_xlfn.STDEV.S(Pcfu4[[#This Row],[R1]:[R3]])/0.025*Pcfu4[[#This Row],[Best DF]]</f>
        <v>169705627.48477137</v>
      </c>
      <c r="S366" s="6">
        <f>Pcfu4[[#This Row],[CFU/mL]]*Pcfu4[[#This Row],[mL]]/Pcfu4[[#This Row],[grams]]</f>
        <v>95000000000</v>
      </c>
      <c r="T366" s="1">
        <f>Pcfu4[[#This Row],[SD CFU/mL]]*Pcfu4[[#This Row],[mL]]/Pcfu4[[#This Row],[grams]]</f>
        <v>3224406922.2106562</v>
      </c>
      <c r="U366" s="7">
        <f>_xlfn.STDEV.S(Pcfu43[[#This Row],[R1]:[R3]])/AVERAGE(Pcfu43[[#This Row],[R1]:[R3]])</f>
        <v>5.8059009692998632E-2</v>
      </c>
      <c r="V366" s="96">
        <v>0.153</v>
      </c>
      <c r="W366" s="7"/>
      <c r="X366" s="61" t="s">
        <v>381</v>
      </c>
    </row>
    <row r="367" spans="1:24" x14ac:dyDescent="0.15">
      <c r="A367" t="s">
        <v>53</v>
      </c>
      <c r="B367" t="s">
        <v>204</v>
      </c>
      <c r="D367" t="s">
        <v>86</v>
      </c>
      <c r="E367" s="3">
        <v>2</v>
      </c>
      <c r="G367">
        <v>0.3</v>
      </c>
      <c r="H367" s="5">
        <f>19*Pcfu4[[#This Row],[grams]]</f>
        <v>5.7</v>
      </c>
      <c r="I367" s="3" t="s">
        <v>170</v>
      </c>
      <c r="J367" s="59">
        <v>44916</v>
      </c>
      <c r="L367" s="59" t="e" cm="1">
        <f t="array" ref="L367">INDEX($J$4:J1457, MATCH(1,(A367=$A$4:A1455)*(C367=$C$4:C1455)*("Y"=$K$4:K1457),0))</f>
        <v>#N/A</v>
      </c>
      <c r="M367" s="1">
        <v>1000000</v>
      </c>
      <c r="N367">
        <v>80</v>
      </c>
      <c r="O367">
        <v>68</v>
      </c>
      <c r="P367"/>
      <c r="Q367" s="6">
        <f>(SUM(Pcfu4[[#This Row],[R1]:[R3]]))/(Pcfu4[[#This Row],[No. Reps]]*0.025)*Pcfu4[[#This Row],[Best DF]]</f>
        <v>2960000000</v>
      </c>
      <c r="R367" s="1">
        <f>_xlfn.STDEV.S(Pcfu4[[#This Row],[R1]:[R3]])/0.025*Pcfu4[[#This Row],[Best DF]]</f>
        <v>339411254.96954274</v>
      </c>
      <c r="S367" s="6">
        <f>Pcfu4[[#This Row],[CFU/mL]]*Pcfu4[[#This Row],[mL]]/Pcfu4[[#This Row],[grams]]</f>
        <v>56240000000</v>
      </c>
      <c r="T367" s="1">
        <f>Pcfu4[[#This Row],[SD CFU/mL]]*Pcfu4[[#This Row],[mL]]/Pcfu4[[#This Row],[grams]]</f>
        <v>6448813844.4213123</v>
      </c>
      <c r="U367" s="7">
        <f>_xlfn.STDEV.S(Pcfu43[[#This Row],[R1]:[R3]])/AVERAGE(Pcfu43[[#This Row],[R1]:[R3]])</f>
        <v>3.2529096593587117E-2</v>
      </c>
      <c r="V367" s="96">
        <v>0.26800000000000002</v>
      </c>
      <c r="W367" s="7"/>
      <c r="X367" s="61" t="s">
        <v>382</v>
      </c>
    </row>
    <row r="368" spans="1:24" x14ac:dyDescent="0.15">
      <c r="A368" t="s">
        <v>55</v>
      </c>
      <c r="B368" t="s">
        <v>204</v>
      </c>
      <c r="D368" t="s">
        <v>86</v>
      </c>
      <c r="E368" s="3">
        <v>2</v>
      </c>
      <c r="G368">
        <v>0.3</v>
      </c>
      <c r="H368" s="5">
        <f>19*Pcfu4[[#This Row],[grams]]</f>
        <v>5.7</v>
      </c>
      <c r="I368" s="3" t="s">
        <v>170</v>
      </c>
      <c r="J368" s="59">
        <v>44916</v>
      </c>
      <c r="L368" s="59" t="e" cm="1">
        <f t="array" ref="L368">INDEX($J$4:J1458, MATCH(1,(A368=$A$4:A1456)*(C368=$C$4:C1456)*("Y"=$K$4:K1458),0))</f>
        <v>#N/A</v>
      </c>
      <c r="M368" s="1">
        <v>1000000</v>
      </c>
      <c r="N368">
        <v>38</v>
      </c>
      <c r="O368">
        <v>33</v>
      </c>
      <c r="P368"/>
      <c r="Q368" s="6">
        <f>(SUM(Pcfu4[[#This Row],[R1]:[R3]]))/(Pcfu4[[#This Row],[No. Reps]]*0.025)*Pcfu4[[#This Row],[Best DF]]</f>
        <v>1420000000</v>
      </c>
      <c r="R368" s="1">
        <f>_xlfn.STDEV.S(Pcfu4[[#This Row],[R1]:[R3]])/0.025*Pcfu4[[#This Row],[Best DF]]</f>
        <v>141421356.23730952</v>
      </c>
      <c r="S368" s="6">
        <f>Pcfu4[[#This Row],[CFU/mL]]*Pcfu4[[#This Row],[mL]]/Pcfu4[[#This Row],[grams]]</f>
        <v>26980000000</v>
      </c>
      <c r="T368" s="1">
        <f>Pcfu4[[#This Row],[SD CFU/mL]]*Pcfu4[[#This Row],[mL]]/Pcfu4[[#This Row],[grams]]</f>
        <v>2687005768.5088811</v>
      </c>
      <c r="U368" s="7">
        <f>_xlfn.STDEV.S(Pcfu43[[#This Row],[R1]:[R3]])/AVERAGE(Pcfu43[[#This Row],[R1]:[R3]])</f>
        <v>0.10187685250718381</v>
      </c>
      <c r="V368" s="96">
        <v>0.26500000000000001</v>
      </c>
      <c r="W368" s="7"/>
      <c r="X368" s="61" t="s">
        <v>383</v>
      </c>
    </row>
    <row r="369" spans="1:24" x14ac:dyDescent="0.15">
      <c r="A369" t="s">
        <v>58</v>
      </c>
      <c r="B369" t="s">
        <v>204</v>
      </c>
      <c r="D369" t="s">
        <v>86</v>
      </c>
      <c r="E369" s="3">
        <v>2</v>
      </c>
      <c r="G369">
        <v>0.3</v>
      </c>
      <c r="H369" s="5">
        <f>19*Pcfu4[[#This Row],[grams]]</f>
        <v>5.7</v>
      </c>
      <c r="I369" s="3" t="s">
        <v>170</v>
      </c>
      <c r="J369" s="59">
        <v>44916</v>
      </c>
      <c r="L369" s="59" t="e" cm="1">
        <f t="array" ref="L369">INDEX($J$4:J1459, MATCH(1,(A369=$A$4:A1457)*(C369=$C$4:C1457)*("Y"=$K$4:K1459),0))</f>
        <v>#N/A</v>
      </c>
      <c r="M369" s="1">
        <v>1000000</v>
      </c>
      <c r="N369">
        <v>53</v>
      </c>
      <c r="O369">
        <v>66</v>
      </c>
      <c r="P369"/>
      <c r="Q369" s="6">
        <f>(SUM(Pcfu4[[#This Row],[R1]:[R3]]))/(Pcfu4[[#This Row],[No. Reps]]*0.025)*Pcfu4[[#This Row],[Best DF]]</f>
        <v>2380000000</v>
      </c>
      <c r="R369" s="1">
        <f>_xlfn.STDEV.S(Pcfu4[[#This Row],[R1]:[R3]])/0.025*Pcfu4[[#This Row],[Best DF]]</f>
        <v>367695526.21700466</v>
      </c>
      <c r="S369" s="6">
        <f>Pcfu4[[#This Row],[CFU/mL]]*Pcfu4[[#This Row],[mL]]/Pcfu4[[#This Row],[grams]]</f>
        <v>45220000000</v>
      </c>
      <c r="T369" s="1">
        <f>Pcfu4[[#This Row],[SD CFU/mL]]*Pcfu4[[#This Row],[mL]]/Pcfu4[[#This Row],[grams]]</f>
        <v>6986214998.1230888</v>
      </c>
      <c r="U369" s="7">
        <f>_xlfn.STDEV.S(Pcfu43[[#This Row],[R1]:[R3]])/AVERAGE(Pcfu43[[#This Row],[R1]:[R3]])</f>
        <v>4.3985155195259001E-2</v>
      </c>
      <c r="V369" s="96">
        <v>0.221</v>
      </c>
      <c r="W369" s="7"/>
      <c r="X369" s="61" t="s">
        <v>384</v>
      </c>
    </row>
    <row r="370" spans="1:24" x14ac:dyDescent="0.15">
      <c r="A370" t="s">
        <v>60</v>
      </c>
      <c r="B370" t="s">
        <v>204</v>
      </c>
      <c r="D370" t="s">
        <v>86</v>
      </c>
      <c r="E370" s="3">
        <v>2</v>
      </c>
      <c r="G370">
        <v>0.3</v>
      </c>
      <c r="H370" s="5">
        <f>19*Pcfu4[[#This Row],[grams]]</f>
        <v>5.7</v>
      </c>
      <c r="I370" s="3" t="s">
        <v>170</v>
      </c>
      <c r="J370" s="59">
        <v>44916</v>
      </c>
      <c r="L370" s="59" t="e" cm="1">
        <f t="array" ref="L370">INDEX($J$4:J1460, MATCH(1,(A370=$A$4:A1458)*(C370=$C$4:C1458)*("Y"=$K$4:K1460),0))</f>
        <v>#N/A</v>
      </c>
      <c r="M370" s="1">
        <v>1000000</v>
      </c>
      <c r="N370">
        <v>53</v>
      </c>
      <c r="O370">
        <v>43</v>
      </c>
      <c r="P370"/>
      <c r="Q370" s="6">
        <f>(SUM(Pcfu4[[#This Row],[R1]:[R3]]))/(Pcfu4[[#This Row],[No. Reps]]*0.025)*Pcfu4[[#This Row],[Best DF]]</f>
        <v>1920000000</v>
      </c>
      <c r="R370" s="1">
        <f>_xlfn.STDEV.S(Pcfu4[[#This Row],[R1]:[R3]])/0.025*Pcfu4[[#This Row],[Best DF]]</f>
        <v>282842712.47461903</v>
      </c>
      <c r="S370" s="6">
        <f>Pcfu4[[#This Row],[CFU/mL]]*Pcfu4[[#This Row],[mL]]/Pcfu4[[#This Row],[grams]]</f>
        <v>36480000000</v>
      </c>
      <c r="T370" s="1">
        <f>Pcfu4[[#This Row],[SD CFU/mL]]*Pcfu4[[#This Row],[mL]]/Pcfu4[[#This Row],[grams]]</f>
        <v>5374011537.0177622</v>
      </c>
      <c r="U370" s="7">
        <f>_xlfn.STDEV.S(Pcfu43[[#This Row],[R1]:[R3]])/AVERAGE(Pcfu43[[#This Row],[R1]:[R3]])</f>
        <v>3.7021297444321859E-2</v>
      </c>
      <c r="V370" s="96">
        <v>0.25700000000000001</v>
      </c>
      <c r="W370" s="7"/>
      <c r="X370" t="s">
        <v>385</v>
      </c>
    </row>
    <row r="371" spans="1:24" x14ac:dyDescent="0.15">
      <c r="A371" t="s">
        <v>260</v>
      </c>
      <c r="B371" t="s">
        <v>204</v>
      </c>
      <c r="D371" t="s">
        <v>86</v>
      </c>
      <c r="E371" s="3">
        <v>2</v>
      </c>
      <c r="G371">
        <v>0.3</v>
      </c>
      <c r="H371" s="5">
        <f>19*Pcfu4[[#This Row],[grams]]</f>
        <v>5.7</v>
      </c>
      <c r="I371" s="3" t="s">
        <v>170</v>
      </c>
      <c r="J371" s="59">
        <v>44916</v>
      </c>
      <c r="L371" s="59" t="e" cm="1">
        <f t="array" ref="L371">INDEX($J$4:J1461, MATCH(1,(A371=$A$4:A1459)*(C371=$C$4:C1459)*("Y"=$K$4:K1461),0))</f>
        <v>#N/A</v>
      </c>
      <c r="M371" s="1">
        <v>1000000</v>
      </c>
      <c r="N371">
        <v>46</v>
      </c>
      <c r="O371">
        <v>58</v>
      </c>
      <c r="P371"/>
      <c r="Q371" s="6">
        <f>(SUM(Pcfu4[[#This Row],[R1]:[R3]]))/(Pcfu4[[#This Row],[No. Reps]]*0.025)*Pcfu4[[#This Row],[Best DF]]</f>
        <v>2080000000</v>
      </c>
      <c r="R371" s="1">
        <f>_xlfn.STDEV.S(Pcfu4[[#This Row],[R1]:[R3]])/0.025*Pcfu4[[#This Row],[Best DF]]</f>
        <v>339411254.96954274</v>
      </c>
      <c r="S371" s="6">
        <f>Pcfu4[[#This Row],[CFU/mL]]*Pcfu4[[#This Row],[mL]]/Pcfu4[[#This Row],[grams]]</f>
        <v>39520000000</v>
      </c>
      <c r="T371" s="1">
        <f>Pcfu4[[#This Row],[SD CFU/mL]]*Pcfu4[[#This Row],[mL]]/Pcfu4[[#This Row],[grams]]</f>
        <v>6448813844.4213123</v>
      </c>
      <c r="U371" s="7">
        <f>_xlfn.STDEV.S(Pcfu43[[#This Row],[R1]:[R3]])/AVERAGE(Pcfu43[[#This Row],[R1]:[R3]])</f>
        <v>0.12221598687174895</v>
      </c>
      <c r="V371" s="96">
        <v>0.246</v>
      </c>
      <c r="W371" s="7"/>
      <c r="X371" t="s">
        <v>386</v>
      </c>
    </row>
    <row r="372" spans="1:24" x14ac:dyDescent="0.15">
      <c r="A372" t="s">
        <v>372</v>
      </c>
      <c r="B372" t="s">
        <v>387</v>
      </c>
      <c r="D372" t="s">
        <v>217</v>
      </c>
      <c r="E372" s="3">
        <v>2</v>
      </c>
      <c r="G372">
        <v>0.3</v>
      </c>
      <c r="H372" s="5">
        <f>19*Pcfu4[[#This Row],[grams]]</f>
        <v>5.7</v>
      </c>
      <c r="I372" s="3" t="s">
        <v>170</v>
      </c>
      <c r="J372" s="59">
        <v>44916</v>
      </c>
      <c r="L372" s="59" t="e" cm="1">
        <f t="array" ref="L372">INDEX($J$4:J1462, MATCH(1,(A372=$A$4:A1460)*(C372=$C$4:C1460)*("Y"=$K$4:K1462),0))</f>
        <v>#N/A</v>
      </c>
      <c r="M372" s="1">
        <v>10000</v>
      </c>
      <c r="N372">
        <v>50</v>
      </c>
      <c r="O372">
        <v>51</v>
      </c>
      <c r="P372"/>
      <c r="Q372" s="6">
        <f>(SUM(Pcfu4[[#This Row],[R1]:[R3]]))/(Pcfu4[[#This Row],[No. Reps]]*0.025)*Pcfu4[[#This Row],[Best DF]]</f>
        <v>20200000</v>
      </c>
      <c r="R372" s="1">
        <f>_xlfn.STDEV.S(Pcfu4[[#This Row],[R1]:[R3]])/0.025*Pcfu4[[#This Row],[Best DF]]</f>
        <v>282842.71247461904</v>
      </c>
      <c r="S372" s="6">
        <f>Pcfu4[[#This Row],[CFU/mL]]*Pcfu4[[#This Row],[mL]]/Pcfu4[[#This Row],[grams]]</f>
        <v>383800000</v>
      </c>
      <c r="T372" s="1">
        <f>Pcfu4[[#This Row],[SD CFU/mL]]*Pcfu4[[#This Row],[mL]]/Pcfu4[[#This Row],[grams]]</f>
        <v>5374011.5370177617</v>
      </c>
      <c r="U372" s="7">
        <f>_xlfn.STDEV.S(Pcfu43[[#This Row],[R1]:[R3]])/AVERAGE(Pcfu43[[#This Row],[R1]:[R3]])</f>
        <v>3.189955403849086E-2</v>
      </c>
      <c r="V372" s="96"/>
      <c r="W372" s="7"/>
    </row>
    <row r="373" spans="1:24" x14ac:dyDescent="0.15">
      <c r="A373" t="s">
        <v>375</v>
      </c>
      <c r="B373" t="s">
        <v>387</v>
      </c>
      <c r="D373" t="s">
        <v>217</v>
      </c>
      <c r="E373" s="3">
        <v>2</v>
      </c>
      <c r="G373">
        <v>0.3</v>
      </c>
      <c r="H373" s="5">
        <f>19*Pcfu4[[#This Row],[grams]]</f>
        <v>5.7</v>
      </c>
      <c r="I373" s="3" t="s">
        <v>170</v>
      </c>
      <c r="J373" s="59">
        <v>44916</v>
      </c>
      <c r="L373" s="59" t="e" cm="1">
        <f t="array" ref="L373">INDEX($J$4:J1463, MATCH(1,(A373=$A$4:A1461)*(C373=$C$4:C1461)*("Y"=$K$4:K1463),0))</f>
        <v>#N/A</v>
      </c>
      <c r="M373" s="1">
        <v>10000</v>
      </c>
      <c r="N373">
        <v>32</v>
      </c>
      <c r="O373">
        <v>30</v>
      </c>
      <c r="P373"/>
      <c r="Q373" s="6">
        <f>(SUM(Pcfu4[[#This Row],[R1]:[R3]]))/(Pcfu4[[#This Row],[No. Reps]]*0.025)*Pcfu4[[#This Row],[Best DF]]</f>
        <v>12400000</v>
      </c>
      <c r="R373" s="1">
        <f>_xlfn.STDEV.S(Pcfu4[[#This Row],[R1]:[R3]])/0.025*Pcfu4[[#This Row],[Best DF]]</f>
        <v>565685.42494923808</v>
      </c>
      <c r="S373" s="6">
        <f>Pcfu4[[#This Row],[CFU/mL]]*Pcfu4[[#This Row],[mL]]/Pcfu4[[#This Row],[grams]]</f>
        <v>235600000</v>
      </c>
      <c r="T373" s="1">
        <f>Pcfu4[[#This Row],[SD CFU/mL]]*Pcfu4[[#This Row],[mL]]/Pcfu4[[#This Row],[grams]]</f>
        <v>10748023.074035523</v>
      </c>
      <c r="U373" s="7">
        <f>_xlfn.STDEV.S(Pcfu43[[#This Row],[R1]:[R3]])/AVERAGE(Pcfu43[[#This Row],[R1]:[R3]])</f>
        <v>6.4282434653322493E-2</v>
      </c>
      <c r="V373" s="96"/>
      <c r="W373" s="7"/>
    </row>
    <row r="374" spans="1:24" x14ac:dyDescent="0.15">
      <c r="A374" t="s">
        <v>376</v>
      </c>
      <c r="B374" t="s">
        <v>387</v>
      </c>
      <c r="D374" t="s">
        <v>217</v>
      </c>
      <c r="E374" s="3">
        <v>2</v>
      </c>
      <c r="G374">
        <v>0.3</v>
      </c>
      <c r="H374" s="5">
        <f>19*Pcfu4[[#This Row],[grams]]</f>
        <v>5.7</v>
      </c>
      <c r="I374" s="3" t="s">
        <v>170</v>
      </c>
      <c r="J374" s="59">
        <v>44916</v>
      </c>
      <c r="L374" s="59" t="e" cm="1">
        <f t="array" ref="L374">INDEX($J$4:J1464, MATCH(1,(A374=$A$4:A1462)*(C374=$C$4:C1462)*("Y"=$K$4:K1464),0))</f>
        <v>#N/A</v>
      </c>
      <c r="M374" s="1">
        <v>1000000</v>
      </c>
      <c r="N374">
        <v>59</v>
      </c>
      <c r="O374">
        <v>62</v>
      </c>
      <c r="P374"/>
      <c r="Q374" s="6">
        <f>(SUM(Pcfu4[[#This Row],[R1]:[R3]]))/(Pcfu4[[#This Row],[No. Reps]]*0.025)*Pcfu4[[#This Row],[Best DF]]</f>
        <v>2420000000</v>
      </c>
      <c r="R374" s="1">
        <f>_xlfn.STDEV.S(Pcfu4[[#This Row],[R1]:[R3]])/0.025*Pcfu4[[#This Row],[Best DF]]</f>
        <v>84852813.742385685</v>
      </c>
      <c r="S374" s="6">
        <f>Pcfu4[[#This Row],[CFU/mL]]*Pcfu4[[#This Row],[mL]]/Pcfu4[[#This Row],[grams]]</f>
        <v>45980000000</v>
      </c>
      <c r="T374" s="1">
        <f>Pcfu4[[#This Row],[SD CFU/mL]]*Pcfu4[[#This Row],[mL]]/Pcfu4[[#This Row],[grams]]</f>
        <v>1612203461.1053281</v>
      </c>
      <c r="U374" s="7">
        <f>_xlfn.STDEV.S(Pcfu43[[#This Row],[R1]:[R3]])/AVERAGE(Pcfu43[[#This Row],[R1]:[R3]])</f>
        <v>0.14476201819567114</v>
      </c>
      <c r="V374" s="96"/>
      <c r="W374" s="7"/>
    </row>
    <row r="375" spans="1:24" x14ac:dyDescent="0.15">
      <c r="A375" t="s">
        <v>83</v>
      </c>
      <c r="B375" t="s">
        <v>388</v>
      </c>
      <c r="D375"/>
      <c r="E375" s="3">
        <v>3</v>
      </c>
      <c r="G375">
        <v>0.3</v>
      </c>
      <c r="H375" s="5">
        <f>19*Pcfu4[[#This Row],[grams]]</f>
        <v>5.7</v>
      </c>
      <c r="I375" s="3" t="s">
        <v>170</v>
      </c>
      <c r="J375" s="59">
        <v>44916</v>
      </c>
      <c r="L375" s="59" t="e" cm="1">
        <f t="array" ref="L375">INDEX($J$4:J1465, MATCH(1,(A375=$A$4:A1463)*(C375=$C$4:C1463)*("Y"=$K$4:K1465),0))</f>
        <v>#N/A</v>
      </c>
      <c r="M375" s="1">
        <v>100000</v>
      </c>
      <c r="N375">
        <v>35</v>
      </c>
      <c r="O375">
        <v>43</v>
      </c>
      <c r="P375">
        <v>44</v>
      </c>
      <c r="Q375" s="6">
        <f>(SUM(Pcfu4[[#This Row],[R1]:[R3]]))/(Pcfu4[[#This Row],[No. Reps]]*0.025)*Pcfu4[[#This Row],[Best DF]]</f>
        <v>162666666.66666666</v>
      </c>
      <c r="R375" s="1">
        <f>_xlfn.STDEV.S(Pcfu4[[#This Row],[R1]:[R3]])/0.025*Pcfu4[[#This Row],[Best DF]]</f>
        <v>19731531.449264992</v>
      </c>
      <c r="S375" s="6">
        <f>Pcfu4[[#This Row],[CFU/mL]]*Pcfu4[[#This Row],[mL]]/Pcfu4[[#This Row],[grams]]</f>
        <v>3090666666.666667</v>
      </c>
      <c r="T375" s="1">
        <f>Pcfu4[[#This Row],[SD CFU/mL]]*Pcfu4[[#This Row],[mL]]/Pcfu4[[#This Row],[grams]]</f>
        <v>374899097.53603488</v>
      </c>
      <c r="U375" s="7">
        <f>_xlfn.STDEV.S(Pcfu43[[#This Row],[R1]:[R3]])/AVERAGE(Pcfu43[[#This Row],[R1]:[R3]])</f>
        <v>7.2259087128552307E-2</v>
      </c>
      <c r="V375" s="96"/>
      <c r="W375" s="7"/>
    </row>
    <row r="376" spans="1:24" x14ac:dyDescent="0.15">
      <c r="A376" t="s">
        <v>389</v>
      </c>
      <c r="B376" t="s">
        <v>330</v>
      </c>
      <c r="D376" t="s">
        <v>86</v>
      </c>
      <c r="E376" s="3">
        <v>2</v>
      </c>
      <c r="G376">
        <v>0.3</v>
      </c>
      <c r="H376" s="5">
        <f>19*Pcfu4[[#This Row],[grams]]</f>
        <v>5.7</v>
      </c>
      <c r="I376" s="3" t="s">
        <v>170</v>
      </c>
      <c r="J376" s="59">
        <v>44929</v>
      </c>
      <c r="L376" s="59" t="e" cm="1">
        <f t="array" ref="L376">INDEX($J$4:J1466, MATCH(1,(A376=$A$4:A1464)*(C376=$C$4:C1464)*("Y"=$K$4:K1466),0))</f>
        <v>#N/A</v>
      </c>
      <c r="M376" s="1">
        <v>1000000</v>
      </c>
      <c r="N376">
        <v>43</v>
      </c>
      <c r="O376">
        <v>64</v>
      </c>
      <c r="P376"/>
      <c r="Q376" s="6">
        <f>(SUM(Pcfu4[[#This Row],[R1]:[R3]]))/(Pcfu4[[#This Row],[No. Reps]]*0.025)*Pcfu4[[#This Row],[Best DF]]</f>
        <v>2140000000</v>
      </c>
      <c r="R376" s="1">
        <f>_xlfn.STDEV.S(Pcfu4[[#This Row],[R1]:[R3]])/0.025*Pcfu4[[#This Row],[Best DF]]</f>
        <v>593969696.19669986</v>
      </c>
      <c r="S376" s="6">
        <f>Pcfu4[[#This Row],[CFU/mL]]*Pcfu4[[#This Row],[mL]]/Pcfu4[[#This Row],[grams]]</f>
        <v>40660000000</v>
      </c>
      <c r="T376" s="1">
        <f>Pcfu4[[#This Row],[SD CFU/mL]]*Pcfu4[[#This Row],[mL]]/Pcfu4[[#This Row],[grams]]</f>
        <v>11285424227.737299</v>
      </c>
      <c r="U376" s="7">
        <f>_xlfn.STDEV.S(Pcfu43[[#This Row],[R1]:[R3]])/AVERAGE(Pcfu43[[#This Row],[R1]:[R3]])</f>
        <v>0.20511494416098325</v>
      </c>
      <c r="V376" s="96"/>
      <c r="W376" s="7"/>
    </row>
    <row r="377" spans="1:24" x14ac:dyDescent="0.15">
      <c r="A377" t="s">
        <v>390</v>
      </c>
      <c r="B377" t="s">
        <v>330</v>
      </c>
      <c r="D377" t="s">
        <v>86</v>
      </c>
      <c r="E377" s="3">
        <v>2</v>
      </c>
      <c r="G377">
        <v>0.3</v>
      </c>
      <c r="H377" s="5">
        <f>19*Pcfu4[[#This Row],[grams]]</f>
        <v>5.7</v>
      </c>
      <c r="I377" s="3" t="s">
        <v>170</v>
      </c>
      <c r="J377" s="59">
        <v>44929</v>
      </c>
      <c r="L377" s="59" t="e" cm="1">
        <f t="array" ref="L377">INDEX($J$4:J1467, MATCH(1,(A377=$A$4:A1465)*(C377=$C$4:C1465)*("Y"=$K$4:K1467),0))</f>
        <v>#N/A</v>
      </c>
      <c r="M377" s="1">
        <v>1000000</v>
      </c>
      <c r="N377">
        <v>91</v>
      </c>
      <c r="O377">
        <v>85</v>
      </c>
      <c r="P377"/>
      <c r="Q377" s="6">
        <f>(SUM(Pcfu4[[#This Row],[R1]:[R3]]))/(Pcfu4[[#This Row],[No. Reps]]*0.025)*Pcfu4[[#This Row],[Best DF]]</f>
        <v>3520000000</v>
      </c>
      <c r="R377" s="1">
        <f>_xlfn.STDEV.S(Pcfu4[[#This Row],[R1]:[R3]])/0.025*Pcfu4[[#This Row],[Best DF]]</f>
        <v>169705627.48477137</v>
      </c>
      <c r="S377" s="6">
        <f>Pcfu4[[#This Row],[CFU/mL]]*Pcfu4[[#This Row],[mL]]/Pcfu4[[#This Row],[grams]]</f>
        <v>66880000000</v>
      </c>
      <c r="T377" s="1">
        <f>Pcfu4[[#This Row],[SD CFU/mL]]*Pcfu4[[#This Row],[mL]]/Pcfu4[[#This Row],[grams]]</f>
        <v>3224406922.2106562</v>
      </c>
      <c r="U377" s="7">
        <f>_xlfn.STDEV.S(Pcfu43[[#This Row],[R1]:[R3]])/AVERAGE(Pcfu43[[#This Row],[R1]:[R3]])</f>
        <v>0.21757131728816848</v>
      </c>
      <c r="V377" s="96"/>
      <c r="W377" s="7"/>
    </row>
    <row r="378" spans="1:24" x14ac:dyDescent="0.15">
      <c r="A378" t="s">
        <v>391</v>
      </c>
      <c r="B378" t="s">
        <v>330</v>
      </c>
      <c r="D378" t="s">
        <v>86</v>
      </c>
      <c r="E378" s="3">
        <v>2</v>
      </c>
      <c r="G378">
        <v>0.3</v>
      </c>
      <c r="H378" s="5">
        <f>19*Pcfu4[[#This Row],[grams]]</f>
        <v>5.7</v>
      </c>
      <c r="I378" s="3" t="s">
        <v>170</v>
      </c>
      <c r="J378" s="59">
        <v>44929</v>
      </c>
      <c r="L378" s="59" t="e" cm="1">
        <f t="array" ref="L378">INDEX($J$4:J1468, MATCH(1,(A378=$A$4:A1466)*(C378=$C$4:C1466)*("Y"=$K$4:K1468),0))</f>
        <v>#N/A</v>
      </c>
      <c r="M378" s="1">
        <v>10000000</v>
      </c>
      <c r="N378">
        <v>40</v>
      </c>
      <c r="O378">
        <v>39</v>
      </c>
      <c r="P378"/>
      <c r="Q378" s="6">
        <f>(SUM(Pcfu4[[#This Row],[R1]:[R3]]))/(Pcfu4[[#This Row],[No. Reps]]*0.025)*Pcfu4[[#This Row],[Best DF]]</f>
        <v>15800000000</v>
      </c>
      <c r="R378" s="1">
        <f>_xlfn.STDEV.S(Pcfu4[[#This Row],[R1]:[R3]])/0.025*Pcfu4[[#This Row],[Best DF]]</f>
        <v>282842712.47461903</v>
      </c>
      <c r="S378" s="6">
        <f>Pcfu4[[#This Row],[CFU/mL]]*Pcfu4[[#This Row],[mL]]/Pcfu4[[#This Row],[grams]]</f>
        <v>300200000000</v>
      </c>
      <c r="T378" s="1">
        <f>Pcfu4[[#This Row],[SD CFU/mL]]*Pcfu4[[#This Row],[mL]]/Pcfu4[[#This Row],[grams]]</f>
        <v>5374011537.0177622</v>
      </c>
      <c r="U378" s="7">
        <f>_xlfn.STDEV.S(Pcfu43[[#This Row],[R1]:[R3]])/AVERAGE(Pcfu43[[#This Row],[R1]:[R3]])</f>
        <v>3.9837001756988594E-2</v>
      </c>
      <c r="V378" s="96"/>
      <c r="W378" s="7"/>
    </row>
    <row r="379" spans="1:24" x14ac:dyDescent="0.15">
      <c r="A379" t="s">
        <v>392</v>
      </c>
      <c r="B379" t="s">
        <v>330</v>
      </c>
      <c r="D379" t="s">
        <v>86</v>
      </c>
      <c r="E379" s="3">
        <v>2</v>
      </c>
      <c r="G379">
        <v>0.3</v>
      </c>
      <c r="H379" s="5">
        <f>19*Pcfu4[[#This Row],[grams]]</f>
        <v>5.7</v>
      </c>
      <c r="I379" s="3" t="s">
        <v>170</v>
      </c>
      <c r="J379" s="59">
        <v>44929</v>
      </c>
      <c r="L379" s="59" t="e" cm="1">
        <f t="array" ref="L379">INDEX($J$4:J1469, MATCH(1,(A379=$A$4:A1467)*(C379=$C$4:C1467)*("Y"=$K$4:K1469),0))</f>
        <v>#N/A</v>
      </c>
      <c r="M379" s="1">
        <v>1000000</v>
      </c>
      <c r="N379">
        <v>85</v>
      </c>
      <c r="O379">
        <v>70</v>
      </c>
      <c r="P379"/>
      <c r="Q379" s="6">
        <f>(SUM(Pcfu4[[#This Row],[R1]:[R3]]))/(Pcfu4[[#This Row],[No. Reps]]*0.025)*Pcfu4[[#This Row],[Best DF]]</f>
        <v>3100000000</v>
      </c>
      <c r="R379" s="1">
        <f>_xlfn.STDEV.S(Pcfu4[[#This Row],[R1]:[R3]])/0.025*Pcfu4[[#This Row],[Best DF]]</f>
        <v>424264068.71192855</v>
      </c>
      <c r="S379" s="6">
        <f>Pcfu4[[#This Row],[CFU/mL]]*Pcfu4[[#This Row],[mL]]/Pcfu4[[#This Row],[grams]]</f>
        <v>58900000000</v>
      </c>
      <c r="T379" s="1">
        <f>Pcfu4[[#This Row],[SD CFU/mL]]*Pcfu4[[#This Row],[mL]]/Pcfu4[[#This Row],[grams]]</f>
        <v>8061017305.5266428</v>
      </c>
      <c r="U379" s="7">
        <f>_xlfn.STDEV.S(Pcfu43[[#This Row],[R1]:[R3]])/AVERAGE(Pcfu43[[#This Row],[R1]:[R3]])</f>
        <v>0.1528556159238868</v>
      </c>
      <c r="V379" s="96"/>
      <c r="W379" s="7"/>
    </row>
    <row r="380" spans="1:24" x14ac:dyDescent="0.15">
      <c r="A380" t="s">
        <v>393</v>
      </c>
      <c r="B380" t="s">
        <v>330</v>
      </c>
      <c r="D380" t="s">
        <v>86</v>
      </c>
      <c r="E380" s="3">
        <v>2</v>
      </c>
      <c r="G380">
        <v>0.3</v>
      </c>
      <c r="H380" s="5">
        <f>19*Pcfu4[[#This Row],[grams]]</f>
        <v>5.7</v>
      </c>
      <c r="I380" s="3" t="s">
        <v>170</v>
      </c>
      <c r="J380" s="59">
        <v>44929</v>
      </c>
      <c r="L380" s="59" t="e" cm="1">
        <f t="array" ref="L380">INDEX($J$4:J1470, MATCH(1,(A380=$A$4:A1468)*(C380=$C$4:C1468)*("Y"=$K$4:K1470),0))</f>
        <v>#N/A</v>
      </c>
      <c r="M380" s="1">
        <v>10000000</v>
      </c>
      <c r="N380">
        <v>78</v>
      </c>
      <c r="O380">
        <v>90</v>
      </c>
      <c r="P380"/>
      <c r="Q380" s="6">
        <f>(SUM(Pcfu4[[#This Row],[R1]:[R3]]))/(Pcfu4[[#This Row],[No. Reps]]*0.025)*Pcfu4[[#This Row],[Best DF]]</f>
        <v>33600000000</v>
      </c>
      <c r="R380" s="1">
        <f>_xlfn.STDEV.S(Pcfu4[[#This Row],[R1]:[R3]])/0.025*Pcfu4[[#This Row],[Best DF]]</f>
        <v>3394112549.6954279</v>
      </c>
      <c r="S380" s="6">
        <f>Pcfu4[[#This Row],[CFU/mL]]*Pcfu4[[#This Row],[mL]]/Pcfu4[[#This Row],[grams]]</f>
        <v>638400000000</v>
      </c>
      <c r="T380" s="1">
        <f>Pcfu4[[#This Row],[SD CFU/mL]]*Pcfu4[[#This Row],[mL]]/Pcfu4[[#This Row],[grams]]</f>
        <v>64488138444.213135</v>
      </c>
      <c r="U380" s="7">
        <f>_xlfn.STDEV.S(Pcfu43[[#This Row],[R1]:[R3]])/AVERAGE(Pcfu43[[#This Row],[R1]:[R3]])</f>
        <v>7.2594561877603367E-2</v>
      </c>
      <c r="V380" s="96"/>
      <c r="W380" s="7"/>
    </row>
    <row r="381" spans="1:24" x14ac:dyDescent="0.15">
      <c r="A381" t="s">
        <v>394</v>
      </c>
      <c r="B381" t="s">
        <v>330</v>
      </c>
      <c r="D381" t="s">
        <v>86</v>
      </c>
      <c r="E381" s="3">
        <v>2</v>
      </c>
      <c r="G381">
        <v>0.3</v>
      </c>
      <c r="H381" s="5">
        <f>19*Pcfu4[[#This Row],[grams]]</f>
        <v>5.7</v>
      </c>
      <c r="I381" s="3" t="s">
        <v>170</v>
      </c>
      <c r="J381" s="59">
        <v>44929</v>
      </c>
      <c r="L381" s="59" t="e" cm="1">
        <f t="array" ref="L381">INDEX($J$4:J1471, MATCH(1,(A381=$A$4:A1469)*(C381=$C$4:C1469)*("Y"=$K$4:K1471),0))</f>
        <v>#N/A</v>
      </c>
      <c r="M381" s="1">
        <v>10000000</v>
      </c>
      <c r="N381">
        <v>49</v>
      </c>
      <c r="O381">
        <v>60</v>
      </c>
      <c r="P381"/>
      <c r="Q381" s="6">
        <f>(SUM(Pcfu4[[#This Row],[R1]:[R3]]))/(Pcfu4[[#This Row],[No. Reps]]*0.025)*Pcfu4[[#This Row],[Best DF]]</f>
        <v>21800000000</v>
      </c>
      <c r="R381" s="1">
        <f>_xlfn.STDEV.S(Pcfu4[[#This Row],[R1]:[R3]])/0.025*Pcfu4[[#This Row],[Best DF]]</f>
        <v>3111269837.2208085</v>
      </c>
      <c r="S381" s="6">
        <f>Pcfu4[[#This Row],[CFU/mL]]*Pcfu4[[#This Row],[mL]]/Pcfu4[[#This Row],[grams]]</f>
        <v>414200000000</v>
      </c>
      <c r="T381" s="1">
        <f>Pcfu4[[#This Row],[SD CFU/mL]]*Pcfu4[[#This Row],[mL]]/Pcfu4[[#This Row],[grams]]</f>
        <v>59114126907.195358</v>
      </c>
      <c r="U381" s="7">
        <f>_xlfn.STDEV.S(Pcfu43[[#This Row],[R1]:[R3]])/AVERAGE(Pcfu43[[#This Row],[R1]:[R3]])</f>
        <v>0.1378837893222605</v>
      </c>
      <c r="V381" s="96"/>
      <c r="W381" s="7"/>
    </row>
    <row r="382" spans="1:24" x14ac:dyDescent="0.15">
      <c r="A382" t="s">
        <v>395</v>
      </c>
      <c r="B382" t="s">
        <v>330</v>
      </c>
      <c r="D382" t="s">
        <v>86</v>
      </c>
      <c r="E382" s="3">
        <v>2</v>
      </c>
      <c r="G382">
        <v>0.3</v>
      </c>
      <c r="H382" s="5">
        <f>19*Pcfu4[[#This Row],[grams]]</f>
        <v>5.7</v>
      </c>
      <c r="I382" s="3" t="s">
        <v>170</v>
      </c>
      <c r="J382" s="59">
        <v>44929</v>
      </c>
      <c r="L382" s="59" t="e" cm="1">
        <f t="array" ref="L382">INDEX($J$4:J1472, MATCH(1,(A382=$A$4:A1470)*(C382=$C$4:C1470)*("Y"=$K$4:K1472),0))</f>
        <v>#N/A</v>
      </c>
      <c r="M382" s="1">
        <v>1000000</v>
      </c>
      <c r="N382">
        <v>135</v>
      </c>
      <c r="O382">
        <v>125</v>
      </c>
      <c r="P382"/>
      <c r="Q382" s="6">
        <f>(SUM(Pcfu4[[#This Row],[R1]:[R3]]))/(Pcfu4[[#This Row],[No. Reps]]*0.025)*Pcfu4[[#This Row],[Best DF]]</f>
        <v>5200000000</v>
      </c>
      <c r="R382" s="1">
        <f>_xlfn.STDEV.S(Pcfu4[[#This Row],[R1]:[R3]])/0.025*Pcfu4[[#This Row],[Best DF]]</f>
        <v>282842712.47461903</v>
      </c>
      <c r="S382" s="6">
        <f>Pcfu4[[#This Row],[CFU/mL]]*Pcfu4[[#This Row],[mL]]/Pcfu4[[#This Row],[grams]]</f>
        <v>98800000000</v>
      </c>
      <c r="T382" s="1">
        <f>Pcfu4[[#This Row],[SD CFU/mL]]*Pcfu4[[#This Row],[mL]]/Pcfu4[[#This Row],[grams]]</f>
        <v>5374011537.0177622</v>
      </c>
      <c r="U382" s="7">
        <f>_xlfn.STDEV.S(Pcfu43[[#This Row],[R1]:[R3]])/AVERAGE(Pcfu43[[#This Row],[R1]:[R3]])</f>
        <v>0.10631460837904083</v>
      </c>
      <c r="V382" s="96"/>
      <c r="W382" s="7"/>
    </row>
    <row r="383" spans="1:24" x14ac:dyDescent="0.15">
      <c r="A383" t="s">
        <v>389</v>
      </c>
      <c r="B383" t="s">
        <v>328</v>
      </c>
      <c r="D383" t="s">
        <v>86</v>
      </c>
      <c r="E383" s="3">
        <v>2</v>
      </c>
      <c r="G383">
        <v>0.3</v>
      </c>
      <c r="H383" s="5">
        <f>19*Pcfu4[[#This Row],[grams]]</f>
        <v>5.7</v>
      </c>
      <c r="I383" s="3" t="s">
        <v>170</v>
      </c>
      <c r="J383" s="59">
        <v>44930</v>
      </c>
      <c r="L383" s="59" t="e" cm="1">
        <f t="array" ref="L383">INDEX($J$4:J1473, MATCH(1,(A383=$A$4:A1471)*(C383=$C$4:C1471)*("Y"=$K$4:K1473),0))</f>
        <v>#N/A</v>
      </c>
      <c r="M383" s="1">
        <v>1000000</v>
      </c>
      <c r="N383">
        <v>19</v>
      </c>
      <c r="O383">
        <v>16</v>
      </c>
      <c r="P383"/>
      <c r="Q383" s="6">
        <f>(SUM(Pcfu4[[#This Row],[R1]:[R3]]))/(Pcfu4[[#This Row],[No. Reps]]*0.025)*Pcfu4[[#This Row],[Best DF]]</f>
        <v>700000000</v>
      </c>
      <c r="R383" s="1">
        <f>_xlfn.STDEV.S(Pcfu4[[#This Row],[R1]:[R3]])/0.025*Pcfu4[[#This Row],[Best DF]]</f>
        <v>84852813.742385685</v>
      </c>
      <c r="S383" s="6">
        <f>Pcfu4[[#This Row],[CFU/mL]]*Pcfu4[[#This Row],[mL]]/Pcfu4[[#This Row],[grams]]</f>
        <v>13300000000</v>
      </c>
      <c r="T383" s="1">
        <f>Pcfu4[[#This Row],[SD CFU/mL]]*Pcfu4[[#This Row],[mL]]/Pcfu4[[#This Row],[grams]]</f>
        <v>1612203461.1053281</v>
      </c>
      <c r="U383" s="7">
        <f>_xlfn.STDEV.S(Pcfu43[[#This Row],[R1]:[R3]])/AVERAGE(Pcfu43[[#This Row],[R1]:[R3]])</f>
        <v>0.29784869141093523</v>
      </c>
      <c r="V383" s="8">
        <v>0.33700000000000002</v>
      </c>
      <c r="W383" s="7"/>
      <c r="X383" t="s">
        <v>396</v>
      </c>
    </row>
    <row r="384" spans="1:24" x14ac:dyDescent="0.15">
      <c r="A384" t="s">
        <v>390</v>
      </c>
      <c r="B384" t="s">
        <v>328</v>
      </c>
      <c r="D384" t="s">
        <v>86</v>
      </c>
      <c r="E384" s="3">
        <v>2</v>
      </c>
      <c r="G384">
        <v>0.3</v>
      </c>
      <c r="H384" s="5">
        <f>19*Pcfu4[[#This Row],[grams]]</f>
        <v>5.7</v>
      </c>
      <c r="I384" s="3" t="s">
        <v>170</v>
      </c>
      <c r="J384" s="59">
        <v>44930</v>
      </c>
      <c r="L384" s="59" t="e" cm="1">
        <f t="array" ref="L384">INDEX($J$4:J1474, MATCH(1,(A384=$A$4:A1472)*(C384=$C$4:C1472)*("Y"=$K$4:K1474),0))</f>
        <v>#N/A</v>
      </c>
      <c r="M384" s="1">
        <v>1000000</v>
      </c>
      <c r="N384">
        <v>49</v>
      </c>
      <c r="O384">
        <v>62</v>
      </c>
      <c r="P384"/>
      <c r="Q384" s="6">
        <f>(SUM(Pcfu4[[#This Row],[R1]:[R3]]))/(Pcfu4[[#This Row],[No. Reps]]*0.025)*Pcfu4[[#This Row],[Best DF]]</f>
        <v>2220000000</v>
      </c>
      <c r="R384" s="1">
        <f>_xlfn.STDEV.S(Pcfu4[[#This Row],[R1]:[R3]])/0.025*Pcfu4[[#This Row],[Best DF]]</f>
        <v>367695526.21700466</v>
      </c>
      <c r="S384" s="6">
        <f>Pcfu4[[#This Row],[CFU/mL]]*Pcfu4[[#This Row],[mL]]/Pcfu4[[#This Row],[grams]]</f>
        <v>42180000000</v>
      </c>
      <c r="T384" s="1">
        <f>Pcfu4[[#This Row],[SD CFU/mL]]*Pcfu4[[#This Row],[mL]]/Pcfu4[[#This Row],[grams]]</f>
        <v>6986214998.1230888</v>
      </c>
      <c r="U384" s="7">
        <f>_xlfn.STDEV.S(Pcfu43[[#This Row],[R1]:[R3]])/AVERAGE(Pcfu43[[#This Row],[R1]:[R3]])</f>
        <v>0.18924236358783025</v>
      </c>
      <c r="V384" s="8">
        <v>0.38100000000000001</v>
      </c>
      <c r="W384" s="7"/>
      <c r="X384" s="61" t="s">
        <v>397</v>
      </c>
    </row>
    <row r="385" spans="1:24" x14ac:dyDescent="0.15">
      <c r="A385" t="s">
        <v>391</v>
      </c>
      <c r="B385" t="s">
        <v>328</v>
      </c>
      <c r="D385" t="s">
        <v>86</v>
      </c>
      <c r="E385" s="3">
        <v>2</v>
      </c>
      <c r="G385">
        <v>0.3</v>
      </c>
      <c r="H385" s="5">
        <f>19*Pcfu4[[#This Row],[grams]]</f>
        <v>5.7</v>
      </c>
      <c r="I385" s="3" t="s">
        <v>170</v>
      </c>
      <c r="J385" s="59">
        <v>44930</v>
      </c>
      <c r="L385" s="59" t="e" cm="1">
        <f t="array" ref="L385">INDEX($J$4:J1475, MATCH(1,(A385=$A$4:A1473)*(C385=$C$4:C1473)*("Y"=$K$4:K1475),0))</f>
        <v>#N/A</v>
      </c>
      <c r="M385" s="1">
        <v>1000000</v>
      </c>
      <c r="N385">
        <v>15</v>
      </c>
      <c r="O385">
        <v>12</v>
      </c>
      <c r="P385"/>
      <c r="Q385" s="6">
        <f>(SUM(Pcfu4[[#This Row],[R1]:[R3]]))/(Pcfu4[[#This Row],[No. Reps]]*0.025)*Pcfu4[[#This Row],[Best DF]]</f>
        <v>540000000</v>
      </c>
      <c r="R385" s="1">
        <f>_xlfn.STDEV.S(Pcfu4[[#This Row],[R1]:[R3]])/0.025*Pcfu4[[#This Row],[Best DF]]</f>
        <v>84852813.742385685</v>
      </c>
      <c r="S385" s="6">
        <f>Pcfu4[[#This Row],[CFU/mL]]*Pcfu4[[#This Row],[mL]]/Pcfu4[[#This Row],[grams]]</f>
        <v>10260000000</v>
      </c>
      <c r="T385" s="1">
        <f>Pcfu4[[#This Row],[SD CFU/mL]]*Pcfu4[[#This Row],[mL]]/Pcfu4[[#This Row],[grams]]</f>
        <v>1612203461.1053281</v>
      </c>
      <c r="U385" s="7">
        <f>_xlfn.STDEV.S(Pcfu43[[#This Row],[R1]:[R3]])/AVERAGE(Pcfu43[[#This Row],[R1]:[R3]])</f>
        <v>1.020408163265306E-2</v>
      </c>
      <c r="V385" s="8">
        <v>0.40500000000000003</v>
      </c>
      <c r="W385" s="7"/>
      <c r="X385" t="s">
        <v>398</v>
      </c>
    </row>
    <row r="386" spans="1:24" x14ac:dyDescent="0.15">
      <c r="A386" t="s">
        <v>392</v>
      </c>
      <c r="B386" t="s">
        <v>328</v>
      </c>
      <c r="D386" t="s">
        <v>86</v>
      </c>
      <c r="E386" s="3">
        <v>2</v>
      </c>
      <c r="G386">
        <v>0.3</v>
      </c>
      <c r="H386" s="5">
        <f>19*Pcfu4[[#This Row],[grams]]</f>
        <v>5.7</v>
      </c>
      <c r="I386" s="3" t="s">
        <v>170</v>
      </c>
      <c r="J386" s="59">
        <v>44930</v>
      </c>
      <c r="L386" s="59" t="e" cm="1">
        <f t="array" ref="L386">INDEX($J$4:J1476, MATCH(1,(A386=$A$4:A1474)*(C386=$C$4:C1474)*("Y"=$K$4:K1476),0))</f>
        <v>#N/A</v>
      </c>
      <c r="M386" s="1">
        <v>1000000</v>
      </c>
      <c r="N386">
        <v>40</v>
      </c>
      <c r="O386">
        <v>54</v>
      </c>
      <c r="P386"/>
      <c r="Q386" s="6">
        <f>(SUM(Pcfu4[[#This Row],[R1]:[R3]]))/(Pcfu4[[#This Row],[No. Reps]]*0.025)*Pcfu4[[#This Row],[Best DF]]</f>
        <v>1880000000</v>
      </c>
      <c r="R386" s="1">
        <f>_xlfn.STDEV.S(Pcfu4[[#This Row],[R1]:[R3]])/0.025*Pcfu4[[#This Row],[Best DF]]</f>
        <v>395979797.46446657</v>
      </c>
      <c r="S386" s="6">
        <f>Pcfu4[[#This Row],[CFU/mL]]*Pcfu4[[#This Row],[mL]]/Pcfu4[[#This Row],[grams]]</f>
        <v>35720000000</v>
      </c>
      <c r="T386" s="1">
        <f>Pcfu4[[#This Row],[SD CFU/mL]]*Pcfu4[[#This Row],[mL]]/Pcfu4[[#This Row],[grams]]</f>
        <v>7523616151.8248653</v>
      </c>
      <c r="U386" s="7">
        <f>_xlfn.STDEV.S(Pcfu43[[#This Row],[R1]:[R3]])/AVERAGE(Pcfu43[[#This Row],[R1]:[R3]])</f>
        <v>5.5555555555555552E-2</v>
      </c>
      <c r="V386" s="8">
        <v>0.33400000000000002</v>
      </c>
      <c r="W386" s="7"/>
      <c r="X386" t="s">
        <v>399</v>
      </c>
    </row>
    <row r="387" spans="1:24" x14ac:dyDescent="0.15">
      <c r="A387" t="s">
        <v>393</v>
      </c>
      <c r="B387" t="s">
        <v>328</v>
      </c>
      <c r="D387" t="s">
        <v>86</v>
      </c>
      <c r="E387" s="3">
        <v>2</v>
      </c>
      <c r="G387">
        <v>0.3</v>
      </c>
      <c r="H387" s="5">
        <f>19*Pcfu4[[#This Row],[grams]]</f>
        <v>5.7</v>
      </c>
      <c r="I387" s="3" t="s">
        <v>170</v>
      </c>
      <c r="J387" s="59">
        <v>44930</v>
      </c>
      <c r="L387" s="59" t="e" cm="1">
        <f t="array" ref="L387">INDEX($J$4:J1477, MATCH(1,(A387=$A$4:A1475)*(C387=$C$4:C1475)*("Y"=$K$4:K1477),0))</f>
        <v>#N/A</v>
      </c>
      <c r="M387" s="1">
        <v>10000000</v>
      </c>
      <c r="N387">
        <v>41</v>
      </c>
      <c r="O387">
        <v>32</v>
      </c>
      <c r="P387"/>
      <c r="Q387" s="6">
        <f>(SUM(Pcfu4[[#This Row],[R1]:[R3]]))/(Pcfu4[[#This Row],[No. Reps]]*0.025)*Pcfu4[[#This Row],[Best DF]]</f>
        <v>14600000000</v>
      </c>
      <c r="R387" s="1">
        <f>_xlfn.STDEV.S(Pcfu4[[#This Row],[R1]:[R3]])/0.025*Pcfu4[[#This Row],[Best DF]]</f>
        <v>2545584412.2715707</v>
      </c>
      <c r="S387" s="6">
        <f>Pcfu4[[#This Row],[CFU/mL]]*Pcfu4[[#This Row],[mL]]/Pcfu4[[#This Row],[grams]]</f>
        <v>277400000000</v>
      </c>
      <c r="T387" s="1">
        <f>Pcfu4[[#This Row],[SD CFU/mL]]*Pcfu4[[#This Row],[mL]]/Pcfu4[[#This Row],[grams]]</f>
        <v>48366103833.159851</v>
      </c>
      <c r="U387" s="7">
        <f>_xlfn.STDEV.S(Pcfu43[[#This Row],[R1]:[R3]])/AVERAGE(Pcfu43[[#This Row],[R1]:[R3]])</f>
        <v>0.15676309893321691</v>
      </c>
      <c r="V387" s="8">
        <v>0.36699999999999999</v>
      </c>
      <c r="W387" s="7"/>
      <c r="X387" t="s">
        <v>400</v>
      </c>
    </row>
    <row r="388" spans="1:24" x14ac:dyDescent="0.15">
      <c r="A388" t="s">
        <v>394</v>
      </c>
      <c r="B388" t="s">
        <v>328</v>
      </c>
      <c r="D388" t="s">
        <v>86</v>
      </c>
      <c r="E388" s="3">
        <v>2</v>
      </c>
      <c r="G388">
        <v>0.3</v>
      </c>
      <c r="H388" s="5">
        <f>19*Pcfu4[[#This Row],[grams]]</f>
        <v>5.7</v>
      </c>
      <c r="I388" s="3" t="s">
        <v>170</v>
      </c>
      <c r="J388" s="59">
        <v>44930</v>
      </c>
      <c r="L388" s="59" t="e" cm="1">
        <f t="array" ref="L388">INDEX($J$4:J1478, MATCH(1,(A388=$A$4:A1476)*(C388=$C$4:C1476)*("Y"=$K$4:K1478),0))</f>
        <v>#N/A</v>
      </c>
      <c r="M388" s="1">
        <v>10000000</v>
      </c>
      <c r="N388">
        <v>33</v>
      </c>
      <c r="O388">
        <v>28</v>
      </c>
      <c r="P388"/>
      <c r="Q388" s="6">
        <f>(SUM(Pcfu4[[#This Row],[R1]:[R3]]))/(Pcfu4[[#This Row],[No. Reps]]*0.025)*Pcfu4[[#This Row],[Best DF]]</f>
        <v>12200000000</v>
      </c>
      <c r="R388" s="1">
        <f>_xlfn.STDEV.S(Pcfu4[[#This Row],[R1]:[R3]])/0.025*Pcfu4[[#This Row],[Best DF]]</f>
        <v>1414213562.373095</v>
      </c>
      <c r="S388" s="6">
        <f>Pcfu4[[#This Row],[CFU/mL]]*Pcfu4[[#This Row],[mL]]/Pcfu4[[#This Row],[grams]]</f>
        <v>231800000000</v>
      </c>
      <c r="T388" s="1">
        <f>Pcfu4[[#This Row],[SD CFU/mL]]*Pcfu4[[#This Row],[mL]]/Pcfu4[[#This Row],[grams]]</f>
        <v>26870057685.088806</v>
      </c>
      <c r="U388" s="7">
        <f>_xlfn.STDEV.S(Pcfu43[[#This Row],[R1]:[R3]])/AVERAGE(Pcfu43[[#This Row],[R1]:[R3]])</f>
        <v>0.1556749622693098</v>
      </c>
      <c r="V388" s="8">
        <v>0.36799999999999999</v>
      </c>
      <c r="W388" s="7"/>
      <c r="X388" t="s">
        <v>401</v>
      </c>
    </row>
    <row r="389" spans="1:24" x14ac:dyDescent="0.15">
      <c r="A389" t="s">
        <v>395</v>
      </c>
      <c r="B389" t="s">
        <v>328</v>
      </c>
      <c r="D389" t="s">
        <v>86</v>
      </c>
      <c r="E389" s="3">
        <v>2</v>
      </c>
      <c r="G389">
        <v>0.3</v>
      </c>
      <c r="H389" s="5">
        <f>19*Pcfu4[[#This Row],[grams]]</f>
        <v>5.7</v>
      </c>
      <c r="I389" s="3" t="s">
        <v>170</v>
      </c>
      <c r="J389" s="59">
        <v>44930</v>
      </c>
      <c r="L389" s="59" t="e" cm="1">
        <f t="array" ref="L389">INDEX($J$4:J1479, MATCH(1,(A389=$A$4:A1477)*(C389=$C$4:C1477)*("Y"=$K$4:K1479),0))</f>
        <v>#N/A</v>
      </c>
      <c r="M389" s="1">
        <v>1000000</v>
      </c>
      <c r="N389">
        <v>46</v>
      </c>
      <c r="O389">
        <v>58</v>
      </c>
      <c r="P389"/>
      <c r="Q389" s="6">
        <f>(SUM(Pcfu4[[#This Row],[R1]:[R3]]))/(Pcfu4[[#This Row],[No. Reps]]*0.025)*Pcfu4[[#This Row],[Best DF]]</f>
        <v>2080000000</v>
      </c>
      <c r="R389" s="1">
        <f>_xlfn.STDEV.S(Pcfu4[[#This Row],[R1]:[R3]])/0.025*Pcfu4[[#This Row],[Best DF]]</f>
        <v>339411254.96954274</v>
      </c>
      <c r="S389" s="6">
        <f>Pcfu4[[#This Row],[CFU/mL]]*Pcfu4[[#This Row],[mL]]/Pcfu4[[#This Row],[grams]]</f>
        <v>39520000000</v>
      </c>
      <c r="T389" s="1">
        <f>Pcfu4[[#This Row],[SD CFU/mL]]*Pcfu4[[#This Row],[mL]]/Pcfu4[[#This Row],[grams]]</f>
        <v>6448813844.4213123</v>
      </c>
      <c r="U389" s="7">
        <f>_xlfn.STDEV.S(Pcfu43[[#This Row],[R1]:[R3]])/AVERAGE(Pcfu43[[#This Row],[R1]:[R3]])</f>
        <v>4.6812183988348029E-2</v>
      </c>
      <c r="V389" s="8">
        <v>0.34300000000000003</v>
      </c>
      <c r="W389" s="7"/>
      <c r="X389" t="s">
        <v>402</v>
      </c>
    </row>
    <row r="390" spans="1:24" x14ac:dyDescent="0.15">
      <c r="A390" t="s">
        <v>377</v>
      </c>
      <c r="B390" t="s">
        <v>74</v>
      </c>
      <c r="D390" t="s">
        <v>26</v>
      </c>
      <c r="E390" s="3">
        <v>2</v>
      </c>
      <c r="G390">
        <v>0.1</v>
      </c>
      <c r="H390" s="5">
        <f>19*Pcfu4[[#This Row],[grams]]</f>
        <v>1.9000000000000001</v>
      </c>
      <c r="I390" s="3" t="s">
        <v>170</v>
      </c>
      <c r="J390" s="59">
        <v>44931</v>
      </c>
      <c r="L390" s="59" t="e" cm="1">
        <f t="array" ref="L390">INDEX($J$4:J1480, MATCH(1,(A390=$A$4:A1478)*(C390=$C$4:C1478)*("Y"=$K$4:K1480),0))</f>
        <v>#N/A</v>
      </c>
      <c r="M390" s="1">
        <v>10000</v>
      </c>
      <c r="N390">
        <v>184</v>
      </c>
      <c r="O390">
        <v>212</v>
      </c>
      <c r="P390"/>
      <c r="Q390" s="6">
        <f>(SUM(Pcfu4[[#This Row],[R1]:[R3]]))/(Pcfu4[[#This Row],[No. Reps]]*0.025)*Pcfu4[[#This Row],[Best DF]]</f>
        <v>79200000</v>
      </c>
      <c r="R390" s="1">
        <f>_xlfn.STDEV.S(Pcfu4[[#This Row],[R1]:[R3]])/0.025*Pcfu4[[#This Row],[Best DF]]</f>
        <v>7919595.9492893312</v>
      </c>
      <c r="S390" s="6">
        <f>Pcfu4[[#This Row],[CFU/mL]]*Pcfu4[[#This Row],[mL]]/Pcfu4[[#This Row],[grams]]</f>
        <v>1504800000</v>
      </c>
      <c r="T390" s="1">
        <f>Pcfu4[[#This Row],[SD CFU/mL]]*Pcfu4[[#This Row],[mL]]/Pcfu4[[#This Row],[grams]]</f>
        <v>150472323.03649729</v>
      </c>
      <c r="U390" s="7">
        <f>_xlfn.STDEV.S(Pcfu43[[#This Row],[R1]:[R3]])/AVERAGE(Pcfu43[[#This Row],[R1]:[R3]])</f>
        <v>0.22876142741475722</v>
      </c>
      <c r="V390" s="96"/>
      <c r="W390" s="7"/>
    </row>
    <row r="391" spans="1:24" x14ac:dyDescent="0.15">
      <c r="A391" t="s">
        <v>34</v>
      </c>
      <c r="B391" t="s">
        <v>74</v>
      </c>
      <c r="D391" t="s">
        <v>319</v>
      </c>
      <c r="E391" s="3">
        <v>2</v>
      </c>
      <c r="G391">
        <v>0.1</v>
      </c>
      <c r="H391" s="5">
        <f>19*Pcfu4[[#This Row],[grams]]</f>
        <v>1.9000000000000001</v>
      </c>
      <c r="I391" s="3" t="s">
        <v>170</v>
      </c>
      <c r="J391" s="59">
        <v>44931</v>
      </c>
      <c r="L391" s="59" t="e" cm="1">
        <f t="array" ref="L391">INDEX($J$4:J1481, MATCH(1,(A391=$A$4:A1479)*(C391=$C$4:C1479)*("Y"=$K$4:K1481),0))</f>
        <v>#N/A</v>
      </c>
      <c r="M391" s="1">
        <v>1000000</v>
      </c>
      <c r="N391">
        <v>37</v>
      </c>
      <c r="O391">
        <v>31</v>
      </c>
      <c r="P391"/>
      <c r="Q391" s="6">
        <f>(SUM(Pcfu4[[#This Row],[R1]:[R3]]))/(Pcfu4[[#This Row],[No. Reps]]*0.025)*Pcfu4[[#This Row],[Best DF]]</f>
        <v>1360000000</v>
      </c>
      <c r="R391" s="1">
        <f>_xlfn.STDEV.S(Pcfu4[[#This Row],[R1]:[R3]])/0.025*Pcfu4[[#This Row],[Best DF]]</f>
        <v>169705627.48477137</v>
      </c>
      <c r="S391" s="6">
        <f>Pcfu4[[#This Row],[CFU/mL]]*Pcfu4[[#This Row],[mL]]/Pcfu4[[#This Row],[grams]]</f>
        <v>25840000000</v>
      </c>
      <c r="T391" s="1">
        <f>Pcfu4[[#This Row],[SD CFU/mL]]*Pcfu4[[#This Row],[mL]]/Pcfu4[[#This Row],[grams]]</f>
        <v>3224406922.2106562</v>
      </c>
      <c r="U391" s="7">
        <f>_xlfn.STDEV.S(Pcfu43[[#This Row],[R1]:[R3]])/AVERAGE(Pcfu43[[#This Row],[R1]:[R3]])</f>
        <v>0.17069363297190907</v>
      </c>
      <c r="V391" s="96"/>
      <c r="W391" s="7"/>
    </row>
    <row r="392" spans="1:24" x14ac:dyDescent="0.15">
      <c r="A392" t="s">
        <v>40</v>
      </c>
      <c r="B392" t="s">
        <v>74</v>
      </c>
      <c r="D392" t="s">
        <v>319</v>
      </c>
      <c r="E392" s="3">
        <v>2</v>
      </c>
      <c r="G392">
        <v>0.1</v>
      </c>
      <c r="H392" s="5">
        <f>19*Pcfu4[[#This Row],[grams]]</f>
        <v>1.9000000000000001</v>
      </c>
      <c r="I392" s="3" t="s">
        <v>170</v>
      </c>
      <c r="J392" s="59">
        <v>44931</v>
      </c>
      <c r="L392" s="59" t="e" cm="1">
        <f t="array" ref="L392">INDEX($J$4:J1482, MATCH(1,(A392=$A$4:A1480)*(C392=$C$4:C1480)*("Y"=$K$4:K1482),0))</f>
        <v>#N/A</v>
      </c>
      <c r="M392" s="1">
        <v>100000</v>
      </c>
      <c r="N392">
        <v>76</v>
      </c>
      <c r="O392">
        <v>92</v>
      </c>
      <c r="P392"/>
      <c r="Q392" s="6">
        <f>(SUM(Pcfu4[[#This Row],[R1]:[R3]]))/(Pcfu4[[#This Row],[No. Reps]]*0.025)*Pcfu4[[#This Row],[Best DF]]</f>
        <v>336000000</v>
      </c>
      <c r="R392" s="1">
        <f>_xlfn.STDEV.S(Pcfu4[[#This Row],[R1]:[R3]])/0.025*Pcfu4[[#This Row],[Best DF]]</f>
        <v>45254833.995939046</v>
      </c>
      <c r="S392" s="6">
        <f>Pcfu4[[#This Row],[CFU/mL]]*Pcfu4[[#This Row],[mL]]/Pcfu4[[#This Row],[grams]]</f>
        <v>6384000000</v>
      </c>
      <c r="T392" s="1">
        <f>Pcfu4[[#This Row],[SD CFU/mL]]*Pcfu4[[#This Row],[mL]]/Pcfu4[[#This Row],[grams]]</f>
        <v>859841845.92284179</v>
      </c>
      <c r="U392" s="7">
        <f>_xlfn.STDEV.S(Pcfu43[[#This Row],[R1]:[R3]])/AVERAGE(Pcfu43[[#This Row],[R1]:[R3]])</f>
        <v>0.69282032302755081</v>
      </c>
      <c r="V392" s="96"/>
      <c r="W392" s="7"/>
    </row>
    <row r="393" spans="1:24" x14ac:dyDescent="0.15">
      <c r="A393" t="s">
        <v>377</v>
      </c>
      <c r="B393" t="s">
        <v>75</v>
      </c>
      <c r="D393" t="s">
        <v>26</v>
      </c>
      <c r="E393" s="3">
        <v>2</v>
      </c>
      <c r="G393">
        <v>0.1</v>
      </c>
      <c r="H393" s="5">
        <f>19*Pcfu4[[#This Row],[grams]]</f>
        <v>1.9000000000000001</v>
      </c>
      <c r="I393" s="3" t="s">
        <v>170</v>
      </c>
      <c r="J393" s="59">
        <v>44931</v>
      </c>
      <c r="L393" s="59" t="e" cm="1">
        <f t="array" ref="L393">INDEX($J$4:J1483, MATCH(1,(A393=$A$4:A1481)*(C393=$C$4:C1481)*("Y"=$K$4:K1483),0))</f>
        <v>#N/A</v>
      </c>
      <c r="M393" s="1">
        <v>100000</v>
      </c>
      <c r="N393">
        <v>41</v>
      </c>
      <c r="O393">
        <v>37</v>
      </c>
      <c r="P393"/>
      <c r="Q393" s="6">
        <f>(SUM(Pcfu4[[#This Row],[R1]:[R3]]))/(Pcfu4[[#This Row],[No. Reps]]*0.025)*Pcfu4[[#This Row],[Best DF]]</f>
        <v>156000000</v>
      </c>
      <c r="R393" s="1">
        <f>_xlfn.STDEV.S(Pcfu4[[#This Row],[R1]:[R3]])/0.025*Pcfu4[[#This Row],[Best DF]]</f>
        <v>11313708.498984762</v>
      </c>
      <c r="S393" s="6">
        <f>Pcfu4[[#This Row],[CFU/mL]]*Pcfu4[[#This Row],[mL]]/Pcfu4[[#This Row],[grams]]</f>
        <v>2964000000</v>
      </c>
      <c r="T393" s="1">
        <f>Pcfu4[[#This Row],[SD CFU/mL]]*Pcfu4[[#This Row],[mL]]/Pcfu4[[#This Row],[grams]]</f>
        <v>214960461.48071045</v>
      </c>
      <c r="U393" s="7">
        <f>_xlfn.STDEV.S(Pcfu43[[#This Row],[R1]:[R3]])/AVERAGE(Pcfu43[[#This Row],[R1]:[R3]])</f>
        <v>0.4165977904505308</v>
      </c>
      <c r="V393" s="96"/>
      <c r="W393" s="7"/>
    </row>
    <row r="394" spans="1:24" x14ac:dyDescent="0.15">
      <c r="A394" t="s">
        <v>34</v>
      </c>
      <c r="B394" t="s">
        <v>75</v>
      </c>
      <c r="D394" t="s">
        <v>319</v>
      </c>
      <c r="E394" s="3">
        <v>2</v>
      </c>
      <c r="G394">
        <v>0.1</v>
      </c>
      <c r="H394" s="5">
        <f>19*Pcfu4[[#This Row],[grams]]</f>
        <v>1.9000000000000001</v>
      </c>
      <c r="I394" s="3" t="s">
        <v>170</v>
      </c>
      <c r="J394" s="59">
        <v>44931</v>
      </c>
      <c r="L394" s="59" t="e" cm="1">
        <f t="array" ref="L394">INDEX($J$4:J1484, MATCH(1,(A394=$A$4:A1482)*(C394=$C$4:C1482)*("Y"=$K$4:K1484),0))</f>
        <v>#N/A</v>
      </c>
      <c r="M394" s="1">
        <v>1000000</v>
      </c>
      <c r="N394">
        <v>40</v>
      </c>
      <c r="O394">
        <v>45</v>
      </c>
      <c r="P394"/>
      <c r="Q394" s="6">
        <f>(SUM(Pcfu4[[#This Row],[R1]:[R3]]))/(Pcfu4[[#This Row],[No. Reps]]*0.025)*Pcfu4[[#This Row],[Best DF]]</f>
        <v>1700000000</v>
      </c>
      <c r="R394" s="1">
        <f>_xlfn.STDEV.S(Pcfu4[[#This Row],[R1]:[R3]])/0.025*Pcfu4[[#This Row],[Best DF]]</f>
        <v>141421356.23730952</v>
      </c>
      <c r="S394" s="6">
        <f>Pcfu4[[#This Row],[CFU/mL]]*Pcfu4[[#This Row],[mL]]/Pcfu4[[#This Row],[grams]]</f>
        <v>32300000000</v>
      </c>
      <c r="T394" s="1">
        <f>Pcfu4[[#This Row],[SD CFU/mL]]*Pcfu4[[#This Row],[mL]]/Pcfu4[[#This Row],[grams]]</f>
        <v>2687005768.5088806</v>
      </c>
      <c r="U394" s="7" t="e">
        <f>_xlfn.STDEV.S(Pcfu43[[#This Row],[R1]:[R3]])/AVERAGE(Pcfu43[[#This Row],[R1]:[R3]])</f>
        <v>#DIV/0!</v>
      </c>
      <c r="V394" s="96"/>
      <c r="W394" s="7"/>
    </row>
    <row r="395" spans="1:24" x14ac:dyDescent="0.15">
      <c r="A395" t="s">
        <v>40</v>
      </c>
      <c r="B395" t="s">
        <v>75</v>
      </c>
      <c r="D395" t="s">
        <v>319</v>
      </c>
      <c r="E395" s="3">
        <v>2</v>
      </c>
      <c r="G395">
        <v>0.1</v>
      </c>
      <c r="H395" s="5">
        <f>19*Pcfu4[[#This Row],[grams]]</f>
        <v>1.9000000000000001</v>
      </c>
      <c r="I395" s="3" t="s">
        <v>170</v>
      </c>
      <c r="J395" s="59">
        <v>44931</v>
      </c>
      <c r="L395" s="59" t="e" cm="1">
        <f t="array" ref="L395">INDEX($J$4:J1485, MATCH(1,(A395=$A$4:A1483)*(C395=$C$4:C1483)*("Y"=$K$4:K1485),0))</f>
        <v>#N/A</v>
      </c>
      <c r="M395" s="1">
        <v>100000</v>
      </c>
      <c r="N395">
        <v>117</v>
      </c>
      <c r="O395">
        <v>135</v>
      </c>
      <c r="P395"/>
      <c r="Q395" s="6">
        <f>(SUM(Pcfu4[[#This Row],[R1]:[R3]]))/(Pcfu4[[#This Row],[No. Reps]]*0.025)*Pcfu4[[#This Row],[Best DF]]</f>
        <v>504000000</v>
      </c>
      <c r="R395" s="1">
        <f>_xlfn.STDEV.S(Pcfu4[[#This Row],[R1]:[R3]])/0.025*Pcfu4[[#This Row],[Best DF]]</f>
        <v>50911688.245431416</v>
      </c>
      <c r="S395" s="6">
        <f>Pcfu4[[#This Row],[CFU/mL]]*Pcfu4[[#This Row],[mL]]/Pcfu4[[#This Row],[grams]]</f>
        <v>9576000000</v>
      </c>
      <c r="T395" s="1">
        <f>Pcfu4[[#This Row],[SD CFU/mL]]*Pcfu4[[#This Row],[mL]]/Pcfu4[[#This Row],[grams]]</f>
        <v>967322076.66319692</v>
      </c>
      <c r="U395" s="7">
        <f>_xlfn.STDEV.S(Pcfu43[[#This Row],[R1]:[R3]])/AVERAGE(Pcfu43[[#This Row],[R1]:[R3]])</f>
        <v>0.24979991993593578</v>
      </c>
      <c r="V395" s="96"/>
      <c r="W395" s="7"/>
    </row>
    <row r="396" spans="1:24" x14ac:dyDescent="0.15">
      <c r="A396" t="s">
        <v>403</v>
      </c>
      <c r="B396" t="s">
        <v>204</v>
      </c>
      <c r="D396" t="s">
        <v>86</v>
      </c>
      <c r="E396" s="3">
        <v>2</v>
      </c>
      <c r="G396">
        <v>0.3</v>
      </c>
      <c r="H396" s="5">
        <f>19*Pcfu4[[#This Row],[grams]]</f>
        <v>5.7</v>
      </c>
      <c r="I396" s="3" t="s">
        <v>170</v>
      </c>
      <c r="J396" s="59">
        <v>44931</v>
      </c>
      <c r="L396" s="59" t="e" cm="1">
        <f t="array" ref="L396">INDEX($J$4:J1486, MATCH(1,(A396=$A$4:A1484)*(C396=$C$4:C1484)*("Y"=$K$4:K1486),0))</f>
        <v>#N/A</v>
      </c>
      <c r="M396" s="1">
        <v>1000000</v>
      </c>
      <c r="N396">
        <v>210</v>
      </c>
      <c r="O396">
        <v>190</v>
      </c>
      <c r="P396"/>
      <c r="Q396" s="6">
        <f>(SUM(Pcfu4[[#This Row],[R1]:[R3]]))/(Pcfu4[[#This Row],[No. Reps]]*0.025)*Pcfu4[[#This Row],[Best DF]]</f>
        <v>8000000000</v>
      </c>
      <c r="R396" s="1">
        <f>_xlfn.STDEV.S(Pcfu4[[#This Row],[R1]:[R3]])/0.025*Pcfu4[[#This Row],[Best DF]]</f>
        <v>565685424.94923806</v>
      </c>
      <c r="S396" s="6">
        <f>Pcfu4[[#This Row],[CFU/mL]]*Pcfu4[[#This Row],[mL]]/Pcfu4[[#This Row],[grams]]</f>
        <v>152000000000</v>
      </c>
      <c r="T396" s="1">
        <f>Pcfu4[[#This Row],[SD CFU/mL]]*Pcfu4[[#This Row],[mL]]/Pcfu4[[#This Row],[grams]]</f>
        <v>10748023074.035524</v>
      </c>
      <c r="U396" s="7">
        <f>_xlfn.STDEV.S(Pcfu43[[#This Row],[R1]:[R3]])/AVERAGE(Pcfu43[[#This Row],[R1]:[R3]])</f>
        <v>2.7270733617460262E-2</v>
      </c>
      <c r="V396" s="8">
        <v>0.27200000000000002</v>
      </c>
      <c r="W396" s="7"/>
      <c r="X396" t="s">
        <v>404</v>
      </c>
    </row>
    <row r="397" spans="1:24" x14ac:dyDescent="0.15">
      <c r="A397" t="s">
        <v>405</v>
      </c>
      <c r="B397" t="s">
        <v>204</v>
      </c>
      <c r="D397" t="s">
        <v>86</v>
      </c>
      <c r="E397" s="3">
        <v>2</v>
      </c>
      <c r="G397">
        <v>0.3</v>
      </c>
      <c r="H397" s="5">
        <f>19*Pcfu4[[#This Row],[grams]]</f>
        <v>5.7</v>
      </c>
      <c r="I397" s="3" t="s">
        <v>170</v>
      </c>
      <c r="J397" s="59">
        <v>44931</v>
      </c>
      <c r="L397" s="59" t="e" cm="1">
        <f t="array" ref="L397">INDEX($J$4:J1487, MATCH(1,(A397=$A$4:A1485)*(C397=$C$4:C1485)*("Y"=$K$4:K1487),0))</f>
        <v>#N/A</v>
      </c>
      <c r="M397" s="1">
        <v>1000000</v>
      </c>
      <c r="N397">
        <v>236</v>
      </c>
      <c r="O397">
        <v>213</v>
      </c>
      <c r="P397"/>
      <c r="Q397" s="6">
        <f>(SUM(Pcfu4[[#This Row],[R1]:[R3]]))/(Pcfu4[[#This Row],[No. Reps]]*0.025)*Pcfu4[[#This Row],[Best DF]]</f>
        <v>8980000000</v>
      </c>
      <c r="R397" s="1">
        <f>_xlfn.STDEV.S(Pcfu4[[#This Row],[R1]:[R3]])/0.025*Pcfu4[[#This Row],[Best DF]]</f>
        <v>650538238.69162369</v>
      </c>
      <c r="S397" s="6">
        <f>Pcfu4[[#This Row],[CFU/mL]]*Pcfu4[[#This Row],[mL]]/Pcfu4[[#This Row],[grams]]</f>
        <v>170620000000</v>
      </c>
      <c r="T397" s="1">
        <f>Pcfu4[[#This Row],[SD CFU/mL]]*Pcfu4[[#This Row],[mL]]/Pcfu4[[#This Row],[grams]]</f>
        <v>12360226535.14085</v>
      </c>
      <c r="U397" s="7">
        <f>_xlfn.STDEV.S(Pcfu43[[#This Row],[R1]:[R3]])/AVERAGE(Pcfu43[[#This Row],[R1]:[R3]])</f>
        <v>0.19084652202487964</v>
      </c>
      <c r="V397" s="8">
        <v>0.186</v>
      </c>
      <c r="W397" s="7"/>
      <c r="X397" t="s">
        <v>406</v>
      </c>
    </row>
    <row r="398" spans="1:24" x14ac:dyDescent="0.15">
      <c r="A398" t="s">
        <v>407</v>
      </c>
      <c r="B398" t="s">
        <v>204</v>
      </c>
      <c r="D398" t="s">
        <v>86</v>
      </c>
      <c r="E398" s="3">
        <v>2</v>
      </c>
      <c r="G398">
        <v>0.3</v>
      </c>
      <c r="H398" s="5">
        <f>19*Pcfu4[[#This Row],[grams]]</f>
        <v>5.7</v>
      </c>
      <c r="I398" s="3" t="s">
        <v>170</v>
      </c>
      <c r="J398" s="59">
        <v>44931</v>
      </c>
      <c r="L398" s="59" t="e" cm="1">
        <f t="array" ref="L398">INDEX($J$4:J1488, MATCH(1,(A398=$A$4:A1486)*(C398=$C$4:C1486)*("Y"=$K$4:K1488),0))</f>
        <v>#N/A</v>
      </c>
      <c r="M398" s="1">
        <v>1000000</v>
      </c>
      <c r="N398">
        <v>83</v>
      </c>
      <c r="O398">
        <v>71</v>
      </c>
      <c r="P398"/>
      <c r="Q398" s="6">
        <f>(SUM(Pcfu4[[#This Row],[R1]:[R3]]))/(Pcfu4[[#This Row],[No. Reps]]*0.025)*Pcfu4[[#This Row],[Best DF]]</f>
        <v>3080000000</v>
      </c>
      <c r="R398" s="1">
        <f>_xlfn.STDEV.S(Pcfu4[[#This Row],[R1]:[R3]])/0.025*Pcfu4[[#This Row],[Best DF]]</f>
        <v>339411254.96954274</v>
      </c>
      <c r="S398" s="6">
        <f>Pcfu4[[#This Row],[CFU/mL]]*Pcfu4[[#This Row],[mL]]/Pcfu4[[#This Row],[grams]]</f>
        <v>58520000000</v>
      </c>
      <c r="T398" s="1">
        <f>Pcfu4[[#This Row],[SD CFU/mL]]*Pcfu4[[#This Row],[mL]]/Pcfu4[[#This Row],[grams]]</f>
        <v>6448813844.4213123</v>
      </c>
      <c r="U398" s="7">
        <f>_xlfn.STDEV.S(Pcfu43[[#This Row],[R1]:[R3]])/AVERAGE(Pcfu43[[#This Row],[R1]:[R3]])</f>
        <v>0.15563243006262298</v>
      </c>
      <c r="V398" s="8">
        <v>0.27900000000000003</v>
      </c>
      <c r="W398" s="7"/>
      <c r="X398" t="s">
        <v>408</v>
      </c>
    </row>
    <row r="399" spans="1:24" x14ac:dyDescent="0.15">
      <c r="A399" t="s">
        <v>409</v>
      </c>
      <c r="B399" t="s">
        <v>204</v>
      </c>
      <c r="D399" t="s">
        <v>86</v>
      </c>
      <c r="E399" s="3">
        <v>2</v>
      </c>
      <c r="G399">
        <v>0.3</v>
      </c>
      <c r="H399" s="5">
        <f>19*Pcfu4[[#This Row],[grams]]</f>
        <v>5.7</v>
      </c>
      <c r="I399" s="3" t="s">
        <v>170</v>
      </c>
      <c r="J399" s="59">
        <v>44931</v>
      </c>
      <c r="L399" s="59" t="e" cm="1">
        <f t="array" ref="L399">INDEX($J$4:J1489, MATCH(1,(A399=$A$4:A1487)*(C399=$C$4:C1487)*("Y"=$K$4:K1489),0))</f>
        <v>#N/A</v>
      </c>
      <c r="M399" s="1">
        <v>1000000</v>
      </c>
      <c r="N399">
        <v>75</v>
      </c>
      <c r="O399">
        <v>87</v>
      </c>
      <c r="P399"/>
      <c r="Q399" s="6">
        <f>(SUM(Pcfu4[[#This Row],[R1]:[R3]]))/(Pcfu4[[#This Row],[No. Reps]]*0.025)*Pcfu4[[#This Row],[Best DF]]</f>
        <v>3240000000</v>
      </c>
      <c r="R399" s="1">
        <f>_xlfn.STDEV.S(Pcfu4[[#This Row],[R1]:[R3]])/0.025*Pcfu4[[#This Row],[Best DF]]</f>
        <v>339411254.96954274</v>
      </c>
      <c r="S399" s="6">
        <f>Pcfu4[[#This Row],[CFU/mL]]*Pcfu4[[#This Row],[mL]]/Pcfu4[[#This Row],[grams]]</f>
        <v>61560000000</v>
      </c>
      <c r="T399" s="1">
        <f>Pcfu4[[#This Row],[SD CFU/mL]]*Pcfu4[[#This Row],[mL]]/Pcfu4[[#This Row],[grams]]</f>
        <v>6448813844.4213123</v>
      </c>
      <c r="U399" s="7">
        <f>_xlfn.STDEV.S(Pcfu43[[#This Row],[R1]:[R3]])/AVERAGE(Pcfu43[[#This Row],[R1]:[R3]])</f>
        <v>0.1</v>
      </c>
      <c r="V399" s="8">
        <v>0.23799999999999999</v>
      </c>
      <c r="W399" s="7"/>
      <c r="X399" t="s">
        <v>410</v>
      </c>
    </row>
    <row r="400" spans="1:24" x14ac:dyDescent="0.15">
      <c r="A400" t="s">
        <v>411</v>
      </c>
      <c r="B400" t="s">
        <v>204</v>
      </c>
      <c r="D400" t="s">
        <v>86</v>
      </c>
      <c r="E400" s="3">
        <v>2</v>
      </c>
      <c r="G400">
        <v>0.3</v>
      </c>
      <c r="H400" s="5">
        <f>19*Pcfu4[[#This Row],[grams]]</f>
        <v>5.7</v>
      </c>
      <c r="I400" s="3" t="s">
        <v>170</v>
      </c>
      <c r="J400" s="59">
        <v>44931</v>
      </c>
      <c r="L400" s="59" t="e" cm="1">
        <f t="array" ref="L400">INDEX($J$4:J1490, MATCH(1,(A400=$A$4:A1488)*(C400=$C$4:C1488)*("Y"=$K$4:K1490),0))</f>
        <v>#N/A</v>
      </c>
      <c r="M400" s="1">
        <v>1000000</v>
      </c>
      <c r="N400">
        <v>111</v>
      </c>
      <c r="O400">
        <v>114</v>
      </c>
      <c r="P400"/>
      <c r="Q400" s="6">
        <f>(SUM(Pcfu4[[#This Row],[R1]:[R3]]))/(Pcfu4[[#This Row],[No. Reps]]*0.025)*Pcfu4[[#This Row],[Best DF]]</f>
        <v>4500000000</v>
      </c>
      <c r="R400" s="1">
        <f>_xlfn.STDEV.S(Pcfu4[[#This Row],[R1]:[R3]])/0.025*Pcfu4[[#This Row],[Best DF]]</f>
        <v>84852813.742385685</v>
      </c>
      <c r="S400" s="6">
        <f>Pcfu4[[#This Row],[CFU/mL]]*Pcfu4[[#This Row],[mL]]/Pcfu4[[#This Row],[grams]]</f>
        <v>85500000000</v>
      </c>
      <c r="T400" s="1">
        <f>Pcfu4[[#This Row],[SD CFU/mL]]*Pcfu4[[#This Row],[mL]]/Pcfu4[[#This Row],[grams]]</f>
        <v>1612203461.1053281</v>
      </c>
      <c r="U400" s="7">
        <f>_xlfn.STDEV.S(Pcfu43[[#This Row],[R1]:[R3]])/AVERAGE(Pcfu43[[#This Row],[R1]:[R3]])</f>
        <v>0.10964818407091328</v>
      </c>
      <c r="V400" s="8">
        <v>0.16500000000000001</v>
      </c>
      <c r="W400" s="7"/>
      <c r="X400" s="61" t="s">
        <v>412</v>
      </c>
    </row>
    <row r="401" spans="1:24" x14ac:dyDescent="0.15">
      <c r="A401" t="s">
        <v>413</v>
      </c>
      <c r="B401" t="s">
        <v>204</v>
      </c>
      <c r="D401" t="s">
        <v>86</v>
      </c>
      <c r="E401" s="3">
        <v>2</v>
      </c>
      <c r="G401">
        <v>0.3</v>
      </c>
      <c r="H401" s="5">
        <f>19*Pcfu4[[#This Row],[grams]]</f>
        <v>5.7</v>
      </c>
      <c r="I401" s="3" t="s">
        <v>170</v>
      </c>
      <c r="J401" s="59">
        <v>44931</v>
      </c>
      <c r="L401" s="59" t="e" cm="1">
        <f t="array" ref="L401">INDEX($J$4:J1491, MATCH(1,(A401=$A$4:A1489)*(C401=$C$4:C1489)*("Y"=$K$4:K1491),0))</f>
        <v>#N/A</v>
      </c>
      <c r="M401" s="1">
        <v>1000000</v>
      </c>
      <c r="N401">
        <v>39</v>
      </c>
      <c r="O401">
        <v>31</v>
      </c>
      <c r="P401"/>
      <c r="Q401" s="6">
        <f>(SUM(Pcfu4[[#This Row],[R1]:[R3]]))/(Pcfu4[[#This Row],[No. Reps]]*0.025)*Pcfu4[[#This Row],[Best DF]]</f>
        <v>1400000000</v>
      </c>
      <c r="R401" s="1">
        <f>_xlfn.STDEV.S(Pcfu4[[#This Row],[R1]:[R3]])/0.025*Pcfu4[[#This Row],[Best DF]]</f>
        <v>226274169.97969523</v>
      </c>
      <c r="S401" s="6">
        <f>Pcfu4[[#This Row],[CFU/mL]]*Pcfu4[[#This Row],[mL]]/Pcfu4[[#This Row],[grams]]</f>
        <v>26600000000</v>
      </c>
      <c r="T401" s="1">
        <f>Pcfu4[[#This Row],[SD CFU/mL]]*Pcfu4[[#This Row],[mL]]/Pcfu4[[#This Row],[grams]]</f>
        <v>4299209229.6142092</v>
      </c>
      <c r="U401" s="7">
        <f>_xlfn.STDEV.S(Pcfu43[[#This Row],[R1]:[R3]])/AVERAGE(Pcfu43[[#This Row],[R1]:[R3]])</f>
        <v>0.25128800440336324</v>
      </c>
      <c r="V401" s="8">
        <v>0.27800000000000002</v>
      </c>
      <c r="W401" s="7"/>
      <c r="X401" t="s">
        <v>414</v>
      </c>
    </row>
    <row r="402" spans="1:24" x14ac:dyDescent="0.15">
      <c r="A402" t="s">
        <v>415</v>
      </c>
      <c r="B402" t="s">
        <v>204</v>
      </c>
      <c r="D402" t="s">
        <v>86</v>
      </c>
      <c r="E402" s="3">
        <v>2</v>
      </c>
      <c r="G402">
        <v>0.3</v>
      </c>
      <c r="H402" s="5">
        <f>19*Pcfu4[[#This Row],[grams]]</f>
        <v>5.7</v>
      </c>
      <c r="I402" s="3" t="s">
        <v>170</v>
      </c>
      <c r="J402" s="59">
        <v>44931</v>
      </c>
      <c r="L402" s="59" t="e" cm="1">
        <f t="array" ref="L402">INDEX($J$4:J1492, MATCH(1,(A402=$A$4:A1490)*(C402=$C$4:C1490)*("Y"=$K$4:K1492),0))</f>
        <v>#N/A</v>
      </c>
      <c r="M402" s="1">
        <v>1000000</v>
      </c>
      <c r="N402">
        <v>100</v>
      </c>
      <c r="O402">
        <v>28</v>
      </c>
      <c r="P402"/>
      <c r="Q402" s="6">
        <f>(SUM(Pcfu4[[#This Row],[R1]:[R3]]))/(Pcfu4[[#This Row],[No. Reps]]*0.025)*Pcfu4[[#This Row],[Best DF]]</f>
        <v>2560000000</v>
      </c>
      <c r="R402" s="1">
        <f>_xlfn.STDEV.S(Pcfu4[[#This Row],[R1]:[R3]])/0.025*Pcfu4[[#This Row],[Best DF]]</f>
        <v>2036467529.8172567</v>
      </c>
      <c r="S402" s="6">
        <f>Pcfu4[[#This Row],[CFU/mL]]*Pcfu4[[#This Row],[mL]]/Pcfu4[[#This Row],[grams]]</f>
        <v>48640000000</v>
      </c>
      <c r="T402" s="1">
        <f>Pcfu4[[#This Row],[SD CFU/mL]]*Pcfu4[[#This Row],[mL]]/Pcfu4[[#This Row],[grams]]</f>
        <v>38692883066.527878</v>
      </c>
      <c r="U402" s="7">
        <f>_xlfn.STDEV.S(Pcfu43[[#This Row],[R1]:[R3]])/AVERAGE(Pcfu43[[#This Row],[R1]:[R3]])</f>
        <v>0.13091213705315746</v>
      </c>
      <c r="V402" s="8">
        <v>0.36699999999999999</v>
      </c>
      <c r="W402" s="7"/>
      <c r="X402" t="s">
        <v>400</v>
      </c>
    </row>
    <row r="403" spans="1:24" x14ac:dyDescent="0.15">
      <c r="A403" t="s">
        <v>416</v>
      </c>
      <c r="B403" t="s">
        <v>204</v>
      </c>
      <c r="D403" t="s">
        <v>86</v>
      </c>
      <c r="E403" s="3">
        <v>2</v>
      </c>
      <c r="G403">
        <v>0.3</v>
      </c>
      <c r="H403" s="5">
        <f>19*Pcfu4[[#This Row],[grams]]</f>
        <v>5.7</v>
      </c>
      <c r="I403" s="3" t="s">
        <v>170</v>
      </c>
      <c r="J403" s="59">
        <v>44931</v>
      </c>
      <c r="L403" s="59" t="e" cm="1">
        <f t="array" ref="L403">INDEX($J$4:J1493, MATCH(1,(A403=$A$4:A1491)*(C403=$C$4:C1491)*("Y"=$K$4:K1493),0))</f>
        <v>#N/A</v>
      </c>
      <c r="M403" s="1">
        <v>1000000</v>
      </c>
      <c r="N403">
        <v>39</v>
      </c>
      <c r="O403">
        <v>40</v>
      </c>
      <c r="P403"/>
      <c r="Q403" s="6">
        <f>(SUM(Pcfu4[[#This Row],[R1]:[R3]]))/(Pcfu4[[#This Row],[No. Reps]]*0.025)*Pcfu4[[#This Row],[Best DF]]</f>
        <v>1580000000</v>
      </c>
      <c r="R403" s="1">
        <f>_xlfn.STDEV.S(Pcfu4[[#This Row],[R1]:[R3]])/0.025*Pcfu4[[#This Row],[Best DF]]</f>
        <v>28284271.247461904</v>
      </c>
      <c r="S403" s="6">
        <f>Pcfu4[[#This Row],[CFU/mL]]*Pcfu4[[#This Row],[mL]]/Pcfu4[[#This Row],[grams]]</f>
        <v>30020000000</v>
      </c>
      <c r="T403" s="1">
        <f>Pcfu4[[#This Row],[SD CFU/mL]]*Pcfu4[[#This Row],[mL]]/Pcfu4[[#This Row],[grams]]</f>
        <v>537401153.70177615</v>
      </c>
      <c r="U403" s="7">
        <f>_xlfn.STDEV.S(Pcfu43[[#This Row],[R1]:[R3]])/AVERAGE(Pcfu43[[#This Row],[R1]:[R3]])</f>
        <v>0.17320508075688792</v>
      </c>
      <c r="V403" s="8">
        <v>0.30499999999999999</v>
      </c>
      <c r="W403" s="7"/>
      <c r="X403" t="s">
        <v>417</v>
      </c>
    </row>
    <row r="404" spans="1:24" x14ac:dyDescent="0.15">
      <c r="A404" t="s">
        <v>418</v>
      </c>
      <c r="B404" t="s">
        <v>204</v>
      </c>
      <c r="D404" t="s">
        <v>86</v>
      </c>
      <c r="E404" s="3">
        <v>2</v>
      </c>
      <c r="G404">
        <v>0.3</v>
      </c>
      <c r="H404" s="5">
        <f>19*Pcfu4[[#This Row],[grams]]</f>
        <v>5.7</v>
      </c>
      <c r="I404" s="3" t="s">
        <v>170</v>
      </c>
      <c r="J404" s="59">
        <v>44931</v>
      </c>
      <c r="L404" s="59" t="e" cm="1">
        <f t="array" ref="L404">INDEX($J$4:J1494, MATCH(1,(A404=$A$4:A1492)*(C404=$C$4:C1492)*("Y"=$K$4:K1494),0))</f>
        <v>#N/A</v>
      </c>
      <c r="M404" s="1">
        <v>1000000</v>
      </c>
      <c r="N404">
        <v>15</v>
      </c>
      <c r="O404">
        <v>19</v>
      </c>
      <c r="P404"/>
      <c r="Q404" s="6">
        <f>(SUM(Pcfu4[[#This Row],[R1]:[R3]]))/(Pcfu4[[#This Row],[No. Reps]]*0.025)*Pcfu4[[#This Row],[Best DF]]</f>
        <v>680000000</v>
      </c>
      <c r="R404" s="1">
        <f>_xlfn.STDEV.S(Pcfu4[[#This Row],[R1]:[R3]])/0.025*Pcfu4[[#This Row],[Best DF]]</f>
        <v>113137084.98984762</v>
      </c>
      <c r="S404" s="6">
        <f>Pcfu4[[#This Row],[CFU/mL]]*Pcfu4[[#This Row],[mL]]/Pcfu4[[#This Row],[grams]]</f>
        <v>12920000000</v>
      </c>
      <c r="T404" s="1">
        <f>Pcfu4[[#This Row],[SD CFU/mL]]*Pcfu4[[#This Row],[mL]]/Pcfu4[[#This Row],[grams]]</f>
        <v>2149604614.8071046</v>
      </c>
      <c r="U404" s="7">
        <f>_xlfn.STDEV.S(Pcfu43[[#This Row],[R1]:[R3]])/AVERAGE(Pcfu43[[#This Row],[R1]:[R3]])</f>
        <v>3.0303030303030304E-2</v>
      </c>
      <c r="V404" s="8">
        <v>0.31900000000000001</v>
      </c>
      <c r="W404" s="7"/>
      <c r="X404" t="s">
        <v>419</v>
      </c>
    </row>
    <row r="405" spans="1:24" x14ac:dyDescent="0.15">
      <c r="A405" t="s">
        <v>420</v>
      </c>
      <c r="B405" t="s">
        <v>204</v>
      </c>
      <c r="D405" t="s">
        <v>86</v>
      </c>
      <c r="E405" s="3">
        <v>2</v>
      </c>
      <c r="G405">
        <v>0.3</v>
      </c>
      <c r="H405" s="5">
        <f>19*Pcfu4[[#This Row],[grams]]</f>
        <v>5.7</v>
      </c>
      <c r="I405" s="3" t="s">
        <v>170</v>
      </c>
      <c r="J405" s="59">
        <v>44931</v>
      </c>
      <c r="L405" s="59" t="e" cm="1">
        <f t="array" ref="L405">INDEX($J$4:J1495, MATCH(1,(A405=$A$4:A1493)*(C405=$C$4:C1493)*("Y"=$K$4:K1495),0))</f>
        <v>#N/A</v>
      </c>
      <c r="M405" s="1">
        <v>1000000</v>
      </c>
      <c r="N405">
        <v>0</v>
      </c>
      <c r="O405">
        <v>1</v>
      </c>
      <c r="P405"/>
      <c r="Q405" s="6">
        <f>(SUM(Pcfu4[[#This Row],[R1]:[R3]]))/(Pcfu4[[#This Row],[No. Reps]]*0.025)*Pcfu4[[#This Row],[Best DF]]</f>
        <v>20000000</v>
      </c>
      <c r="R405" s="1">
        <f>_xlfn.STDEV.S(Pcfu4[[#This Row],[R1]:[R3]])/0.025*Pcfu4[[#This Row],[Best DF]]</f>
        <v>28284271.247461904</v>
      </c>
      <c r="S405" s="6">
        <f>Pcfu4[[#This Row],[CFU/mL]]*Pcfu4[[#This Row],[mL]]/Pcfu4[[#This Row],[grams]]</f>
        <v>380000000</v>
      </c>
      <c r="T405" s="1">
        <f>Pcfu4[[#This Row],[SD CFU/mL]]*Pcfu4[[#This Row],[mL]]/Pcfu4[[#This Row],[grams]]</f>
        <v>537401153.70177615</v>
      </c>
      <c r="U405" s="7">
        <f>_xlfn.STDEV.S(Pcfu43[[#This Row],[R1]:[R3]])/AVERAGE(Pcfu43[[#This Row],[R1]:[R3]])</f>
        <v>4.0737373304118446E-2</v>
      </c>
      <c r="V405" s="8">
        <v>0.33</v>
      </c>
      <c r="W405" s="7"/>
      <c r="X405" t="s">
        <v>421</v>
      </c>
    </row>
    <row r="406" spans="1:24" x14ac:dyDescent="0.15">
      <c r="A406" t="s">
        <v>422</v>
      </c>
      <c r="B406" t="s">
        <v>204</v>
      </c>
      <c r="D406" t="s">
        <v>86</v>
      </c>
      <c r="E406" s="3">
        <v>2</v>
      </c>
      <c r="G406">
        <v>0.3</v>
      </c>
      <c r="H406" s="5">
        <f>19*Pcfu4[[#This Row],[grams]]</f>
        <v>5.7</v>
      </c>
      <c r="I406" s="3" t="s">
        <v>170</v>
      </c>
      <c r="J406" s="59">
        <v>44931</v>
      </c>
      <c r="L406" s="59" t="e" cm="1">
        <f t="array" ref="L406">INDEX($J$4:J1496, MATCH(1,(A406=$A$4:A1494)*(C406=$C$4:C1494)*("Y"=$K$4:K1496),0))</f>
        <v>#N/A</v>
      </c>
      <c r="M406" s="1">
        <v>1000000</v>
      </c>
      <c r="N406">
        <v>5</v>
      </c>
      <c r="O406">
        <v>4</v>
      </c>
      <c r="P406"/>
      <c r="Q406" s="6">
        <f>(SUM(Pcfu4[[#This Row],[R1]:[R3]]))/(Pcfu4[[#This Row],[No. Reps]]*0.025)*Pcfu4[[#This Row],[Best DF]]</f>
        <v>180000000</v>
      </c>
      <c r="R406" s="1">
        <f>_xlfn.STDEV.S(Pcfu4[[#This Row],[R1]:[R3]])/0.025*Pcfu4[[#This Row],[Best DF]]</f>
        <v>28284271.247461904</v>
      </c>
      <c r="S406" s="6">
        <f>Pcfu4[[#This Row],[CFU/mL]]*Pcfu4[[#This Row],[mL]]/Pcfu4[[#This Row],[grams]]</f>
        <v>3420000000</v>
      </c>
      <c r="T406" s="1">
        <f>Pcfu4[[#This Row],[SD CFU/mL]]*Pcfu4[[#This Row],[mL]]/Pcfu4[[#This Row],[grams]]</f>
        <v>537401153.70177615</v>
      </c>
      <c r="U406" s="7">
        <f>_xlfn.STDEV.S(Pcfu43[[#This Row],[R1]:[R3]])/AVERAGE(Pcfu43[[#This Row],[R1]:[R3]])</f>
        <v>5.8939880320975434E-2</v>
      </c>
      <c r="V406" s="8">
        <v>0.27100000000000002</v>
      </c>
      <c r="W406" s="7"/>
      <c r="X406" t="s">
        <v>423</v>
      </c>
    </row>
    <row r="407" spans="1:24" x14ac:dyDescent="0.15">
      <c r="A407" t="s">
        <v>424</v>
      </c>
      <c r="B407" t="s">
        <v>204</v>
      </c>
      <c r="D407" t="s">
        <v>86</v>
      </c>
      <c r="E407" s="3">
        <v>2</v>
      </c>
      <c r="G407">
        <v>0.3</v>
      </c>
      <c r="H407" s="5">
        <f>19*Pcfu4[[#This Row],[grams]]</f>
        <v>5.7</v>
      </c>
      <c r="I407" s="3" t="s">
        <v>170</v>
      </c>
      <c r="J407" s="59">
        <v>44931</v>
      </c>
      <c r="L407" s="59" t="e" cm="1">
        <f t="array" ref="L407">INDEX($J$4:J1497, MATCH(1,(A407=$A$4:A1495)*(C407=$C$4:C1495)*("Y"=$K$4:K1497),0))</f>
        <v>#N/A</v>
      </c>
      <c r="M407" s="1">
        <v>1000000</v>
      </c>
      <c r="N407">
        <v>1</v>
      </c>
      <c r="O407">
        <v>0</v>
      </c>
      <c r="P407"/>
      <c r="Q407" s="6">
        <f>(SUM(Pcfu4[[#This Row],[R1]:[R3]]))/(Pcfu4[[#This Row],[No. Reps]]*0.025)*Pcfu4[[#This Row],[Best DF]]</f>
        <v>20000000</v>
      </c>
      <c r="R407" s="1">
        <f>_xlfn.STDEV.S(Pcfu4[[#This Row],[R1]:[R3]])/0.025*Pcfu4[[#This Row],[Best DF]]</f>
        <v>28284271.247461904</v>
      </c>
      <c r="S407" s="6">
        <f>Pcfu4[[#This Row],[CFU/mL]]*Pcfu4[[#This Row],[mL]]/Pcfu4[[#This Row],[grams]]</f>
        <v>380000000</v>
      </c>
      <c r="T407" s="1">
        <f>Pcfu4[[#This Row],[SD CFU/mL]]*Pcfu4[[#This Row],[mL]]/Pcfu4[[#This Row],[grams]]</f>
        <v>537401153.70177615</v>
      </c>
      <c r="U407" s="7" t="e">
        <f>_xlfn.STDEV.S(Pcfu43[[#This Row],[R1]:[R3]])/AVERAGE(Pcfu43[[#This Row],[R1]:[R3]])</f>
        <v>#DIV/0!</v>
      </c>
      <c r="V407" s="8">
        <v>0.307</v>
      </c>
      <c r="W407" s="7"/>
      <c r="X407" t="s">
        <v>425</v>
      </c>
    </row>
    <row r="408" spans="1:24" x14ac:dyDescent="0.15">
      <c r="A408" t="s">
        <v>426</v>
      </c>
      <c r="B408" t="s">
        <v>427</v>
      </c>
      <c r="D408" t="s">
        <v>86</v>
      </c>
      <c r="E408" s="3">
        <v>2</v>
      </c>
      <c r="G408">
        <v>0.3</v>
      </c>
      <c r="H408" s="5">
        <f>19*Pcfu4[[#This Row],[grams]]</f>
        <v>5.7</v>
      </c>
      <c r="I408" s="3" t="s">
        <v>170</v>
      </c>
      <c r="J408" s="59">
        <v>44931</v>
      </c>
      <c r="L408" s="59" t="e" cm="1">
        <f t="array" ref="L408">INDEX($J$4:J1498, MATCH(1,(A408=$A$4:A1496)*(C408=$C$4:C1496)*("Y"=$K$4:K1498),0))</f>
        <v>#N/A</v>
      </c>
      <c r="M408" s="1">
        <v>10000000</v>
      </c>
      <c r="N408">
        <v>36</v>
      </c>
      <c r="O408">
        <v>32</v>
      </c>
      <c r="P408"/>
      <c r="Q408" s="6">
        <f>(SUM(Pcfu4[[#This Row],[R1]:[R3]]))/(Pcfu4[[#This Row],[No. Reps]]*0.025)*Pcfu4[[#This Row],[Best DF]]</f>
        <v>13600000000</v>
      </c>
      <c r="R408" s="1">
        <f>_xlfn.STDEV.S(Pcfu4[[#This Row],[R1]:[R3]])/0.025*Pcfu4[[#This Row],[Best DF]]</f>
        <v>1131370849.8984761</v>
      </c>
      <c r="S408" s="6">
        <f>Pcfu4[[#This Row],[CFU/mL]]*Pcfu4[[#This Row],[mL]]/Pcfu4[[#This Row],[grams]]</f>
        <v>258400000000</v>
      </c>
      <c r="T408" s="1">
        <f>Pcfu4[[#This Row],[SD CFU/mL]]*Pcfu4[[#This Row],[mL]]/Pcfu4[[#This Row],[grams]]</f>
        <v>21496046148.071049</v>
      </c>
      <c r="U408" s="7" t="e">
        <f>_xlfn.STDEV.S(Pcfu43[[#This Row],[R1]:[R3]])/AVERAGE(Pcfu43[[#This Row],[R1]:[R3]])</f>
        <v>#DIV/0!</v>
      </c>
      <c r="V408" s="96"/>
      <c r="W408" s="7"/>
    </row>
    <row r="409" spans="1:24" x14ac:dyDescent="0.15">
      <c r="A409" t="s">
        <v>428</v>
      </c>
      <c r="B409" t="s">
        <v>427</v>
      </c>
      <c r="D409" t="s">
        <v>86</v>
      </c>
      <c r="E409" s="3">
        <v>2</v>
      </c>
      <c r="G409">
        <v>0.3</v>
      </c>
      <c r="H409" s="5">
        <f>19*Pcfu4[[#This Row],[grams]]</f>
        <v>5.7</v>
      </c>
      <c r="I409" s="3" t="s">
        <v>170</v>
      </c>
      <c r="J409" s="59">
        <v>44931</v>
      </c>
      <c r="L409" s="59" t="e" cm="1">
        <f t="array" ref="L409">INDEX($J$4:J1499, MATCH(1,(A409=$A$4:A1497)*(C409=$C$4:C1497)*("Y"=$K$4:K1499),0))</f>
        <v>#N/A</v>
      </c>
      <c r="M409" s="1">
        <v>10000000</v>
      </c>
      <c r="N409">
        <v>36</v>
      </c>
      <c r="O409">
        <v>41</v>
      </c>
      <c r="P409"/>
      <c r="Q409" s="6">
        <f>(SUM(Pcfu4[[#This Row],[R1]:[R3]]))/(Pcfu4[[#This Row],[No. Reps]]*0.025)*Pcfu4[[#This Row],[Best DF]]</f>
        <v>15400000000</v>
      </c>
      <c r="R409" s="1">
        <f>_xlfn.STDEV.S(Pcfu4[[#This Row],[R1]:[R3]])/0.025*Pcfu4[[#This Row],[Best DF]]</f>
        <v>1414213562.373095</v>
      </c>
      <c r="S409" s="6">
        <f>Pcfu4[[#This Row],[CFU/mL]]*Pcfu4[[#This Row],[mL]]/Pcfu4[[#This Row],[grams]]</f>
        <v>292600000000</v>
      </c>
      <c r="T409" s="1">
        <f>Pcfu4[[#This Row],[SD CFU/mL]]*Pcfu4[[#This Row],[mL]]/Pcfu4[[#This Row],[grams]]</f>
        <v>26870057685.088806</v>
      </c>
      <c r="U409" s="7" t="e">
        <f>_xlfn.STDEV.S(Pcfu43[[#This Row],[R1]:[R3]])/AVERAGE(Pcfu43[[#This Row],[R1]:[R3]])</f>
        <v>#DIV/0!</v>
      </c>
      <c r="V409" s="96"/>
      <c r="W409" s="7"/>
    </row>
    <row r="410" spans="1:24" x14ac:dyDescent="0.15">
      <c r="A410" t="s">
        <v>429</v>
      </c>
      <c r="B410" t="s">
        <v>427</v>
      </c>
      <c r="D410" t="s">
        <v>86</v>
      </c>
      <c r="E410" s="3">
        <v>2</v>
      </c>
      <c r="G410">
        <v>0.3</v>
      </c>
      <c r="H410" s="5">
        <f>19*Pcfu4[[#This Row],[grams]]</f>
        <v>5.7</v>
      </c>
      <c r="I410" s="3" t="s">
        <v>170</v>
      </c>
      <c r="J410" s="59">
        <v>44931</v>
      </c>
      <c r="L410" s="59" t="e" cm="1">
        <f t="array" ref="L410">INDEX($J$4:J1500, MATCH(1,(A410=$A$4:A1498)*(C410=$C$4:C1498)*("Y"=$K$4:K1500),0))</f>
        <v>#N/A</v>
      </c>
      <c r="M410" s="1">
        <v>1000000</v>
      </c>
      <c r="N410">
        <v>222</v>
      </c>
      <c r="O410">
        <v>485</v>
      </c>
      <c r="P410"/>
      <c r="Q410" s="6">
        <f>(SUM(Pcfu4[[#This Row],[R1]:[R3]]))/(Pcfu4[[#This Row],[No. Reps]]*0.025)*Pcfu4[[#This Row],[Best DF]]</f>
        <v>14140000000</v>
      </c>
      <c r="R410" s="1">
        <f>_xlfn.STDEV.S(Pcfu4[[#This Row],[R1]:[R3]])/0.025*Pcfu4[[#This Row],[Best DF]]</f>
        <v>7438763338.0824795</v>
      </c>
      <c r="S410" s="6">
        <f>Pcfu4[[#This Row],[CFU/mL]]*Pcfu4[[#This Row],[mL]]/Pcfu4[[#This Row],[grams]]</f>
        <v>268660000000</v>
      </c>
      <c r="T410" s="1">
        <f>Pcfu4[[#This Row],[SD CFU/mL]]*Pcfu4[[#This Row],[mL]]/Pcfu4[[#This Row],[grams]]</f>
        <v>141336503423.56714</v>
      </c>
      <c r="U410" s="7" t="e">
        <f>_xlfn.STDEV.S(Pcfu43[[#This Row],[R1]:[R3]])/AVERAGE(Pcfu43[[#This Row],[R1]:[R3]])</f>
        <v>#DIV/0!</v>
      </c>
      <c r="V410" s="96"/>
      <c r="W410" s="7"/>
    </row>
    <row r="411" spans="1:24" x14ac:dyDescent="0.15">
      <c r="A411" t="s">
        <v>430</v>
      </c>
      <c r="B411" t="s">
        <v>427</v>
      </c>
      <c r="D411" t="s">
        <v>86</v>
      </c>
      <c r="E411" s="3">
        <v>2</v>
      </c>
      <c r="G411">
        <v>0.3</v>
      </c>
      <c r="H411" s="5">
        <f>19*Pcfu4[[#This Row],[grams]]</f>
        <v>5.7</v>
      </c>
      <c r="I411" s="3" t="s">
        <v>170</v>
      </c>
      <c r="J411" s="59">
        <v>44931</v>
      </c>
      <c r="L411" s="59" t="e" cm="1">
        <f t="array" ref="L411">INDEX($J$4:J1501, MATCH(1,(A411=$A$4:A1499)*(C411=$C$4:C1499)*("Y"=$K$4:K1501),0))</f>
        <v>#N/A</v>
      </c>
      <c r="M411" s="1">
        <v>1000000</v>
      </c>
      <c r="N411">
        <v>177</v>
      </c>
      <c r="O411">
        <v>185</v>
      </c>
      <c r="P411"/>
      <c r="Q411" s="6">
        <f>(SUM(Pcfu4[[#This Row],[R1]:[R3]]))/(Pcfu4[[#This Row],[No. Reps]]*0.025)*Pcfu4[[#This Row],[Best DF]]</f>
        <v>7240000000</v>
      </c>
      <c r="R411" s="1">
        <f>_xlfn.STDEV.S(Pcfu4[[#This Row],[R1]:[R3]])/0.025*Pcfu4[[#This Row],[Best DF]]</f>
        <v>226274169.97969523</v>
      </c>
      <c r="S411" s="6">
        <f>Pcfu4[[#This Row],[CFU/mL]]*Pcfu4[[#This Row],[mL]]/Pcfu4[[#This Row],[grams]]</f>
        <v>137560000000</v>
      </c>
      <c r="T411" s="1">
        <f>Pcfu4[[#This Row],[SD CFU/mL]]*Pcfu4[[#This Row],[mL]]/Pcfu4[[#This Row],[grams]]</f>
        <v>4299209229.6142092</v>
      </c>
      <c r="U411" s="7" t="e">
        <f>_xlfn.STDEV.S(Pcfu43[[#This Row],[R1]:[R3]])/AVERAGE(Pcfu43[[#This Row],[R1]:[R3]])</f>
        <v>#DIV/0!</v>
      </c>
      <c r="V411" s="96"/>
      <c r="W411" s="7"/>
    </row>
    <row r="412" spans="1:24" x14ac:dyDescent="0.15">
      <c r="A412" t="s">
        <v>431</v>
      </c>
      <c r="B412" t="s">
        <v>328</v>
      </c>
      <c r="D412" t="s">
        <v>86</v>
      </c>
      <c r="E412" s="3">
        <v>2</v>
      </c>
      <c r="G412">
        <v>0.3</v>
      </c>
      <c r="H412" s="5">
        <f>19*Pcfu4[[#This Row],[grams]]</f>
        <v>5.7</v>
      </c>
      <c r="I412" s="3" t="s">
        <v>170</v>
      </c>
      <c r="J412" s="59">
        <v>44931</v>
      </c>
      <c r="L412" s="59" t="e" cm="1">
        <f t="array" ref="L412">INDEX($J$4:J1502, MATCH(1,(A412=$A$4:A1500)*(C412=$C$4:C1500)*("Y"=$K$4:K1502),0))</f>
        <v>#N/A</v>
      </c>
      <c r="M412" s="1">
        <v>1000000</v>
      </c>
      <c r="N412">
        <v>71</v>
      </c>
      <c r="O412">
        <v>62</v>
      </c>
      <c r="P412"/>
      <c r="Q412" s="6">
        <f>(SUM(Pcfu4[[#This Row],[R1]:[R3]]))/(Pcfu4[[#This Row],[No. Reps]]*0.025)*Pcfu4[[#This Row],[Best DF]]</f>
        <v>2660000000</v>
      </c>
      <c r="R412" s="1">
        <f>_xlfn.STDEV.S(Pcfu4[[#This Row],[R1]:[R3]])/0.025*Pcfu4[[#This Row],[Best DF]]</f>
        <v>254558441.22715709</v>
      </c>
      <c r="S412" s="6">
        <f>Pcfu4[[#This Row],[CFU/mL]]*Pcfu4[[#This Row],[mL]]/Pcfu4[[#This Row],[grams]]</f>
        <v>50540000000</v>
      </c>
      <c r="T412" s="1">
        <f>Pcfu4[[#This Row],[SD CFU/mL]]*Pcfu4[[#This Row],[mL]]/Pcfu4[[#This Row],[grams]]</f>
        <v>4836610383.3159847</v>
      </c>
      <c r="U412" s="7" t="e">
        <f>_xlfn.STDEV.S(Pcfu43[[#This Row],[R1]:[R3]])/AVERAGE(Pcfu43[[#This Row],[R1]:[R3]])</f>
        <v>#DIV/0!</v>
      </c>
      <c r="V412" s="96"/>
      <c r="W412" s="7"/>
    </row>
    <row r="413" spans="1:24" x14ac:dyDescent="0.15">
      <c r="A413" t="s">
        <v>432</v>
      </c>
      <c r="B413" t="s">
        <v>330</v>
      </c>
      <c r="D413" t="s">
        <v>86</v>
      </c>
      <c r="E413" s="3">
        <v>2</v>
      </c>
      <c r="G413">
        <v>0.3</v>
      </c>
      <c r="H413" s="5">
        <f>19*Pcfu4[[#This Row],[grams]]</f>
        <v>5.7</v>
      </c>
      <c r="I413" s="3" t="s">
        <v>170</v>
      </c>
      <c r="J413" s="59">
        <v>44931</v>
      </c>
      <c r="L413" s="59" t="e" cm="1">
        <f t="array" ref="L413">INDEX($J$4:J1503, MATCH(1,(A413=$A$4:A1501)*(C413=$C$4:C1501)*("Y"=$K$4:K1503),0))</f>
        <v>#N/A</v>
      </c>
      <c r="M413" s="1">
        <v>1000000</v>
      </c>
      <c r="N413">
        <v>76</v>
      </c>
      <c r="O413">
        <v>77</v>
      </c>
      <c r="P413"/>
      <c r="Q413" s="6">
        <f>(SUM(Pcfu4[[#This Row],[R1]:[R3]]))/(Pcfu4[[#This Row],[No. Reps]]*0.025)*Pcfu4[[#This Row],[Best DF]]</f>
        <v>3060000000</v>
      </c>
      <c r="R413" s="1">
        <f>_xlfn.STDEV.S(Pcfu4[[#This Row],[R1]:[R3]])/0.025*Pcfu4[[#This Row],[Best DF]]</f>
        <v>28284271.247461904</v>
      </c>
      <c r="S413" s="6">
        <f>Pcfu4[[#This Row],[CFU/mL]]*Pcfu4[[#This Row],[mL]]/Pcfu4[[#This Row],[grams]]</f>
        <v>58140000000</v>
      </c>
      <c r="T413" s="1">
        <f>Pcfu4[[#This Row],[SD CFU/mL]]*Pcfu4[[#This Row],[mL]]/Pcfu4[[#This Row],[grams]]</f>
        <v>537401153.70177615</v>
      </c>
      <c r="U413" s="7" t="e">
        <f>_xlfn.STDEV.S(Pcfu43[[#This Row],[R1]:[R3]])/AVERAGE(Pcfu43[[#This Row],[R1]:[R3]])</f>
        <v>#DIV/0!</v>
      </c>
      <c r="V413" s="96"/>
      <c r="W413" s="7"/>
    </row>
    <row r="414" spans="1:24" x14ac:dyDescent="0.15">
      <c r="A414" t="s">
        <v>433</v>
      </c>
      <c r="B414" t="s">
        <v>434</v>
      </c>
      <c r="D414" t="s">
        <v>194</v>
      </c>
      <c r="E414" s="3">
        <v>3</v>
      </c>
      <c r="G414">
        <v>0.3</v>
      </c>
      <c r="H414" s="5">
        <f>19*Pcfu4[[#This Row],[grams]]</f>
        <v>5.7</v>
      </c>
      <c r="I414" s="3" t="s">
        <v>170</v>
      </c>
      <c r="J414" s="59">
        <v>44932</v>
      </c>
      <c r="L414" s="59" t="e" cm="1">
        <f t="array" ref="L414">INDEX($J$4:J1504, MATCH(1,(A414=$A$4:A1502)*(C414=$C$4:C1502)*("Y"=$K$4:K1504),0))</f>
        <v>#N/A</v>
      </c>
      <c r="M414" s="1">
        <v>1000000</v>
      </c>
      <c r="N414">
        <v>106</v>
      </c>
      <c r="O414">
        <v>113</v>
      </c>
      <c r="P414">
        <v>99</v>
      </c>
      <c r="Q414" s="6">
        <f>(SUM(Pcfu4[[#This Row],[R1]:[R3]]))/(Pcfu4[[#This Row],[No. Reps]]*0.025)*Pcfu4[[#This Row],[Best DF]]</f>
        <v>4239999999.999999</v>
      </c>
      <c r="R414" s="1">
        <f>_xlfn.STDEV.S(Pcfu4[[#This Row],[R1]:[R3]])/0.025*Pcfu4[[#This Row],[Best DF]]</f>
        <v>280000000</v>
      </c>
      <c r="S414" s="6">
        <f>Pcfu4[[#This Row],[CFU/mL]]*Pcfu4[[#This Row],[mL]]/Pcfu4[[#This Row],[grams]]</f>
        <v>80559999999.999985</v>
      </c>
      <c r="T414" s="1">
        <f>Pcfu4[[#This Row],[SD CFU/mL]]*Pcfu4[[#This Row],[mL]]/Pcfu4[[#This Row],[grams]]</f>
        <v>5320000000</v>
      </c>
      <c r="U414" s="7" t="e">
        <f>_xlfn.STDEV.S(Pcfu43[[#This Row],[R1]:[R3]])/AVERAGE(Pcfu43[[#This Row],[R1]:[R3]])</f>
        <v>#DIV/0!</v>
      </c>
      <c r="V414" s="96"/>
      <c r="W414" s="7"/>
    </row>
    <row r="415" spans="1:24" x14ac:dyDescent="0.15">
      <c r="A415" t="s">
        <v>433</v>
      </c>
      <c r="B415" t="s">
        <v>435</v>
      </c>
      <c r="D415" t="s">
        <v>194</v>
      </c>
      <c r="E415" s="3">
        <v>3</v>
      </c>
      <c r="G415">
        <v>0.3</v>
      </c>
      <c r="H415" s="5">
        <f>19*Pcfu4[[#This Row],[grams]]</f>
        <v>5.7</v>
      </c>
      <c r="I415" s="3" t="s">
        <v>170</v>
      </c>
      <c r="J415" s="59">
        <v>44932</v>
      </c>
      <c r="L415" s="59" t="e" cm="1">
        <f t="array" ref="L415">INDEX($J$4:J1505, MATCH(1,(A415=$A$4:A1503)*(C415=$C$4:C1503)*("Y"=$K$4:K1505),0))</f>
        <v>#N/A</v>
      </c>
      <c r="M415" s="1">
        <v>1000000</v>
      </c>
      <c r="N415">
        <v>33</v>
      </c>
      <c r="O415">
        <v>36</v>
      </c>
      <c r="P415">
        <v>32</v>
      </c>
      <c r="Q415" s="6">
        <f>(SUM(Pcfu4[[#This Row],[R1]:[R3]]))/(Pcfu4[[#This Row],[No. Reps]]*0.025)*Pcfu4[[#This Row],[Best DF]]</f>
        <v>1346666666.6666665</v>
      </c>
      <c r="R415" s="1">
        <f>_xlfn.STDEV.S(Pcfu4[[#This Row],[R1]:[R3]])/0.025*Pcfu4[[#This Row],[Best DF]]</f>
        <v>83266639.978645295</v>
      </c>
      <c r="S415" s="6">
        <f>Pcfu4[[#This Row],[CFU/mL]]*Pcfu4[[#This Row],[mL]]/Pcfu4[[#This Row],[grams]]</f>
        <v>25586666666.666664</v>
      </c>
      <c r="T415" s="1">
        <f>Pcfu4[[#This Row],[SD CFU/mL]]*Pcfu4[[#This Row],[mL]]/Pcfu4[[#This Row],[grams]]</f>
        <v>1582066159.5942607</v>
      </c>
      <c r="U415" s="7" t="e">
        <f>_xlfn.STDEV.S(Pcfu43[[#This Row],[R1]:[R3]])/AVERAGE(Pcfu43[[#This Row],[R1]:[R3]])</f>
        <v>#DIV/0!</v>
      </c>
      <c r="V415" s="96"/>
      <c r="W415" s="7"/>
    </row>
    <row r="416" spans="1:24" x14ac:dyDescent="0.15">
      <c r="A416" t="s">
        <v>391</v>
      </c>
      <c r="B416" t="s">
        <v>330</v>
      </c>
      <c r="D416" t="s">
        <v>194</v>
      </c>
      <c r="E416" s="3">
        <v>3</v>
      </c>
      <c r="G416">
        <v>0.3</v>
      </c>
      <c r="H416" s="5">
        <f>19*Pcfu4[[#This Row],[grams]]</f>
        <v>5.7</v>
      </c>
      <c r="I416" s="3" t="s">
        <v>170</v>
      </c>
      <c r="J416" s="59">
        <v>44935</v>
      </c>
      <c r="L416" s="59" t="e" cm="1">
        <f t="array" ref="L416">INDEX($J$4:J1506, MATCH(1,(A416=$A$4:A1504)*(C416=$C$4:C1504)*("Y"=$K$4:K1506),0))</f>
        <v>#N/A</v>
      </c>
      <c r="M416" s="1">
        <v>1000000</v>
      </c>
      <c r="N416">
        <v>49</v>
      </c>
      <c r="O416">
        <v>41</v>
      </c>
      <c r="P416">
        <v>59</v>
      </c>
      <c r="Q416" s="6">
        <f>(SUM(Pcfu4[[#This Row],[R1]:[R3]]))/(Pcfu4[[#This Row],[No. Reps]]*0.025)*Pcfu4[[#This Row],[Best DF]]</f>
        <v>1986666666.6666663</v>
      </c>
      <c r="R416" s="1">
        <f>_xlfn.STDEV.S(Pcfu4[[#This Row],[R1]:[R3]])/0.025*Pcfu4[[#This Row],[Best DF]]</f>
        <v>360739980.22583187</v>
      </c>
      <c r="S416" s="6">
        <f>Pcfu4[[#This Row],[CFU/mL]]*Pcfu4[[#This Row],[mL]]/Pcfu4[[#This Row],[grams]]</f>
        <v>37746666666.666664</v>
      </c>
      <c r="T416" s="1">
        <f>Pcfu4[[#This Row],[SD CFU/mL]]*Pcfu4[[#This Row],[mL]]/Pcfu4[[#This Row],[grams]]</f>
        <v>6854059624.2908058</v>
      </c>
      <c r="U416" s="7">
        <f>_xlfn.STDEV.S(Pcfu43[[#This Row],[R1]:[R3]])/AVERAGE(Pcfu43[[#This Row],[R1]:[R3]])</f>
        <v>0.22790142204853661</v>
      </c>
      <c r="V416" s="96"/>
      <c r="W416" s="7"/>
    </row>
    <row r="417" spans="1:23" x14ac:dyDescent="0.15">
      <c r="A417" t="s">
        <v>436</v>
      </c>
      <c r="B417" t="s">
        <v>330</v>
      </c>
      <c r="D417" t="s">
        <v>86</v>
      </c>
      <c r="E417" s="3">
        <v>2</v>
      </c>
      <c r="G417">
        <v>0.3</v>
      </c>
      <c r="H417" s="5">
        <f>19*Pcfu4[[#This Row],[grams]]</f>
        <v>5.7</v>
      </c>
      <c r="I417" s="3" t="s">
        <v>170</v>
      </c>
      <c r="J417" s="59">
        <v>44937</v>
      </c>
      <c r="L417" s="59" t="e" cm="1">
        <f t="array" ref="L417">INDEX($J$4:J1507, MATCH(1,(A417=$A$4:A1505)*(C417=$C$4:C1505)*("Y"=$K$4:K1507),0))</f>
        <v>#N/A</v>
      </c>
      <c r="M417" s="1">
        <v>10000000</v>
      </c>
      <c r="N417">
        <v>39</v>
      </c>
      <c r="O417">
        <v>48</v>
      </c>
      <c r="P417"/>
      <c r="Q417" s="6">
        <f>(SUM(Pcfu4[[#This Row],[R1]:[R3]]))/(Pcfu4[[#This Row],[No. Reps]]*0.025)*Pcfu4[[#This Row],[Best DF]]</f>
        <v>17400000000</v>
      </c>
      <c r="R417" s="1">
        <f>_xlfn.STDEV.S(Pcfu4[[#This Row],[R1]:[R3]])/0.025*Pcfu4[[#This Row],[Best DF]]</f>
        <v>2545584412.2715707</v>
      </c>
      <c r="S417" s="6">
        <f>Pcfu4[[#This Row],[CFU/mL]]*Pcfu4[[#This Row],[mL]]/Pcfu4[[#This Row],[grams]]</f>
        <v>330600000000</v>
      </c>
      <c r="T417" s="1">
        <f>Pcfu4[[#This Row],[SD CFU/mL]]*Pcfu4[[#This Row],[mL]]/Pcfu4[[#This Row],[grams]]</f>
        <v>48366103833.159851</v>
      </c>
      <c r="U417" s="7">
        <f>_xlfn.STDEV.S(Pcfu43[[#This Row],[R1]:[R3]])/AVERAGE(Pcfu43[[#This Row],[R1]:[R3]])</f>
        <v>0.1065715277896707</v>
      </c>
      <c r="V417" s="96"/>
      <c r="W417" s="7"/>
    </row>
    <row r="418" spans="1:23" x14ac:dyDescent="0.15">
      <c r="A418" t="s">
        <v>437</v>
      </c>
      <c r="B418" t="s">
        <v>330</v>
      </c>
      <c r="D418" t="s">
        <v>86</v>
      </c>
      <c r="E418" s="3">
        <v>2</v>
      </c>
      <c r="G418">
        <v>0.3</v>
      </c>
      <c r="H418" s="5">
        <f>19*Pcfu4[[#This Row],[grams]]</f>
        <v>5.7</v>
      </c>
      <c r="I418" s="3" t="s">
        <v>170</v>
      </c>
      <c r="J418" s="59">
        <v>44937</v>
      </c>
      <c r="L418" s="59" t="e" cm="1">
        <f t="array" ref="L418">INDEX($J$4:J1508, MATCH(1,(A418=$A$4:A1506)*(C418=$C$4:C1506)*("Y"=$K$4:K1508),0))</f>
        <v>#N/A</v>
      </c>
      <c r="M418" s="1">
        <v>10000000</v>
      </c>
      <c r="N418">
        <v>94</v>
      </c>
      <c r="O418">
        <v>99</v>
      </c>
      <c r="P418"/>
      <c r="Q418" s="6">
        <f>(SUM(Pcfu4[[#This Row],[R1]:[R3]]))/(Pcfu4[[#This Row],[No. Reps]]*0.025)*Pcfu4[[#This Row],[Best DF]]</f>
        <v>38600000000</v>
      </c>
      <c r="R418" s="1">
        <f>_xlfn.STDEV.S(Pcfu4[[#This Row],[R1]:[R3]])/0.025*Pcfu4[[#This Row],[Best DF]]</f>
        <v>1414213562.373095</v>
      </c>
      <c r="S418" s="6">
        <f>Pcfu4[[#This Row],[CFU/mL]]*Pcfu4[[#This Row],[mL]]/Pcfu4[[#This Row],[grams]]</f>
        <v>733400000000</v>
      </c>
      <c r="T418" s="1">
        <f>Pcfu4[[#This Row],[SD CFU/mL]]*Pcfu4[[#This Row],[mL]]/Pcfu4[[#This Row],[grams]]</f>
        <v>26870057685.088806</v>
      </c>
      <c r="U418" s="7">
        <f>_xlfn.STDEV.S(Pcfu43[[#This Row],[R1]:[R3]])/AVERAGE(Pcfu43[[#This Row],[R1]:[R3]])</f>
        <v>0.18813667415808491</v>
      </c>
      <c r="V418" s="96"/>
      <c r="W418" s="7"/>
    </row>
    <row r="419" spans="1:23" x14ac:dyDescent="0.15">
      <c r="A419" t="s">
        <v>438</v>
      </c>
      <c r="B419" t="s">
        <v>330</v>
      </c>
      <c r="D419" t="s">
        <v>86</v>
      </c>
      <c r="E419" s="3">
        <v>2</v>
      </c>
      <c r="G419">
        <v>0.3</v>
      </c>
      <c r="H419" s="5">
        <f>19*Pcfu4[[#This Row],[grams]]</f>
        <v>5.7</v>
      </c>
      <c r="I419" s="3" t="s">
        <v>170</v>
      </c>
      <c r="J419" s="59">
        <v>44937</v>
      </c>
      <c r="L419" s="59" t="e" cm="1">
        <f t="array" ref="L419">INDEX($J$4:J1509, MATCH(1,(A419=$A$4:A1507)*(C419=$C$4:C1507)*("Y"=$K$4:K1509),0))</f>
        <v>#N/A</v>
      </c>
      <c r="M419" s="1">
        <v>1000000</v>
      </c>
      <c r="N419">
        <v>171</v>
      </c>
      <c r="O419">
        <v>189</v>
      </c>
      <c r="P419"/>
      <c r="Q419" s="6">
        <f>(SUM(Pcfu4[[#This Row],[R1]:[R3]]))/(Pcfu4[[#This Row],[No. Reps]]*0.025)*Pcfu4[[#This Row],[Best DF]]</f>
        <v>7200000000</v>
      </c>
      <c r="R419" s="1">
        <f>_xlfn.STDEV.S(Pcfu4[[#This Row],[R1]:[R3]])/0.025*Pcfu4[[#This Row],[Best DF]]</f>
        <v>509116882.45431417</v>
      </c>
      <c r="S419" s="6">
        <f>Pcfu4[[#This Row],[CFU/mL]]*Pcfu4[[#This Row],[mL]]/Pcfu4[[#This Row],[grams]]</f>
        <v>136800000000</v>
      </c>
      <c r="T419" s="1">
        <f>Pcfu4[[#This Row],[SD CFU/mL]]*Pcfu4[[#This Row],[mL]]/Pcfu4[[#This Row],[grams]]</f>
        <v>9673220766.6319695</v>
      </c>
      <c r="U419" s="7">
        <f>_xlfn.STDEV.S(Pcfu43[[#This Row],[R1]:[R3]])/AVERAGE(Pcfu43[[#This Row],[R1]:[R3]])</f>
        <v>0.14782502241793063</v>
      </c>
      <c r="V419" s="96"/>
      <c r="W419" s="7"/>
    </row>
    <row r="420" spans="1:23" x14ac:dyDescent="0.15">
      <c r="A420" t="s">
        <v>439</v>
      </c>
      <c r="B420" t="s">
        <v>330</v>
      </c>
      <c r="D420" t="s">
        <v>86</v>
      </c>
      <c r="E420" s="3">
        <v>2</v>
      </c>
      <c r="G420">
        <v>0.3</v>
      </c>
      <c r="H420" s="5">
        <f>19*Pcfu4[[#This Row],[grams]]</f>
        <v>5.7</v>
      </c>
      <c r="I420" s="3" t="s">
        <v>170</v>
      </c>
      <c r="J420" s="59">
        <v>44937</v>
      </c>
      <c r="L420" s="59" t="e" cm="1">
        <f t="array" ref="L420">INDEX($J$4:J1510, MATCH(1,(A420=$A$4:A1508)*(C420=$C$4:C1508)*("Y"=$K$4:K1510),0))</f>
        <v>#N/A</v>
      </c>
      <c r="M420" s="1">
        <v>10000000</v>
      </c>
      <c r="N420">
        <v>56</v>
      </c>
      <c r="O420">
        <v>70</v>
      </c>
      <c r="P420"/>
      <c r="Q420" s="6">
        <f>(SUM(Pcfu4[[#This Row],[R1]:[R3]]))/(Pcfu4[[#This Row],[No. Reps]]*0.025)*Pcfu4[[#This Row],[Best DF]]</f>
        <v>25200000000</v>
      </c>
      <c r="R420" s="1">
        <f>_xlfn.STDEV.S(Pcfu4[[#This Row],[R1]:[R3]])/0.025*Pcfu4[[#This Row],[Best DF]]</f>
        <v>3959797974.6446657</v>
      </c>
      <c r="S420" s="6">
        <f>Pcfu4[[#This Row],[CFU/mL]]*Pcfu4[[#This Row],[mL]]/Pcfu4[[#This Row],[grams]]</f>
        <v>478800000000</v>
      </c>
      <c r="T420" s="1">
        <f>Pcfu4[[#This Row],[SD CFU/mL]]*Pcfu4[[#This Row],[mL]]/Pcfu4[[#This Row],[grams]]</f>
        <v>75236161518.248657</v>
      </c>
      <c r="U420" s="7">
        <f>_xlfn.STDEV.S(Pcfu43[[#This Row],[R1]:[R3]])/AVERAGE(Pcfu43[[#This Row],[R1]:[R3]])</f>
        <v>1.7320508075688773E-2</v>
      </c>
      <c r="V420" s="96"/>
      <c r="W420" s="7"/>
    </row>
    <row r="421" spans="1:23" x14ac:dyDescent="0.15">
      <c r="A421" t="s">
        <v>440</v>
      </c>
      <c r="B421" t="s">
        <v>330</v>
      </c>
      <c r="D421" t="s">
        <v>86</v>
      </c>
      <c r="E421" s="3">
        <v>2</v>
      </c>
      <c r="G421">
        <v>0.3</v>
      </c>
      <c r="H421" s="5">
        <f>19*Pcfu4[[#This Row],[grams]]</f>
        <v>5.7</v>
      </c>
      <c r="I421" s="3" t="s">
        <v>170</v>
      </c>
      <c r="J421" s="59">
        <v>44937</v>
      </c>
      <c r="L421" s="59" t="e" cm="1">
        <f t="array" ref="L421">INDEX($J$4:J1511, MATCH(1,(A421=$A$4:A1509)*(C421=$C$4:C1509)*("Y"=$K$4:K1511),0))</f>
        <v>#N/A</v>
      </c>
      <c r="M421" s="1">
        <v>1000000</v>
      </c>
      <c r="N421">
        <v>145</v>
      </c>
      <c r="O421">
        <v>142</v>
      </c>
      <c r="P421"/>
      <c r="Q421" s="6">
        <f>(SUM(Pcfu4[[#This Row],[R1]:[R3]]))/(Pcfu4[[#This Row],[No. Reps]]*0.025)*Pcfu4[[#This Row],[Best DF]]</f>
        <v>5740000000</v>
      </c>
      <c r="R421" s="1">
        <f>_xlfn.STDEV.S(Pcfu4[[#This Row],[R1]:[R3]])/0.025*Pcfu4[[#This Row],[Best DF]]</f>
        <v>84852813.742385685</v>
      </c>
      <c r="S421" s="6">
        <f>Pcfu4[[#This Row],[CFU/mL]]*Pcfu4[[#This Row],[mL]]/Pcfu4[[#This Row],[grams]]</f>
        <v>109060000000</v>
      </c>
      <c r="T421" s="1">
        <f>Pcfu4[[#This Row],[SD CFU/mL]]*Pcfu4[[#This Row],[mL]]/Pcfu4[[#This Row],[grams]]</f>
        <v>1612203461.1053281</v>
      </c>
      <c r="U421" s="7">
        <f>_xlfn.STDEV.S(Pcfu43[[#This Row],[R1]:[R3]])/AVERAGE(Pcfu43[[#This Row],[R1]:[R3]])</f>
        <v>1.7320508075688776</v>
      </c>
      <c r="V421" s="96"/>
      <c r="W421" s="7"/>
    </row>
    <row r="422" spans="1:23" x14ac:dyDescent="0.15">
      <c r="A422" t="s">
        <v>441</v>
      </c>
      <c r="B422" t="s">
        <v>330</v>
      </c>
      <c r="D422" t="s">
        <v>86</v>
      </c>
      <c r="E422" s="3">
        <v>2</v>
      </c>
      <c r="G422">
        <v>0.3</v>
      </c>
      <c r="H422" s="5">
        <f>19*Pcfu4[[#This Row],[grams]]</f>
        <v>5.7</v>
      </c>
      <c r="I422" s="3" t="s">
        <v>170</v>
      </c>
      <c r="J422" s="59">
        <v>44937</v>
      </c>
      <c r="L422" s="59" t="e" cm="1">
        <f t="array" ref="L422">INDEX($J$4:J1512, MATCH(1,(A422=$A$4:A1510)*(C422=$C$4:C1510)*("Y"=$K$4:K1512),0))</f>
        <v>#N/A</v>
      </c>
      <c r="M422" s="1">
        <v>10000000</v>
      </c>
      <c r="N422">
        <v>53</v>
      </c>
      <c r="O422">
        <v>57</v>
      </c>
      <c r="P422"/>
      <c r="Q422" s="6">
        <f>(SUM(Pcfu4[[#This Row],[R1]:[R3]]))/(Pcfu4[[#This Row],[No. Reps]]*0.025)*Pcfu4[[#This Row],[Best DF]]</f>
        <v>22000000000</v>
      </c>
      <c r="R422" s="1">
        <f>_xlfn.STDEV.S(Pcfu4[[#This Row],[R1]:[R3]])/0.025*Pcfu4[[#This Row],[Best DF]]</f>
        <v>1131370849.8984761</v>
      </c>
      <c r="S422" s="6">
        <f>Pcfu4[[#This Row],[CFU/mL]]*Pcfu4[[#This Row],[mL]]/Pcfu4[[#This Row],[grams]]</f>
        <v>418000000000</v>
      </c>
      <c r="T422" s="1">
        <f>Pcfu4[[#This Row],[SD CFU/mL]]*Pcfu4[[#This Row],[mL]]/Pcfu4[[#This Row],[grams]]</f>
        <v>21496046148.071049</v>
      </c>
      <c r="U422" s="7">
        <f>_xlfn.STDEV.S(Pcfu43[[#This Row],[R1]:[R3]])/AVERAGE(Pcfu43[[#This Row],[R1]:[R3]])</f>
        <v>0.28867513459481287</v>
      </c>
      <c r="V422" s="96"/>
      <c r="W422" s="7"/>
    </row>
    <row r="423" spans="1:23" x14ac:dyDescent="0.15">
      <c r="A423" t="s">
        <v>442</v>
      </c>
      <c r="B423" t="s">
        <v>330</v>
      </c>
      <c r="D423" t="s">
        <v>86</v>
      </c>
      <c r="E423" s="3">
        <v>2</v>
      </c>
      <c r="G423">
        <v>0.3</v>
      </c>
      <c r="H423" s="5">
        <f>19*Pcfu4[[#This Row],[grams]]</f>
        <v>5.7</v>
      </c>
      <c r="I423" s="3" t="s">
        <v>170</v>
      </c>
      <c r="J423" s="59">
        <v>44937</v>
      </c>
      <c r="L423" s="59" t="e" cm="1">
        <f t="array" ref="L423">INDEX($J$4:J1513, MATCH(1,(A423=$A$4:A1511)*(C423=$C$4:C1511)*("Y"=$K$4:K1513),0))</f>
        <v>#N/A</v>
      </c>
      <c r="M423" s="1">
        <v>10000000</v>
      </c>
      <c r="N423">
        <v>45</v>
      </c>
      <c r="O423">
        <v>51</v>
      </c>
      <c r="P423"/>
      <c r="Q423" s="6">
        <f>(SUM(Pcfu4[[#This Row],[R1]:[R3]]))/(Pcfu4[[#This Row],[No. Reps]]*0.025)*Pcfu4[[#This Row],[Best DF]]</f>
        <v>19200000000</v>
      </c>
      <c r="R423" s="1">
        <f>_xlfn.STDEV.S(Pcfu4[[#This Row],[R1]:[R3]])/0.025*Pcfu4[[#This Row],[Best DF]]</f>
        <v>1697056274.8477139</v>
      </c>
      <c r="S423" s="6">
        <f>Pcfu4[[#This Row],[CFU/mL]]*Pcfu4[[#This Row],[mL]]/Pcfu4[[#This Row],[grams]]</f>
        <v>364800000000</v>
      </c>
      <c r="T423" s="1">
        <f>Pcfu4[[#This Row],[SD CFU/mL]]*Pcfu4[[#This Row],[mL]]/Pcfu4[[#This Row],[grams]]</f>
        <v>32244069222.106567</v>
      </c>
      <c r="U423" s="7">
        <f>_xlfn.STDEV.S(Pcfu43[[#This Row],[R1]:[R3]])/AVERAGE(Pcfu43[[#This Row],[R1]:[R3]])</f>
        <v>0.24743582965269698</v>
      </c>
      <c r="V423" s="96"/>
      <c r="W423" s="7"/>
    </row>
    <row r="424" spans="1:23" x14ac:dyDescent="0.15">
      <c r="A424" t="s">
        <v>443</v>
      </c>
      <c r="B424" t="s">
        <v>330</v>
      </c>
      <c r="D424" t="s">
        <v>86</v>
      </c>
      <c r="E424" s="3">
        <v>2</v>
      </c>
      <c r="G424">
        <v>0.3</v>
      </c>
      <c r="H424" s="5">
        <f>19*Pcfu4[[#This Row],[grams]]</f>
        <v>5.7</v>
      </c>
      <c r="I424" s="3" t="s">
        <v>170</v>
      </c>
      <c r="J424" s="59">
        <v>44937</v>
      </c>
      <c r="L424" s="59" t="e" cm="1">
        <f t="array" ref="L424">INDEX($J$4:J1514, MATCH(1,(A424=$A$4:A1512)*(C424=$C$4:C1512)*("Y"=$K$4:K1514),0))</f>
        <v>#N/A</v>
      </c>
      <c r="M424" s="1">
        <v>10000000</v>
      </c>
      <c r="N424">
        <v>72</v>
      </c>
      <c r="O424">
        <v>76</v>
      </c>
      <c r="P424"/>
      <c r="Q424" s="6">
        <f>(SUM(Pcfu4[[#This Row],[R1]:[R3]]))/(Pcfu4[[#This Row],[No. Reps]]*0.025)*Pcfu4[[#This Row],[Best DF]]</f>
        <v>29600000000</v>
      </c>
      <c r="R424" s="1">
        <f>_xlfn.STDEV.S(Pcfu4[[#This Row],[R1]:[R3]])/0.025*Pcfu4[[#This Row],[Best DF]]</f>
        <v>1131370849.8984761</v>
      </c>
      <c r="S424" s="6">
        <f>Pcfu4[[#This Row],[CFU/mL]]*Pcfu4[[#This Row],[mL]]/Pcfu4[[#This Row],[grams]]</f>
        <v>562400000000</v>
      </c>
      <c r="T424" s="1">
        <f>Pcfu4[[#This Row],[SD CFU/mL]]*Pcfu4[[#This Row],[mL]]/Pcfu4[[#This Row],[grams]]</f>
        <v>21496046148.071049</v>
      </c>
      <c r="U424" s="7">
        <f>_xlfn.STDEV.S(Pcfu43[[#This Row],[R1]:[R3]])/AVERAGE(Pcfu43[[#This Row],[R1]:[R3]])</f>
        <v>0.26956327617387305</v>
      </c>
      <c r="V424" s="96"/>
      <c r="W424" s="7"/>
    </row>
    <row r="425" spans="1:23" x14ac:dyDescent="0.15">
      <c r="A425" t="s">
        <v>444</v>
      </c>
      <c r="B425" t="s">
        <v>330</v>
      </c>
      <c r="D425" t="s">
        <v>86</v>
      </c>
      <c r="E425" s="3">
        <v>2</v>
      </c>
      <c r="G425">
        <v>0.3</v>
      </c>
      <c r="H425" s="5">
        <f>19*Pcfu4[[#This Row],[grams]]</f>
        <v>5.7</v>
      </c>
      <c r="I425" s="3" t="s">
        <v>170</v>
      </c>
      <c r="J425" s="59">
        <v>44937</v>
      </c>
      <c r="L425" s="59" t="e" cm="1">
        <f t="array" ref="L425">INDEX($J$4:J1515, MATCH(1,(A425=$A$4:A1513)*(C425=$C$4:C1513)*("Y"=$K$4:K1515),0))</f>
        <v>#N/A</v>
      </c>
      <c r="M425" s="1">
        <v>1000000</v>
      </c>
      <c r="N425">
        <v>62</v>
      </c>
      <c r="O425">
        <v>72</v>
      </c>
      <c r="P425"/>
      <c r="Q425" s="6">
        <f>(SUM(Pcfu4[[#This Row],[R1]:[R3]]))/(Pcfu4[[#This Row],[No. Reps]]*0.025)*Pcfu4[[#This Row],[Best DF]]</f>
        <v>2680000000</v>
      </c>
      <c r="R425" s="1">
        <f>_xlfn.STDEV.S(Pcfu4[[#This Row],[R1]:[R3]])/0.025*Pcfu4[[#This Row],[Best DF]]</f>
        <v>282842712.47461903</v>
      </c>
      <c r="S425" s="6">
        <f>Pcfu4[[#This Row],[CFU/mL]]*Pcfu4[[#This Row],[mL]]/Pcfu4[[#This Row],[grams]]</f>
        <v>50920000000</v>
      </c>
      <c r="T425" s="1">
        <f>Pcfu4[[#This Row],[SD CFU/mL]]*Pcfu4[[#This Row],[mL]]/Pcfu4[[#This Row],[grams]]</f>
        <v>5374011537.0177622</v>
      </c>
      <c r="U425" s="7">
        <f>_xlfn.STDEV.S(Pcfu43[[#This Row],[R1]:[R3]])/AVERAGE(Pcfu43[[#This Row],[R1]:[R3]])</f>
        <v>0.26457513110645908</v>
      </c>
      <c r="V425" s="96"/>
      <c r="W425" s="7"/>
    </row>
    <row r="426" spans="1:23" x14ac:dyDescent="0.15">
      <c r="A426" t="s">
        <v>436</v>
      </c>
      <c r="B426" t="s">
        <v>328</v>
      </c>
      <c r="D426" t="s">
        <v>86</v>
      </c>
      <c r="E426" s="3">
        <v>2</v>
      </c>
      <c r="G426">
        <v>0.3</v>
      </c>
      <c r="H426" s="5">
        <f>19*Pcfu4[[#This Row],[grams]]</f>
        <v>5.7</v>
      </c>
      <c r="I426" s="3" t="s">
        <v>170</v>
      </c>
      <c r="J426" s="59">
        <v>44939</v>
      </c>
      <c r="L426" s="59" t="e" cm="1">
        <f t="array" ref="L426">INDEX($J$4:J1516, MATCH(1,(A426=$A$4:A1514)*(C426=$C$4:C1514)*("Y"=$K$4:K1516),0))</f>
        <v>#N/A</v>
      </c>
      <c r="M426" s="1">
        <v>10000000</v>
      </c>
      <c r="N426">
        <v>29</v>
      </c>
      <c r="O426">
        <v>30</v>
      </c>
      <c r="P426"/>
      <c r="Q426" s="6">
        <f>(SUM(Pcfu4[[#This Row],[R1]:[R3]]))/(Pcfu4[[#This Row],[No. Reps]]*0.025)*Pcfu4[[#This Row],[Best DF]]</f>
        <v>11800000000</v>
      </c>
      <c r="R426" s="1">
        <f>_xlfn.STDEV.S(Pcfu4[[#This Row],[R1]:[R3]])/0.025*Pcfu4[[#This Row],[Best DF]]</f>
        <v>282842712.47461903</v>
      </c>
      <c r="S426" s="6">
        <f>Pcfu4[[#This Row],[CFU/mL]]*Pcfu4[[#This Row],[mL]]/Pcfu4[[#This Row],[grams]]</f>
        <v>224200000000</v>
      </c>
      <c r="T426" s="1">
        <f>Pcfu4[[#This Row],[SD CFU/mL]]*Pcfu4[[#This Row],[mL]]/Pcfu4[[#This Row],[grams]]</f>
        <v>5374011537.0177622</v>
      </c>
      <c r="U426" s="7">
        <f>_xlfn.STDEV.S(Pcfu43[[#This Row],[R1]:[R3]])/AVERAGE(Pcfu43[[#This Row],[R1]:[R3]])</f>
        <v>6.6617338752649122E-2</v>
      </c>
      <c r="V426" s="96"/>
      <c r="W426" s="7"/>
    </row>
    <row r="427" spans="1:23" x14ac:dyDescent="0.15">
      <c r="A427" t="s">
        <v>437</v>
      </c>
      <c r="B427" t="s">
        <v>328</v>
      </c>
      <c r="D427" t="s">
        <v>86</v>
      </c>
      <c r="E427" s="3">
        <v>2</v>
      </c>
      <c r="G427">
        <v>0.3</v>
      </c>
      <c r="H427" s="5">
        <f>19*Pcfu4[[#This Row],[grams]]</f>
        <v>5.7</v>
      </c>
      <c r="I427" s="3" t="s">
        <v>170</v>
      </c>
      <c r="J427" s="59">
        <v>44939</v>
      </c>
      <c r="L427" s="59" t="e" cm="1">
        <f t="array" ref="L427">INDEX($J$4:J1517, MATCH(1,(A427=$A$4:A1515)*(C427=$C$4:C1515)*("Y"=$K$4:K1517),0))</f>
        <v>#N/A</v>
      </c>
      <c r="M427" s="1">
        <v>10000000</v>
      </c>
      <c r="N427">
        <v>79</v>
      </c>
      <c r="O427">
        <v>68</v>
      </c>
      <c r="P427"/>
      <c r="Q427" s="6">
        <f>(SUM(Pcfu4[[#This Row],[R1]:[R3]]))/(Pcfu4[[#This Row],[No. Reps]]*0.025)*Pcfu4[[#This Row],[Best DF]]</f>
        <v>29400000000</v>
      </c>
      <c r="R427" s="1">
        <f>_xlfn.STDEV.S(Pcfu4[[#This Row],[R1]:[R3]])/0.025*Pcfu4[[#This Row],[Best DF]]</f>
        <v>3111269837.2208085</v>
      </c>
      <c r="S427" s="6">
        <f>Pcfu4[[#This Row],[CFU/mL]]*Pcfu4[[#This Row],[mL]]/Pcfu4[[#This Row],[grams]]</f>
        <v>558600000000</v>
      </c>
      <c r="T427" s="1">
        <f>Pcfu4[[#This Row],[SD CFU/mL]]*Pcfu4[[#This Row],[mL]]/Pcfu4[[#This Row],[grams]]</f>
        <v>59114126907.195358</v>
      </c>
      <c r="U427" s="7">
        <f>_xlfn.STDEV.S(Pcfu43[[#This Row],[R1]:[R3]])/AVERAGE(Pcfu43[[#This Row],[R1]:[R3]])</f>
        <v>2.8257909495015381E-2</v>
      </c>
      <c r="V427" s="96"/>
      <c r="W427" s="7"/>
    </row>
    <row r="428" spans="1:23" x14ac:dyDescent="0.15">
      <c r="A428" t="s">
        <v>438</v>
      </c>
      <c r="B428" t="s">
        <v>328</v>
      </c>
      <c r="D428" t="s">
        <v>86</v>
      </c>
      <c r="E428" s="3">
        <v>2</v>
      </c>
      <c r="G428">
        <v>0.3</v>
      </c>
      <c r="H428" s="5">
        <f>19*Pcfu4[[#This Row],[grams]]</f>
        <v>5.7</v>
      </c>
      <c r="I428" s="3" t="s">
        <v>170</v>
      </c>
      <c r="J428" s="59">
        <v>44939</v>
      </c>
      <c r="L428" s="59" t="e" cm="1">
        <f t="array" ref="L428">INDEX($J$4:J1518, MATCH(1,(A428=$A$4:A1516)*(C428=$C$4:C1516)*("Y"=$K$4:K1518),0))</f>
        <v>#N/A</v>
      </c>
      <c r="M428" s="1">
        <v>1000000</v>
      </c>
      <c r="N428">
        <v>111</v>
      </c>
      <c r="O428">
        <v>114</v>
      </c>
      <c r="P428"/>
      <c r="Q428" s="6">
        <f>(SUM(Pcfu4[[#This Row],[R1]:[R3]]))/(Pcfu4[[#This Row],[No. Reps]]*0.025)*Pcfu4[[#This Row],[Best DF]]</f>
        <v>4500000000</v>
      </c>
      <c r="R428" s="1">
        <f>_xlfn.STDEV.S(Pcfu4[[#This Row],[R1]:[R3]])/0.025*Pcfu4[[#This Row],[Best DF]]</f>
        <v>84852813.742385685</v>
      </c>
      <c r="S428" s="6">
        <f>Pcfu4[[#This Row],[CFU/mL]]*Pcfu4[[#This Row],[mL]]/Pcfu4[[#This Row],[grams]]</f>
        <v>85500000000</v>
      </c>
      <c r="T428" s="1">
        <f>Pcfu4[[#This Row],[SD CFU/mL]]*Pcfu4[[#This Row],[mL]]/Pcfu4[[#This Row],[grams]]</f>
        <v>1612203461.1053281</v>
      </c>
      <c r="U428" s="7">
        <f>_xlfn.STDEV.S(Pcfu43[[#This Row],[R1]:[R3]])/AVERAGE(Pcfu43[[#This Row],[R1]:[R3]])</f>
        <v>0.10631460837904083</v>
      </c>
      <c r="V428" s="96"/>
      <c r="W428" s="7"/>
    </row>
    <row r="429" spans="1:23" x14ac:dyDescent="0.15">
      <c r="A429" t="s">
        <v>439</v>
      </c>
      <c r="B429" t="s">
        <v>328</v>
      </c>
      <c r="D429" t="s">
        <v>86</v>
      </c>
      <c r="E429" s="3">
        <v>2</v>
      </c>
      <c r="G429">
        <v>0.3</v>
      </c>
      <c r="H429" s="5">
        <f>19*Pcfu4[[#This Row],[grams]]</f>
        <v>5.7</v>
      </c>
      <c r="I429" s="3" t="s">
        <v>170</v>
      </c>
      <c r="J429" s="59">
        <v>44939</v>
      </c>
      <c r="L429" s="59" t="e" cm="1">
        <f t="array" ref="L429">INDEX($J$4:J1519, MATCH(1,(A429=$A$4:A1517)*(C429=$C$4:C1517)*("Y"=$K$4:K1519),0))</f>
        <v>#N/A</v>
      </c>
      <c r="M429" s="1">
        <v>1000000</v>
      </c>
      <c r="N429">
        <v>288</v>
      </c>
      <c r="O429">
        <v>275</v>
      </c>
      <c r="P429"/>
      <c r="Q429" s="6">
        <f>(SUM(Pcfu4[[#This Row],[R1]:[R3]]))/(Pcfu4[[#This Row],[No. Reps]]*0.025)*Pcfu4[[#This Row],[Best DF]]</f>
        <v>11260000000</v>
      </c>
      <c r="R429" s="1">
        <f>_xlfn.STDEV.S(Pcfu4[[#This Row],[R1]:[R3]])/0.025*Pcfu4[[#This Row],[Best DF]]</f>
        <v>367695526.21700466</v>
      </c>
      <c r="S429" s="6">
        <f>Pcfu4[[#This Row],[CFU/mL]]*Pcfu4[[#This Row],[mL]]/Pcfu4[[#This Row],[grams]]</f>
        <v>213940000000</v>
      </c>
      <c r="T429" s="1">
        <f>Pcfu4[[#This Row],[SD CFU/mL]]*Pcfu4[[#This Row],[mL]]/Pcfu4[[#This Row],[grams]]</f>
        <v>6986214998.1230888</v>
      </c>
      <c r="U429" s="7">
        <f>_xlfn.STDEV.S(Pcfu43[[#This Row],[R1]:[R3]])/AVERAGE(Pcfu43[[#This Row],[R1]:[R3]])</f>
        <v>0.1918398619875652</v>
      </c>
      <c r="V429" s="96"/>
      <c r="W429" s="7"/>
    </row>
    <row r="430" spans="1:23" x14ac:dyDescent="0.15">
      <c r="A430" t="s">
        <v>440</v>
      </c>
      <c r="B430" t="s">
        <v>328</v>
      </c>
      <c r="D430" t="s">
        <v>86</v>
      </c>
      <c r="E430" s="3">
        <v>2</v>
      </c>
      <c r="G430">
        <v>0.3</v>
      </c>
      <c r="H430" s="5">
        <f>19*Pcfu4[[#This Row],[grams]]</f>
        <v>5.7</v>
      </c>
      <c r="I430" s="3" t="s">
        <v>170</v>
      </c>
      <c r="J430" s="59">
        <v>44939</v>
      </c>
      <c r="L430" s="59" t="e" cm="1">
        <f t="array" ref="L430">INDEX($J$4:J1520, MATCH(1,(A430=$A$4:A1518)*(C430=$C$4:C1518)*("Y"=$K$4:K1520),0))</f>
        <v>#N/A</v>
      </c>
      <c r="M430" s="1">
        <v>1000000</v>
      </c>
      <c r="N430">
        <v>102</v>
      </c>
      <c r="O430">
        <v>111</v>
      </c>
      <c r="P430"/>
      <c r="Q430" s="6">
        <f>(SUM(Pcfu4[[#This Row],[R1]:[R3]]))/(Pcfu4[[#This Row],[No. Reps]]*0.025)*Pcfu4[[#This Row],[Best DF]]</f>
        <v>4260000000</v>
      </c>
      <c r="R430" s="1">
        <f>_xlfn.STDEV.S(Pcfu4[[#This Row],[R1]:[R3]])/0.025*Pcfu4[[#This Row],[Best DF]]</f>
        <v>254558441.22715709</v>
      </c>
      <c r="S430" s="6">
        <f>Pcfu4[[#This Row],[CFU/mL]]*Pcfu4[[#This Row],[mL]]/Pcfu4[[#This Row],[grams]]</f>
        <v>80940000000</v>
      </c>
      <c r="T430" s="1">
        <f>Pcfu4[[#This Row],[SD CFU/mL]]*Pcfu4[[#This Row],[mL]]/Pcfu4[[#This Row],[grams]]</f>
        <v>4836610383.3159847</v>
      </c>
      <c r="U430" s="7">
        <f>_xlfn.STDEV.S(Pcfu43[[#This Row],[R1]:[R3]])/AVERAGE(Pcfu43[[#This Row],[R1]:[R3]])</f>
        <v>0.10633326241262657</v>
      </c>
      <c r="V430" s="96"/>
      <c r="W430" s="7"/>
    </row>
    <row r="431" spans="1:23" x14ac:dyDescent="0.15">
      <c r="A431" t="s">
        <v>441</v>
      </c>
      <c r="B431" t="s">
        <v>328</v>
      </c>
      <c r="D431" t="s">
        <v>86</v>
      </c>
      <c r="E431" s="3">
        <v>2</v>
      </c>
      <c r="G431">
        <v>0.3</v>
      </c>
      <c r="H431" s="5">
        <f>19*Pcfu4[[#This Row],[grams]]</f>
        <v>5.7</v>
      </c>
      <c r="I431" s="3" t="s">
        <v>170</v>
      </c>
      <c r="J431" s="59">
        <v>44939</v>
      </c>
      <c r="L431" s="59" t="e" cm="1">
        <f t="array" ref="L431">INDEX($J$4:J1521, MATCH(1,(A431=$A$4:A1519)*(C431=$C$4:C1519)*("Y"=$K$4:K1521),0))</f>
        <v>#N/A</v>
      </c>
      <c r="M431" s="1">
        <v>10000000</v>
      </c>
      <c r="N431">
        <v>32</v>
      </c>
      <c r="O431">
        <v>30</v>
      </c>
      <c r="P431"/>
      <c r="Q431" s="6">
        <f>(SUM(Pcfu4[[#This Row],[R1]:[R3]]))/(Pcfu4[[#This Row],[No. Reps]]*0.025)*Pcfu4[[#This Row],[Best DF]]</f>
        <v>12400000000</v>
      </c>
      <c r="R431" s="1">
        <f>_xlfn.STDEV.S(Pcfu4[[#This Row],[R1]:[R3]])/0.025*Pcfu4[[#This Row],[Best DF]]</f>
        <v>565685424.94923806</v>
      </c>
      <c r="S431" s="6">
        <f>Pcfu4[[#This Row],[CFU/mL]]*Pcfu4[[#This Row],[mL]]/Pcfu4[[#This Row],[grams]]</f>
        <v>235600000000</v>
      </c>
      <c r="T431" s="1">
        <f>Pcfu4[[#This Row],[SD CFU/mL]]*Pcfu4[[#This Row],[mL]]/Pcfu4[[#This Row],[grams]]</f>
        <v>10748023074.035524</v>
      </c>
      <c r="U431" s="7">
        <f>_xlfn.STDEV.S(Pcfu43[[#This Row],[R1]:[R3]])/AVERAGE(Pcfu43[[#This Row],[R1]:[R3]])</f>
        <v>0.13523561494478259</v>
      </c>
      <c r="V431" s="96"/>
      <c r="W431" s="7"/>
    </row>
    <row r="432" spans="1:23" x14ac:dyDescent="0.15">
      <c r="A432" t="s">
        <v>442</v>
      </c>
      <c r="B432" t="s">
        <v>328</v>
      </c>
      <c r="D432" t="s">
        <v>86</v>
      </c>
      <c r="E432" s="3">
        <v>2</v>
      </c>
      <c r="G432">
        <v>0.3</v>
      </c>
      <c r="H432" s="5">
        <f>19*Pcfu4[[#This Row],[grams]]</f>
        <v>5.7</v>
      </c>
      <c r="I432" s="3" t="s">
        <v>170</v>
      </c>
      <c r="J432" s="59">
        <v>44939</v>
      </c>
      <c r="L432" s="59" t="e" cm="1">
        <f t="array" ref="L432">INDEX($J$4:J1522, MATCH(1,(A432=$A$4:A1520)*(C432=$C$4:C1520)*("Y"=$K$4:K1522),0))</f>
        <v>#N/A</v>
      </c>
      <c r="M432" s="1">
        <v>10000000</v>
      </c>
      <c r="N432">
        <v>37</v>
      </c>
      <c r="O432">
        <v>36</v>
      </c>
      <c r="P432"/>
      <c r="Q432" s="6">
        <f>(SUM(Pcfu4[[#This Row],[R1]:[R3]]))/(Pcfu4[[#This Row],[No. Reps]]*0.025)*Pcfu4[[#This Row],[Best DF]]</f>
        <v>14600000000</v>
      </c>
      <c r="R432" s="1">
        <f>_xlfn.STDEV.S(Pcfu4[[#This Row],[R1]:[R3]])/0.025*Pcfu4[[#This Row],[Best DF]]</f>
        <v>282842712.47461903</v>
      </c>
      <c r="S432" s="6">
        <f>Pcfu4[[#This Row],[CFU/mL]]*Pcfu4[[#This Row],[mL]]/Pcfu4[[#This Row],[grams]]</f>
        <v>277400000000</v>
      </c>
      <c r="T432" s="1">
        <f>Pcfu4[[#This Row],[SD CFU/mL]]*Pcfu4[[#This Row],[mL]]/Pcfu4[[#This Row],[grams]]</f>
        <v>5374011537.0177622</v>
      </c>
      <c r="U432" s="7">
        <f>_xlfn.STDEV.S(Pcfu43[[#This Row],[R1]:[R3]])/AVERAGE(Pcfu43[[#This Row],[R1]:[R3]])</f>
        <v>0.16</v>
      </c>
      <c r="V432" s="96"/>
      <c r="W432" s="7"/>
    </row>
    <row r="433" spans="1:24" x14ac:dyDescent="0.15">
      <c r="A433" t="s">
        <v>443</v>
      </c>
      <c r="B433" t="s">
        <v>328</v>
      </c>
      <c r="D433" t="s">
        <v>86</v>
      </c>
      <c r="E433" s="3">
        <v>2</v>
      </c>
      <c r="G433">
        <v>0.3</v>
      </c>
      <c r="H433" s="5">
        <f>19*Pcfu4[[#This Row],[grams]]</f>
        <v>5.7</v>
      </c>
      <c r="I433" s="3" t="s">
        <v>170</v>
      </c>
      <c r="J433" s="59">
        <v>44939</v>
      </c>
      <c r="L433" s="59" t="e" cm="1">
        <f t="array" ref="L433">INDEX($J$4:J1523, MATCH(1,(A433=$A$4:A1521)*(C433=$C$4:C1521)*("Y"=$K$4:K1523),0))</f>
        <v>#N/A</v>
      </c>
      <c r="M433" s="1">
        <v>10000000</v>
      </c>
      <c r="N433">
        <v>31</v>
      </c>
      <c r="O433">
        <v>30</v>
      </c>
      <c r="P433"/>
      <c r="Q433" s="6">
        <f>(SUM(Pcfu4[[#This Row],[R1]:[R3]]))/(Pcfu4[[#This Row],[No. Reps]]*0.025)*Pcfu4[[#This Row],[Best DF]]</f>
        <v>12200000000</v>
      </c>
      <c r="R433" s="1">
        <f>_xlfn.STDEV.S(Pcfu4[[#This Row],[R1]:[R3]])/0.025*Pcfu4[[#This Row],[Best DF]]</f>
        <v>282842712.47461903</v>
      </c>
      <c r="S433" s="6">
        <f>Pcfu4[[#This Row],[CFU/mL]]*Pcfu4[[#This Row],[mL]]/Pcfu4[[#This Row],[grams]]</f>
        <v>231800000000</v>
      </c>
      <c r="T433" s="1">
        <f>Pcfu4[[#This Row],[SD CFU/mL]]*Pcfu4[[#This Row],[mL]]/Pcfu4[[#This Row],[grams]]</f>
        <v>5374011537.0177622</v>
      </c>
      <c r="U433" s="7">
        <f>_xlfn.STDEV.S(Pcfu43[[#This Row],[R1]:[R3]])/AVERAGE(Pcfu43[[#This Row],[R1]:[R3]])</f>
        <v>0.2220539539785516</v>
      </c>
      <c r="V433" s="96"/>
      <c r="W433" s="7"/>
    </row>
    <row r="434" spans="1:24" x14ac:dyDescent="0.15">
      <c r="A434" t="s">
        <v>444</v>
      </c>
      <c r="B434" t="s">
        <v>328</v>
      </c>
      <c r="D434" t="s">
        <v>86</v>
      </c>
      <c r="E434" s="3">
        <v>2</v>
      </c>
      <c r="G434">
        <v>0.3</v>
      </c>
      <c r="H434" s="5">
        <f>19*Pcfu4[[#This Row],[grams]]</f>
        <v>5.7</v>
      </c>
      <c r="I434" s="3" t="s">
        <v>170</v>
      </c>
      <c r="J434" s="59">
        <v>44939</v>
      </c>
      <c r="L434" s="59" t="e" cm="1">
        <f t="array" ref="L434">INDEX($J$4:J1524, MATCH(1,(A434=$A$4:A1522)*(C434=$C$4:C1522)*("Y"=$K$4:K1524),0))</f>
        <v>#N/A</v>
      </c>
      <c r="M434" s="1">
        <v>1000000</v>
      </c>
      <c r="N434">
        <v>49</v>
      </c>
      <c r="O434">
        <v>58</v>
      </c>
      <c r="P434"/>
      <c r="Q434" s="6">
        <f>(SUM(Pcfu4[[#This Row],[R1]:[R3]]))/(Pcfu4[[#This Row],[No. Reps]]*0.025)*Pcfu4[[#This Row],[Best DF]]</f>
        <v>2140000000</v>
      </c>
      <c r="R434" s="1">
        <f>_xlfn.STDEV.S(Pcfu4[[#This Row],[R1]:[R3]])/0.025*Pcfu4[[#This Row],[Best DF]]</f>
        <v>254558441.22715709</v>
      </c>
      <c r="S434" s="6">
        <f>Pcfu4[[#This Row],[CFU/mL]]*Pcfu4[[#This Row],[mL]]/Pcfu4[[#This Row],[grams]]</f>
        <v>40660000000</v>
      </c>
      <c r="T434" s="1">
        <f>Pcfu4[[#This Row],[SD CFU/mL]]*Pcfu4[[#This Row],[mL]]/Pcfu4[[#This Row],[grams]]</f>
        <v>4836610383.3159847</v>
      </c>
      <c r="U434" s="7">
        <f>_xlfn.STDEV.S(Pcfu43[[#This Row],[R1]:[R3]])/AVERAGE(Pcfu43[[#This Row],[R1]:[R3]])</f>
        <v>0.63812398173590223</v>
      </c>
      <c r="V434" s="96"/>
      <c r="W434" s="7"/>
    </row>
    <row r="435" spans="1:24" x14ac:dyDescent="0.15">
      <c r="A435" t="s">
        <v>445</v>
      </c>
      <c r="B435" t="s">
        <v>446</v>
      </c>
      <c r="D435" t="s">
        <v>86</v>
      </c>
      <c r="E435" s="3">
        <v>2</v>
      </c>
      <c r="G435">
        <v>0.3</v>
      </c>
      <c r="H435" s="5">
        <f>19*Pcfu4[[#This Row],[grams]]</f>
        <v>5.7</v>
      </c>
      <c r="I435" s="3" t="s">
        <v>170</v>
      </c>
      <c r="J435" s="59">
        <v>44943</v>
      </c>
      <c r="L435" s="59" t="e" cm="1">
        <f t="array" ref="L435">INDEX($J$4:J1525, MATCH(1,(A435=$A$4:A1523)*(C435=$C$4:C1523)*("Y"=$K$4:K1525),0))</f>
        <v>#N/A</v>
      </c>
      <c r="M435" s="1">
        <v>1000000</v>
      </c>
      <c r="N435">
        <v>27</v>
      </c>
      <c r="O435">
        <v>31</v>
      </c>
      <c r="P435"/>
      <c r="Q435" s="6">
        <f>(SUM(Pcfu4[[#This Row],[R1]:[R3]]))/(Pcfu4[[#This Row],[No. Reps]]*0.025)*Pcfu4[[#This Row],[Best DF]]</f>
        <v>1160000000</v>
      </c>
      <c r="R435" s="1">
        <f>_xlfn.STDEV.S(Pcfu4[[#This Row],[R1]:[R3]])/0.025*Pcfu4[[#This Row],[Best DF]]</f>
        <v>113137084.98984762</v>
      </c>
      <c r="S435" s="6">
        <f>Pcfu4[[#This Row],[CFU/mL]]*Pcfu4[[#This Row],[mL]]/Pcfu4[[#This Row],[grams]]</f>
        <v>22040000000</v>
      </c>
      <c r="T435" s="1">
        <f>Pcfu4[[#This Row],[SD CFU/mL]]*Pcfu4[[#This Row],[mL]]/Pcfu4[[#This Row],[grams]]</f>
        <v>2149604614.8071046</v>
      </c>
      <c r="U435" s="7">
        <f>_xlfn.STDEV.S(Pcfu43[[#This Row],[R1]:[R3]])/AVERAGE(Pcfu43[[#This Row],[R1]:[R3]])</f>
        <v>5.5555555555555552E-2</v>
      </c>
      <c r="V435" s="96">
        <v>0.23799999999999999</v>
      </c>
      <c r="W435" s="7"/>
      <c r="X435" t="s">
        <v>410</v>
      </c>
    </row>
    <row r="436" spans="1:24" x14ac:dyDescent="0.15">
      <c r="A436" t="s">
        <v>447</v>
      </c>
      <c r="B436" t="s">
        <v>446</v>
      </c>
      <c r="D436" t="s">
        <v>86</v>
      </c>
      <c r="E436" s="3">
        <v>2</v>
      </c>
      <c r="G436">
        <v>0.3</v>
      </c>
      <c r="H436" s="5">
        <f>19*Pcfu4[[#This Row],[grams]]</f>
        <v>5.7</v>
      </c>
      <c r="I436" s="3" t="s">
        <v>170</v>
      </c>
      <c r="J436" s="59">
        <v>44943</v>
      </c>
      <c r="L436" s="59" t="e" cm="1">
        <f t="array" ref="L436">INDEX($J$4:J1526, MATCH(1,(A436=$A$4:A1524)*(C436=$C$4:C1524)*("Y"=$K$4:K1526),0))</f>
        <v>#N/A</v>
      </c>
      <c r="M436" s="1">
        <v>1000000</v>
      </c>
      <c r="N436">
        <v>64</v>
      </c>
      <c r="O436">
        <v>76</v>
      </c>
      <c r="P436"/>
      <c r="Q436" s="6">
        <f>(SUM(Pcfu4[[#This Row],[R1]:[R3]]))/(Pcfu4[[#This Row],[No. Reps]]*0.025)*Pcfu4[[#This Row],[Best DF]]</f>
        <v>2800000000</v>
      </c>
      <c r="R436" s="1">
        <f>_xlfn.STDEV.S(Pcfu4[[#This Row],[R1]:[R3]])/0.025*Pcfu4[[#This Row],[Best DF]]</f>
        <v>339411254.96954274</v>
      </c>
      <c r="S436" s="6">
        <f>Pcfu4[[#This Row],[CFU/mL]]*Pcfu4[[#This Row],[mL]]/Pcfu4[[#This Row],[grams]]</f>
        <v>53200000000</v>
      </c>
      <c r="T436" s="1">
        <f>Pcfu4[[#This Row],[SD CFU/mL]]*Pcfu4[[#This Row],[mL]]/Pcfu4[[#This Row],[grams]]</f>
        <v>6448813844.4213123</v>
      </c>
      <c r="U436" s="7">
        <f>_xlfn.STDEV.S(Pcfu43[[#This Row],[R1]:[R3]])/AVERAGE(Pcfu43[[#This Row],[R1]:[R3]])</f>
        <v>0.19810623032140373</v>
      </c>
      <c r="V436" s="96">
        <v>0.27900000000000003</v>
      </c>
      <c r="W436" s="7"/>
      <c r="X436" t="s">
        <v>408</v>
      </c>
    </row>
    <row r="437" spans="1:24" x14ac:dyDescent="0.15">
      <c r="A437" t="s">
        <v>448</v>
      </c>
      <c r="B437" t="s">
        <v>446</v>
      </c>
      <c r="D437" t="s">
        <v>86</v>
      </c>
      <c r="E437" s="3">
        <v>2</v>
      </c>
      <c r="G437">
        <v>0.3</v>
      </c>
      <c r="H437" s="5">
        <f>19*Pcfu4[[#This Row],[grams]]</f>
        <v>5.7</v>
      </c>
      <c r="I437" s="3" t="s">
        <v>170</v>
      </c>
      <c r="J437" s="59">
        <v>44943</v>
      </c>
      <c r="L437" s="59" t="e" cm="1">
        <f t="array" ref="L437">INDEX($J$4:J1527, MATCH(1,(A437=$A$4:A1525)*(C437=$C$4:C1525)*("Y"=$K$4:K1527),0))</f>
        <v>#N/A</v>
      </c>
      <c r="M437" s="1">
        <v>1000000</v>
      </c>
      <c r="N437">
        <v>30</v>
      </c>
      <c r="O437">
        <v>28</v>
      </c>
      <c r="P437"/>
      <c r="Q437" s="6">
        <f>(SUM(Pcfu4[[#This Row],[R1]:[R3]]))/(Pcfu4[[#This Row],[No. Reps]]*0.025)*Pcfu4[[#This Row],[Best DF]]</f>
        <v>1160000000</v>
      </c>
      <c r="R437" s="1">
        <f>_xlfn.STDEV.S(Pcfu4[[#This Row],[R1]:[R3]])/0.025*Pcfu4[[#This Row],[Best DF]]</f>
        <v>56568542.494923808</v>
      </c>
      <c r="S437" s="6">
        <f>Pcfu4[[#This Row],[CFU/mL]]*Pcfu4[[#This Row],[mL]]/Pcfu4[[#This Row],[grams]]</f>
        <v>22040000000</v>
      </c>
      <c r="T437" s="1">
        <f>Pcfu4[[#This Row],[SD CFU/mL]]*Pcfu4[[#This Row],[mL]]/Pcfu4[[#This Row],[grams]]</f>
        <v>1074802307.4035523</v>
      </c>
      <c r="U437" s="7">
        <f>_xlfn.STDEV.S(Pcfu43[[#This Row],[R1]:[R3]])/AVERAGE(Pcfu43[[#This Row],[R1]:[R3]])</f>
        <v>0.1111111111111111</v>
      </c>
      <c r="V437" s="96">
        <v>0.255</v>
      </c>
      <c r="W437" s="7"/>
      <c r="X437" t="s">
        <v>449</v>
      </c>
    </row>
    <row r="438" spans="1:24" x14ac:dyDescent="0.15">
      <c r="A438" t="s">
        <v>445</v>
      </c>
      <c r="B438" t="s">
        <v>450</v>
      </c>
      <c r="D438" t="s">
        <v>86</v>
      </c>
      <c r="E438" s="3">
        <v>2</v>
      </c>
      <c r="G438">
        <v>0.3</v>
      </c>
      <c r="H438" s="5">
        <f>19*Pcfu4[[#This Row],[grams]]</f>
        <v>5.7</v>
      </c>
      <c r="I438" s="3" t="s">
        <v>170</v>
      </c>
      <c r="J438" s="59">
        <v>44943</v>
      </c>
      <c r="L438" s="59" t="e" cm="1">
        <f t="array" ref="L438">INDEX($J$4:J1528, MATCH(1,(A438=$A$4:A1526)*(C438=$C$4:C1526)*("Y"=$K$4:K1528),0))</f>
        <v>#N/A</v>
      </c>
      <c r="M438" s="1">
        <v>1000000</v>
      </c>
      <c r="N438">
        <v>46</v>
      </c>
      <c r="O438">
        <v>62</v>
      </c>
      <c r="P438"/>
      <c r="Q438" s="6">
        <f>(SUM(Pcfu4[[#This Row],[R1]:[R3]]))/(Pcfu4[[#This Row],[No. Reps]]*0.025)*Pcfu4[[#This Row],[Best DF]]</f>
        <v>2160000000</v>
      </c>
      <c r="R438" s="1">
        <f>_xlfn.STDEV.S(Pcfu4[[#This Row],[R1]:[R3]])/0.025*Pcfu4[[#This Row],[Best DF]]</f>
        <v>452548339.95939046</v>
      </c>
      <c r="S438" s="6">
        <f>Pcfu4[[#This Row],[CFU/mL]]*Pcfu4[[#This Row],[mL]]/Pcfu4[[#This Row],[grams]]</f>
        <v>41040000000</v>
      </c>
      <c r="T438" s="1">
        <f>Pcfu4[[#This Row],[SD CFU/mL]]*Pcfu4[[#This Row],[mL]]/Pcfu4[[#This Row],[grams]]</f>
        <v>8598418459.2284184</v>
      </c>
      <c r="U438" s="7">
        <f>_xlfn.STDEV.S(Pcfu43[[#This Row],[R1]:[R3]])/AVERAGE(Pcfu43[[#This Row],[R1]:[R3]])</f>
        <v>0.32732683535398871</v>
      </c>
      <c r="V438" s="96">
        <v>0.222</v>
      </c>
      <c r="W438" s="7"/>
      <c r="X438" t="s">
        <v>451</v>
      </c>
    </row>
    <row r="439" spans="1:24" x14ac:dyDescent="0.15">
      <c r="A439" t="s">
        <v>447</v>
      </c>
      <c r="B439" t="s">
        <v>450</v>
      </c>
      <c r="D439" t="s">
        <v>86</v>
      </c>
      <c r="E439" s="3">
        <v>2</v>
      </c>
      <c r="G439">
        <v>0.3</v>
      </c>
      <c r="H439" s="5">
        <f>19*Pcfu4[[#This Row],[grams]]</f>
        <v>5.7</v>
      </c>
      <c r="I439" s="3" t="s">
        <v>170</v>
      </c>
      <c r="J439" s="59">
        <v>44943</v>
      </c>
      <c r="L439" s="59" t="e" cm="1">
        <f t="array" ref="L439">INDEX($J$4:J1529, MATCH(1,(A439=$A$4:A1527)*(C439=$C$4:C1527)*("Y"=$K$4:K1529),0))</f>
        <v>#N/A</v>
      </c>
      <c r="M439" s="1">
        <v>1000000</v>
      </c>
      <c r="N439">
        <v>77</v>
      </c>
      <c r="O439">
        <v>52</v>
      </c>
      <c r="P439"/>
      <c r="Q439" s="6">
        <f>(SUM(Pcfu4[[#This Row],[R1]:[R3]]))/(Pcfu4[[#This Row],[No. Reps]]*0.025)*Pcfu4[[#This Row],[Best DF]]</f>
        <v>2580000000</v>
      </c>
      <c r="R439" s="1">
        <f>_xlfn.STDEV.S(Pcfu4[[#This Row],[R1]:[R3]])/0.025*Pcfu4[[#This Row],[Best DF]]</f>
        <v>707106781.18654752</v>
      </c>
      <c r="S439" s="6">
        <f>Pcfu4[[#This Row],[CFU/mL]]*Pcfu4[[#This Row],[mL]]/Pcfu4[[#This Row],[grams]]</f>
        <v>49020000000</v>
      </c>
      <c r="T439" s="1">
        <f>Pcfu4[[#This Row],[SD CFU/mL]]*Pcfu4[[#This Row],[mL]]/Pcfu4[[#This Row],[grams]]</f>
        <v>13435028842.544403</v>
      </c>
      <c r="U439" s="7">
        <f>_xlfn.STDEV.S(Pcfu43[[#This Row],[R1]:[R3]])/AVERAGE(Pcfu43[[#This Row],[R1]:[R3]])</f>
        <v>0.16535945694153692</v>
      </c>
      <c r="V439" s="96">
        <v>0.26700000000000002</v>
      </c>
      <c r="W439" s="7"/>
      <c r="X439" t="s">
        <v>452</v>
      </c>
    </row>
    <row r="440" spans="1:24" x14ac:dyDescent="0.15">
      <c r="A440" t="s">
        <v>448</v>
      </c>
      <c r="B440" t="s">
        <v>450</v>
      </c>
      <c r="D440" t="s">
        <v>86</v>
      </c>
      <c r="E440" s="3">
        <v>2</v>
      </c>
      <c r="G440">
        <v>0.3</v>
      </c>
      <c r="H440" s="5">
        <f>19*Pcfu4[[#This Row],[grams]]</f>
        <v>5.7</v>
      </c>
      <c r="I440" s="3" t="s">
        <v>170</v>
      </c>
      <c r="J440" s="59">
        <v>44943</v>
      </c>
      <c r="L440" s="59" t="e" cm="1">
        <f t="array" ref="L440">INDEX($J$4:J1530, MATCH(1,(A440=$A$4:A1528)*(C440=$C$4:C1528)*("Y"=$K$4:K1530),0))</f>
        <v>#N/A</v>
      </c>
      <c r="M440" s="1">
        <v>1000000</v>
      </c>
      <c r="N440">
        <v>53</v>
      </c>
      <c r="O440">
        <v>47</v>
      </c>
      <c r="P440"/>
      <c r="Q440" s="6">
        <f>(SUM(Pcfu4[[#This Row],[R1]:[R3]]))/(Pcfu4[[#This Row],[No. Reps]]*0.025)*Pcfu4[[#This Row],[Best DF]]</f>
        <v>2000000000</v>
      </c>
      <c r="R440" s="1">
        <f>_xlfn.STDEV.S(Pcfu4[[#This Row],[R1]:[R3]])/0.025*Pcfu4[[#This Row],[Best DF]]</f>
        <v>169705627.48477137</v>
      </c>
      <c r="S440" s="6">
        <f>Pcfu4[[#This Row],[CFU/mL]]*Pcfu4[[#This Row],[mL]]/Pcfu4[[#This Row],[grams]]</f>
        <v>38000000000</v>
      </c>
      <c r="T440" s="1">
        <f>Pcfu4[[#This Row],[SD CFU/mL]]*Pcfu4[[#This Row],[mL]]/Pcfu4[[#This Row],[grams]]</f>
        <v>3224406922.2106562</v>
      </c>
      <c r="U440" s="7">
        <f>_xlfn.STDEV.S(Pcfu43[[#This Row],[R1]:[R3]])/AVERAGE(Pcfu43[[#This Row],[R1]:[R3]])</f>
        <v>0.1833030277982334</v>
      </c>
      <c r="V440" s="96">
        <v>0.221</v>
      </c>
      <c r="W440" s="7"/>
      <c r="X440" t="s">
        <v>384</v>
      </c>
    </row>
    <row r="441" spans="1:24" x14ac:dyDescent="0.15">
      <c r="A441" t="s">
        <v>445</v>
      </c>
      <c r="B441" t="s">
        <v>453</v>
      </c>
      <c r="D441" t="s">
        <v>86</v>
      </c>
      <c r="E441" s="3">
        <v>2</v>
      </c>
      <c r="G441">
        <v>0.3</v>
      </c>
      <c r="H441" s="5">
        <f>19*Pcfu4[[#This Row],[grams]]</f>
        <v>5.7</v>
      </c>
      <c r="I441" s="3" t="s">
        <v>170</v>
      </c>
      <c r="J441" s="59">
        <v>44943</v>
      </c>
      <c r="L441" s="59" t="e" cm="1">
        <f t="array" ref="L441">INDEX($J$4:J1531, MATCH(1,(A441=$A$4:A1529)*(C441=$C$4:C1529)*("Y"=$K$4:K1531),0))</f>
        <v>#N/A</v>
      </c>
      <c r="M441" s="1">
        <v>1000000</v>
      </c>
      <c r="N441">
        <v>54</v>
      </c>
      <c r="O441">
        <v>57</v>
      </c>
      <c r="P441"/>
      <c r="Q441" s="6">
        <f>(SUM(Pcfu4[[#This Row],[R1]:[R3]]))/(Pcfu4[[#This Row],[No. Reps]]*0.025)*Pcfu4[[#This Row],[Best DF]]</f>
        <v>2220000000</v>
      </c>
      <c r="R441" s="1">
        <f>_xlfn.STDEV.S(Pcfu4[[#This Row],[R1]:[R3]])/0.025*Pcfu4[[#This Row],[Best DF]]</f>
        <v>84852813.742385685</v>
      </c>
      <c r="S441" s="6">
        <f>Pcfu4[[#This Row],[CFU/mL]]*Pcfu4[[#This Row],[mL]]/Pcfu4[[#This Row],[grams]]</f>
        <v>42180000000</v>
      </c>
      <c r="T441" s="1">
        <f>Pcfu4[[#This Row],[SD CFU/mL]]*Pcfu4[[#This Row],[mL]]/Pcfu4[[#This Row],[grams]]</f>
        <v>1612203461.1053281</v>
      </c>
      <c r="U441" s="7">
        <f>_xlfn.STDEV.S(Pcfu43[[#This Row],[R1]:[R3]])/AVERAGE(Pcfu43[[#This Row],[R1]:[R3]])</f>
        <v>7.6923076923076927E-2</v>
      </c>
      <c r="V441" s="96">
        <v>0.216</v>
      </c>
      <c r="W441" s="7"/>
      <c r="X441" t="s">
        <v>454</v>
      </c>
    </row>
    <row r="442" spans="1:24" x14ac:dyDescent="0.15">
      <c r="A442" t="s">
        <v>447</v>
      </c>
      <c r="B442" t="s">
        <v>453</v>
      </c>
      <c r="D442" t="s">
        <v>86</v>
      </c>
      <c r="E442" s="3">
        <v>2</v>
      </c>
      <c r="G442">
        <v>0.3</v>
      </c>
      <c r="H442" s="5">
        <f>19*Pcfu4[[#This Row],[grams]]</f>
        <v>5.7</v>
      </c>
      <c r="I442" s="3" t="s">
        <v>170</v>
      </c>
      <c r="J442" s="59">
        <v>44943</v>
      </c>
      <c r="L442" s="59" t="e" cm="1">
        <f t="array" ref="L442">INDEX($J$4:J1532, MATCH(1,(A442=$A$4:A1530)*(C442=$C$4:C1530)*("Y"=$K$4:K1532),0))</f>
        <v>#N/A</v>
      </c>
      <c r="M442" s="1">
        <v>1000000</v>
      </c>
      <c r="N442">
        <v>64</v>
      </c>
      <c r="O442">
        <v>74</v>
      </c>
      <c r="P442"/>
      <c r="Q442" s="6">
        <f>(SUM(Pcfu4[[#This Row],[R1]:[R3]]))/(Pcfu4[[#This Row],[No. Reps]]*0.025)*Pcfu4[[#This Row],[Best DF]]</f>
        <v>2760000000</v>
      </c>
      <c r="R442" s="1">
        <f>_xlfn.STDEV.S(Pcfu4[[#This Row],[R1]:[R3]])/0.025*Pcfu4[[#This Row],[Best DF]]</f>
        <v>282842712.47461903</v>
      </c>
      <c r="S442" s="6">
        <f>Pcfu4[[#This Row],[CFU/mL]]*Pcfu4[[#This Row],[mL]]/Pcfu4[[#This Row],[grams]]</f>
        <v>52440000000</v>
      </c>
      <c r="T442" s="1">
        <f>Pcfu4[[#This Row],[SD CFU/mL]]*Pcfu4[[#This Row],[mL]]/Pcfu4[[#This Row],[grams]]</f>
        <v>5374011537.0177622</v>
      </c>
      <c r="U442" s="7">
        <f>_xlfn.STDEV.S(Pcfu43[[#This Row],[R1]:[R3]])/AVERAGE(Pcfu43[[#This Row],[R1]:[R3]])</f>
        <v>7.2739296745330792E-2</v>
      </c>
      <c r="V442" s="96">
        <v>0.25900000000000001</v>
      </c>
      <c r="W442" s="7"/>
      <c r="X442" s="61" t="s">
        <v>455</v>
      </c>
    </row>
    <row r="443" spans="1:24" x14ac:dyDescent="0.15">
      <c r="A443" t="s">
        <v>448</v>
      </c>
      <c r="B443" t="s">
        <v>453</v>
      </c>
      <c r="D443" t="s">
        <v>86</v>
      </c>
      <c r="E443" s="3">
        <v>2</v>
      </c>
      <c r="G443">
        <v>0.3</v>
      </c>
      <c r="H443" s="5">
        <f>19*Pcfu4[[#This Row],[grams]]</f>
        <v>5.7</v>
      </c>
      <c r="I443" s="3" t="s">
        <v>170</v>
      </c>
      <c r="J443" s="59">
        <v>44943</v>
      </c>
      <c r="L443" s="59" t="e" cm="1">
        <f t="array" ref="L443">INDEX($J$4:J1533, MATCH(1,(A443=$A$4:A1531)*(C443=$C$4:C1531)*("Y"=$K$4:K1533),0))</f>
        <v>#N/A</v>
      </c>
      <c r="M443" s="1">
        <v>1000000</v>
      </c>
      <c r="N443">
        <v>44</v>
      </c>
      <c r="O443">
        <v>58</v>
      </c>
      <c r="P443"/>
      <c r="Q443" s="6">
        <f>(SUM(Pcfu4[[#This Row],[R1]:[R3]]))/(Pcfu4[[#This Row],[No. Reps]]*0.025)*Pcfu4[[#This Row],[Best DF]]</f>
        <v>2040000000</v>
      </c>
      <c r="R443" s="1">
        <f>_xlfn.STDEV.S(Pcfu4[[#This Row],[R1]:[R3]])/0.025*Pcfu4[[#This Row],[Best DF]]</f>
        <v>395979797.46446657</v>
      </c>
      <c r="S443" s="6">
        <f>Pcfu4[[#This Row],[CFU/mL]]*Pcfu4[[#This Row],[mL]]/Pcfu4[[#This Row],[grams]]</f>
        <v>38760000000</v>
      </c>
      <c r="T443" s="1">
        <f>Pcfu4[[#This Row],[SD CFU/mL]]*Pcfu4[[#This Row],[mL]]/Pcfu4[[#This Row],[grams]]</f>
        <v>7523616151.8248653</v>
      </c>
      <c r="U443" s="7">
        <f>_xlfn.STDEV.S(Pcfu43[[#This Row],[R1]:[R3]])/AVERAGE(Pcfu43[[#This Row],[R1]:[R3]])</f>
        <v>0.10597418418673578</v>
      </c>
      <c r="V443" s="96">
        <v>0.16800000000000001</v>
      </c>
      <c r="W443" s="7"/>
      <c r="X443" t="s">
        <v>456</v>
      </c>
    </row>
    <row r="444" spans="1:24" x14ac:dyDescent="0.15">
      <c r="A444" t="s">
        <v>445</v>
      </c>
      <c r="B444" t="s">
        <v>457</v>
      </c>
      <c r="D444" t="s">
        <v>86</v>
      </c>
      <c r="E444" s="3">
        <v>2</v>
      </c>
      <c r="G444">
        <v>0.3</v>
      </c>
      <c r="H444" s="5">
        <f>19*Pcfu4[[#This Row],[grams]]</f>
        <v>5.7</v>
      </c>
      <c r="I444" s="3" t="s">
        <v>170</v>
      </c>
      <c r="J444" s="59">
        <v>44943</v>
      </c>
      <c r="L444" s="59" t="e" cm="1">
        <f t="array" ref="L444">INDEX($J$4:J1534, MATCH(1,(A444=$A$4:A1532)*(C444=$C$4:C1532)*("Y"=$K$4:K1534),0))</f>
        <v>#N/A</v>
      </c>
      <c r="M444" s="1">
        <v>1000000</v>
      </c>
      <c r="N444">
        <v>178</v>
      </c>
      <c r="O444">
        <v>167</v>
      </c>
      <c r="P444"/>
      <c r="Q444" s="6">
        <f>(SUM(Pcfu4[[#This Row],[R1]:[R3]]))/(Pcfu4[[#This Row],[No. Reps]]*0.025)*Pcfu4[[#This Row],[Best DF]]</f>
        <v>6900000000</v>
      </c>
      <c r="R444" s="1">
        <f>_xlfn.STDEV.S(Pcfu4[[#This Row],[R1]:[R3]])/0.025*Pcfu4[[#This Row],[Best DF]]</f>
        <v>311126983.72208089</v>
      </c>
      <c r="S444" s="6">
        <f>Pcfu4[[#This Row],[CFU/mL]]*Pcfu4[[#This Row],[mL]]/Pcfu4[[#This Row],[grams]]</f>
        <v>131100000000</v>
      </c>
      <c r="T444" s="1">
        <f>Pcfu4[[#This Row],[SD CFU/mL]]*Pcfu4[[#This Row],[mL]]/Pcfu4[[#This Row],[grams]]</f>
        <v>5911412690.7195368</v>
      </c>
      <c r="U444" s="7">
        <f>_xlfn.STDEV.S(Pcfu43[[#This Row],[R1]:[R3]])/AVERAGE(Pcfu43[[#This Row],[R1]:[R3]])</f>
        <v>3.8835387245388465E-2</v>
      </c>
      <c r="V444" s="96"/>
      <c r="W444" s="7"/>
    </row>
    <row r="445" spans="1:24" x14ac:dyDescent="0.15">
      <c r="A445" t="s">
        <v>447</v>
      </c>
      <c r="B445" t="s">
        <v>457</v>
      </c>
      <c r="D445" t="s">
        <v>86</v>
      </c>
      <c r="E445" s="3">
        <v>2</v>
      </c>
      <c r="G445">
        <v>0.3</v>
      </c>
      <c r="H445" s="5">
        <f>19*Pcfu4[[#This Row],[grams]]</f>
        <v>5.7</v>
      </c>
      <c r="I445" s="3" t="s">
        <v>170</v>
      </c>
      <c r="J445" s="59">
        <v>44943</v>
      </c>
      <c r="L445" s="59" t="e" cm="1">
        <f t="array" ref="L445">INDEX($J$4:J1535, MATCH(1,(A445=$A$4:A1533)*(C445=$C$4:C1533)*("Y"=$K$4:K1535),0))</f>
        <v>#N/A</v>
      </c>
      <c r="M445" s="1">
        <v>1000000</v>
      </c>
      <c r="N445">
        <v>39</v>
      </c>
      <c r="O445">
        <v>31</v>
      </c>
      <c r="P445"/>
      <c r="Q445" s="6">
        <f>(SUM(Pcfu4[[#This Row],[R1]:[R3]]))/(Pcfu4[[#This Row],[No. Reps]]*0.025)*Pcfu4[[#This Row],[Best DF]]</f>
        <v>1400000000</v>
      </c>
      <c r="R445" s="1">
        <f>_xlfn.STDEV.S(Pcfu4[[#This Row],[R1]:[R3]])/0.025*Pcfu4[[#This Row],[Best DF]]</f>
        <v>226274169.97969523</v>
      </c>
      <c r="S445" s="6">
        <f>Pcfu4[[#This Row],[CFU/mL]]*Pcfu4[[#This Row],[mL]]/Pcfu4[[#This Row],[grams]]</f>
        <v>26600000000</v>
      </c>
      <c r="T445" s="1">
        <f>Pcfu4[[#This Row],[SD CFU/mL]]*Pcfu4[[#This Row],[mL]]/Pcfu4[[#This Row],[grams]]</f>
        <v>4299209229.6142092</v>
      </c>
      <c r="U445" s="7">
        <f>_xlfn.STDEV.S(Pcfu43[[#This Row],[R1]:[R3]])/AVERAGE(Pcfu43[[#This Row],[R1]:[R3]])</f>
        <v>0.12908663929453096</v>
      </c>
      <c r="V445" s="96"/>
      <c r="W445" s="7"/>
    </row>
    <row r="446" spans="1:24" x14ac:dyDescent="0.15">
      <c r="A446" t="s">
        <v>448</v>
      </c>
      <c r="B446" t="s">
        <v>457</v>
      </c>
      <c r="D446" t="s">
        <v>86</v>
      </c>
      <c r="E446" s="3">
        <v>2</v>
      </c>
      <c r="G446">
        <v>0.3</v>
      </c>
      <c r="H446" s="5">
        <f>19*Pcfu4[[#This Row],[grams]]</f>
        <v>5.7</v>
      </c>
      <c r="I446" s="3" t="s">
        <v>170</v>
      </c>
      <c r="J446" s="59">
        <v>44943</v>
      </c>
      <c r="L446" s="59" t="e" cm="1">
        <f t="array" ref="L446">INDEX($J$4:J1536, MATCH(1,(A446=$A$4:A1534)*(C446=$C$4:C1534)*("Y"=$K$4:K1536),0))</f>
        <v>#N/A</v>
      </c>
      <c r="M446" s="1">
        <v>1000000</v>
      </c>
      <c r="N446">
        <v>112</v>
      </c>
      <c r="O446">
        <v>140</v>
      </c>
      <c r="P446"/>
      <c r="Q446" s="6">
        <f>(SUM(Pcfu4[[#This Row],[R1]:[R3]]))/(Pcfu4[[#This Row],[No. Reps]]*0.025)*Pcfu4[[#This Row],[Best DF]]</f>
        <v>5040000000</v>
      </c>
      <c r="R446" s="1">
        <f>_xlfn.STDEV.S(Pcfu4[[#This Row],[R1]:[R3]])/0.025*Pcfu4[[#This Row],[Best DF]]</f>
        <v>791959594.92893314</v>
      </c>
      <c r="S446" s="6">
        <f>Pcfu4[[#This Row],[CFU/mL]]*Pcfu4[[#This Row],[mL]]/Pcfu4[[#This Row],[grams]]</f>
        <v>95760000000</v>
      </c>
      <c r="T446" s="1">
        <f>Pcfu4[[#This Row],[SD CFU/mL]]*Pcfu4[[#This Row],[mL]]/Pcfu4[[#This Row],[grams]]</f>
        <v>15047232303.649731</v>
      </c>
      <c r="U446" s="7">
        <f>_xlfn.STDEV.S(Pcfu43[[#This Row],[R1]:[R3]])/AVERAGE(Pcfu43[[#This Row],[R1]:[R3]])</f>
        <v>0.16992989923956056</v>
      </c>
      <c r="V446" s="96"/>
      <c r="W446" s="7"/>
    </row>
    <row r="447" spans="1:24" x14ac:dyDescent="0.15">
      <c r="A447" t="s">
        <v>445</v>
      </c>
      <c r="B447" t="s">
        <v>458</v>
      </c>
      <c r="D447" t="s">
        <v>86</v>
      </c>
      <c r="E447" s="3">
        <v>2</v>
      </c>
      <c r="G447">
        <v>0.3</v>
      </c>
      <c r="H447" s="5">
        <f>19*Pcfu4[[#This Row],[grams]]</f>
        <v>5.7</v>
      </c>
      <c r="I447" s="3" t="s">
        <v>170</v>
      </c>
      <c r="J447" s="59">
        <v>44943</v>
      </c>
      <c r="L447" s="59" t="e" cm="1">
        <f t="array" ref="L447">INDEX($J$4:J1537, MATCH(1,(A447=$A$4:A1535)*(C447=$C$4:C1535)*("Y"=$K$4:K1537),0))</f>
        <v>#N/A</v>
      </c>
      <c r="M447" s="1">
        <v>10000000</v>
      </c>
      <c r="N447">
        <v>42</v>
      </c>
      <c r="O447">
        <v>34</v>
      </c>
      <c r="P447"/>
      <c r="Q447" s="6">
        <f>(SUM(Pcfu4[[#This Row],[R1]:[R3]]))/(Pcfu4[[#This Row],[No. Reps]]*0.025)*Pcfu4[[#This Row],[Best DF]]</f>
        <v>15200000000</v>
      </c>
      <c r="R447" s="1">
        <f>_xlfn.STDEV.S(Pcfu4[[#This Row],[R1]:[R3]])/0.025*Pcfu4[[#This Row],[Best DF]]</f>
        <v>2262741699.7969522</v>
      </c>
      <c r="S447" s="6">
        <f>Pcfu4[[#This Row],[CFU/mL]]*Pcfu4[[#This Row],[mL]]/Pcfu4[[#This Row],[grams]]</f>
        <v>288800000000</v>
      </c>
      <c r="T447" s="1">
        <f>Pcfu4[[#This Row],[SD CFU/mL]]*Pcfu4[[#This Row],[mL]]/Pcfu4[[#This Row],[grams]]</f>
        <v>42992092296.142097</v>
      </c>
      <c r="U447" s="7">
        <f>_xlfn.STDEV.S(Pcfu43[[#This Row],[R1]:[R3]])/AVERAGE(Pcfu43[[#This Row],[R1]:[R3]])</f>
        <v>0.15724856347541427</v>
      </c>
      <c r="V447" s="96"/>
      <c r="W447" s="7"/>
    </row>
    <row r="448" spans="1:24" x14ac:dyDescent="0.15">
      <c r="A448" t="s">
        <v>447</v>
      </c>
      <c r="B448" t="s">
        <v>458</v>
      </c>
      <c r="D448" t="s">
        <v>86</v>
      </c>
      <c r="E448" s="3">
        <v>2</v>
      </c>
      <c r="G448">
        <v>0.3</v>
      </c>
      <c r="H448" s="5">
        <f>19*Pcfu4[[#This Row],[grams]]</f>
        <v>5.7</v>
      </c>
      <c r="I448" s="3" t="s">
        <v>170</v>
      </c>
      <c r="J448" s="59">
        <v>44943</v>
      </c>
      <c r="L448" s="59" t="e" cm="1">
        <f t="array" ref="L448">INDEX($J$4:J1538, MATCH(1,(A448=$A$4:A1536)*(C448=$C$4:C1536)*("Y"=$K$4:K1538),0))</f>
        <v>#N/A</v>
      </c>
      <c r="M448" s="1">
        <v>1000000</v>
      </c>
      <c r="N448">
        <v>105</v>
      </c>
      <c r="O448">
        <v>99</v>
      </c>
      <c r="P448"/>
      <c r="Q448" s="6">
        <f>(SUM(Pcfu4[[#This Row],[R1]:[R3]]))/(Pcfu4[[#This Row],[No. Reps]]*0.025)*Pcfu4[[#This Row],[Best DF]]</f>
        <v>4080000000</v>
      </c>
      <c r="R448" s="1">
        <f>_xlfn.STDEV.S(Pcfu4[[#This Row],[R1]:[R3]])/0.025*Pcfu4[[#This Row],[Best DF]]</f>
        <v>169705627.48477137</v>
      </c>
      <c r="S448" s="6">
        <f>Pcfu4[[#This Row],[CFU/mL]]*Pcfu4[[#This Row],[mL]]/Pcfu4[[#This Row],[grams]]</f>
        <v>77520000000</v>
      </c>
      <c r="T448" s="1">
        <f>Pcfu4[[#This Row],[SD CFU/mL]]*Pcfu4[[#This Row],[mL]]/Pcfu4[[#This Row],[grams]]</f>
        <v>3224406922.2106562</v>
      </c>
      <c r="U448" s="7">
        <f>_xlfn.STDEV.S(Pcfu43[[#This Row],[R1]:[R3]])/AVERAGE(Pcfu43[[#This Row],[R1]:[R3]])</f>
        <v>0.12683588730846007</v>
      </c>
      <c r="V448" s="96"/>
      <c r="W448" s="7"/>
    </row>
    <row r="449" spans="1:24" x14ac:dyDescent="0.15">
      <c r="A449" t="s">
        <v>448</v>
      </c>
      <c r="B449" t="s">
        <v>458</v>
      </c>
      <c r="D449" t="s">
        <v>86</v>
      </c>
      <c r="E449" s="3">
        <v>2</v>
      </c>
      <c r="G449">
        <v>0.3</v>
      </c>
      <c r="H449" s="5">
        <f>19*Pcfu4[[#This Row],[grams]]</f>
        <v>5.7</v>
      </c>
      <c r="I449" s="3" t="s">
        <v>170</v>
      </c>
      <c r="J449" s="59">
        <v>44943</v>
      </c>
      <c r="L449" s="59" t="e" cm="1">
        <f t="array" ref="L449">INDEX($J$4:J1539, MATCH(1,(A449=$A$4:A1537)*(C449=$C$4:C1537)*("Y"=$K$4:K1539),0))</f>
        <v>#N/A</v>
      </c>
      <c r="M449" s="1">
        <v>10000000</v>
      </c>
      <c r="N449">
        <v>41</v>
      </c>
      <c r="O449">
        <v>33</v>
      </c>
      <c r="P449"/>
      <c r="Q449" s="6">
        <f>(SUM(Pcfu4[[#This Row],[R1]:[R3]]))/(Pcfu4[[#This Row],[No. Reps]]*0.025)*Pcfu4[[#This Row],[Best DF]]</f>
        <v>14800000000</v>
      </c>
      <c r="R449" s="1">
        <f>_xlfn.STDEV.S(Pcfu4[[#This Row],[R1]:[R3]])/0.025*Pcfu4[[#This Row],[Best DF]]</f>
        <v>2262741699.7969522</v>
      </c>
      <c r="S449" s="6">
        <f>Pcfu4[[#This Row],[CFU/mL]]*Pcfu4[[#This Row],[mL]]/Pcfu4[[#This Row],[grams]]</f>
        <v>281200000000</v>
      </c>
      <c r="T449" s="1">
        <f>Pcfu4[[#This Row],[SD CFU/mL]]*Pcfu4[[#This Row],[mL]]/Pcfu4[[#This Row],[grams]]</f>
        <v>42992092296.142097</v>
      </c>
      <c r="U449" s="7">
        <f>_xlfn.STDEV.S(Pcfu43[[#This Row],[R1]:[R3]])/AVERAGE(Pcfu43[[#This Row],[R1]:[R3]])</f>
        <v>9.4221624318104602E-2</v>
      </c>
      <c r="V449" s="96"/>
      <c r="W449" s="7"/>
    </row>
    <row r="450" spans="1:24" x14ac:dyDescent="0.15">
      <c r="A450" t="s">
        <v>459</v>
      </c>
      <c r="C450" t="s">
        <v>460</v>
      </c>
      <c r="D450" t="s">
        <v>253</v>
      </c>
      <c r="E450" s="3">
        <v>1</v>
      </c>
      <c r="H450" s="5">
        <f>19*Pcfu4[[#This Row],[grams]]</f>
        <v>0</v>
      </c>
      <c r="J450" s="59">
        <v>44944</v>
      </c>
      <c r="L450" s="59" t="e" cm="1">
        <f t="array" ref="L450">INDEX($J$4:J1540, MATCH(1,(A450=$A$4:A1538)*(C450=$C$4:C1538)*("Y"=$K$4:K1540),0))</f>
        <v>#N/A</v>
      </c>
      <c r="M450" s="1">
        <v>10</v>
      </c>
      <c r="N450">
        <v>301</v>
      </c>
      <c r="P450"/>
      <c r="Q450" s="6">
        <f>(SUM(Pcfu4[[#This Row],[R1]:[R3]]))/(Pcfu4[[#This Row],[No. Reps]]*0.025)*Pcfu4[[#This Row],[Best DF]]</f>
        <v>120400</v>
      </c>
      <c r="R450" s="1" t="e">
        <f>_xlfn.STDEV.S(Pcfu4[[#This Row],[R1]:[R3]])/0.025*Pcfu4[[#This Row],[Best DF]]</f>
        <v>#DIV/0!</v>
      </c>
      <c r="S450" s="6" t="e">
        <f>Pcfu4[[#This Row],[CFU/mL]]*Pcfu4[[#This Row],[mL]]/Pcfu4[[#This Row],[grams]]</f>
        <v>#DIV/0!</v>
      </c>
      <c r="T450" s="1" t="e">
        <f>Pcfu4[[#This Row],[SD CFU/mL]]*Pcfu4[[#This Row],[mL]]/Pcfu4[[#This Row],[grams]]</f>
        <v>#DIV/0!</v>
      </c>
      <c r="U450" s="7">
        <f>_xlfn.STDEV.S(Pcfu43[[#This Row],[R1]:[R3]])/AVERAGE(Pcfu43[[#This Row],[R1]:[R3]])</f>
        <v>0.13478163808693674</v>
      </c>
      <c r="V450" s="96"/>
      <c r="W450" s="7"/>
    </row>
    <row r="451" spans="1:24" x14ac:dyDescent="0.15">
      <c r="A451" t="s">
        <v>461</v>
      </c>
      <c r="C451" t="s">
        <v>460</v>
      </c>
      <c r="D451" t="s">
        <v>253</v>
      </c>
      <c r="E451" s="3">
        <v>1</v>
      </c>
      <c r="H451" s="5">
        <f>19*Pcfu4[[#This Row],[grams]]</f>
        <v>0</v>
      </c>
      <c r="J451" s="59">
        <v>44944</v>
      </c>
      <c r="L451" s="59" t="e" cm="1">
        <f t="array" ref="L451">INDEX($J$4:J1541, MATCH(1,(A451=$A$4:A1539)*(C451=$C$4:C1539)*("Y"=$K$4:K1541),0))</f>
        <v>#N/A</v>
      </c>
      <c r="M451" s="1">
        <v>1</v>
      </c>
      <c r="N451">
        <v>95</v>
      </c>
      <c r="P451"/>
      <c r="Q451" s="6">
        <f>(SUM(Pcfu4[[#This Row],[R1]:[R3]]))/(Pcfu4[[#This Row],[No. Reps]]*0.025)*Pcfu4[[#This Row],[Best DF]]</f>
        <v>3800</v>
      </c>
      <c r="R451" s="1" t="e">
        <f>_xlfn.STDEV.S(Pcfu4[[#This Row],[R1]:[R3]])/0.025*Pcfu4[[#This Row],[Best DF]]</f>
        <v>#DIV/0!</v>
      </c>
      <c r="S451" s="6" t="e">
        <f>Pcfu4[[#This Row],[CFU/mL]]*Pcfu4[[#This Row],[mL]]/Pcfu4[[#This Row],[grams]]</f>
        <v>#DIV/0!</v>
      </c>
      <c r="T451" s="1" t="e">
        <f>Pcfu4[[#This Row],[SD CFU/mL]]*Pcfu4[[#This Row],[mL]]/Pcfu4[[#This Row],[grams]]</f>
        <v>#DIV/0!</v>
      </c>
      <c r="U451" s="7">
        <f>_xlfn.STDEV.S(Pcfu43[[#This Row],[R1]:[R3]])/AVERAGE(Pcfu43[[#This Row],[R1]:[R3]])</f>
        <v>4.1736164037804266E-2</v>
      </c>
      <c r="V451" s="96"/>
      <c r="W451" s="7"/>
    </row>
    <row r="452" spans="1:24" x14ac:dyDescent="0.15">
      <c r="A452" t="s">
        <v>462</v>
      </c>
      <c r="C452" t="s">
        <v>460</v>
      </c>
      <c r="D452" t="s">
        <v>253</v>
      </c>
      <c r="E452" s="3">
        <v>1</v>
      </c>
      <c r="H452" s="5">
        <f>19*Pcfu4[[#This Row],[grams]]</f>
        <v>0</v>
      </c>
      <c r="J452" s="59">
        <v>44944</v>
      </c>
      <c r="L452" s="59" t="e" cm="1">
        <f t="array" ref="L452">INDEX($J$4:J1542, MATCH(1,(A452=$A$4:A1540)*(C452=$C$4:C1540)*("Y"=$K$4:K1542),0))</f>
        <v>#N/A</v>
      </c>
      <c r="M452" s="1">
        <v>10</v>
      </c>
      <c r="N452">
        <v>132</v>
      </c>
      <c r="P452"/>
      <c r="Q452" s="6">
        <f>(SUM(Pcfu4[[#This Row],[R1]:[R3]]))/(Pcfu4[[#This Row],[No. Reps]]*0.025)*Pcfu4[[#This Row],[Best DF]]</f>
        <v>52800</v>
      </c>
      <c r="R452" s="1" t="e">
        <f>_xlfn.STDEV.S(Pcfu4[[#This Row],[R1]:[R3]])/0.025*Pcfu4[[#This Row],[Best DF]]</f>
        <v>#DIV/0!</v>
      </c>
      <c r="S452" s="6" t="e">
        <f>Pcfu4[[#This Row],[CFU/mL]]*Pcfu4[[#This Row],[mL]]/Pcfu4[[#This Row],[grams]]</f>
        <v>#DIV/0!</v>
      </c>
      <c r="T452" s="1" t="e">
        <f>Pcfu4[[#This Row],[SD CFU/mL]]*Pcfu4[[#This Row],[mL]]/Pcfu4[[#This Row],[grams]]</f>
        <v>#DIV/0!</v>
      </c>
      <c r="U452" s="7">
        <f>_xlfn.STDEV.S(Pcfu43[[#This Row],[R1]:[R3]])/AVERAGE(Pcfu43[[#This Row],[R1]:[R3]])</f>
        <v>0.25471335405424678</v>
      </c>
      <c r="V452" s="96"/>
      <c r="W452" s="7"/>
    </row>
    <row r="453" spans="1:24" x14ac:dyDescent="0.15">
      <c r="A453" t="s">
        <v>459</v>
      </c>
      <c r="C453" t="s">
        <v>463</v>
      </c>
      <c r="D453" t="s">
        <v>253</v>
      </c>
      <c r="E453" s="3">
        <v>1</v>
      </c>
      <c r="H453" s="5">
        <f>19*Pcfu4[[#This Row],[grams]]</f>
        <v>0</v>
      </c>
      <c r="J453" s="59">
        <v>44944</v>
      </c>
      <c r="L453" s="59" t="e" cm="1">
        <f t="array" ref="L453">INDEX($J$4:J1543, MATCH(1,(A453=$A$4:A1541)*(C453=$C$4:C1541)*("Y"=$K$4:K1543),0))</f>
        <v>#N/A</v>
      </c>
      <c r="M453" s="1">
        <v>10</v>
      </c>
      <c r="N453">
        <v>422</v>
      </c>
      <c r="P453"/>
      <c r="Q453" s="6">
        <f>(SUM(Pcfu4[[#This Row],[R1]:[R3]]))/(Pcfu4[[#This Row],[No. Reps]]*0.025)*Pcfu4[[#This Row],[Best DF]]</f>
        <v>168800</v>
      </c>
      <c r="R453" s="1" t="e">
        <f>_xlfn.STDEV.S(Pcfu4[[#This Row],[R1]:[R3]])/0.025*Pcfu4[[#This Row],[Best DF]]</f>
        <v>#DIV/0!</v>
      </c>
      <c r="S453" s="6" t="e">
        <f>Pcfu4[[#This Row],[CFU/mL]]*Pcfu4[[#This Row],[mL]]/Pcfu4[[#This Row],[grams]]</f>
        <v>#DIV/0!</v>
      </c>
      <c r="T453" s="1" t="e">
        <f>Pcfu4[[#This Row],[SD CFU/mL]]*Pcfu4[[#This Row],[mL]]/Pcfu4[[#This Row],[grams]]</f>
        <v>#DIV/0!</v>
      </c>
      <c r="U453" s="7">
        <f>_xlfn.STDEV.S(Pcfu43[[#This Row],[R1]:[R3]])/AVERAGE(Pcfu43[[#This Row],[R1]:[R3]])</f>
        <v>0.56727357417605628</v>
      </c>
      <c r="V453" s="96"/>
      <c r="W453" s="7"/>
    </row>
    <row r="454" spans="1:24" x14ac:dyDescent="0.15">
      <c r="A454" t="s">
        <v>461</v>
      </c>
      <c r="C454" t="s">
        <v>463</v>
      </c>
      <c r="D454" t="s">
        <v>253</v>
      </c>
      <c r="E454" s="3">
        <v>1</v>
      </c>
      <c r="H454" s="5">
        <f>19*Pcfu4[[#This Row],[grams]]</f>
        <v>0</v>
      </c>
      <c r="J454" s="59">
        <v>44944</v>
      </c>
      <c r="L454" s="59" t="e" cm="1">
        <f t="array" ref="L454">INDEX($J$4:J1544, MATCH(1,(A454=$A$4:A1542)*(C454=$C$4:C1542)*("Y"=$K$4:K1544),0))</f>
        <v>#N/A</v>
      </c>
      <c r="M454" s="1">
        <v>1</v>
      </c>
      <c r="N454">
        <v>135</v>
      </c>
      <c r="P454"/>
      <c r="Q454" s="6">
        <f>(SUM(Pcfu4[[#This Row],[R1]:[R3]]))/(Pcfu4[[#This Row],[No. Reps]]*0.025)*Pcfu4[[#This Row],[Best DF]]</f>
        <v>5400</v>
      </c>
      <c r="R454" s="1" t="e">
        <f>_xlfn.STDEV.S(Pcfu4[[#This Row],[R1]:[R3]])/0.025*Pcfu4[[#This Row],[Best DF]]</f>
        <v>#DIV/0!</v>
      </c>
      <c r="S454" s="6" t="e">
        <f>Pcfu4[[#This Row],[CFU/mL]]*Pcfu4[[#This Row],[mL]]/Pcfu4[[#This Row],[grams]]</f>
        <v>#DIV/0!</v>
      </c>
      <c r="T454" s="1" t="e">
        <f>Pcfu4[[#This Row],[SD CFU/mL]]*Pcfu4[[#This Row],[mL]]/Pcfu4[[#This Row],[grams]]</f>
        <v>#DIV/0!</v>
      </c>
      <c r="U454" s="7">
        <f>_xlfn.STDEV.S(Pcfu43[[#This Row],[R1]:[R3]])/AVERAGE(Pcfu43[[#This Row],[R1]:[R3]])</f>
        <v>0.1145179755744863</v>
      </c>
      <c r="V454" s="96"/>
      <c r="W454" s="7"/>
    </row>
    <row r="455" spans="1:24" x14ac:dyDescent="0.15">
      <c r="A455" t="s">
        <v>462</v>
      </c>
      <c r="C455" t="s">
        <v>463</v>
      </c>
      <c r="D455" t="s">
        <v>253</v>
      </c>
      <c r="E455" s="3">
        <v>1</v>
      </c>
      <c r="H455" s="5">
        <f>19*Pcfu4[[#This Row],[grams]]</f>
        <v>0</v>
      </c>
      <c r="J455" s="59">
        <v>44944</v>
      </c>
      <c r="L455" s="59" t="e" cm="1">
        <f t="array" ref="L455">INDEX($J$4:J1545, MATCH(1,(A455=$A$4:A1543)*(C455=$C$4:C1543)*("Y"=$K$4:K1545),0))</f>
        <v>#N/A</v>
      </c>
      <c r="M455" s="1">
        <v>10</v>
      </c>
      <c r="N455">
        <v>206</v>
      </c>
      <c r="P455"/>
      <c r="Q455" s="6">
        <f>(SUM(Pcfu4[[#This Row],[R1]:[R3]]))/(Pcfu4[[#This Row],[No. Reps]]*0.025)*Pcfu4[[#This Row],[Best DF]]</f>
        <v>82400</v>
      </c>
      <c r="R455" s="1" t="e">
        <f>_xlfn.STDEV.S(Pcfu4[[#This Row],[R1]:[R3]])/0.025*Pcfu4[[#This Row],[Best DF]]</f>
        <v>#DIV/0!</v>
      </c>
      <c r="S455" s="6" t="e">
        <f>Pcfu4[[#This Row],[CFU/mL]]*Pcfu4[[#This Row],[mL]]/Pcfu4[[#This Row],[grams]]</f>
        <v>#DIV/0!</v>
      </c>
      <c r="T455" s="1" t="e">
        <f>Pcfu4[[#This Row],[SD CFU/mL]]*Pcfu4[[#This Row],[mL]]/Pcfu4[[#This Row],[grams]]</f>
        <v>#DIV/0!</v>
      </c>
      <c r="U455" s="7">
        <f>_xlfn.STDEV.S(Pcfu43[[#This Row],[R1]:[R3]])/AVERAGE(Pcfu43[[#This Row],[R1]:[R3]])</f>
        <v>0.26339134382131824</v>
      </c>
      <c r="V455" s="96"/>
      <c r="W455" s="7"/>
    </row>
    <row r="456" spans="1:24" x14ac:dyDescent="0.15">
      <c r="A456" t="s">
        <v>459</v>
      </c>
      <c r="C456" t="s">
        <v>464</v>
      </c>
      <c r="D456" t="s">
        <v>253</v>
      </c>
      <c r="E456" s="3">
        <v>1</v>
      </c>
      <c r="H456" s="5">
        <f>19*Pcfu4[[#This Row],[grams]]</f>
        <v>0</v>
      </c>
      <c r="J456" s="59">
        <v>44944</v>
      </c>
      <c r="L456" s="59" t="e" cm="1">
        <f t="array" ref="L456">INDEX($J$4:J1546, MATCH(1,(A456=$A$4:A1544)*(C456=$C$4:C1544)*("Y"=$K$4:K1546),0))</f>
        <v>#N/A</v>
      </c>
      <c r="M456" s="1">
        <v>10</v>
      </c>
      <c r="N456">
        <v>357</v>
      </c>
      <c r="P456"/>
      <c r="Q456" s="6">
        <f>(SUM(Pcfu4[[#This Row],[R1]:[R3]]))/(Pcfu4[[#This Row],[No. Reps]]*0.025)*Pcfu4[[#This Row],[Best DF]]</f>
        <v>142800</v>
      </c>
      <c r="R456" s="1" t="e">
        <f>_xlfn.STDEV.S(Pcfu4[[#This Row],[R1]:[R3]])/0.025*Pcfu4[[#This Row],[Best DF]]</f>
        <v>#DIV/0!</v>
      </c>
      <c r="S456" s="6" t="e">
        <f>Pcfu4[[#This Row],[CFU/mL]]*Pcfu4[[#This Row],[mL]]/Pcfu4[[#This Row],[grams]]</f>
        <v>#DIV/0!</v>
      </c>
      <c r="T456" s="1" t="e">
        <f>Pcfu4[[#This Row],[SD CFU/mL]]*Pcfu4[[#This Row],[mL]]/Pcfu4[[#This Row],[grams]]</f>
        <v>#DIV/0!</v>
      </c>
      <c r="U456" s="7">
        <f>_xlfn.STDEV.S(Pcfu43[[#This Row],[R1]:[R3]])/AVERAGE(Pcfu43[[#This Row],[R1]:[R3]])</f>
        <v>0.24118819447136014</v>
      </c>
      <c r="V456" s="96"/>
      <c r="W456" s="7"/>
    </row>
    <row r="457" spans="1:24" x14ac:dyDescent="0.15">
      <c r="A457" t="s">
        <v>461</v>
      </c>
      <c r="C457" t="s">
        <v>464</v>
      </c>
      <c r="D457" t="s">
        <v>253</v>
      </c>
      <c r="E457" s="3">
        <v>1</v>
      </c>
      <c r="H457" s="5">
        <f>19*Pcfu4[[#This Row],[grams]]</f>
        <v>0</v>
      </c>
      <c r="J457" s="59">
        <v>44944</v>
      </c>
      <c r="L457" s="59" t="e" cm="1">
        <f t="array" ref="L457">INDEX($J$4:J1547, MATCH(1,(A457=$A$4:A1545)*(C457=$C$4:C1545)*("Y"=$K$4:K1547),0))</f>
        <v>#N/A</v>
      </c>
      <c r="M457" s="1">
        <v>10</v>
      </c>
      <c r="N457">
        <v>4</v>
      </c>
      <c r="P457"/>
      <c r="Q457" s="6">
        <f>(SUM(Pcfu4[[#This Row],[R1]:[R3]]))/(Pcfu4[[#This Row],[No. Reps]]*0.025)*Pcfu4[[#This Row],[Best DF]]</f>
        <v>1600</v>
      </c>
      <c r="R457" s="1" t="e">
        <f>_xlfn.STDEV.S(Pcfu4[[#This Row],[R1]:[R3]])/0.025*Pcfu4[[#This Row],[Best DF]]</f>
        <v>#DIV/0!</v>
      </c>
      <c r="S457" s="6" t="e">
        <f>Pcfu4[[#This Row],[CFU/mL]]*Pcfu4[[#This Row],[mL]]/Pcfu4[[#This Row],[grams]]</f>
        <v>#DIV/0!</v>
      </c>
      <c r="T457" s="1" t="e">
        <f>Pcfu4[[#This Row],[SD CFU/mL]]*Pcfu4[[#This Row],[mL]]/Pcfu4[[#This Row],[grams]]</f>
        <v>#DIV/0!</v>
      </c>
      <c r="U457" s="7">
        <f>_xlfn.STDEV.S(Pcfu43[[#This Row],[R1]:[R3]])/AVERAGE(Pcfu43[[#This Row],[R1]:[R3]])</f>
        <v>6.9976383265184794E-2</v>
      </c>
      <c r="V457" s="96"/>
      <c r="W457" s="7"/>
      <c r="X457" t="s">
        <v>465</v>
      </c>
    </row>
    <row r="458" spans="1:24" x14ac:dyDescent="0.15">
      <c r="A458" t="s">
        <v>462</v>
      </c>
      <c r="C458" t="s">
        <v>464</v>
      </c>
      <c r="D458" t="s">
        <v>253</v>
      </c>
      <c r="E458" s="3">
        <v>1</v>
      </c>
      <c r="H458" s="5">
        <f>19*Pcfu4[[#This Row],[grams]]</f>
        <v>0</v>
      </c>
      <c r="J458" s="59">
        <v>44944</v>
      </c>
      <c r="L458" s="59" t="e" cm="1">
        <f t="array" ref="L458">INDEX($J$4:J1548, MATCH(1,(A458=$A$4:A1546)*(C458=$C$4:C1546)*("Y"=$K$4:K1548),0))</f>
        <v>#N/A</v>
      </c>
      <c r="M458" s="1">
        <v>10</v>
      </c>
      <c r="N458">
        <v>143</v>
      </c>
      <c r="P458"/>
      <c r="Q458" s="6">
        <f>(SUM(Pcfu4[[#This Row],[R1]:[R3]]))/(Pcfu4[[#This Row],[No. Reps]]*0.025)*Pcfu4[[#This Row],[Best DF]]</f>
        <v>57200</v>
      </c>
      <c r="R458" s="1" t="e">
        <f>_xlfn.STDEV.S(Pcfu4[[#This Row],[R1]:[R3]])/0.025*Pcfu4[[#This Row],[Best DF]]</f>
        <v>#DIV/0!</v>
      </c>
      <c r="S458" s="6" t="e">
        <f>Pcfu4[[#This Row],[CFU/mL]]*Pcfu4[[#This Row],[mL]]/Pcfu4[[#This Row],[grams]]</f>
        <v>#DIV/0!</v>
      </c>
      <c r="T458" s="1" t="e">
        <f>Pcfu4[[#This Row],[SD CFU/mL]]*Pcfu4[[#This Row],[mL]]/Pcfu4[[#This Row],[grams]]</f>
        <v>#DIV/0!</v>
      </c>
      <c r="U458" s="7">
        <f>_xlfn.STDEV.S(Pcfu43[[#This Row],[R1]:[R3]])/AVERAGE(Pcfu43[[#This Row],[R1]:[R3]])</f>
        <v>0.1486904285332952</v>
      </c>
      <c r="V458" s="96"/>
      <c r="W458" s="7"/>
    </row>
    <row r="459" spans="1:24" x14ac:dyDescent="0.15">
      <c r="A459" t="s">
        <v>466</v>
      </c>
      <c r="C459" t="s">
        <v>460</v>
      </c>
      <c r="D459" t="s">
        <v>253</v>
      </c>
      <c r="E459" s="3">
        <v>1</v>
      </c>
      <c r="H459" s="5">
        <f>19*Pcfu4[[#This Row],[grams]]</f>
        <v>0</v>
      </c>
      <c r="J459" s="59">
        <v>44945</v>
      </c>
      <c r="L459" s="59" t="e" cm="1">
        <f t="array" ref="L459">INDEX($J$4:J1549, MATCH(1,(A459=$A$4:A1547)*(C459=$C$4:C1547)*("Y"=$K$4:K1549),0))</f>
        <v>#N/A</v>
      </c>
      <c r="M459" s="1"/>
      <c r="P459"/>
      <c r="Q459" s="6">
        <f>(SUM(Pcfu4[[#This Row],[R1]:[R3]]))/(Pcfu4[[#This Row],[No. Reps]]*0.025)*Pcfu4[[#This Row],[Best DF]]</f>
        <v>0</v>
      </c>
      <c r="R459" s="1" t="e">
        <f>_xlfn.STDEV.S(Pcfu4[[#This Row],[R1]:[R3]])/0.025*Pcfu4[[#This Row],[Best DF]]</f>
        <v>#DIV/0!</v>
      </c>
      <c r="S459" s="6" t="e">
        <f>Pcfu4[[#This Row],[CFU/mL]]*Pcfu4[[#This Row],[mL]]/Pcfu4[[#This Row],[grams]]</f>
        <v>#DIV/0!</v>
      </c>
      <c r="T459" s="1" t="e">
        <f>Pcfu4[[#This Row],[SD CFU/mL]]*Pcfu4[[#This Row],[mL]]/Pcfu4[[#This Row],[grams]]</f>
        <v>#DIV/0!</v>
      </c>
      <c r="U459" s="7">
        <f>_xlfn.STDEV.S(Pcfu43[[#This Row],[R1]:[R3]])/AVERAGE(Pcfu43[[#This Row],[R1]:[R3]])</f>
        <v>0.2361887464866651</v>
      </c>
      <c r="V459" s="96"/>
      <c r="W459" s="7"/>
    </row>
    <row r="460" spans="1:24" x14ac:dyDescent="0.15">
      <c r="A460" t="s">
        <v>467</v>
      </c>
      <c r="C460" t="s">
        <v>460</v>
      </c>
      <c r="D460" t="s">
        <v>253</v>
      </c>
      <c r="E460" s="3">
        <v>1</v>
      </c>
      <c r="H460" s="5">
        <f>19*Pcfu4[[#This Row],[grams]]</f>
        <v>0</v>
      </c>
      <c r="J460" s="59">
        <v>44945</v>
      </c>
      <c r="L460" s="59" t="e" cm="1">
        <f t="array" ref="L460">INDEX($J$4:J1550, MATCH(1,(A460=$A$4:A1548)*(C460=$C$4:C1548)*("Y"=$K$4:K1550),0))</f>
        <v>#N/A</v>
      </c>
      <c r="M460" s="1">
        <v>1</v>
      </c>
      <c r="N460">
        <v>58</v>
      </c>
      <c r="P460"/>
      <c r="Q460" s="6">
        <f>(SUM(Pcfu4[[#This Row],[R1]:[R3]]))/(Pcfu4[[#This Row],[No. Reps]]*0.025)*Pcfu4[[#This Row],[Best DF]]</f>
        <v>2320</v>
      </c>
      <c r="R460" s="1" t="e">
        <f>_xlfn.STDEV.S(Pcfu4[[#This Row],[R1]:[R3]])/0.025*Pcfu4[[#This Row],[Best DF]]</f>
        <v>#DIV/0!</v>
      </c>
      <c r="S460" s="6" t="e">
        <f>Pcfu4[[#This Row],[CFU/mL]]*Pcfu4[[#This Row],[mL]]/Pcfu4[[#This Row],[grams]]</f>
        <v>#DIV/0!</v>
      </c>
      <c r="T460" s="1" t="e">
        <f>Pcfu4[[#This Row],[SD CFU/mL]]*Pcfu4[[#This Row],[mL]]/Pcfu4[[#This Row],[grams]]</f>
        <v>#DIV/0!</v>
      </c>
      <c r="U460" s="7">
        <f>_xlfn.STDEV.S(Pcfu43[[#This Row],[R1]:[R3]])/AVERAGE(Pcfu43[[#This Row],[R1]:[R3]])</f>
        <v>2.8049405790589111E-2</v>
      </c>
      <c r="V460" s="96"/>
      <c r="W460" s="7"/>
    </row>
    <row r="461" spans="1:24" x14ac:dyDescent="0.15">
      <c r="A461" t="s">
        <v>468</v>
      </c>
      <c r="C461" t="s">
        <v>460</v>
      </c>
      <c r="D461" t="s">
        <v>253</v>
      </c>
      <c r="E461" s="3">
        <v>1</v>
      </c>
      <c r="H461" s="5">
        <f>19*Pcfu4[[#This Row],[grams]]</f>
        <v>0</v>
      </c>
      <c r="J461" s="59">
        <v>44945</v>
      </c>
      <c r="L461" s="59" t="e" cm="1">
        <f t="array" ref="L461">INDEX($J$4:J1551, MATCH(1,(A461=$A$4:A1549)*(C461=$C$4:C1549)*("Y"=$K$4:K1551),0))</f>
        <v>#N/A</v>
      </c>
      <c r="M461" s="1"/>
      <c r="P461"/>
      <c r="Q461" s="6">
        <f>(SUM(Pcfu4[[#This Row],[R1]:[R3]]))/(Pcfu4[[#This Row],[No. Reps]]*0.025)*Pcfu4[[#This Row],[Best DF]]</f>
        <v>0</v>
      </c>
      <c r="R461" s="1" t="e">
        <f>_xlfn.STDEV.S(Pcfu4[[#This Row],[R1]:[R3]])/0.025*Pcfu4[[#This Row],[Best DF]]</f>
        <v>#DIV/0!</v>
      </c>
      <c r="S461" s="6" t="e">
        <f>Pcfu4[[#This Row],[CFU/mL]]*Pcfu4[[#This Row],[mL]]/Pcfu4[[#This Row],[grams]]</f>
        <v>#DIV/0!</v>
      </c>
      <c r="T461" s="1" t="e">
        <f>Pcfu4[[#This Row],[SD CFU/mL]]*Pcfu4[[#This Row],[mL]]/Pcfu4[[#This Row],[grams]]</f>
        <v>#DIV/0!</v>
      </c>
      <c r="U461" s="7">
        <f>_xlfn.STDEV.S(Pcfu43[[#This Row],[R1]:[R3]])/AVERAGE(Pcfu43[[#This Row],[R1]:[R3]])</f>
        <v>9.5470326978246658E-2</v>
      </c>
      <c r="V461" s="96"/>
      <c r="W461" s="7"/>
    </row>
    <row r="462" spans="1:24" x14ac:dyDescent="0.15">
      <c r="A462" t="s">
        <v>469</v>
      </c>
      <c r="C462" t="s">
        <v>460</v>
      </c>
      <c r="D462" t="s">
        <v>253</v>
      </c>
      <c r="E462" s="3">
        <v>1</v>
      </c>
      <c r="H462" s="5">
        <f>19*Pcfu4[[#This Row],[grams]]</f>
        <v>0</v>
      </c>
      <c r="J462" s="59">
        <v>44945</v>
      </c>
      <c r="L462" s="59" t="e" cm="1">
        <f t="array" ref="L462">INDEX($J$4:J1552, MATCH(1,(A462=$A$4:A1550)*(C462=$C$4:C1550)*("Y"=$K$4:K1552),0))</f>
        <v>#N/A</v>
      </c>
      <c r="M462" s="1">
        <v>1</v>
      </c>
      <c r="N462">
        <v>62</v>
      </c>
      <c r="P462"/>
      <c r="Q462" s="6">
        <f>(SUM(Pcfu4[[#This Row],[R1]:[R3]]))/(Pcfu4[[#This Row],[No. Reps]]*0.025)*Pcfu4[[#This Row],[Best DF]]</f>
        <v>2480</v>
      </c>
      <c r="R462" s="1" t="e">
        <f>_xlfn.STDEV.S(Pcfu4[[#This Row],[R1]:[R3]])/0.025*Pcfu4[[#This Row],[Best DF]]</f>
        <v>#DIV/0!</v>
      </c>
      <c r="S462" s="6" t="e">
        <f>Pcfu4[[#This Row],[CFU/mL]]*Pcfu4[[#This Row],[mL]]/Pcfu4[[#This Row],[grams]]</f>
        <v>#DIV/0!</v>
      </c>
      <c r="T462" s="1" t="e">
        <f>Pcfu4[[#This Row],[SD CFU/mL]]*Pcfu4[[#This Row],[mL]]/Pcfu4[[#This Row],[grams]]</f>
        <v>#DIV/0!</v>
      </c>
      <c r="U462" s="7">
        <f>_xlfn.STDEV.S(Pcfu43[[#This Row],[R1]:[R3]])/AVERAGE(Pcfu43[[#This Row],[R1]:[R3]])</f>
        <v>9.6076892283052287E-2</v>
      </c>
      <c r="V462" s="96"/>
      <c r="W462" s="7"/>
    </row>
    <row r="463" spans="1:24" x14ac:dyDescent="0.15">
      <c r="A463" t="s">
        <v>393</v>
      </c>
      <c r="C463" t="s">
        <v>460</v>
      </c>
      <c r="D463" t="s">
        <v>253</v>
      </c>
      <c r="E463" s="3">
        <v>1</v>
      </c>
      <c r="H463" s="5">
        <f>19*Pcfu4[[#This Row],[grams]]</f>
        <v>0</v>
      </c>
      <c r="J463" s="59">
        <v>44945</v>
      </c>
      <c r="L463" s="59" t="e" cm="1">
        <f t="array" ref="L463">INDEX($J$4:J1553, MATCH(1,(A463=$A$4:A1551)*(C463=$C$4:C1551)*("Y"=$K$4:K1553),0))</f>
        <v>#N/A</v>
      </c>
      <c r="M463" s="1">
        <v>10</v>
      </c>
      <c r="N463">
        <v>138</v>
      </c>
      <c r="P463"/>
      <c r="Q463" s="6">
        <f>(SUM(Pcfu4[[#This Row],[R1]:[R3]]))/(Pcfu4[[#This Row],[No. Reps]]*0.025)*Pcfu4[[#This Row],[Best DF]]</f>
        <v>55200</v>
      </c>
      <c r="R463" s="1" t="e">
        <f>_xlfn.STDEV.S(Pcfu4[[#This Row],[R1]:[R3]])/0.025*Pcfu4[[#This Row],[Best DF]]</f>
        <v>#DIV/0!</v>
      </c>
      <c r="S463" s="6" t="e">
        <f>Pcfu4[[#This Row],[CFU/mL]]*Pcfu4[[#This Row],[mL]]/Pcfu4[[#This Row],[grams]]</f>
        <v>#DIV/0!</v>
      </c>
      <c r="T463" s="1" t="e">
        <f>Pcfu4[[#This Row],[SD CFU/mL]]*Pcfu4[[#This Row],[mL]]/Pcfu4[[#This Row],[grams]]</f>
        <v>#DIV/0!</v>
      </c>
      <c r="U463" s="7">
        <f>_xlfn.STDEV.S(Pcfu43[[#This Row],[R1]:[R3]])/AVERAGE(Pcfu43[[#This Row],[R1]:[R3]])</f>
        <v>9.8742695317289658E-2</v>
      </c>
      <c r="V463" s="96"/>
      <c r="W463" s="7"/>
    </row>
    <row r="464" spans="1:24" x14ac:dyDescent="0.15">
      <c r="A464" t="s">
        <v>394</v>
      </c>
      <c r="C464" t="s">
        <v>460</v>
      </c>
      <c r="D464" t="s">
        <v>253</v>
      </c>
      <c r="E464" s="3">
        <v>1</v>
      </c>
      <c r="H464" s="5">
        <f>19*Pcfu4[[#This Row],[grams]]</f>
        <v>0</v>
      </c>
      <c r="J464" s="59">
        <v>44945</v>
      </c>
      <c r="L464" s="59" t="e" cm="1">
        <f t="array" ref="L464">INDEX($J$4:J1554, MATCH(1,(A464=$A$4:A1552)*(C464=$C$4:C1552)*("Y"=$K$4:K1554),0))</f>
        <v>#N/A</v>
      </c>
      <c r="M464" s="1">
        <v>10</v>
      </c>
      <c r="N464">
        <v>71</v>
      </c>
      <c r="P464"/>
      <c r="Q464" s="6">
        <f>(SUM(Pcfu4[[#This Row],[R1]:[R3]]))/(Pcfu4[[#This Row],[No. Reps]]*0.025)*Pcfu4[[#This Row],[Best DF]]</f>
        <v>28400</v>
      </c>
      <c r="R464" s="1" t="e">
        <f>_xlfn.STDEV.S(Pcfu4[[#This Row],[R1]:[R3]])/0.025*Pcfu4[[#This Row],[Best DF]]</f>
        <v>#DIV/0!</v>
      </c>
      <c r="S464" s="6" t="e">
        <f>Pcfu4[[#This Row],[CFU/mL]]*Pcfu4[[#This Row],[mL]]/Pcfu4[[#This Row],[grams]]</f>
        <v>#DIV/0!</v>
      </c>
      <c r="T464" s="1" t="e">
        <f>Pcfu4[[#This Row],[SD CFU/mL]]*Pcfu4[[#This Row],[mL]]/Pcfu4[[#This Row],[grams]]</f>
        <v>#DIV/0!</v>
      </c>
      <c r="U464" s="7">
        <f>_xlfn.STDEV.S(Pcfu43[[#This Row],[R1]:[R3]])/AVERAGE(Pcfu43[[#This Row],[R1]:[R3]])</f>
        <v>0.13133737144144328</v>
      </c>
      <c r="V464" s="96"/>
      <c r="W464" s="7"/>
    </row>
    <row r="465" spans="1:23" x14ac:dyDescent="0.15">
      <c r="A465" t="s">
        <v>395</v>
      </c>
      <c r="C465" t="s">
        <v>460</v>
      </c>
      <c r="D465" t="s">
        <v>253</v>
      </c>
      <c r="E465" s="3">
        <v>1</v>
      </c>
      <c r="H465" s="5">
        <f>19*Pcfu4[[#This Row],[grams]]</f>
        <v>0</v>
      </c>
      <c r="J465" s="59">
        <v>44945</v>
      </c>
      <c r="L465" s="59" t="e" cm="1">
        <f t="array" ref="L465">INDEX($J$4:J1555, MATCH(1,(A465=$A$4:A1553)*(C465=$C$4:C1553)*("Y"=$K$4:K1555),0))</f>
        <v>#N/A</v>
      </c>
      <c r="M465" s="1">
        <v>1</v>
      </c>
      <c r="N465">
        <v>20</v>
      </c>
      <c r="P465"/>
      <c r="Q465" s="6">
        <f>(SUM(Pcfu4[[#This Row],[R1]:[R3]]))/(Pcfu4[[#This Row],[No. Reps]]*0.025)*Pcfu4[[#This Row],[Best DF]]</f>
        <v>800</v>
      </c>
      <c r="R465" s="1" t="e">
        <f>_xlfn.STDEV.S(Pcfu4[[#This Row],[R1]:[R3]])/0.025*Pcfu4[[#This Row],[Best DF]]</f>
        <v>#DIV/0!</v>
      </c>
      <c r="S465" s="6" t="e">
        <f>Pcfu4[[#This Row],[CFU/mL]]*Pcfu4[[#This Row],[mL]]/Pcfu4[[#This Row],[grams]]</f>
        <v>#DIV/0!</v>
      </c>
      <c r="T465" s="1" t="e">
        <f>Pcfu4[[#This Row],[SD CFU/mL]]*Pcfu4[[#This Row],[mL]]/Pcfu4[[#This Row],[grams]]</f>
        <v>#DIV/0!</v>
      </c>
      <c r="U465" s="7">
        <f>_xlfn.STDEV.S(Pcfu43[[#This Row],[R1]:[R3]])/AVERAGE(Pcfu43[[#This Row],[R1]:[R3]])</f>
        <v>9.0909090909090912E-2</v>
      </c>
      <c r="V465" s="96"/>
      <c r="W465" s="7"/>
    </row>
    <row r="466" spans="1:23" x14ac:dyDescent="0.15">
      <c r="A466" t="s">
        <v>466</v>
      </c>
      <c r="C466" t="s">
        <v>463</v>
      </c>
      <c r="D466" t="s">
        <v>253</v>
      </c>
      <c r="E466" s="3">
        <v>1</v>
      </c>
      <c r="H466" s="5">
        <f>19*Pcfu4[[#This Row],[grams]]</f>
        <v>0</v>
      </c>
      <c r="J466" s="59">
        <v>44945</v>
      </c>
      <c r="L466" s="59" t="e" cm="1">
        <f t="array" ref="L466">INDEX($J$4:J1556, MATCH(1,(A466=$A$4:A1554)*(C466=$C$4:C1554)*("Y"=$K$4:K1556),0))</f>
        <v>#N/A</v>
      </c>
      <c r="M466" s="1"/>
      <c r="P466"/>
      <c r="Q466" s="6">
        <f>(SUM(Pcfu4[[#This Row],[R1]:[R3]]))/(Pcfu4[[#This Row],[No. Reps]]*0.025)*Pcfu4[[#This Row],[Best DF]]</f>
        <v>0</v>
      </c>
      <c r="R466" s="1" t="e">
        <f>_xlfn.STDEV.S(Pcfu4[[#This Row],[R1]:[R3]])/0.025*Pcfu4[[#This Row],[Best DF]]</f>
        <v>#DIV/0!</v>
      </c>
      <c r="S466" s="6" t="e">
        <f>Pcfu4[[#This Row],[CFU/mL]]*Pcfu4[[#This Row],[mL]]/Pcfu4[[#This Row],[grams]]</f>
        <v>#DIV/0!</v>
      </c>
      <c r="T466" s="1" t="e">
        <f>Pcfu4[[#This Row],[SD CFU/mL]]*Pcfu4[[#This Row],[mL]]/Pcfu4[[#This Row],[grams]]</f>
        <v>#DIV/0!</v>
      </c>
      <c r="U466" s="7">
        <f>_xlfn.STDEV.S(Pcfu43[[#This Row],[R1]:[R3]])/AVERAGE(Pcfu43[[#This Row],[R1]:[R3]])</f>
        <v>8.1831708838497136E-2</v>
      </c>
      <c r="V466" s="96"/>
      <c r="W466" s="7"/>
    </row>
    <row r="467" spans="1:23" x14ac:dyDescent="0.15">
      <c r="A467" t="s">
        <v>467</v>
      </c>
      <c r="C467" t="s">
        <v>463</v>
      </c>
      <c r="D467" t="s">
        <v>253</v>
      </c>
      <c r="E467" s="3">
        <v>1</v>
      </c>
      <c r="H467" s="5">
        <f>19*Pcfu4[[#This Row],[grams]]</f>
        <v>0</v>
      </c>
      <c r="J467" s="59">
        <v>44945</v>
      </c>
      <c r="L467" s="59" t="e" cm="1">
        <f t="array" ref="L467">INDEX($J$4:J1557, MATCH(1,(A467=$A$4:A1555)*(C467=$C$4:C1555)*("Y"=$K$4:K1557),0))</f>
        <v>#N/A</v>
      </c>
      <c r="M467" s="1">
        <v>1</v>
      </c>
      <c r="N467">
        <v>67</v>
      </c>
      <c r="P467"/>
      <c r="Q467" s="6">
        <f>(SUM(Pcfu4[[#This Row],[R1]:[R3]]))/(Pcfu4[[#This Row],[No. Reps]]*0.025)*Pcfu4[[#This Row],[Best DF]]</f>
        <v>2680</v>
      </c>
      <c r="R467" s="1" t="e">
        <f>_xlfn.STDEV.S(Pcfu4[[#This Row],[R1]:[R3]])/0.025*Pcfu4[[#This Row],[Best DF]]</f>
        <v>#DIV/0!</v>
      </c>
      <c r="S467" s="6" t="e">
        <f>Pcfu4[[#This Row],[CFU/mL]]*Pcfu4[[#This Row],[mL]]/Pcfu4[[#This Row],[grams]]</f>
        <v>#DIV/0!</v>
      </c>
      <c r="T467" s="1" t="e">
        <f>Pcfu4[[#This Row],[SD CFU/mL]]*Pcfu4[[#This Row],[mL]]/Pcfu4[[#This Row],[grams]]</f>
        <v>#DIV/0!</v>
      </c>
      <c r="U467" s="7">
        <f>_xlfn.STDEV.S(Pcfu43[[#This Row],[R1]:[R3]])/AVERAGE(Pcfu43[[#This Row],[R1]:[R3]])</f>
        <v>9.0909090909090912E-2</v>
      </c>
      <c r="V467" s="96"/>
      <c r="W467" s="7"/>
    </row>
    <row r="468" spans="1:23" x14ac:dyDescent="0.15">
      <c r="A468" t="s">
        <v>468</v>
      </c>
      <c r="C468" t="s">
        <v>463</v>
      </c>
      <c r="D468" t="s">
        <v>253</v>
      </c>
      <c r="E468" s="3">
        <v>1</v>
      </c>
      <c r="H468" s="5">
        <f>19*Pcfu4[[#This Row],[grams]]</f>
        <v>0</v>
      </c>
      <c r="J468" s="59">
        <v>44945</v>
      </c>
      <c r="L468" s="59" t="e" cm="1">
        <f t="array" ref="L468">INDEX($J$4:J1558, MATCH(1,(A468=$A$4:A1556)*(C468=$C$4:C1556)*("Y"=$K$4:K1558),0))</f>
        <v>#N/A</v>
      </c>
      <c r="M468" s="1"/>
      <c r="P468"/>
      <c r="Q468" s="6">
        <f>(SUM(Pcfu4[[#This Row],[R1]:[R3]]))/(Pcfu4[[#This Row],[No. Reps]]*0.025)*Pcfu4[[#This Row],[Best DF]]</f>
        <v>0</v>
      </c>
      <c r="R468" s="1" t="e">
        <f>_xlfn.STDEV.S(Pcfu4[[#This Row],[R1]:[R3]])/0.025*Pcfu4[[#This Row],[Best DF]]</f>
        <v>#DIV/0!</v>
      </c>
      <c r="S468" s="6" t="e">
        <f>Pcfu4[[#This Row],[CFU/mL]]*Pcfu4[[#This Row],[mL]]/Pcfu4[[#This Row],[grams]]</f>
        <v>#DIV/0!</v>
      </c>
      <c r="T468" s="1" t="e">
        <f>Pcfu4[[#This Row],[SD CFU/mL]]*Pcfu4[[#This Row],[mL]]/Pcfu4[[#This Row],[grams]]</f>
        <v>#DIV/0!</v>
      </c>
      <c r="U468" s="7">
        <f>_xlfn.STDEV.S(Pcfu43[[#This Row],[R1]:[R3]])/AVERAGE(Pcfu43[[#This Row],[R1]:[R3]])</f>
        <v>0.1636634176769946</v>
      </c>
      <c r="V468" s="96"/>
      <c r="W468" s="7"/>
    </row>
    <row r="469" spans="1:23" x14ac:dyDescent="0.15">
      <c r="A469" t="s">
        <v>469</v>
      </c>
      <c r="C469" t="s">
        <v>463</v>
      </c>
      <c r="D469" t="s">
        <v>253</v>
      </c>
      <c r="E469" s="3">
        <v>1</v>
      </c>
      <c r="H469" s="5">
        <f>19*Pcfu4[[#This Row],[grams]]</f>
        <v>0</v>
      </c>
      <c r="J469" s="59">
        <v>44945</v>
      </c>
      <c r="L469" s="59" t="e" cm="1">
        <f t="array" ref="L469">INDEX($J$4:J1559, MATCH(1,(A469=$A$4:A1557)*(C469=$C$4:C1557)*("Y"=$K$4:K1559),0))</f>
        <v>#N/A</v>
      </c>
      <c r="M469" s="1">
        <v>1</v>
      </c>
      <c r="N469">
        <v>75</v>
      </c>
      <c r="P469"/>
      <c r="Q469" s="6">
        <f>(SUM(Pcfu4[[#This Row],[R1]:[R3]]))/(Pcfu4[[#This Row],[No. Reps]]*0.025)*Pcfu4[[#This Row],[Best DF]]</f>
        <v>3000</v>
      </c>
      <c r="R469" s="1" t="e">
        <f>_xlfn.STDEV.S(Pcfu4[[#This Row],[R1]:[R3]])/0.025*Pcfu4[[#This Row],[Best DF]]</f>
        <v>#DIV/0!</v>
      </c>
      <c r="S469" s="6" t="e">
        <f>Pcfu4[[#This Row],[CFU/mL]]*Pcfu4[[#This Row],[mL]]/Pcfu4[[#This Row],[grams]]</f>
        <v>#DIV/0!</v>
      </c>
      <c r="T469" s="1" t="e">
        <f>Pcfu4[[#This Row],[SD CFU/mL]]*Pcfu4[[#This Row],[mL]]/Pcfu4[[#This Row],[grams]]</f>
        <v>#DIV/0!</v>
      </c>
      <c r="U469" s="7">
        <f>_xlfn.STDEV.S(Pcfu43[[#This Row],[R1]:[R3]])/AVERAGE(Pcfu43[[#This Row],[R1]:[R3]])</f>
        <v>0.11902794012872311</v>
      </c>
      <c r="V469" s="96"/>
      <c r="W469" s="7"/>
    </row>
    <row r="470" spans="1:23" x14ac:dyDescent="0.15">
      <c r="A470" t="s">
        <v>393</v>
      </c>
      <c r="C470" t="s">
        <v>463</v>
      </c>
      <c r="D470" t="s">
        <v>253</v>
      </c>
      <c r="E470" s="3">
        <v>1</v>
      </c>
      <c r="H470" s="5">
        <f>19*Pcfu4[[#This Row],[grams]]</f>
        <v>0</v>
      </c>
      <c r="J470" s="59">
        <v>44945</v>
      </c>
      <c r="L470" s="59" t="e" cm="1">
        <f t="array" ref="L470">INDEX($J$4:J1560, MATCH(1,(A470=$A$4:A1558)*(C470=$C$4:C1558)*("Y"=$K$4:K1560),0))</f>
        <v>#N/A</v>
      </c>
      <c r="M470" s="1">
        <v>10</v>
      </c>
      <c r="N470">
        <v>122</v>
      </c>
      <c r="P470"/>
      <c r="Q470" s="6">
        <f>(SUM(Pcfu4[[#This Row],[R1]:[R3]]))/(Pcfu4[[#This Row],[No. Reps]]*0.025)*Pcfu4[[#This Row],[Best DF]]</f>
        <v>48800</v>
      </c>
      <c r="R470" s="1" t="e">
        <f>_xlfn.STDEV.S(Pcfu4[[#This Row],[R1]:[R3]])/0.025*Pcfu4[[#This Row],[Best DF]]</f>
        <v>#DIV/0!</v>
      </c>
      <c r="S470" s="6" t="e">
        <f>Pcfu4[[#This Row],[CFU/mL]]*Pcfu4[[#This Row],[mL]]/Pcfu4[[#This Row],[grams]]</f>
        <v>#DIV/0!</v>
      </c>
      <c r="T470" s="1" t="e">
        <f>Pcfu4[[#This Row],[SD CFU/mL]]*Pcfu4[[#This Row],[mL]]/Pcfu4[[#This Row],[grams]]</f>
        <v>#DIV/0!</v>
      </c>
      <c r="U470" s="7">
        <f>_xlfn.STDEV.S(Pcfu43[[#This Row],[R1]:[R3]])/AVERAGE(Pcfu43[[#This Row],[R1]:[R3]])</f>
        <v>8.3992105113161616E-2</v>
      </c>
      <c r="V470" s="96"/>
      <c r="W470" s="7"/>
    </row>
    <row r="471" spans="1:23" x14ac:dyDescent="0.15">
      <c r="A471" t="s">
        <v>394</v>
      </c>
      <c r="C471" t="s">
        <v>463</v>
      </c>
      <c r="D471" t="s">
        <v>253</v>
      </c>
      <c r="E471" s="3">
        <v>1</v>
      </c>
      <c r="H471" s="5">
        <f>19*Pcfu4[[#This Row],[grams]]</f>
        <v>0</v>
      </c>
      <c r="J471" s="59">
        <v>44945</v>
      </c>
      <c r="L471" s="59" t="e" cm="1">
        <f t="array" ref="L471">INDEX($J$4:J1561, MATCH(1,(A471=$A$4:A1559)*(C471=$C$4:C1559)*("Y"=$K$4:K1561),0))</f>
        <v>#N/A</v>
      </c>
      <c r="M471" s="1">
        <v>10</v>
      </c>
      <c r="N471">
        <v>102</v>
      </c>
      <c r="P471"/>
      <c r="Q471" s="6">
        <f>(SUM(Pcfu4[[#This Row],[R1]:[R3]]))/(Pcfu4[[#This Row],[No. Reps]]*0.025)*Pcfu4[[#This Row],[Best DF]]</f>
        <v>40800</v>
      </c>
      <c r="R471" s="1" t="e">
        <f>_xlfn.STDEV.S(Pcfu4[[#This Row],[R1]:[R3]])/0.025*Pcfu4[[#This Row],[Best DF]]</f>
        <v>#DIV/0!</v>
      </c>
      <c r="S471" s="6" t="e">
        <f>Pcfu4[[#This Row],[CFU/mL]]*Pcfu4[[#This Row],[mL]]/Pcfu4[[#This Row],[grams]]</f>
        <v>#DIV/0!</v>
      </c>
      <c r="T471" s="1" t="e">
        <f>Pcfu4[[#This Row],[SD CFU/mL]]*Pcfu4[[#This Row],[mL]]/Pcfu4[[#This Row],[grams]]</f>
        <v>#DIV/0!</v>
      </c>
      <c r="U471" s="7">
        <f>_xlfn.STDEV.S(Pcfu43[[#This Row],[R1]:[R3]])/AVERAGE(Pcfu43[[#This Row],[R1]:[R3]])</f>
        <v>0.23199018178458422</v>
      </c>
      <c r="V471" s="96"/>
      <c r="W471" s="7"/>
    </row>
    <row r="472" spans="1:23" x14ac:dyDescent="0.15">
      <c r="A472" t="s">
        <v>395</v>
      </c>
      <c r="C472" t="s">
        <v>463</v>
      </c>
      <c r="D472" t="s">
        <v>253</v>
      </c>
      <c r="E472" s="3">
        <v>1</v>
      </c>
      <c r="H472" s="5">
        <f>19*Pcfu4[[#This Row],[grams]]</f>
        <v>0</v>
      </c>
      <c r="J472" s="59">
        <v>44945</v>
      </c>
      <c r="L472" s="59" t="e" cm="1">
        <f t="array" ref="L472">INDEX($J$4:J1562, MATCH(1,(A472=$A$4:A1560)*(C472=$C$4:C1560)*("Y"=$K$4:K1562),0))</f>
        <v>#N/A</v>
      </c>
      <c r="M472" s="1">
        <v>1</v>
      </c>
      <c r="N472">
        <v>28</v>
      </c>
      <c r="P472"/>
      <c r="Q472" s="6">
        <f>(SUM(Pcfu4[[#This Row],[R1]:[R3]]))/(Pcfu4[[#This Row],[No. Reps]]*0.025)*Pcfu4[[#This Row],[Best DF]]</f>
        <v>1120</v>
      </c>
      <c r="R472" s="1" t="e">
        <f>_xlfn.STDEV.S(Pcfu4[[#This Row],[R1]:[R3]])/0.025*Pcfu4[[#This Row],[Best DF]]</f>
        <v>#DIV/0!</v>
      </c>
      <c r="S472" s="6" t="e">
        <f>Pcfu4[[#This Row],[CFU/mL]]*Pcfu4[[#This Row],[mL]]/Pcfu4[[#This Row],[grams]]</f>
        <v>#DIV/0!</v>
      </c>
      <c r="T472" s="1" t="e">
        <f>Pcfu4[[#This Row],[SD CFU/mL]]*Pcfu4[[#This Row],[mL]]/Pcfu4[[#This Row],[grams]]</f>
        <v>#DIV/0!</v>
      </c>
      <c r="U472" s="7">
        <f>_xlfn.STDEV.S(Pcfu43[[#This Row],[R1]:[R3]])/AVERAGE(Pcfu43[[#This Row],[R1]:[R3]])</f>
        <v>5.8858400853925921E-2</v>
      </c>
      <c r="V472" s="96"/>
      <c r="W472" s="7"/>
    </row>
    <row r="473" spans="1:23" x14ac:dyDescent="0.15">
      <c r="A473" t="s">
        <v>466</v>
      </c>
      <c r="C473" t="s">
        <v>464</v>
      </c>
      <c r="D473" t="s">
        <v>253</v>
      </c>
      <c r="E473" s="3">
        <v>1</v>
      </c>
      <c r="H473" s="5">
        <f>19*Pcfu4[[#This Row],[grams]]</f>
        <v>0</v>
      </c>
      <c r="J473" s="59">
        <v>44945</v>
      </c>
      <c r="L473" s="59" t="e" cm="1">
        <f t="array" ref="L473">INDEX($J$4:J1563, MATCH(1,(A473=$A$4:A1561)*(C473=$C$4:C1561)*("Y"=$K$4:K1563),0))</f>
        <v>#N/A</v>
      </c>
      <c r="M473" s="1"/>
      <c r="P473"/>
      <c r="Q473" s="6">
        <f>(SUM(Pcfu4[[#This Row],[R1]:[R3]]))/(Pcfu4[[#This Row],[No. Reps]]*0.025)*Pcfu4[[#This Row],[Best DF]]</f>
        <v>0</v>
      </c>
      <c r="R473" s="1" t="e">
        <f>_xlfn.STDEV.S(Pcfu4[[#This Row],[R1]:[R3]])/0.025*Pcfu4[[#This Row],[Best DF]]</f>
        <v>#DIV/0!</v>
      </c>
      <c r="S473" s="6" t="e">
        <f>Pcfu4[[#This Row],[CFU/mL]]*Pcfu4[[#This Row],[mL]]/Pcfu4[[#This Row],[grams]]</f>
        <v>#DIV/0!</v>
      </c>
      <c r="T473" s="1" t="e">
        <f>Pcfu4[[#This Row],[SD CFU/mL]]*Pcfu4[[#This Row],[mL]]/Pcfu4[[#This Row],[grams]]</f>
        <v>#DIV/0!</v>
      </c>
      <c r="U473" s="7">
        <f>_xlfn.STDEV.S(Pcfu43[[#This Row],[R1]:[R3]])/AVERAGE(Pcfu43[[#This Row],[R1]:[R3]])</f>
        <v>0.18724873595339231</v>
      </c>
      <c r="V473" s="96"/>
      <c r="W473" s="7"/>
    </row>
    <row r="474" spans="1:23" x14ac:dyDescent="0.15">
      <c r="A474" t="s">
        <v>467</v>
      </c>
      <c r="C474" t="s">
        <v>464</v>
      </c>
      <c r="D474" t="s">
        <v>253</v>
      </c>
      <c r="E474" s="3">
        <v>1</v>
      </c>
      <c r="H474" s="5">
        <f>19*Pcfu4[[#This Row],[grams]]</f>
        <v>0</v>
      </c>
      <c r="J474" s="59">
        <v>44945</v>
      </c>
      <c r="L474" s="59" t="e" cm="1">
        <f t="array" ref="L474">INDEX($J$4:J1564, MATCH(1,(A474=$A$4:A1562)*(C474=$C$4:C1562)*("Y"=$K$4:K1564),0))</f>
        <v>#N/A</v>
      </c>
      <c r="M474" s="1">
        <v>1</v>
      </c>
      <c r="N474">
        <v>32</v>
      </c>
      <c r="P474"/>
      <c r="Q474" s="6">
        <f>(SUM(Pcfu4[[#This Row],[R1]:[R3]]))/(Pcfu4[[#This Row],[No. Reps]]*0.025)*Pcfu4[[#This Row],[Best DF]]</f>
        <v>1280</v>
      </c>
      <c r="R474" s="1" t="e">
        <f>_xlfn.STDEV.S(Pcfu4[[#This Row],[R1]:[R3]])/0.025*Pcfu4[[#This Row],[Best DF]]</f>
        <v>#DIV/0!</v>
      </c>
      <c r="S474" s="6" t="e">
        <f>Pcfu4[[#This Row],[CFU/mL]]*Pcfu4[[#This Row],[mL]]/Pcfu4[[#This Row],[grams]]</f>
        <v>#DIV/0!</v>
      </c>
      <c r="T474" s="1" t="e">
        <f>Pcfu4[[#This Row],[SD CFU/mL]]*Pcfu4[[#This Row],[mL]]/Pcfu4[[#This Row],[grams]]</f>
        <v>#DIV/0!</v>
      </c>
      <c r="U474" s="7">
        <f>_xlfn.STDEV.S(Pcfu43[[#This Row],[R1]:[R3]])/AVERAGE(Pcfu43[[#This Row],[R1]:[R3]])</f>
        <v>3.5728679865087494E-2</v>
      </c>
      <c r="V474" s="96"/>
      <c r="W474" s="7"/>
    </row>
    <row r="475" spans="1:23" x14ac:dyDescent="0.15">
      <c r="A475" t="s">
        <v>468</v>
      </c>
      <c r="C475" t="s">
        <v>464</v>
      </c>
      <c r="D475" t="s">
        <v>253</v>
      </c>
      <c r="E475" s="3">
        <v>1</v>
      </c>
      <c r="H475" s="5">
        <f>19*Pcfu4[[#This Row],[grams]]</f>
        <v>0</v>
      </c>
      <c r="J475" s="59">
        <v>44945</v>
      </c>
      <c r="L475" s="59" t="e" cm="1">
        <f t="array" ref="L475">INDEX($J$4:J1565, MATCH(1,(A475=$A$4:A1563)*(C475=$C$4:C1563)*("Y"=$K$4:K1565),0))</f>
        <v>#N/A</v>
      </c>
      <c r="M475" s="1"/>
      <c r="P475"/>
      <c r="Q475" s="6">
        <f>(SUM(Pcfu4[[#This Row],[R1]:[R3]]))/(Pcfu4[[#This Row],[No. Reps]]*0.025)*Pcfu4[[#This Row],[Best DF]]</f>
        <v>0</v>
      </c>
      <c r="R475" s="1" t="e">
        <f>_xlfn.STDEV.S(Pcfu4[[#This Row],[R1]:[R3]])/0.025*Pcfu4[[#This Row],[Best DF]]</f>
        <v>#DIV/0!</v>
      </c>
      <c r="S475" s="6" t="e">
        <f>Pcfu4[[#This Row],[CFU/mL]]*Pcfu4[[#This Row],[mL]]/Pcfu4[[#This Row],[grams]]</f>
        <v>#DIV/0!</v>
      </c>
      <c r="T475" s="1" t="e">
        <f>Pcfu4[[#This Row],[SD CFU/mL]]*Pcfu4[[#This Row],[mL]]/Pcfu4[[#This Row],[grams]]</f>
        <v>#DIV/0!</v>
      </c>
      <c r="U475" s="7">
        <f>_xlfn.STDEV.S(Pcfu43[[#This Row],[R1]:[R3]])/AVERAGE(Pcfu43[[#This Row],[R1]:[R3]])</f>
        <v>7.6923076923076927E-2</v>
      </c>
      <c r="V475" s="96"/>
      <c r="W475" s="7"/>
    </row>
    <row r="476" spans="1:23" x14ac:dyDescent="0.15">
      <c r="A476" t="s">
        <v>469</v>
      </c>
      <c r="C476" t="s">
        <v>464</v>
      </c>
      <c r="D476" t="s">
        <v>253</v>
      </c>
      <c r="E476" s="3">
        <v>1</v>
      </c>
      <c r="H476" s="5">
        <f>19*Pcfu4[[#This Row],[grams]]</f>
        <v>0</v>
      </c>
      <c r="J476" s="59">
        <v>44945</v>
      </c>
      <c r="L476" s="59" t="e" cm="1">
        <f t="array" ref="L476">INDEX($J$4:J1566, MATCH(1,(A476=$A$4:A1564)*(C476=$C$4:C1564)*("Y"=$K$4:K1566),0))</f>
        <v>#N/A</v>
      </c>
      <c r="M476" s="1">
        <v>1</v>
      </c>
      <c r="N476">
        <v>70</v>
      </c>
      <c r="P476"/>
      <c r="Q476" s="6">
        <f>(SUM(Pcfu4[[#This Row],[R1]:[R3]]))/(Pcfu4[[#This Row],[No. Reps]]*0.025)*Pcfu4[[#This Row],[Best DF]]</f>
        <v>2800</v>
      </c>
      <c r="R476" s="1" t="e">
        <f>_xlfn.STDEV.S(Pcfu4[[#This Row],[R1]:[R3]])/0.025*Pcfu4[[#This Row],[Best DF]]</f>
        <v>#DIV/0!</v>
      </c>
      <c r="S476" s="6" t="e">
        <f>Pcfu4[[#This Row],[CFU/mL]]*Pcfu4[[#This Row],[mL]]/Pcfu4[[#This Row],[grams]]</f>
        <v>#DIV/0!</v>
      </c>
      <c r="T476" s="1" t="e">
        <f>Pcfu4[[#This Row],[SD CFU/mL]]*Pcfu4[[#This Row],[mL]]/Pcfu4[[#This Row],[grams]]</f>
        <v>#DIV/0!</v>
      </c>
      <c r="U476" s="7">
        <f>_xlfn.STDEV.S(Pcfu43[[#This Row],[R1]:[R3]])/AVERAGE(Pcfu43[[#This Row],[R1]:[R3]])</f>
        <v>4.5958535984312862E-2</v>
      </c>
      <c r="V476" s="96"/>
      <c r="W476" s="7"/>
    </row>
    <row r="477" spans="1:23" x14ac:dyDescent="0.15">
      <c r="A477" t="s">
        <v>393</v>
      </c>
      <c r="C477" t="s">
        <v>464</v>
      </c>
      <c r="D477" t="s">
        <v>253</v>
      </c>
      <c r="E477" s="3">
        <v>1</v>
      </c>
      <c r="H477" s="5">
        <f>19*Pcfu4[[#This Row],[grams]]</f>
        <v>0</v>
      </c>
      <c r="J477" s="59">
        <v>44945</v>
      </c>
      <c r="L477" s="59" t="e" cm="1">
        <f t="array" ref="L477">INDEX($J$4:J1567, MATCH(1,(A477=$A$4:A1565)*(C477=$C$4:C1565)*("Y"=$K$4:K1567),0))</f>
        <v>#N/A</v>
      </c>
      <c r="M477" s="1">
        <v>10</v>
      </c>
      <c r="N477">
        <v>143</v>
      </c>
      <c r="P477"/>
      <c r="Q477" s="6">
        <f>(SUM(Pcfu4[[#This Row],[R1]:[R3]]))/(Pcfu4[[#This Row],[No. Reps]]*0.025)*Pcfu4[[#This Row],[Best DF]]</f>
        <v>57200</v>
      </c>
      <c r="R477" s="1" t="e">
        <f>_xlfn.STDEV.S(Pcfu4[[#This Row],[R1]:[R3]])/0.025*Pcfu4[[#This Row],[Best DF]]</f>
        <v>#DIV/0!</v>
      </c>
      <c r="S477" s="6" t="e">
        <f>Pcfu4[[#This Row],[CFU/mL]]*Pcfu4[[#This Row],[mL]]/Pcfu4[[#This Row],[grams]]</f>
        <v>#DIV/0!</v>
      </c>
      <c r="T477" s="1" t="e">
        <f>Pcfu4[[#This Row],[SD CFU/mL]]*Pcfu4[[#This Row],[mL]]/Pcfu4[[#This Row],[grams]]</f>
        <v>#DIV/0!</v>
      </c>
      <c r="U477" s="7">
        <f>_xlfn.STDEV.S(Pcfu43[[#This Row],[R1]:[R3]])/AVERAGE(Pcfu43[[#This Row],[R1]:[R3]])</f>
        <v>0.19287301521985892</v>
      </c>
      <c r="V477" s="96"/>
      <c r="W477" s="7"/>
    </row>
    <row r="478" spans="1:23" x14ac:dyDescent="0.15">
      <c r="A478" t="s">
        <v>394</v>
      </c>
      <c r="C478" t="s">
        <v>464</v>
      </c>
      <c r="D478" t="s">
        <v>253</v>
      </c>
      <c r="E478" s="3">
        <v>1</v>
      </c>
      <c r="H478" s="5">
        <f>19*Pcfu4[[#This Row],[grams]]</f>
        <v>0</v>
      </c>
      <c r="J478" s="59">
        <v>44945</v>
      </c>
      <c r="L478" s="59" t="e" cm="1">
        <f t="array" ref="L478">INDEX($J$4:J1568, MATCH(1,(A478=$A$4:A1566)*(C478=$C$4:C1566)*("Y"=$K$4:K1568),0))</f>
        <v>#N/A</v>
      </c>
      <c r="M478" s="1">
        <v>10</v>
      </c>
      <c r="N478">
        <v>119</v>
      </c>
      <c r="P478"/>
      <c r="Q478" s="6">
        <f>(SUM(Pcfu4[[#This Row],[R1]:[R3]]))/(Pcfu4[[#This Row],[No. Reps]]*0.025)*Pcfu4[[#This Row],[Best DF]]</f>
        <v>47600</v>
      </c>
      <c r="R478" s="1" t="e">
        <f>_xlfn.STDEV.S(Pcfu4[[#This Row],[R1]:[R3]])/0.025*Pcfu4[[#This Row],[Best DF]]</f>
        <v>#DIV/0!</v>
      </c>
      <c r="S478" s="6" t="e">
        <f>Pcfu4[[#This Row],[CFU/mL]]*Pcfu4[[#This Row],[mL]]/Pcfu4[[#This Row],[grams]]</f>
        <v>#DIV/0!</v>
      </c>
      <c r="T478" s="1" t="e">
        <f>Pcfu4[[#This Row],[SD CFU/mL]]*Pcfu4[[#This Row],[mL]]/Pcfu4[[#This Row],[grams]]</f>
        <v>#DIV/0!</v>
      </c>
      <c r="U478" s="7">
        <f>_xlfn.STDEV.S(Pcfu43[[#This Row],[R1]:[R3]])/AVERAGE(Pcfu43[[#This Row],[R1]:[R3]])</f>
        <v>2.6876667736869236E-2</v>
      </c>
      <c r="V478" s="96"/>
      <c r="W478" s="7"/>
    </row>
    <row r="479" spans="1:23" x14ac:dyDescent="0.15">
      <c r="A479" t="s">
        <v>395</v>
      </c>
      <c r="C479" t="s">
        <v>464</v>
      </c>
      <c r="D479" t="s">
        <v>253</v>
      </c>
      <c r="E479" s="3">
        <v>1</v>
      </c>
      <c r="H479" s="5">
        <f>19*Pcfu4[[#This Row],[grams]]</f>
        <v>0</v>
      </c>
      <c r="J479" s="59">
        <v>44945</v>
      </c>
      <c r="L479" s="59" t="e" cm="1">
        <f t="array" ref="L479">INDEX($J$4:J1569, MATCH(1,(A479=$A$4:A1567)*(C479=$C$4:C1567)*("Y"=$K$4:K1569),0))</f>
        <v>#N/A</v>
      </c>
      <c r="M479" s="1">
        <v>1</v>
      </c>
      <c r="N479">
        <v>20</v>
      </c>
      <c r="P479"/>
      <c r="Q479" s="6">
        <f>(SUM(Pcfu4[[#This Row],[R1]:[R3]]))/(Pcfu4[[#This Row],[No. Reps]]*0.025)*Pcfu4[[#This Row],[Best DF]]</f>
        <v>800</v>
      </c>
      <c r="R479" s="1" t="e">
        <f>_xlfn.STDEV.S(Pcfu4[[#This Row],[R1]:[R3]])/0.025*Pcfu4[[#This Row],[Best DF]]</f>
        <v>#DIV/0!</v>
      </c>
      <c r="S479" s="6" t="e">
        <f>Pcfu4[[#This Row],[CFU/mL]]*Pcfu4[[#This Row],[mL]]/Pcfu4[[#This Row],[grams]]</f>
        <v>#DIV/0!</v>
      </c>
      <c r="T479" s="1" t="e">
        <f>Pcfu4[[#This Row],[SD CFU/mL]]*Pcfu4[[#This Row],[mL]]/Pcfu4[[#This Row],[grams]]</f>
        <v>#DIV/0!</v>
      </c>
      <c r="U479" s="7">
        <f>_xlfn.STDEV.S(Pcfu43[[#This Row],[R1]:[R3]])/AVERAGE(Pcfu43[[#This Row],[R1]:[R3]])</f>
        <v>0.29977178385623621</v>
      </c>
      <c r="V479" s="96"/>
      <c r="W479" s="7"/>
    </row>
    <row r="480" spans="1:23" x14ac:dyDescent="0.15">
      <c r="A480" t="s">
        <v>466</v>
      </c>
      <c r="C480" t="s">
        <v>460</v>
      </c>
      <c r="D480">
        <v>0</v>
      </c>
      <c r="E480" s="3">
        <v>1</v>
      </c>
      <c r="H480" s="5">
        <f>19*Pcfu4[[#This Row],[grams]]</f>
        <v>0</v>
      </c>
      <c r="J480" s="59">
        <v>44949</v>
      </c>
      <c r="L480" s="59" t="e" cm="1">
        <f t="array" ref="L480">INDEX($J$4:J1570, MATCH(1,(A480=$A$4:A1568)*(C480=$C$4:C1568)*("Y"=$K$4:K1570),0))</f>
        <v>#N/A</v>
      </c>
      <c r="M480" s="1">
        <v>1</v>
      </c>
      <c r="N480">
        <v>3</v>
      </c>
      <c r="P480"/>
      <c r="Q480" s="6">
        <f>(SUM(Pcfu4[[#This Row],[R1]:[R3]]))/(Pcfu4[[#This Row],[No. Reps]]*0.025)*Pcfu4[[#This Row],[Best DF]]</f>
        <v>120</v>
      </c>
      <c r="R480" s="1" t="e">
        <f>_xlfn.STDEV.S(Pcfu4[[#This Row],[R1]:[R3]])/0.025*Pcfu4[[#This Row],[Best DF]]</f>
        <v>#DIV/0!</v>
      </c>
      <c r="S480" s="6" t="e">
        <f>Pcfu4[[#This Row],[CFU/mL]]*Pcfu4[[#This Row],[mL]]/Pcfu4[[#This Row],[grams]]</f>
        <v>#DIV/0!</v>
      </c>
      <c r="T480" s="1" t="e">
        <f>Pcfu4[[#This Row],[SD CFU/mL]]*Pcfu4[[#This Row],[mL]]/Pcfu4[[#This Row],[grams]]</f>
        <v>#DIV/0!</v>
      </c>
      <c r="U480" s="7">
        <f>_xlfn.STDEV.S(Pcfu43[[#This Row],[R1]:[R3]])/AVERAGE(Pcfu43[[#This Row],[R1]:[R3]])</f>
        <v>0.1833030277982334</v>
      </c>
      <c r="V480" s="96"/>
      <c r="W480" s="7"/>
    </row>
    <row r="481" spans="1:23" x14ac:dyDescent="0.15">
      <c r="A481" t="s">
        <v>468</v>
      </c>
      <c r="C481" t="s">
        <v>460</v>
      </c>
      <c r="D481">
        <v>0</v>
      </c>
      <c r="E481" s="3">
        <v>1</v>
      </c>
      <c r="H481" s="5">
        <f>19*Pcfu4[[#This Row],[grams]]</f>
        <v>0</v>
      </c>
      <c r="J481" s="59">
        <v>44949</v>
      </c>
      <c r="L481" s="59" t="e" cm="1">
        <f t="array" ref="L481">INDEX($J$4:J1571, MATCH(1,(A481=$A$4:A1569)*(C481=$C$4:C1569)*("Y"=$K$4:K1571),0))</f>
        <v>#N/A</v>
      </c>
      <c r="M481" s="1">
        <v>1</v>
      </c>
      <c r="N481">
        <v>5</v>
      </c>
      <c r="P481"/>
      <c r="Q481" s="6">
        <f>(SUM(Pcfu4[[#This Row],[R1]:[R3]]))/(Pcfu4[[#This Row],[No. Reps]]*0.025)*Pcfu4[[#This Row],[Best DF]]</f>
        <v>200</v>
      </c>
      <c r="R481" s="1" t="e">
        <f>_xlfn.STDEV.S(Pcfu4[[#This Row],[R1]:[R3]])/0.025*Pcfu4[[#This Row],[Best DF]]</f>
        <v>#DIV/0!</v>
      </c>
      <c r="S481" s="6" t="e">
        <f>Pcfu4[[#This Row],[CFU/mL]]*Pcfu4[[#This Row],[mL]]/Pcfu4[[#This Row],[grams]]</f>
        <v>#DIV/0!</v>
      </c>
      <c r="T481" s="1" t="e">
        <f>Pcfu4[[#This Row],[SD CFU/mL]]*Pcfu4[[#This Row],[mL]]/Pcfu4[[#This Row],[grams]]</f>
        <v>#DIV/0!</v>
      </c>
      <c r="U481" s="7">
        <f>_xlfn.STDEV.S(Pcfu43[[#This Row],[R1]:[R3]])/AVERAGE(Pcfu43[[#This Row],[R1]:[R3]])</f>
        <v>5.6603773584905662E-2</v>
      </c>
      <c r="V481" s="96"/>
      <c r="W481" s="7"/>
    </row>
    <row r="482" spans="1:23" x14ac:dyDescent="0.15">
      <c r="A482" t="s">
        <v>466</v>
      </c>
      <c r="C482" t="s">
        <v>463</v>
      </c>
      <c r="D482">
        <v>0</v>
      </c>
      <c r="E482" s="3">
        <v>1</v>
      </c>
      <c r="H482" s="5">
        <f>19*Pcfu4[[#This Row],[grams]]</f>
        <v>0</v>
      </c>
      <c r="J482" s="59">
        <v>44949</v>
      </c>
      <c r="L482" s="59" t="e" cm="1">
        <f t="array" ref="L482">INDEX($J$4:J1572, MATCH(1,(A482=$A$4:A1570)*(C482=$C$4:C1570)*("Y"=$K$4:K1572),0))</f>
        <v>#N/A</v>
      </c>
      <c r="M482" s="1">
        <v>1</v>
      </c>
      <c r="N482">
        <v>13</v>
      </c>
      <c r="P482"/>
      <c r="Q482" s="6">
        <f>(SUM(Pcfu4[[#This Row],[R1]:[R3]]))/(Pcfu4[[#This Row],[No. Reps]]*0.025)*Pcfu4[[#This Row],[Best DF]]</f>
        <v>520</v>
      </c>
      <c r="R482" s="1" t="e">
        <f>_xlfn.STDEV.S(Pcfu4[[#This Row],[R1]:[R3]])/0.025*Pcfu4[[#This Row],[Best DF]]</f>
        <v>#DIV/0!</v>
      </c>
      <c r="S482" s="6" t="e">
        <f>Pcfu4[[#This Row],[CFU/mL]]*Pcfu4[[#This Row],[mL]]/Pcfu4[[#This Row],[grams]]</f>
        <v>#DIV/0!</v>
      </c>
      <c r="T482" s="1" t="e">
        <f>Pcfu4[[#This Row],[SD CFU/mL]]*Pcfu4[[#This Row],[mL]]/Pcfu4[[#This Row],[grams]]</f>
        <v>#DIV/0!</v>
      </c>
      <c r="U482" s="7">
        <f>_xlfn.STDEV.S(Pcfu43[[#This Row],[R1]:[R3]])/AVERAGE(Pcfu43[[#This Row],[R1]:[R3]])</f>
        <v>6.4862061251832623E-2</v>
      </c>
      <c r="V482" s="96"/>
      <c r="W482" s="7"/>
    </row>
    <row r="483" spans="1:23" x14ac:dyDescent="0.15">
      <c r="A483" t="s">
        <v>468</v>
      </c>
      <c r="C483" t="s">
        <v>463</v>
      </c>
      <c r="D483">
        <v>0</v>
      </c>
      <c r="E483" s="3">
        <v>1</v>
      </c>
      <c r="H483" s="5">
        <f>19*Pcfu4[[#This Row],[grams]]</f>
        <v>0</v>
      </c>
      <c r="J483" s="59">
        <v>44949</v>
      </c>
      <c r="L483" s="59" t="e" cm="1">
        <f t="array" ref="L483">INDEX($J$4:J1573, MATCH(1,(A483=$A$4:A1571)*(C483=$C$4:C1571)*("Y"=$K$4:K1573),0))</f>
        <v>#N/A</v>
      </c>
      <c r="M483" s="1">
        <v>1</v>
      </c>
      <c r="N483">
        <v>23</v>
      </c>
      <c r="P483"/>
      <c r="Q483" s="6">
        <f>(SUM(Pcfu4[[#This Row],[R1]:[R3]]))/(Pcfu4[[#This Row],[No. Reps]]*0.025)*Pcfu4[[#This Row],[Best DF]]</f>
        <v>920</v>
      </c>
      <c r="R483" s="1" t="e">
        <f>_xlfn.STDEV.S(Pcfu4[[#This Row],[R1]:[R3]])/0.025*Pcfu4[[#This Row],[Best DF]]</f>
        <v>#DIV/0!</v>
      </c>
      <c r="S483" s="6" t="e">
        <f>Pcfu4[[#This Row],[CFU/mL]]*Pcfu4[[#This Row],[mL]]/Pcfu4[[#This Row],[grams]]</f>
        <v>#DIV/0!</v>
      </c>
      <c r="T483" s="1" t="e">
        <f>Pcfu4[[#This Row],[SD CFU/mL]]*Pcfu4[[#This Row],[mL]]/Pcfu4[[#This Row],[grams]]</f>
        <v>#DIV/0!</v>
      </c>
      <c r="U483" s="7">
        <f>_xlfn.STDEV.S(Pcfu43[[#This Row],[R1]:[R3]])/AVERAGE(Pcfu43[[#This Row],[R1]:[R3]])</f>
        <v>9.4607817220148771E-2</v>
      </c>
      <c r="V483" s="96"/>
      <c r="W483" s="7"/>
    </row>
    <row r="484" spans="1:23" x14ac:dyDescent="0.15">
      <c r="A484" t="s">
        <v>466</v>
      </c>
      <c r="C484" t="s">
        <v>464</v>
      </c>
      <c r="D484">
        <v>0</v>
      </c>
      <c r="E484" s="3">
        <v>1</v>
      </c>
      <c r="H484" s="5">
        <f>19*Pcfu4[[#This Row],[grams]]</f>
        <v>0</v>
      </c>
      <c r="J484" s="59">
        <v>44949</v>
      </c>
      <c r="L484" s="59" t="e" cm="1">
        <f t="array" ref="L484">INDEX($J$4:J1574, MATCH(1,(A484=$A$4:A1572)*(C484=$C$4:C1572)*("Y"=$K$4:K1574),0))</f>
        <v>#N/A</v>
      </c>
      <c r="M484" s="1">
        <v>1</v>
      </c>
      <c r="N484">
        <v>9</v>
      </c>
      <c r="P484"/>
      <c r="Q484" s="6">
        <f>(SUM(Pcfu4[[#This Row],[R1]:[R3]]))/(Pcfu4[[#This Row],[No. Reps]]*0.025)*Pcfu4[[#This Row],[Best DF]]</f>
        <v>360</v>
      </c>
      <c r="R484" s="1" t="e">
        <f>_xlfn.STDEV.S(Pcfu4[[#This Row],[R1]:[R3]])/0.025*Pcfu4[[#This Row],[Best DF]]</f>
        <v>#DIV/0!</v>
      </c>
      <c r="S484" s="6" t="e">
        <f>Pcfu4[[#This Row],[CFU/mL]]*Pcfu4[[#This Row],[mL]]/Pcfu4[[#This Row],[grams]]</f>
        <v>#DIV/0!</v>
      </c>
      <c r="T484" s="1" t="e">
        <f>Pcfu4[[#This Row],[SD CFU/mL]]*Pcfu4[[#This Row],[mL]]/Pcfu4[[#This Row],[grams]]</f>
        <v>#DIV/0!</v>
      </c>
      <c r="U484" s="7">
        <f>_xlfn.STDEV.S(Pcfu43[[#This Row],[R1]:[R3]])/AVERAGE(Pcfu43[[#This Row],[R1]:[R3]])</f>
        <v>0.15364948182569974</v>
      </c>
      <c r="V484" s="96"/>
      <c r="W484" s="7"/>
    </row>
    <row r="485" spans="1:23" x14ac:dyDescent="0.15">
      <c r="A485" t="s">
        <v>468</v>
      </c>
      <c r="C485" t="s">
        <v>464</v>
      </c>
      <c r="D485">
        <v>0</v>
      </c>
      <c r="E485" s="3">
        <v>1</v>
      </c>
      <c r="H485" s="5">
        <f>19*Pcfu4[[#This Row],[grams]]</f>
        <v>0</v>
      </c>
      <c r="J485" s="59">
        <v>44949</v>
      </c>
      <c r="L485" s="59" t="e" cm="1">
        <f t="array" ref="L485">INDEX($J$4:J1575, MATCH(1,(A485=$A$4:A1573)*(C485=$C$4:C1573)*("Y"=$K$4:K1575),0))</f>
        <v>#N/A</v>
      </c>
      <c r="M485" s="1">
        <v>1</v>
      </c>
      <c r="N485">
        <v>13</v>
      </c>
      <c r="P485"/>
      <c r="Q485" s="6">
        <f>(SUM(Pcfu4[[#This Row],[R1]:[R3]]))/(Pcfu4[[#This Row],[No. Reps]]*0.025)*Pcfu4[[#This Row],[Best DF]]</f>
        <v>520</v>
      </c>
      <c r="R485" s="1" t="e">
        <f>_xlfn.STDEV.S(Pcfu4[[#This Row],[R1]:[R3]])/0.025*Pcfu4[[#This Row],[Best DF]]</f>
        <v>#DIV/0!</v>
      </c>
      <c r="S485" s="6" t="e">
        <f>Pcfu4[[#This Row],[CFU/mL]]*Pcfu4[[#This Row],[mL]]/Pcfu4[[#This Row],[grams]]</f>
        <v>#DIV/0!</v>
      </c>
      <c r="T485" s="1" t="e">
        <f>Pcfu4[[#This Row],[SD CFU/mL]]*Pcfu4[[#This Row],[mL]]/Pcfu4[[#This Row],[grams]]</f>
        <v>#DIV/0!</v>
      </c>
      <c r="U485" s="7">
        <f>_xlfn.STDEV.S(Pcfu43[[#This Row],[R1]:[R3]])/AVERAGE(Pcfu43[[#This Row],[R1]:[R3]])</f>
        <v>0.17187149292523921</v>
      </c>
      <c r="V485" s="96"/>
      <c r="W485" s="7"/>
    </row>
    <row r="486" spans="1:23" x14ac:dyDescent="0.15">
      <c r="A486" t="s">
        <v>470</v>
      </c>
      <c r="B486" t="s">
        <v>330</v>
      </c>
      <c r="D486" t="s">
        <v>86</v>
      </c>
      <c r="E486" s="3">
        <v>2</v>
      </c>
      <c r="G486">
        <v>0.3</v>
      </c>
      <c r="H486" s="5">
        <f>19*Pcfu4[[#This Row],[grams]]</f>
        <v>5.7</v>
      </c>
      <c r="I486" s="3" t="s">
        <v>170</v>
      </c>
      <c r="J486" s="59">
        <v>44952</v>
      </c>
      <c r="L486" s="59" t="e" cm="1">
        <f t="array" ref="L486">INDEX($J$4:J1576, MATCH(1,(A486=$A$4:A1574)*(C486=$C$4:C1574)*("Y"=$K$4:K1576),0))</f>
        <v>#N/A</v>
      </c>
      <c r="M486" s="1">
        <v>1000000</v>
      </c>
      <c r="N486">
        <v>211</v>
      </c>
      <c r="O486">
        <v>167</v>
      </c>
      <c r="P486"/>
      <c r="Q486" s="6">
        <f>(SUM(Pcfu4[[#This Row],[R1]:[R3]]))/(Pcfu4[[#This Row],[No. Reps]]*0.025)*Pcfu4[[#This Row],[Best DF]]</f>
        <v>7560000000</v>
      </c>
      <c r="R486" s="1">
        <f>_xlfn.STDEV.S(Pcfu4[[#This Row],[R1]:[R3]])/0.025*Pcfu4[[#This Row],[Best DF]]</f>
        <v>1244507934.8883235</v>
      </c>
      <c r="S486" s="6">
        <f>Pcfu4[[#This Row],[CFU/mL]]*Pcfu4[[#This Row],[mL]]/Pcfu4[[#This Row],[grams]]</f>
        <v>143640000000</v>
      </c>
      <c r="T486" s="1">
        <f>Pcfu4[[#This Row],[SD CFU/mL]]*Pcfu4[[#This Row],[mL]]/Pcfu4[[#This Row],[grams]]</f>
        <v>23645650762.878147</v>
      </c>
      <c r="U486" s="7">
        <f>_xlfn.STDEV.S(Pcfu43[[#This Row],[R1]:[R3]])/AVERAGE(Pcfu43[[#This Row],[R1]:[R3]])</f>
        <v>8.6104024651722816E-2</v>
      </c>
      <c r="V486" s="96"/>
      <c r="W486" s="7"/>
    </row>
    <row r="487" spans="1:23" x14ac:dyDescent="0.15">
      <c r="A487" t="s">
        <v>471</v>
      </c>
      <c r="B487" t="s">
        <v>330</v>
      </c>
      <c r="D487" t="s">
        <v>86</v>
      </c>
      <c r="E487" s="3">
        <v>2</v>
      </c>
      <c r="G487">
        <v>0.3</v>
      </c>
      <c r="H487" s="5">
        <f>19*Pcfu4[[#This Row],[grams]]</f>
        <v>5.7</v>
      </c>
      <c r="I487" s="3" t="s">
        <v>170</v>
      </c>
      <c r="J487" s="59">
        <v>44952</v>
      </c>
      <c r="L487" s="59" t="e" cm="1">
        <f t="array" ref="L487">INDEX($J$4:J1577, MATCH(1,(A487=$A$4:A1575)*(C487=$C$4:C1575)*("Y"=$K$4:K1577),0))</f>
        <v>#N/A</v>
      </c>
      <c r="M487" s="1">
        <v>1000000</v>
      </c>
      <c r="N487">
        <v>132</v>
      </c>
      <c r="O487">
        <v>159</v>
      </c>
      <c r="P487"/>
      <c r="Q487" s="6">
        <f>(SUM(Pcfu4[[#This Row],[R1]:[R3]]))/(Pcfu4[[#This Row],[No. Reps]]*0.025)*Pcfu4[[#This Row],[Best DF]]</f>
        <v>5820000000</v>
      </c>
      <c r="R487" s="1">
        <f>_xlfn.STDEV.S(Pcfu4[[#This Row],[R1]:[R3]])/0.025*Pcfu4[[#This Row],[Best DF]]</f>
        <v>763675323.68147135</v>
      </c>
      <c r="S487" s="6">
        <f>Pcfu4[[#This Row],[CFU/mL]]*Pcfu4[[#This Row],[mL]]/Pcfu4[[#This Row],[grams]]</f>
        <v>110580000000</v>
      </c>
      <c r="T487" s="1">
        <f>Pcfu4[[#This Row],[SD CFU/mL]]*Pcfu4[[#This Row],[mL]]/Pcfu4[[#This Row],[grams]]</f>
        <v>14509831149.947956</v>
      </c>
      <c r="U487" s="7">
        <f>_xlfn.STDEV.S(Pcfu43[[#This Row],[R1]:[R3]])/AVERAGE(Pcfu43[[#This Row],[R1]:[R3]])</f>
        <v>0.28489941265172625</v>
      </c>
      <c r="V487" s="96"/>
      <c r="W487" s="7"/>
    </row>
    <row r="488" spans="1:23" x14ac:dyDescent="0.15">
      <c r="A488" t="s">
        <v>472</v>
      </c>
      <c r="B488" t="s">
        <v>330</v>
      </c>
      <c r="D488" t="s">
        <v>86</v>
      </c>
      <c r="E488" s="3">
        <v>2</v>
      </c>
      <c r="G488">
        <v>0.3</v>
      </c>
      <c r="H488" s="5">
        <f>19*Pcfu4[[#This Row],[grams]]</f>
        <v>5.7</v>
      </c>
      <c r="I488" s="3" t="s">
        <v>170</v>
      </c>
      <c r="J488" s="59">
        <v>44952</v>
      </c>
      <c r="L488" s="59" t="e" cm="1">
        <f t="array" ref="L488">INDEX($J$4:J1578, MATCH(1,(A488=$A$4:A1576)*(C488=$C$4:C1576)*("Y"=$K$4:K1578),0))</f>
        <v>#N/A</v>
      </c>
      <c r="M488" s="1">
        <v>10000000</v>
      </c>
      <c r="N488">
        <v>32</v>
      </c>
      <c r="O488">
        <v>39</v>
      </c>
      <c r="P488"/>
      <c r="Q488" s="6">
        <f>(SUM(Pcfu4[[#This Row],[R1]:[R3]]))/(Pcfu4[[#This Row],[No. Reps]]*0.025)*Pcfu4[[#This Row],[Best DF]]</f>
        <v>14200000000</v>
      </c>
      <c r="R488" s="1">
        <f>_xlfn.STDEV.S(Pcfu4[[#This Row],[R1]:[R3]])/0.025*Pcfu4[[#This Row],[Best DF]]</f>
        <v>1979898987.3223329</v>
      </c>
      <c r="S488" s="6">
        <f>Pcfu4[[#This Row],[CFU/mL]]*Pcfu4[[#This Row],[mL]]/Pcfu4[[#This Row],[grams]]</f>
        <v>269800000000</v>
      </c>
      <c r="T488" s="1">
        <f>Pcfu4[[#This Row],[SD CFU/mL]]*Pcfu4[[#This Row],[mL]]/Pcfu4[[#This Row],[grams]]</f>
        <v>37618080759.124329</v>
      </c>
      <c r="U488" s="7">
        <f>_xlfn.STDEV.S(Pcfu43[[#This Row],[R1]:[R3]])/AVERAGE(Pcfu43[[#This Row],[R1]:[R3]])</f>
        <v>9.1232803829813469E-2</v>
      </c>
      <c r="V488" s="96"/>
      <c r="W488" s="7"/>
    </row>
    <row r="489" spans="1:23" x14ac:dyDescent="0.15">
      <c r="A489" t="s">
        <v>473</v>
      </c>
      <c r="B489" t="s">
        <v>330</v>
      </c>
      <c r="D489" t="s">
        <v>86</v>
      </c>
      <c r="E489" s="3">
        <v>2</v>
      </c>
      <c r="G489">
        <v>0.3</v>
      </c>
      <c r="H489" s="5">
        <f>19*Pcfu4[[#This Row],[grams]]</f>
        <v>5.7</v>
      </c>
      <c r="I489" s="3" t="s">
        <v>170</v>
      </c>
      <c r="J489" s="59">
        <v>44952</v>
      </c>
      <c r="L489" s="59" t="e" cm="1">
        <f t="array" ref="L489">INDEX($J$4:J1579, MATCH(1,(A489=$A$4:A1577)*(C489=$C$4:C1577)*("Y"=$K$4:K1579),0))</f>
        <v>#N/A</v>
      </c>
      <c r="M489" s="1">
        <v>1000000</v>
      </c>
      <c r="N489">
        <v>220</v>
      </c>
      <c r="O489">
        <v>221</v>
      </c>
      <c r="P489"/>
      <c r="Q489" s="6">
        <f>(SUM(Pcfu4[[#This Row],[R1]:[R3]]))/(Pcfu4[[#This Row],[No. Reps]]*0.025)*Pcfu4[[#This Row],[Best DF]]</f>
        <v>8820000000</v>
      </c>
      <c r="R489" s="1">
        <f>_xlfn.STDEV.S(Pcfu4[[#This Row],[R1]:[R3]])/0.025*Pcfu4[[#This Row],[Best DF]]</f>
        <v>28284271.247461904</v>
      </c>
      <c r="S489" s="6">
        <f>Pcfu4[[#This Row],[CFU/mL]]*Pcfu4[[#This Row],[mL]]/Pcfu4[[#This Row],[grams]]</f>
        <v>167580000000</v>
      </c>
      <c r="T489" s="1">
        <f>Pcfu4[[#This Row],[SD CFU/mL]]*Pcfu4[[#This Row],[mL]]/Pcfu4[[#This Row],[grams]]</f>
        <v>537401153.70177615</v>
      </c>
      <c r="U489" s="7">
        <f>_xlfn.STDEV.S(Pcfu43[[#This Row],[R1]:[R3]])/AVERAGE(Pcfu43[[#This Row],[R1]:[R3]])</f>
        <v>4.8790163593489498E-2</v>
      </c>
      <c r="V489" s="96"/>
      <c r="W489" s="7"/>
    </row>
    <row r="490" spans="1:23" x14ac:dyDescent="0.15">
      <c r="A490" t="s">
        <v>474</v>
      </c>
      <c r="B490" t="s">
        <v>330</v>
      </c>
      <c r="D490" t="s">
        <v>86</v>
      </c>
      <c r="E490" s="3">
        <v>2</v>
      </c>
      <c r="G490">
        <v>0.3</v>
      </c>
      <c r="H490" s="5">
        <f>19*Pcfu4[[#This Row],[grams]]</f>
        <v>5.7</v>
      </c>
      <c r="I490" s="3" t="s">
        <v>170</v>
      </c>
      <c r="J490" s="59">
        <v>44952</v>
      </c>
      <c r="L490" s="59" t="e" cm="1">
        <f t="array" ref="L490">INDEX($J$4:J1580, MATCH(1,(A490=$A$4:A1578)*(C490=$C$4:C1578)*("Y"=$K$4:K1580),0))</f>
        <v>#N/A</v>
      </c>
      <c r="M490" s="1">
        <v>10000000</v>
      </c>
      <c r="N490">
        <v>54</v>
      </c>
      <c r="O490">
        <v>53</v>
      </c>
      <c r="P490"/>
      <c r="Q490" s="6">
        <f>(SUM(Pcfu4[[#This Row],[R1]:[R3]]))/(Pcfu4[[#This Row],[No. Reps]]*0.025)*Pcfu4[[#This Row],[Best DF]]</f>
        <v>21400000000</v>
      </c>
      <c r="R490" s="1">
        <f>_xlfn.STDEV.S(Pcfu4[[#This Row],[R1]:[R3]])/0.025*Pcfu4[[#This Row],[Best DF]]</f>
        <v>282842712.47461903</v>
      </c>
      <c r="S490" s="6">
        <f>Pcfu4[[#This Row],[CFU/mL]]*Pcfu4[[#This Row],[mL]]/Pcfu4[[#This Row],[grams]]</f>
        <v>406600000000</v>
      </c>
      <c r="T490" s="1">
        <f>Pcfu4[[#This Row],[SD CFU/mL]]*Pcfu4[[#This Row],[mL]]/Pcfu4[[#This Row],[grams]]</f>
        <v>5374011537.0177622</v>
      </c>
      <c r="U490" s="7">
        <f>_xlfn.STDEV.S(Pcfu43[[#This Row],[R1]:[R3]])/AVERAGE(Pcfu43[[#This Row],[R1]:[R3]])</f>
        <v>0.26749899771241165</v>
      </c>
      <c r="V490" s="96"/>
      <c r="W490" s="7"/>
    </row>
    <row r="491" spans="1:23" x14ac:dyDescent="0.15">
      <c r="A491" t="s">
        <v>475</v>
      </c>
      <c r="B491" t="s">
        <v>330</v>
      </c>
      <c r="D491" t="s">
        <v>86</v>
      </c>
      <c r="E491" s="3">
        <v>2</v>
      </c>
      <c r="G491">
        <v>0.3</v>
      </c>
      <c r="H491" s="5">
        <f>19*Pcfu4[[#This Row],[grams]]</f>
        <v>5.7</v>
      </c>
      <c r="I491" s="3" t="s">
        <v>170</v>
      </c>
      <c r="J491" s="59">
        <v>44952</v>
      </c>
      <c r="L491" s="59" t="e" cm="1">
        <f t="array" ref="L491">INDEX($J$4:J1581, MATCH(1,(A491=$A$4:A1579)*(C491=$C$4:C1579)*("Y"=$K$4:K1581),0))</f>
        <v>#N/A</v>
      </c>
      <c r="M491" s="1">
        <v>10000000</v>
      </c>
      <c r="N491">
        <v>63</v>
      </c>
      <c r="O491">
        <v>41</v>
      </c>
      <c r="P491"/>
      <c r="Q491" s="6">
        <f>(SUM(Pcfu4[[#This Row],[R1]:[R3]]))/(Pcfu4[[#This Row],[No. Reps]]*0.025)*Pcfu4[[#This Row],[Best DF]]</f>
        <v>20800000000</v>
      </c>
      <c r="R491" s="1">
        <f>_xlfn.STDEV.S(Pcfu4[[#This Row],[R1]:[R3]])/0.025*Pcfu4[[#This Row],[Best DF]]</f>
        <v>6222539674.441617</v>
      </c>
      <c r="S491" s="6">
        <f>Pcfu4[[#This Row],[CFU/mL]]*Pcfu4[[#This Row],[mL]]/Pcfu4[[#This Row],[grams]]</f>
        <v>395200000000</v>
      </c>
      <c r="T491" s="1">
        <f>Pcfu4[[#This Row],[SD CFU/mL]]*Pcfu4[[#This Row],[mL]]/Pcfu4[[#This Row],[grams]]</f>
        <v>118228253814.39072</v>
      </c>
      <c r="U491" s="7">
        <f>_xlfn.STDEV.S(Pcfu43[[#This Row],[R1]:[R3]])/AVERAGE(Pcfu43[[#This Row],[R1]:[R3]])</f>
        <v>0.125</v>
      </c>
      <c r="V491" s="96"/>
      <c r="W491" s="7"/>
    </row>
    <row r="492" spans="1:23" x14ac:dyDescent="0.15">
      <c r="A492" t="s">
        <v>476</v>
      </c>
      <c r="B492" t="s">
        <v>330</v>
      </c>
      <c r="D492" t="s">
        <v>86</v>
      </c>
      <c r="E492" s="3">
        <v>2</v>
      </c>
      <c r="G492">
        <v>0.3</v>
      </c>
      <c r="H492" s="5">
        <f>19*Pcfu4[[#This Row],[grams]]</f>
        <v>5.7</v>
      </c>
      <c r="I492" s="3" t="s">
        <v>170</v>
      </c>
      <c r="J492" s="59">
        <v>44952</v>
      </c>
      <c r="L492" s="59" t="e" cm="1">
        <f t="array" ref="L492">INDEX($J$4:J1582, MATCH(1,(A492=$A$4:A1580)*(C492=$C$4:C1580)*("Y"=$K$4:K1582),0))</f>
        <v>#N/A</v>
      </c>
      <c r="M492" s="1">
        <v>10000000</v>
      </c>
      <c r="N492">
        <v>32</v>
      </c>
      <c r="O492">
        <v>29</v>
      </c>
      <c r="P492"/>
      <c r="Q492" s="6">
        <f>(SUM(Pcfu4[[#This Row],[R1]:[R3]]))/(Pcfu4[[#This Row],[No. Reps]]*0.025)*Pcfu4[[#This Row],[Best DF]]</f>
        <v>12200000000</v>
      </c>
      <c r="R492" s="1">
        <f>_xlfn.STDEV.S(Pcfu4[[#This Row],[R1]:[R3]])/0.025*Pcfu4[[#This Row],[Best DF]]</f>
        <v>848528137.42385697</v>
      </c>
      <c r="S492" s="6">
        <f>Pcfu4[[#This Row],[CFU/mL]]*Pcfu4[[#This Row],[mL]]/Pcfu4[[#This Row],[grams]]</f>
        <v>231800000000</v>
      </c>
      <c r="T492" s="1">
        <f>Pcfu4[[#This Row],[SD CFU/mL]]*Pcfu4[[#This Row],[mL]]/Pcfu4[[#This Row],[grams]]</f>
        <v>16122034611.053284</v>
      </c>
      <c r="U492" s="7">
        <f>_xlfn.STDEV.S(Pcfu43[[#This Row],[R1]:[R3]])/AVERAGE(Pcfu43[[#This Row],[R1]:[R3]])</f>
        <v>0.21650635094610987</v>
      </c>
      <c r="V492" s="96"/>
      <c r="W492" s="7"/>
    </row>
    <row r="493" spans="1:23" x14ac:dyDescent="0.15">
      <c r="A493" t="s">
        <v>477</v>
      </c>
      <c r="B493" t="s">
        <v>330</v>
      </c>
      <c r="D493" t="s">
        <v>86</v>
      </c>
      <c r="E493" s="3">
        <v>2</v>
      </c>
      <c r="G493">
        <v>0.3</v>
      </c>
      <c r="H493" s="5">
        <f>19*Pcfu4[[#This Row],[grams]]</f>
        <v>5.7</v>
      </c>
      <c r="I493" s="3" t="s">
        <v>170</v>
      </c>
      <c r="J493" s="59">
        <v>44952</v>
      </c>
      <c r="L493" s="59" t="e" cm="1">
        <f t="array" ref="L493">INDEX($J$4:J1583, MATCH(1,(A493=$A$4:A1581)*(C493=$C$4:C1581)*("Y"=$K$4:K1583),0))</f>
        <v>#N/A</v>
      </c>
      <c r="M493" s="1">
        <v>10000000</v>
      </c>
      <c r="N493">
        <v>55</v>
      </c>
      <c r="O493">
        <v>34</v>
      </c>
      <c r="P493"/>
      <c r="Q493" s="6">
        <f>(SUM(Pcfu4[[#This Row],[R1]:[R3]]))/(Pcfu4[[#This Row],[No. Reps]]*0.025)*Pcfu4[[#This Row],[Best DF]]</f>
        <v>17800000000</v>
      </c>
      <c r="R493" s="1">
        <f>_xlfn.STDEV.S(Pcfu4[[#This Row],[R1]:[R3]])/0.025*Pcfu4[[#This Row],[Best DF]]</f>
        <v>5939696961.9669981</v>
      </c>
      <c r="S493" s="6">
        <f>Pcfu4[[#This Row],[CFU/mL]]*Pcfu4[[#This Row],[mL]]/Pcfu4[[#This Row],[grams]]</f>
        <v>338200000000</v>
      </c>
      <c r="T493" s="1">
        <f>Pcfu4[[#This Row],[SD CFU/mL]]*Pcfu4[[#This Row],[mL]]/Pcfu4[[#This Row],[grams]]</f>
        <v>112854242277.37297</v>
      </c>
      <c r="U493" s="7">
        <f>_xlfn.STDEV.S(Pcfu43[[#This Row],[R1]:[R3]])/AVERAGE(Pcfu43[[#This Row],[R1]:[R3]])</f>
        <v>0.5</v>
      </c>
      <c r="V493" s="96"/>
      <c r="W493" s="7"/>
    </row>
    <row r="494" spans="1:23" x14ac:dyDescent="0.15">
      <c r="A494" t="s">
        <v>478</v>
      </c>
      <c r="B494" t="s">
        <v>330</v>
      </c>
      <c r="D494" t="s">
        <v>86</v>
      </c>
      <c r="E494" s="3">
        <v>2</v>
      </c>
      <c r="G494">
        <v>0.3</v>
      </c>
      <c r="H494" s="5">
        <f>19*Pcfu4[[#This Row],[grams]]</f>
        <v>5.7</v>
      </c>
      <c r="I494" s="3" t="s">
        <v>170</v>
      </c>
      <c r="J494" s="59">
        <v>44952</v>
      </c>
      <c r="L494" s="59" t="e" cm="1">
        <f t="array" ref="L494">INDEX($J$4:J1584, MATCH(1,(A494=$A$4:A1582)*(C494=$C$4:C1582)*("Y"=$K$4:K1584),0))</f>
        <v>#N/A</v>
      </c>
      <c r="M494" s="1">
        <v>10000000</v>
      </c>
      <c r="N494">
        <v>31</v>
      </c>
      <c r="O494">
        <v>26</v>
      </c>
      <c r="P494"/>
      <c r="Q494" s="6">
        <f>(SUM(Pcfu4[[#This Row],[R1]:[R3]]))/(Pcfu4[[#This Row],[No. Reps]]*0.025)*Pcfu4[[#This Row],[Best DF]]</f>
        <v>11400000000</v>
      </c>
      <c r="R494" s="1">
        <f>_xlfn.STDEV.S(Pcfu4[[#This Row],[R1]:[R3]])/0.025*Pcfu4[[#This Row],[Best DF]]</f>
        <v>1414213562.373095</v>
      </c>
      <c r="S494" s="6">
        <f>Pcfu4[[#This Row],[CFU/mL]]*Pcfu4[[#This Row],[mL]]/Pcfu4[[#This Row],[grams]]</f>
        <v>216600000000</v>
      </c>
      <c r="T494" s="1">
        <f>Pcfu4[[#This Row],[SD CFU/mL]]*Pcfu4[[#This Row],[mL]]/Pcfu4[[#This Row],[grams]]</f>
        <v>26870057685.088806</v>
      </c>
      <c r="U494" s="7">
        <f>_xlfn.STDEV.S(Pcfu43[[#This Row],[R1]:[R3]])/AVERAGE(Pcfu43[[#This Row],[R1]:[R3]])</f>
        <v>0.24743582965269675</v>
      </c>
      <c r="V494" s="96"/>
      <c r="W494" s="7"/>
    </row>
    <row r="495" spans="1:23" x14ac:dyDescent="0.15">
      <c r="A495" t="s">
        <v>479</v>
      </c>
      <c r="B495" t="s">
        <v>330</v>
      </c>
      <c r="D495" t="s">
        <v>86</v>
      </c>
      <c r="E495" s="3">
        <v>2</v>
      </c>
      <c r="G495">
        <v>0.3</v>
      </c>
      <c r="H495" s="5">
        <f>19*Pcfu4[[#This Row],[grams]]</f>
        <v>5.7</v>
      </c>
      <c r="I495" s="3" t="s">
        <v>170</v>
      </c>
      <c r="J495" s="59">
        <v>44952</v>
      </c>
      <c r="L495" s="59" t="e" cm="1">
        <f t="array" ref="L495">INDEX($J$4:J1585, MATCH(1,(A495=$A$4:A1583)*(C495=$C$4:C1583)*("Y"=$K$4:K1585),0))</f>
        <v>#N/A</v>
      </c>
      <c r="M495" s="1">
        <v>1000000</v>
      </c>
      <c r="N495">
        <v>166</v>
      </c>
      <c r="O495">
        <v>184</v>
      </c>
      <c r="P495"/>
      <c r="Q495" s="6">
        <f>(SUM(Pcfu4[[#This Row],[R1]:[R3]]))/(Pcfu4[[#This Row],[No. Reps]]*0.025)*Pcfu4[[#This Row],[Best DF]]</f>
        <v>7000000000</v>
      </c>
      <c r="R495" s="1">
        <f>_xlfn.STDEV.S(Pcfu4[[#This Row],[R1]:[R3]])/0.025*Pcfu4[[#This Row],[Best DF]]</f>
        <v>509116882.45431417</v>
      </c>
      <c r="S495" s="6">
        <f>Pcfu4[[#This Row],[CFU/mL]]*Pcfu4[[#This Row],[mL]]/Pcfu4[[#This Row],[grams]]</f>
        <v>133000000000</v>
      </c>
      <c r="T495" s="1">
        <f>Pcfu4[[#This Row],[SD CFU/mL]]*Pcfu4[[#This Row],[mL]]/Pcfu4[[#This Row],[grams]]</f>
        <v>9673220766.6319695</v>
      </c>
      <c r="U495" s="7">
        <f>_xlfn.STDEV.S(Pcfu43[[#This Row],[R1]:[R3]])/AVERAGE(Pcfu43[[#This Row],[R1]:[R3]])</f>
        <v>1.7320508075688776</v>
      </c>
      <c r="V495" s="96"/>
      <c r="W495" s="7"/>
    </row>
    <row r="496" spans="1:23" x14ac:dyDescent="0.15">
      <c r="A496" t="s">
        <v>480</v>
      </c>
      <c r="B496" t="s">
        <v>330</v>
      </c>
      <c r="D496" t="s">
        <v>86</v>
      </c>
      <c r="E496" s="3">
        <v>2</v>
      </c>
      <c r="G496">
        <v>0.3</v>
      </c>
      <c r="H496" s="5">
        <f>19*Pcfu4[[#This Row],[grams]]</f>
        <v>5.7</v>
      </c>
      <c r="I496" s="3" t="s">
        <v>170</v>
      </c>
      <c r="J496" s="59">
        <v>44952</v>
      </c>
      <c r="L496" s="59" t="e" cm="1">
        <f t="array" ref="L496">INDEX($J$4:J1586, MATCH(1,(A496=$A$4:A1584)*(C496=$C$4:C1584)*("Y"=$K$4:K1586),0))</f>
        <v>#N/A</v>
      </c>
      <c r="M496" s="1">
        <v>1000000</v>
      </c>
      <c r="N496">
        <v>195</v>
      </c>
      <c r="O496">
        <v>220</v>
      </c>
      <c r="P496"/>
      <c r="Q496" s="6">
        <f>(SUM(Pcfu4[[#This Row],[R1]:[R3]]))/(Pcfu4[[#This Row],[No. Reps]]*0.025)*Pcfu4[[#This Row],[Best DF]]</f>
        <v>8300000000</v>
      </c>
      <c r="R496" s="1">
        <f>_xlfn.STDEV.S(Pcfu4[[#This Row],[R1]:[R3]])/0.025*Pcfu4[[#This Row],[Best DF]]</f>
        <v>707106781.18654752</v>
      </c>
      <c r="S496" s="6">
        <f>Pcfu4[[#This Row],[CFU/mL]]*Pcfu4[[#This Row],[mL]]/Pcfu4[[#This Row],[grams]]</f>
        <v>157700000000</v>
      </c>
      <c r="T496" s="1">
        <f>Pcfu4[[#This Row],[SD CFU/mL]]*Pcfu4[[#This Row],[mL]]/Pcfu4[[#This Row],[grams]]</f>
        <v>13435028842.544403</v>
      </c>
      <c r="U496" s="7">
        <f>_xlfn.STDEV.S(Pcfu43[[#This Row],[R1]:[R3]])/AVERAGE(Pcfu43[[#This Row],[R1]:[R3]])</f>
        <v>1.7320508075688776</v>
      </c>
      <c r="V496" s="96"/>
      <c r="W496" s="7"/>
    </row>
    <row r="497" spans="1:24" x14ac:dyDescent="0.15">
      <c r="A497" t="s">
        <v>481</v>
      </c>
      <c r="B497" t="s">
        <v>482</v>
      </c>
      <c r="D497" t="s">
        <v>86</v>
      </c>
      <c r="E497" s="3">
        <v>2</v>
      </c>
      <c r="G497">
        <v>0.3</v>
      </c>
      <c r="H497" s="5">
        <f>19*Pcfu4[[#This Row],[grams]]</f>
        <v>5.7</v>
      </c>
      <c r="I497" s="3" t="s">
        <v>170</v>
      </c>
      <c r="J497" s="59">
        <v>44953</v>
      </c>
      <c r="L497" s="59" t="e" cm="1">
        <f t="array" ref="L497">INDEX($J$4:J1587, MATCH(1,(A497=$A$4:A1585)*(C497=$C$4:C1585)*("Y"=$K$4:K1587),0))</f>
        <v>#N/A</v>
      </c>
      <c r="M497" s="1">
        <v>1000000</v>
      </c>
      <c r="N497">
        <v>133</v>
      </c>
      <c r="O497">
        <v>143</v>
      </c>
      <c r="P497"/>
      <c r="Q497" s="6">
        <f>(SUM(Pcfu4[[#This Row],[R1]:[R3]]))/(Pcfu4[[#This Row],[No. Reps]]*0.025)*Pcfu4[[#This Row],[Best DF]]</f>
        <v>5520000000</v>
      </c>
      <c r="R497" s="1">
        <f>_xlfn.STDEV.S(Pcfu4[[#This Row],[R1]:[R3]])/0.025*Pcfu4[[#This Row],[Best DF]]</f>
        <v>282842712.47461903</v>
      </c>
      <c r="S497" s="6">
        <f>Pcfu4[[#This Row],[CFU/mL]]*Pcfu4[[#This Row],[mL]]/Pcfu4[[#This Row],[grams]]</f>
        <v>104880000000</v>
      </c>
      <c r="T497" s="1">
        <f>Pcfu4[[#This Row],[SD CFU/mL]]*Pcfu4[[#This Row],[mL]]/Pcfu4[[#This Row],[grams]]</f>
        <v>5374011537.0177622</v>
      </c>
      <c r="U497" s="7">
        <f>_xlfn.STDEV.S(Pcfu43[[#This Row],[R1]:[R3]])/AVERAGE(Pcfu43[[#This Row],[R1]:[R3]])</f>
        <v>9.3521952958282445E-2</v>
      </c>
      <c r="V497" s="96">
        <v>0.29699999999999999</v>
      </c>
      <c r="W497" s="7"/>
      <c r="X497" t="s">
        <v>483</v>
      </c>
    </row>
    <row r="498" spans="1:24" x14ac:dyDescent="0.15">
      <c r="A498" t="s">
        <v>484</v>
      </c>
      <c r="B498" t="s">
        <v>482</v>
      </c>
      <c r="D498" t="s">
        <v>86</v>
      </c>
      <c r="E498" s="3">
        <v>2</v>
      </c>
      <c r="G498">
        <v>0.3</v>
      </c>
      <c r="H498" s="5">
        <f>19*Pcfu4[[#This Row],[grams]]</f>
        <v>5.7</v>
      </c>
      <c r="I498" s="3" t="s">
        <v>170</v>
      </c>
      <c r="J498" s="59">
        <v>44953</v>
      </c>
      <c r="L498" s="59" t="e" cm="1">
        <f t="array" ref="L498">INDEX($J$4:J1588, MATCH(1,(A498=$A$4:A1586)*(C498=$C$4:C1586)*("Y"=$K$4:K1588),0))</f>
        <v>#N/A</v>
      </c>
      <c r="M498" s="1">
        <v>1000000</v>
      </c>
      <c r="N498">
        <v>137</v>
      </c>
      <c r="O498">
        <v>124</v>
      </c>
      <c r="P498"/>
      <c r="Q498" s="6">
        <f>(SUM(Pcfu4[[#This Row],[R1]:[R3]]))/(Pcfu4[[#This Row],[No. Reps]]*0.025)*Pcfu4[[#This Row],[Best DF]]</f>
        <v>5220000000</v>
      </c>
      <c r="R498" s="1">
        <f>_xlfn.STDEV.S(Pcfu4[[#This Row],[R1]:[R3]])/0.025*Pcfu4[[#This Row],[Best DF]]</f>
        <v>367695526.21700466</v>
      </c>
      <c r="S498" s="6">
        <f>Pcfu4[[#This Row],[CFU/mL]]*Pcfu4[[#This Row],[mL]]/Pcfu4[[#This Row],[grams]]</f>
        <v>99180000000</v>
      </c>
      <c r="T498" s="1">
        <f>Pcfu4[[#This Row],[SD CFU/mL]]*Pcfu4[[#This Row],[mL]]/Pcfu4[[#This Row],[grams]]</f>
        <v>6986214998.1230888</v>
      </c>
      <c r="U498" s="7">
        <f>_xlfn.STDEV.S(Pcfu43[[#This Row],[R1]:[R3]])/AVERAGE(Pcfu43[[#This Row],[R1]:[R3]])</f>
        <v>0.33756745937288651</v>
      </c>
      <c r="V498" s="96">
        <v>0.28899999999999998</v>
      </c>
      <c r="W498" s="7"/>
      <c r="X498" t="s">
        <v>485</v>
      </c>
    </row>
    <row r="499" spans="1:24" x14ac:dyDescent="0.15">
      <c r="A499" t="s">
        <v>486</v>
      </c>
      <c r="B499" t="s">
        <v>482</v>
      </c>
      <c r="D499" t="s">
        <v>86</v>
      </c>
      <c r="E499" s="3">
        <v>2</v>
      </c>
      <c r="G499">
        <v>0.3</v>
      </c>
      <c r="H499" s="5">
        <f>19*Pcfu4[[#This Row],[grams]]</f>
        <v>5.7</v>
      </c>
      <c r="I499" s="3" t="s">
        <v>170</v>
      </c>
      <c r="J499" s="59">
        <v>44953</v>
      </c>
      <c r="K499" s="3" t="s">
        <v>206</v>
      </c>
      <c r="L499" s="59" cm="1">
        <f t="array" ref="L499">INDEX($J$4:J1589, MATCH(1,(A499=$A$4:A1587)*(C499=$C$4:C1587)*("Y"=$K$4:K1589),0))</f>
        <v>44953</v>
      </c>
      <c r="M499" s="1">
        <v>1000000</v>
      </c>
      <c r="N499">
        <v>162</v>
      </c>
      <c r="O499">
        <v>186</v>
      </c>
      <c r="P499"/>
      <c r="Q499" s="6">
        <f>(SUM(Pcfu4[[#This Row],[R1]:[R3]]))/(Pcfu4[[#This Row],[No. Reps]]*0.025)*Pcfu4[[#This Row],[Best DF]]</f>
        <v>6960000000</v>
      </c>
      <c r="R499" s="1">
        <f>_xlfn.STDEV.S(Pcfu4[[#This Row],[R1]:[R3]])/0.025*Pcfu4[[#This Row],[Best DF]]</f>
        <v>678822509.93908548</v>
      </c>
      <c r="S499" s="6">
        <f>Pcfu4[[#This Row],[CFU/mL]]*Pcfu4[[#This Row],[mL]]/Pcfu4[[#This Row],[grams]]</f>
        <v>132240000000</v>
      </c>
      <c r="T499" s="1">
        <f>Pcfu4[[#This Row],[SD CFU/mL]]*Pcfu4[[#This Row],[mL]]/Pcfu4[[#This Row],[grams]]</f>
        <v>12897627688.842625</v>
      </c>
      <c r="U499" s="7">
        <f>_xlfn.STDEV.S(Pcfu43[[#This Row],[R1]:[R3]])/AVERAGE(Pcfu43[[#This Row],[R1]:[R3]])</f>
        <v>9.6225044864937617E-2</v>
      </c>
      <c r="V499" s="96">
        <v>0.28999999999999998</v>
      </c>
      <c r="W499" s="7"/>
      <c r="X499" s="61" t="s">
        <v>487</v>
      </c>
    </row>
    <row r="500" spans="1:24" x14ac:dyDescent="0.15">
      <c r="A500" t="s">
        <v>488</v>
      </c>
      <c r="B500" t="s">
        <v>482</v>
      </c>
      <c r="D500" t="s">
        <v>86</v>
      </c>
      <c r="E500" s="3">
        <v>2</v>
      </c>
      <c r="G500">
        <v>0.3</v>
      </c>
      <c r="H500" s="5">
        <f>19*Pcfu4[[#This Row],[grams]]</f>
        <v>5.7</v>
      </c>
      <c r="I500" s="3" t="s">
        <v>170</v>
      </c>
      <c r="J500" s="59">
        <v>44953</v>
      </c>
      <c r="L500" s="59" t="e" cm="1">
        <f t="array" ref="L500">INDEX($J$4:J1590, MATCH(1,(A500=$A$4:A1588)*(C500=$C$4:C1588)*("Y"=$K$4:K1590),0))</f>
        <v>#N/A</v>
      </c>
      <c r="M500" s="1">
        <v>1000000</v>
      </c>
      <c r="N500">
        <v>175</v>
      </c>
      <c r="O500">
        <v>174</v>
      </c>
      <c r="P500"/>
      <c r="Q500" s="6">
        <f>(SUM(Pcfu4[[#This Row],[R1]:[R3]]))/(Pcfu4[[#This Row],[No. Reps]]*0.025)*Pcfu4[[#This Row],[Best DF]]</f>
        <v>6980000000</v>
      </c>
      <c r="R500" s="1">
        <f>_xlfn.STDEV.S(Pcfu4[[#This Row],[R1]:[R3]])/0.025*Pcfu4[[#This Row],[Best DF]]</f>
        <v>28284271.247461904</v>
      </c>
      <c r="S500" s="6">
        <f>Pcfu4[[#This Row],[CFU/mL]]*Pcfu4[[#This Row],[mL]]/Pcfu4[[#This Row],[grams]]</f>
        <v>132620000000</v>
      </c>
      <c r="T500" s="1">
        <f>Pcfu4[[#This Row],[SD CFU/mL]]*Pcfu4[[#This Row],[mL]]/Pcfu4[[#This Row],[grams]]</f>
        <v>537401153.70177615</v>
      </c>
      <c r="U500" s="7">
        <f>_xlfn.STDEV.S(Pcfu43[[#This Row],[R1]:[R3]])/AVERAGE(Pcfu43[[#This Row],[R1]:[R3]])</f>
        <v>0.18724873595339231</v>
      </c>
      <c r="V500" s="96">
        <v>0.23699999999999999</v>
      </c>
      <c r="W500" s="7"/>
      <c r="X500" t="s">
        <v>489</v>
      </c>
    </row>
    <row r="501" spans="1:24" x14ac:dyDescent="0.15">
      <c r="A501" t="s">
        <v>490</v>
      </c>
      <c r="B501" t="s">
        <v>482</v>
      </c>
      <c r="D501" t="s">
        <v>86</v>
      </c>
      <c r="E501" s="3">
        <v>2</v>
      </c>
      <c r="G501">
        <v>0.3</v>
      </c>
      <c r="H501" s="5">
        <f>19*Pcfu4[[#This Row],[grams]]</f>
        <v>5.7</v>
      </c>
      <c r="I501" s="3" t="s">
        <v>170</v>
      </c>
      <c r="J501" s="59">
        <v>44953</v>
      </c>
      <c r="L501" s="59" t="e" cm="1">
        <f t="array" ref="L501">INDEX($J$4:J1591, MATCH(1,(A501=$A$4:A1589)*(C501=$C$4:C1589)*("Y"=$K$4:K1591),0))</f>
        <v>#N/A</v>
      </c>
      <c r="M501" s="1">
        <v>1000000</v>
      </c>
      <c r="N501">
        <v>213</v>
      </c>
      <c r="O501">
        <v>230</v>
      </c>
      <c r="P501"/>
      <c r="Q501" s="6">
        <f>(SUM(Pcfu4[[#This Row],[R1]:[R3]]))/(Pcfu4[[#This Row],[No. Reps]]*0.025)*Pcfu4[[#This Row],[Best DF]]</f>
        <v>8860000000</v>
      </c>
      <c r="R501" s="1">
        <f>_xlfn.STDEV.S(Pcfu4[[#This Row],[R1]:[R3]])/0.025*Pcfu4[[#This Row],[Best DF]]</f>
        <v>480832611.20685226</v>
      </c>
      <c r="S501" s="6">
        <f>Pcfu4[[#This Row],[CFU/mL]]*Pcfu4[[#This Row],[mL]]/Pcfu4[[#This Row],[grams]]</f>
        <v>168340000000</v>
      </c>
      <c r="T501" s="1">
        <f>Pcfu4[[#This Row],[SD CFU/mL]]*Pcfu4[[#This Row],[mL]]/Pcfu4[[#This Row],[grams]]</f>
        <v>9135819612.9301929</v>
      </c>
      <c r="U501" s="7">
        <f>_xlfn.STDEV.S(Pcfu43[[#This Row],[R1]:[R3]])/AVERAGE(Pcfu43[[#This Row],[R1]:[R3]])</f>
        <v>0.12376777762738972</v>
      </c>
      <c r="V501" s="96">
        <v>0.31</v>
      </c>
      <c r="W501" s="7"/>
      <c r="X501" t="s">
        <v>491</v>
      </c>
    </row>
    <row r="502" spans="1:24" x14ac:dyDescent="0.15">
      <c r="A502" t="s">
        <v>492</v>
      </c>
      <c r="B502" t="s">
        <v>482</v>
      </c>
      <c r="D502" t="s">
        <v>86</v>
      </c>
      <c r="E502" s="3">
        <v>2</v>
      </c>
      <c r="G502">
        <v>0.3</v>
      </c>
      <c r="H502" s="5">
        <f>19*Pcfu4[[#This Row],[grams]]</f>
        <v>5.7</v>
      </c>
      <c r="I502" s="3" t="s">
        <v>170</v>
      </c>
      <c r="J502" s="59">
        <v>44953</v>
      </c>
      <c r="L502" s="59" t="e" cm="1">
        <f t="array" ref="L502">INDEX($J$4:J1592, MATCH(1,(A502=$A$4:A1590)*(C502=$C$4:C1590)*("Y"=$K$4:K1592),0))</f>
        <v>#N/A</v>
      </c>
      <c r="M502" s="1">
        <v>1000000</v>
      </c>
      <c r="N502">
        <v>189</v>
      </c>
      <c r="O502">
        <v>198</v>
      </c>
      <c r="P502"/>
      <c r="Q502" s="6">
        <f>(SUM(Pcfu4[[#This Row],[R1]:[R3]]))/(Pcfu4[[#This Row],[No. Reps]]*0.025)*Pcfu4[[#This Row],[Best DF]]</f>
        <v>7740000000</v>
      </c>
      <c r="R502" s="1">
        <f>_xlfn.STDEV.S(Pcfu4[[#This Row],[R1]:[R3]])/0.025*Pcfu4[[#This Row],[Best DF]]</f>
        <v>254558441.22715709</v>
      </c>
      <c r="S502" s="6">
        <f>Pcfu4[[#This Row],[CFU/mL]]*Pcfu4[[#This Row],[mL]]/Pcfu4[[#This Row],[grams]]</f>
        <v>147060000000</v>
      </c>
      <c r="T502" s="1">
        <f>Pcfu4[[#This Row],[SD CFU/mL]]*Pcfu4[[#This Row],[mL]]/Pcfu4[[#This Row],[grams]]</f>
        <v>4836610383.3159847</v>
      </c>
      <c r="U502" s="7">
        <f>_xlfn.STDEV.S(Pcfu43[[#This Row],[R1]:[R3]])/AVERAGE(Pcfu43[[#This Row],[R1]:[R3]])</f>
        <v>8.2478609884232251E-2</v>
      </c>
      <c r="V502" s="96">
        <v>0.29099999999999998</v>
      </c>
      <c r="W502" s="7"/>
      <c r="X502" t="s">
        <v>493</v>
      </c>
    </row>
    <row r="503" spans="1:24" x14ac:dyDescent="0.15">
      <c r="A503" t="s">
        <v>494</v>
      </c>
      <c r="B503" t="s">
        <v>482</v>
      </c>
      <c r="D503" t="s">
        <v>86</v>
      </c>
      <c r="E503" s="3">
        <v>2</v>
      </c>
      <c r="G503">
        <v>0.3</v>
      </c>
      <c r="H503" s="5">
        <f>19*Pcfu4[[#This Row],[grams]]</f>
        <v>5.7</v>
      </c>
      <c r="I503" s="3" t="s">
        <v>170</v>
      </c>
      <c r="J503" s="59">
        <v>44953</v>
      </c>
      <c r="L503" s="59" t="e" cm="1">
        <f t="array" ref="L503">INDEX($J$4:J1593, MATCH(1,(A503=$A$4:A1591)*(C503=$C$4:C1591)*("Y"=$K$4:K1593),0))</f>
        <v>#N/A</v>
      </c>
      <c r="M503" s="1">
        <v>1000000</v>
      </c>
      <c r="N503">
        <v>117</v>
      </c>
      <c r="O503">
        <v>124</v>
      </c>
      <c r="P503"/>
      <c r="Q503" s="6">
        <f>(SUM(Pcfu4[[#This Row],[R1]:[R3]]))/(Pcfu4[[#This Row],[No. Reps]]*0.025)*Pcfu4[[#This Row],[Best DF]]</f>
        <v>4820000000</v>
      </c>
      <c r="R503" s="1">
        <f>_xlfn.STDEV.S(Pcfu4[[#This Row],[R1]:[R3]])/0.025*Pcfu4[[#This Row],[Best DF]]</f>
        <v>197989898.73223329</v>
      </c>
      <c r="S503" s="6">
        <f>Pcfu4[[#This Row],[CFU/mL]]*Pcfu4[[#This Row],[mL]]/Pcfu4[[#This Row],[grams]]</f>
        <v>91580000000</v>
      </c>
      <c r="T503" s="1">
        <f>Pcfu4[[#This Row],[SD CFU/mL]]*Pcfu4[[#This Row],[mL]]/Pcfu4[[#This Row],[grams]]</f>
        <v>3761808075.9124327</v>
      </c>
      <c r="U503" s="7">
        <f>_xlfn.STDEV.S(Pcfu43[[#This Row],[R1]:[R3]])/AVERAGE(Pcfu43[[#This Row],[R1]:[R3]])</f>
        <v>0.19500322106195045</v>
      </c>
      <c r="V503" s="96">
        <v>0.39400000000000002</v>
      </c>
      <c r="W503" s="7"/>
      <c r="X503" t="s">
        <v>495</v>
      </c>
    </row>
    <row r="504" spans="1:24" x14ac:dyDescent="0.15">
      <c r="A504" t="s">
        <v>496</v>
      </c>
      <c r="B504" t="s">
        <v>482</v>
      </c>
      <c r="D504" t="s">
        <v>86</v>
      </c>
      <c r="E504" s="3">
        <v>2</v>
      </c>
      <c r="G504">
        <v>0.3</v>
      </c>
      <c r="H504" s="5">
        <f>19*Pcfu4[[#This Row],[grams]]</f>
        <v>5.7</v>
      </c>
      <c r="I504" s="3" t="s">
        <v>170</v>
      </c>
      <c r="J504" s="59">
        <v>44953</v>
      </c>
      <c r="L504" s="59" t="e" cm="1">
        <f t="array" ref="L504">INDEX($J$4:J1594, MATCH(1,(A504=$A$4:A1592)*(C504=$C$4:C1592)*("Y"=$K$4:K1594),0))</f>
        <v>#N/A</v>
      </c>
      <c r="M504" s="1">
        <v>10000000</v>
      </c>
      <c r="N504">
        <v>29</v>
      </c>
      <c r="O504">
        <v>31</v>
      </c>
      <c r="P504"/>
      <c r="Q504" s="6">
        <f>(SUM(Pcfu4[[#This Row],[R1]:[R3]]))/(Pcfu4[[#This Row],[No. Reps]]*0.025)*Pcfu4[[#This Row],[Best DF]]</f>
        <v>12000000000</v>
      </c>
      <c r="R504" s="1">
        <f>_xlfn.STDEV.S(Pcfu4[[#This Row],[R1]:[R3]])/0.025*Pcfu4[[#This Row],[Best DF]]</f>
        <v>565685424.94923806</v>
      </c>
      <c r="S504" s="6">
        <f>Pcfu4[[#This Row],[CFU/mL]]*Pcfu4[[#This Row],[mL]]/Pcfu4[[#This Row],[grams]]</f>
        <v>228000000000</v>
      </c>
      <c r="T504" s="1">
        <f>Pcfu4[[#This Row],[SD CFU/mL]]*Pcfu4[[#This Row],[mL]]/Pcfu4[[#This Row],[grams]]</f>
        <v>10748023074.035524</v>
      </c>
      <c r="U504" s="7">
        <f>_xlfn.STDEV.S(Pcfu43[[#This Row],[R1]:[R3]])/AVERAGE(Pcfu43[[#This Row],[R1]:[R3]])</f>
        <v>0.1065715277896707</v>
      </c>
      <c r="V504" s="96">
        <v>0.27</v>
      </c>
      <c r="W504" s="7"/>
      <c r="X504" t="s">
        <v>497</v>
      </c>
    </row>
    <row r="505" spans="1:24" x14ac:dyDescent="0.15">
      <c r="A505" t="s">
        <v>498</v>
      </c>
      <c r="B505" t="s">
        <v>482</v>
      </c>
      <c r="D505" t="s">
        <v>86</v>
      </c>
      <c r="E505" s="3">
        <v>2</v>
      </c>
      <c r="G505">
        <v>0.3</v>
      </c>
      <c r="H505" s="5">
        <f>19*Pcfu4[[#This Row],[grams]]</f>
        <v>5.7</v>
      </c>
      <c r="I505" s="3" t="s">
        <v>170</v>
      </c>
      <c r="J505" s="59">
        <v>44953</v>
      </c>
      <c r="L505" s="59" t="e" cm="1">
        <f t="array" ref="L505">INDEX($J$4:J1595, MATCH(1,(A505=$A$4:A1593)*(C505=$C$4:C1593)*("Y"=$K$4:K1595),0))</f>
        <v>#N/A</v>
      </c>
      <c r="M505" s="1">
        <v>1000000</v>
      </c>
      <c r="N505">
        <v>160</v>
      </c>
      <c r="O505">
        <v>151</v>
      </c>
      <c r="P505"/>
      <c r="Q505" s="6">
        <f>(SUM(Pcfu4[[#This Row],[R1]:[R3]]))/(Pcfu4[[#This Row],[No. Reps]]*0.025)*Pcfu4[[#This Row],[Best DF]]</f>
        <v>6220000000</v>
      </c>
      <c r="R505" s="1">
        <f>_xlfn.STDEV.S(Pcfu4[[#This Row],[R1]:[R3]])/0.025*Pcfu4[[#This Row],[Best DF]]</f>
        <v>254558441.22715709</v>
      </c>
      <c r="S505" s="6">
        <f>Pcfu4[[#This Row],[CFU/mL]]*Pcfu4[[#This Row],[mL]]/Pcfu4[[#This Row],[grams]]</f>
        <v>118180000000</v>
      </c>
      <c r="T505" s="1">
        <f>Pcfu4[[#This Row],[SD CFU/mL]]*Pcfu4[[#This Row],[mL]]/Pcfu4[[#This Row],[grams]]</f>
        <v>4836610383.3159847</v>
      </c>
      <c r="U505" s="7">
        <f>_xlfn.STDEV.S(Pcfu43[[#This Row],[R1]:[R3]])/AVERAGE(Pcfu43[[#This Row],[R1]:[R3]])</f>
        <v>0.37090964465357512</v>
      </c>
      <c r="V505" s="96">
        <v>0.26100000000000001</v>
      </c>
      <c r="W505" s="7"/>
      <c r="X505" s="61" t="s">
        <v>499</v>
      </c>
    </row>
    <row r="506" spans="1:24" x14ac:dyDescent="0.15">
      <c r="A506" t="s">
        <v>500</v>
      </c>
      <c r="B506" t="s">
        <v>482</v>
      </c>
      <c r="D506" t="s">
        <v>86</v>
      </c>
      <c r="E506" s="3">
        <v>2</v>
      </c>
      <c r="G506">
        <v>0.3</v>
      </c>
      <c r="H506" s="5">
        <f>19*Pcfu4[[#This Row],[grams]]</f>
        <v>5.7</v>
      </c>
      <c r="I506" s="3" t="s">
        <v>170</v>
      </c>
      <c r="J506" s="59">
        <v>44953</v>
      </c>
      <c r="L506" s="59" t="e" cm="1">
        <f t="array" ref="L506">INDEX($J$4:J1596, MATCH(1,(A506=$A$4:A1594)*(C506=$C$4:C1594)*("Y"=$K$4:K1596),0))</f>
        <v>#N/A</v>
      </c>
      <c r="M506" s="1">
        <v>1000000</v>
      </c>
      <c r="N506">
        <v>55</v>
      </c>
      <c r="O506">
        <v>89</v>
      </c>
      <c r="P506"/>
      <c r="Q506" s="6">
        <f>(SUM(Pcfu4[[#This Row],[R1]:[R3]]))/(Pcfu4[[#This Row],[No. Reps]]*0.025)*Pcfu4[[#This Row],[Best DF]]</f>
        <v>2880000000</v>
      </c>
      <c r="R506" s="1">
        <f>_xlfn.STDEV.S(Pcfu4[[#This Row],[R1]:[R3]])/0.025*Pcfu4[[#This Row],[Best DF]]</f>
        <v>961665222.41370451</v>
      </c>
      <c r="S506" s="6">
        <f>Pcfu4[[#This Row],[CFU/mL]]*Pcfu4[[#This Row],[mL]]/Pcfu4[[#This Row],[grams]]</f>
        <v>54720000000</v>
      </c>
      <c r="T506" s="1">
        <f>Pcfu4[[#This Row],[SD CFU/mL]]*Pcfu4[[#This Row],[mL]]/Pcfu4[[#This Row],[grams]]</f>
        <v>18271639225.860386</v>
      </c>
      <c r="U506" s="7">
        <f>_xlfn.STDEV.S(Pcfu43[[#This Row],[R1]:[R3]])/AVERAGE(Pcfu43[[#This Row],[R1]:[R3]])</f>
        <v>0.4330127018922193</v>
      </c>
      <c r="V506" s="96">
        <v>0.23899999999999999</v>
      </c>
      <c r="W506" s="7"/>
      <c r="X506" t="s">
        <v>501</v>
      </c>
    </row>
    <row r="507" spans="1:24" x14ac:dyDescent="0.15">
      <c r="A507" t="s">
        <v>502</v>
      </c>
      <c r="B507" t="s">
        <v>482</v>
      </c>
      <c r="D507" t="s">
        <v>86</v>
      </c>
      <c r="E507" s="3">
        <v>2</v>
      </c>
      <c r="G507">
        <v>0.3</v>
      </c>
      <c r="H507" s="5">
        <f>19*Pcfu4[[#This Row],[grams]]</f>
        <v>5.7</v>
      </c>
      <c r="I507" s="3" t="s">
        <v>170</v>
      </c>
      <c r="J507" s="59">
        <v>44953</v>
      </c>
      <c r="L507" s="59" t="e" cm="1">
        <f t="array" ref="L507">INDEX($J$4:J1597, MATCH(1,(A507=$A$4:A1595)*(C507=$C$4:C1595)*("Y"=$K$4:K1597),0))</f>
        <v>#N/A</v>
      </c>
      <c r="M507" s="1">
        <v>1000000</v>
      </c>
      <c r="N507">
        <v>108</v>
      </c>
      <c r="O507">
        <v>95</v>
      </c>
      <c r="P507"/>
      <c r="Q507" s="6">
        <f>(SUM(Pcfu4[[#This Row],[R1]:[R3]]))/(Pcfu4[[#This Row],[No. Reps]]*0.025)*Pcfu4[[#This Row],[Best DF]]</f>
        <v>4060000000</v>
      </c>
      <c r="R507" s="1">
        <f>_xlfn.STDEV.S(Pcfu4[[#This Row],[R1]:[R3]])/0.025*Pcfu4[[#This Row],[Best DF]]</f>
        <v>367695526.21700466</v>
      </c>
      <c r="S507" s="6">
        <f>Pcfu4[[#This Row],[CFU/mL]]*Pcfu4[[#This Row],[mL]]/Pcfu4[[#This Row],[grams]]</f>
        <v>77140000000</v>
      </c>
      <c r="T507" s="1">
        <f>Pcfu4[[#This Row],[SD CFU/mL]]*Pcfu4[[#This Row],[mL]]/Pcfu4[[#This Row],[grams]]</f>
        <v>6986214998.1230888</v>
      </c>
      <c r="U507" s="7">
        <f>_xlfn.STDEV.S(Pcfu43[[#This Row],[R1]:[R3]])/AVERAGE(Pcfu43[[#This Row],[R1]:[R3]])</f>
        <v>0.27553287888551314</v>
      </c>
      <c r="V507" s="96">
        <v>0.184</v>
      </c>
      <c r="W507" s="7"/>
      <c r="X507" t="s">
        <v>503</v>
      </c>
    </row>
    <row r="508" spans="1:24" x14ac:dyDescent="0.15">
      <c r="A508" t="s">
        <v>420</v>
      </c>
      <c r="B508" t="s">
        <v>204</v>
      </c>
      <c r="D508" t="s">
        <v>37</v>
      </c>
      <c r="E508" s="3">
        <v>2</v>
      </c>
      <c r="G508">
        <v>0.3</v>
      </c>
      <c r="H508" s="5">
        <f>19*Pcfu4[[#This Row],[grams]]</f>
        <v>5.7</v>
      </c>
      <c r="I508" s="3" t="s">
        <v>170</v>
      </c>
      <c r="J508" s="59">
        <v>44956</v>
      </c>
      <c r="L508" s="59" t="e" cm="1">
        <f t="array" ref="L508">INDEX($J$4:J1598, MATCH(1,(A508=$A$4:A1596)*(C508=$C$4:C1596)*("Y"=$K$4:K1598),0))</f>
        <v>#N/A</v>
      </c>
      <c r="M508" s="1">
        <v>100000</v>
      </c>
      <c r="N508">
        <v>4</v>
      </c>
      <c r="O508">
        <v>7</v>
      </c>
      <c r="P508"/>
      <c r="Q508" s="6">
        <f>(SUM(Pcfu4[[#This Row],[R1]:[R3]]))/(Pcfu4[[#This Row],[No. Reps]]*0.025)*Pcfu4[[#This Row],[Best DF]]</f>
        <v>22000000</v>
      </c>
      <c r="R508" s="1">
        <f>_xlfn.STDEV.S(Pcfu4[[#This Row],[R1]:[R3]])/0.025*Pcfu4[[#This Row],[Best DF]]</f>
        <v>8485281.3742385693</v>
      </c>
      <c r="S508" s="6">
        <f>Pcfu4[[#This Row],[CFU/mL]]*Pcfu4[[#This Row],[mL]]/Pcfu4[[#This Row],[grams]]</f>
        <v>418000000</v>
      </c>
      <c r="T508" s="1">
        <f>Pcfu4[[#This Row],[SD CFU/mL]]*Pcfu4[[#This Row],[mL]]/Pcfu4[[#This Row],[grams]]</f>
        <v>161220346.11053285</v>
      </c>
      <c r="U508" s="7">
        <f>_xlfn.STDEV.S(Pcfu43[[#This Row],[R1]:[R3]])/AVERAGE(Pcfu43[[#This Row],[R1]:[R3]])</f>
        <v>0</v>
      </c>
      <c r="V508" s="96">
        <v>0.308</v>
      </c>
      <c r="W508" s="7"/>
      <c r="X508" t="s">
        <v>504</v>
      </c>
    </row>
    <row r="509" spans="1:24" x14ac:dyDescent="0.15">
      <c r="A509" t="s">
        <v>422</v>
      </c>
      <c r="B509" t="s">
        <v>204</v>
      </c>
      <c r="D509" t="s">
        <v>37</v>
      </c>
      <c r="E509" s="3">
        <v>2</v>
      </c>
      <c r="G509">
        <v>0.3</v>
      </c>
      <c r="H509" s="5">
        <f>19*Pcfu4[[#This Row],[grams]]</f>
        <v>5.7</v>
      </c>
      <c r="I509" s="3" t="s">
        <v>170</v>
      </c>
      <c r="J509" s="59">
        <v>44956</v>
      </c>
      <c r="L509" s="59" t="e" cm="1">
        <f t="array" ref="L509">INDEX($J$4:J1599, MATCH(1,(A509=$A$4:A1597)*(C509=$C$4:C1597)*("Y"=$K$4:K1599),0))</f>
        <v>#N/A</v>
      </c>
      <c r="M509" s="1">
        <v>100000</v>
      </c>
      <c r="N509">
        <v>1</v>
      </c>
      <c r="O509">
        <v>0</v>
      </c>
      <c r="P509"/>
      <c r="Q509" s="6">
        <f>(SUM(Pcfu4[[#This Row],[R1]:[R3]]))/(Pcfu4[[#This Row],[No. Reps]]*0.025)*Pcfu4[[#This Row],[Best DF]]</f>
        <v>2000000</v>
      </c>
      <c r="R509" s="1">
        <f>_xlfn.STDEV.S(Pcfu4[[#This Row],[R1]:[R3]])/0.025*Pcfu4[[#This Row],[Best DF]]</f>
        <v>2828427.1247461904</v>
      </c>
      <c r="S509" s="6">
        <f>Pcfu4[[#This Row],[CFU/mL]]*Pcfu4[[#This Row],[mL]]/Pcfu4[[#This Row],[grams]]</f>
        <v>38000000</v>
      </c>
      <c r="T509" s="1">
        <f>Pcfu4[[#This Row],[SD CFU/mL]]*Pcfu4[[#This Row],[mL]]/Pcfu4[[#This Row],[grams]]</f>
        <v>53740115.370177619</v>
      </c>
      <c r="U509" s="7">
        <f>_xlfn.STDEV.S(Pcfu43[[#This Row],[R1]:[R3]])/AVERAGE(Pcfu43[[#This Row],[R1]:[R3]])</f>
        <v>9.4258908197125749E-2</v>
      </c>
      <c r="V509" s="96">
        <v>0.254</v>
      </c>
      <c r="W509" s="7"/>
      <c r="X509" t="s">
        <v>505</v>
      </c>
    </row>
    <row r="510" spans="1:24" x14ac:dyDescent="0.15">
      <c r="A510" t="s">
        <v>424</v>
      </c>
      <c r="B510" t="s">
        <v>204</v>
      </c>
      <c r="D510" t="s">
        <v>37</v>
      </c>
      <c r="E510" s="3">
        <v>2</v>
      </c>
      <c r="G510">
        <v>0.3</v>
      </c>
      <c r="H510" s="5">
        <f>19*Pcfu4[[#This Row],[grams]]</f>
        <v>5.7</v>
      </c>
      <c r="I510" s="3" t="s">
        <v>170</v>
      </c>
      <c r="J510" s="59">
        <v>44956</v>
      </c>
      <c r="L510" s="59" t="e" cm="1">
        <f t="array" ref="L510">INDEX($J$4:J1600, MATCH(1,(A510=$A$4:A1598)*(C510=$C$4:C1598)*("Y"=$K$4:K1600),0))</f>
        <v>#N/A</v>
      </c>
      <c r="M510" s="1">
        <v>100000</v>
      </c>
      <c r="N510">
        <v>7</v>
      </c>
      <c r="O510">
        <v>6</v>
      </c>
      <c r="P510"/>
      <c r="Q510" s="6">
        <f>(SUM(Pcfu4[[#This Row],[R1]:[R3]]))/(Pcfu4[[#This Row],[No. Reps]]*0.025)*Pcfu4[[#This Row],[Best DF]]</f>
        <v>26000000</v>
      </c>
      <c r="R510" s="1">
        <f>_xlfn.STDEV.S(Pcfu4[[#This Row],[R1]:[R3]])/0.025*Pcfu4[[#This Row],[Best DF]]</f>
        <v>2828427.1247461904</v>
      </c>
      <c r="S510" s="6">
        <f>Pcfu4[[#This Row],[CFU/mL]]*Pcfu4[[#This Row],[mL]]/Pcfu4[[#This Row],[grams]]</f>
        <v>494000000</v>
      </c>
      <c r="T510" s="1">
        <f>Pcfu4[[#This Row],[SD CFU/mL]]*Pcfu4[[#This Row],[mL]]/Pcfu4[[#This Row],[grams]]</f>
        <v>53740115.370177619</v>
      </c>
      <c r="U510" s="7">
        <f>_xlfn.STDEV.S(Pcfu43[[#This Row],[R1]:[R3]])/AVERAGE(Pcfu43[[#This Row],[R1]:[R3]])</f>
        <v>0.14291471946034998</v>
      </c>
      <c r="V510" s="96">
        <v>0.27100000000000002</v>
      </c>
      <c r="W510" s="7"/>
      <c r="X510" t="s">
        <v>423</v>
      </c>
    </row>
    <row r="511" spans="1:24" x14ac:dyDescent="0.15">
      <c r="A511" t="s">
        <v>506</v>
      </c>
      <c r="B511" t="s">
        <v>204</v>
      </c>
      <c r="D511" t="s">
        <v>86</v>
      </c>
      <c r="E511" s="3">
        <v>2</v>
      </c>
      <c r="G511">
        <v>0.3</v>
      </c>
      <c r="H511" s="5">
        <f>19*Pcfu4[[#This Row],[grams]]</f>
        <v>5.7</v>
      </c>
      <c r="I511" s="3" t="s">
        <v>170</v>
      </c>
      <c r="J511" s="59">
        <v>44956</v>
      </c>
      <c r="L511" s="59" t="e" cm="1">
        <f t="array" ref="L511">INDEX($J$4:J1601, MATCH(1,(A511=$A$4:A1599)*(C511=$C$4:C1599)*("Y"=$K$4:K1601),0))</f>
        <v>#N/A</v>
      </c>
      <c r="M511" s="1">
        <v>1000000</v>
      </c>
      <c r="N511">
        <v>60</v>
      </c>
      <c r="O511">
        <v>63</v>
      </c>
      <c r="P511"/>
      <c r="Q511" s="6">
        <f>(SUM(Pcfu4[[#This Row],[R1]:[R3]]))/(Pcfu4[[#This Row],[No. Reps]]*0.025)*Pcfu4[[#This Row],[Best DF]]</f>
        <v>2460000000</v>
      </c>
      <c r="R511" s="1">
        <f>_xlfn.STDEV.S(Pcfu4[[#This Row],[R1]:[R3]])/0.025*Pcfu4[[#This Row],[Best DF]]</f>
        <v>84852813.742385685</v>
      </c>
      <c r="S511" s="6">
        <f>Pcfu4[[#This Row],[CFU/mL]]*Pcfu4[[#This Row],[mL]]/Pcfu4[[#This Row],[grams]]</f>
        <v>46740000000</v>
      </c>
      <c r="T511" s="1">
        <f>Pcfu4[[#This Row],[SD CFU/mL]]*Pcfu4[[#This Row],[mL]]/Pcfu4[[#This Row],[grams]]</f>
        <v>1612203461.1053281</v>
      </c>
      <c r="U511" s="7">
        <f>_xlfn.STDEV.S(Pcfu43[[#This Row],[R1]:[R3]])/AVERAGE(Pcfu43[[#This Row],[R1]:[R3]])</f>
        <v>9.3580962004587986E-2</v>
      </c>
      <c r="V511" s="96">
        <v>0.21299999999999999</v>
      </c>
      <c r="W511" s="7"/>
      <c r="X511" t="s">
        <v>507</v>
      </c>
    </row>
    <row r="512" spans="1:24" x14ac:dyDescent="0.15">
      <c r="A512" t="s">
        <v>508</v>
      </c>
      <c r="B512" t="s">
        <v>204</v>
      </c>
      <c r="D512" t="s">
        <v>86</v>
      </c>
      <c r="E512" s="3">
        <v>2</v>
      </c>
      <c r="G512">
        <v>0.3</v>
      </c>
      <c r="H512" s="5">
        <f>19*Pcfu4[[#This Row],[grams]]</f>
        <v>5.7</v>
      </c>
      <c r="I512" s="3" t="s">
        <v>170</v>
      </c>
      <c r="J512" s="59">
        <v>44956</v>
      </c>
      <c r="L512" s="59" t="e" cm="1">
        <f t="array" ref="L512">INDEX($J$4:J1602, MATCH(1,(A512=$A$4:A1600)*(C512=$C$4:C1600)*("Y"=$K$4:K1602),0))</f>
        <v>#N/A</v>
      </c>
      <c r="M512" s="1">
        <v>1000000</v>
      </c>
      <c r="N512">
        <v>56</v>
      </c>
      <c r="O512">
        <v>120</v>
      </c>
      <c r="P512"/>
      <c r="Q512" s="6">
        <f>(SUM(Pcfu4[[#This Row],[R1]:[R3]]))/(Pcfu4[[#This Row],[No. Reps]]*0.025)*Pcfu4[[#This Row],[Best DF]]</f>
        <v>3520000000</v>
      </c>
      <c r="R512" s="1">
        <f>_xlfn.STDEV.S(Pcfu4[[#This Row],[R1]:[R3]])/0.025*Pcfu4[[#This Row],[Best DF]]</f>
        <v>1810193359.8375618</v>
      </c>
      <c r="S512" s="6">
        <f>Pcfu4[[#This Row],[CFU/mL]]*Pcfu4[[#This Row],[mL]]/Pcfu4[[#This Row],[grams]]</f>
        <v>66880000000</v>
      </c>
      <c r="T512" s="1">
        <f>Pcfu4[[#This Row],[SD CFU/mL]]*Pcfu4[[#This Row],[mL]]/Pcfu4[[#This Row],[grams]]</f>
        <v>34393673836.913673</v>
      </c>
      <c r="U512" s="7">
        <f>_xlfn.STDEV.S(Pcfu43[[#This Row],[R1]:[R3]])/AVERAGE(Pcfu43[[#This Row],[R1]:[R3]])</f>
        <v>4.0862926953359975E-2</v>
      </c>
      <c r="V512" s="96">
        <v>0.155</v>
      </c>
      <c r="W512" s="7"/>
      <c r="X512" t="s">
        <v>509</v>
      </c>
    </row>
    <row r="513" spans="1:24" x14ac:dyDescent="0.15">
      <c r="A513" t="s">
        <v>510</v>
      </c>
      <c r="B513" t="s">
        <v>204</v>
      </c>
      <c r="D513" t="s">
        <v>86</v>
      </c>
      <c r="E513" s="3">
        <v>2</v>
      </c>
      <c r="G513">
        <v>0.3</v>
      </c>
      <c r="H513" s="5">
        <f>19*Pcfu4[[#This Row],[grams]]</f>
        <v>5.7</v>
      </c>
      <c r="I513" s="3" t="s">
        <v>170</v>
      </c>
      <c r="J513" s="59">
        <v>44956</v>
      </c>
      <c r="L513" s="59" t="e" cm="1">
        <f t="array" ref="L513">INDEX($J$4:J1603, MATCH(1,(A513=$A$4:A1601)*(C513=$C$4:C1601)*("Y"=$K$4:K1603),0))</f>
        <v>#N/A</v>
      </c>
      <c r="M513" s="1">
        <v>1000000</v>
      </c>
      <c r="N513">
        <v>50</v>
      </c>
      <c r="O513">
        <v>31</v>
      </c>
      <c r="P513"/>
      <c r="Q513" s="6">
        <f>(SUM(Pcfu4[[#This Row],[R1]:[R3]]))/(Pcfu4[[#This Row],[No. Reps]]*0.025)*Pcfu4[[#This Row],[Best DF]]</f>
        <v>1620000000</v>
      </c>
      <c r="R513" s="1">
        <f>_xlfn.STDEV.S(Pcfu4[[#This Row],[R1]:[R3]])/0.025*Pcfu4[[#This Row],[Best DF]]</f>
        <v>537401153.70177615</v>
      </c>
      <c r="S513" s="6">
        <f>Pcfu4[[#This Row],[CFU/mL]]*Pcfu4[[#This Row],[mL]]/Pcfu4[[#This Row],[grams]]</f>
        <v>30780000000</v>
      </c>
      <c r="T513" s="1">
        <f>Pcfu4[[#This Row],[SD CFU/mL]]*Pcfu4[[#This Row],[mL]]/Pcfu4[[#This Row],[grams]]</f>
        <v>10210621920.333748</v>
      </c>
      <c r="U513" s="7">
        <f>_xlfn.STDEV.S(Pcfu43[[#This Row],[R1]:[R3]])/AVERAGE(Pcfu43[[#This Row],[R1]:[R3]])</f>
        <v>7.4211752145033838E-2</v>
      </c>
      <c r="V513" s="96">
        <v>0.21299999999999999</v>
      </c>
      <c r="W513" s="7"/>
      <c r="X513" t="s">
        <v>507</v>
      </c>
    </row>
    <row r="514" spans="1:24" x14ac:dyDescent="0.15">
      <c r="A514" t="s">
        <v>511</v>
      </c>
      <c r="B514" t="s">
        <v>204</v>
      </c>
      <c r="D514" t="s">
        <v>86</v>
      </c>
      <c r="E514" s="3">
        <v>2</v>
      </c>
      <c r="G514">
        <v>0.3</v>
      </c>
      <c r="H514" s="5">
        <f>19*Pcfu4[[#This Row],[grams]]</f>
        <v>5.7</v>
      </c>
      <c r="I514" s="3" t="s">
        <v>170</v>
      </c>
      <c r="J514" s="59">
        <v>44956</v>
      </c>
      <c r="L514" s="59" t="e" cm="1">
        <f t="array" ref="L514">INDEX($J$4:J1604, MATCH(1,(A514=$A$4:A1602)*(C514=$C$4:C1602)*("Y"=$K$4:K1604),0))</f>
        <v>#N/A</v>
      </c>
      <c r="M514" s="1">
        <v>1000000</v>
      </c>
      <c r="N514">
        <v>10</v>
      </c>
      <c r="O514">
        <v>14</v>
      </c>
      <c r="P514"/>
      <c r="Q514" s="6">
        <f>(SUM(Pcfu4[[#This Row],[R1]:[R3]]))/(Pcfu4[[#This Row],[No. Reps]]*0.025)*Pcfu4[[#This Row],[Best DF]]</f>
        <v>480000000</v>
      </c>
      <c r="R514" s="1">
        <f>_xlfn.STDEV.S(Pcfu4[[#This Row],[R1]:[R3]])/0.025*Pcfu4[[#This Row],[Best DF]]</f>
        <v>113137084.98984762</v>
      </c>
      <c r="S514" s="6">
        <f>Pcfu4[[#This Row],[CFU/mL]]*Pcfu4[[#This Row],[mL]]/Pcfu4[[#This Row],[grams]]</f>
        <v>9120000000</v>
      </c>
      <c r="T514" s="1">
        <f>Pcfu4[[#This Row],[SD CFU/mL]]*Pcfu4[[#This Row],[mL]]/Pcfu4[[#This Row],[grams]]</f>
        <v>2149604614.8071046</v>
      </c>
      <c r="U514" s="7">
        <f>_xlfn.STDEV.S(Pcfu43[[#This Row],[R1]:[R3]])/AVERAGE(Pcfu43[[#This Row],[R1]:[R3]])</f>
        <v>9.2488149918726434E-2</v>
      </c>
      <c r="V514" s="96">
        <v>0.185</v>
      </c>
      <c r="W514" s="7"/>
      <c r="X514" t="s">
        <v>512</v>
      </c>
    </row>
    <row r="515" spans="1:24" x14ac:dyDescent="0.15">
      <c r="A515" t="s">
        <v>513</v>
      </c>
      <c r="B515" t="s">
        <v>204</v>
      </c>
      <c r="D515" t="s">
        <v>86</v>
      </c>
      <c r="E515" s="3">
        <v>2</v>
      </c>
      <c r="G515">
        <v>0.3</v>
      </c>
      <c r="H515" s="5">
        <f>19*Pcfu4[[#This Row],[grams]]</f>
        <v>5.7</v>
      </c>
      <c r="I515" s="3" t="s">
        <v>170</v>
      </c>
      <c r="J515" s="59">
        <v>44956</v>
      </c>
      <c r="L515" s="59" t="e" cm="1">
        <f t="array" ref="L515">INDEX($J$4:J1605, MATCH(1,(A515=$A$4:A1603)*(C515=$C$4:C1603)*("Y"=$K$4:K1605),0))</f>
        <v>#N/A</v>
      </c>
      <c r="M515" s="1">
        <v>1000000</v>
      </c>
      <c r="N515">
        <v>36</v>
      </c>
      <c r="O515">
        <v>38</v>
      </c>
      <c r="P515"/>
      <c r="Q515" s="6">
        <f>(SUM(Pcfu4[[#This Row],[R1]:[R3]]))/(Pcfu4[[#This Row],[No. Reps]]*0.025)*Pcfu4[[#This Row],[Best DF]]</f>
        <v>1480000000</v>
      </c>
      <c r="R515" s="1">
        <f>_xlfn.STDEV.S(Pcfu4[[#This Row],[R1]:[R3]])/0.025*Pcfu4[[#This Row],[Best DF]]</f>
        <v>56568542.494923808</v>
      </c>
      <c r="S515" s="6">
        <f>Pcfu4[[#This Row],[CFU/mL]]*Pcfu4[[#This Row],[mL]]/Pcfu4[[#This Row],[grams]]</f>
        <v>28120000000</v>
      </c>
      <c r="T515" s="1">
        <f>Pcfu4[[#This Row],[SD CFU/mL]]*Pcfu4[[#This Row],[mL]]/Pcfu4[[#This Row],[grams]]</f>
        <v>1074802307.4035523</v>
      </c>
      <c r="U515" s="7">
        <f>_xlfn.STDEV.S(Pcfu43[[#This Row],[R1]:[R3]])/AVERAGE(Pcfu43[[#This Row],[R1]:[R3]])</f>
        <v>8.4999933427396507E-2</v>
      </c>
      <c r="V515" s="96">
        <v>0.11600000000000001</v>
      </c>
      <c r="W515" s="7"/>
      <c r="X515" t="s">
        <v>514</v>
      </c>
    </row>
    <row r="516" spans="1:24" x14ac:dyDescent="0.15">
      <c r="A516" t="s">
        <v>515</v>
      </c>
      <c r="B516" t="s">
        <v>204</v>
      </c>
      <c r="D516" t="s">
        <v>86</v>
      </c>
      <c r="E516" s="3">
        <v>2</v>
      </c>
      <c r="G516">
        <v>0.3</v>
      </c>
      <c r="H516" s="5">
        <f>19*Pcfu4[[#This Row],[grams]]</f>
        <v>5.7</v>
      </c>
      <c r="I516" s="3" t="s">
        <v>170</v>
      </c>
      <c r="J516" s="59">
        <v>44956</v>
      </c>
      <c r="L516" s="59" t="e" cm="1">
        <f t="array" ref="L516">INDEX($J$4:J1606, MATCH(1,(A516=$A$4:A1604)*(C516=$C$4:C1604)*("Y"=$K$4:K1606),0))</f>
        <v>#N/A</v>
      </c>
      <c r="M516" s="1">
        <v>1000000</v>
      </c>
      <c r="N516">
        <v>12</v>
      </c>
      <c r="O516">
        <v>9</v>
      </c>
      <c r="P516"/>
      <c r="Q516" s="6">
        <f>(SUM(Pcfu4[[#This Row],[R1]:[R3]]))/(Pcfu4[[#This Row],[No. Reps]]*0.025)*Pcfu4[[#This Row],[Best DF]]</f>
        <v>420000000</v>
      </c>
      <c r="R516" s="1">
        <f>_xlfn.STDEV.S(Pcfu4[[#This Row],[R1]:[R3]])/0.025*Pcfu4[[#This Row],[Best DF]]</f>
        <v>84852813.742385685</v>
      </c>
      <c r="S516" s="6">
        <f>Pcfu4[[#This Row],[CFU/mL]]*Pcfu4[[#This Row],[mL]]/Pcfu4[[#This Row],[grams]]</f>
        <v>7980000000</v>
      </c>
      <c r="T516" s="1">
        <f>Pcfu4[[#This Row],[SD CFU/mL]]*Pcfu4[[#This Row],[mL]]/Pcfu4[[#This Row],[grams]]</f>
        <v>1612203461.1053281</v>
      </c>
      <c r="U516" s="7">
        <f>_xlfn.STDEV.S(Pcfu43[[#This Row],[R1]:[R3]])/AVERAGE(Pcfu43[[#This Row],[R1]:[R3]])</f>
        <v>9.7898523906066973E-2</v>
      </c>
      <c r="V516" s="96">
        <v>0.20399999999999999</v>
      </c>
      <c r="W516" s="7"/>
      <c r="X516" t="s">
        <v>516</v>
      </c>
    </row>
    <row r="517" spans="1:24" x14ac:dyDescent="0.15">
      <c r="A517" t="s">
        <v>415</v>
      </c>
      <c r="B517" t="s">
        <v>204</v>
      </c>
      <c r="D517" t="s">
        <v>86</v>
      </c>
      <c r="E517" s="3">
        <v>2</v>
      </c>
      <c r="G517">
        <v>0.3</v>
      </c>
      <c r="H517" s="5">
        <f>19*Pcfu4[[#This Row],[grams]]</f>
        <v>5.7</v>
      </c>
      <c r="I517" s="3" t="s">
        <v>170</v>
      </c>
      <c r="J517" s="59">
        <v>44956</v>
      </c>
      <c r="L517" s="59" t="e" cm="1">
        <f t="array" ref="L517">INDEX($J$4:J1607, MATCH(1,(A517=$A$4:A1605)*(C517=$C$4:C1605)*("Y"=$K$4:K1607),0))</f>
        <v>#N/A</v>
      </c>
      <c r="M517" s="1">
        <v>1000000</v>
      </c>
      <c r="N517">
        <v>21</v>
      </c>
      <c r="O517">
        <v>40</v>
      </c>
      <c r="P517"/>
      <c r="Q517" s="6">
        <f>(SUM(Pcfu4[[#This Row],[R1]:[R3]]))/(Pcfu4[[#This Row],[No. Reps]]*0.025)*Pcfu4[[#This Row],[Best DF]]</f>
        <v>1220000000</v>
      </c>
      <c r="R517" s="1">
        <f>_xlfn.STDEV.S(Pcfu4[[#This Row],[R1]:[R3]])/0.025*Pcfu4[[#This Row],[Best DF]]</f>
        <v>537401153.70177615</v>
      </c>
      <c r="S517" s="6">
        <f>Pcfu4[[#This Row],[CFU/mL]]*Pcfu4[[#This Row],[mL]]/Pcfu4[[#This Row],[grams]]</f>
        <v>23180000000</v>
      </c>
      <c r="T517" s="1">
        <f>Pcfu4[[#This Row],[SD CFU/mL]]*Pcfu4[[#This Row],[mL]]/Pcfu4[[#This Row],[grams]]</f>
        <v>10210621920.333748</v>
      </c>
      <c r="U517" s="7">
        <f>_xlfn.STDEV.S(Pcfu43[[#This Row],[R1]:[R3]])/AVERAGE(Pcfu43[[#This Row],[R1]:[R3]])</f>
        <v>2.9723757619176183E-2</v>
      </c>
      <c r="V517" s="96">
        <v>0.34399999999999997</v>
      </c>
      <c r="W517" s="7"/>
      <c r="X517" t="s">
        <v>517</v>
      </c>
    </row>
    <row r="518" spans="1:24" x14ac:dyDescent="0.15">
      <c r="A518" t="s">
        <v>416</v>
      </c>
      <c r="B518" t="s">
        <v>204</v>
      </c>
      <c r="D518" t="s">
        <v>86</v>
      </c>
      <c r="E518" s="3">
        <v>2</v>
      </c>
      <c r="G518">
        <v>0.3</v>
      </c>
      <c r="H518" s="5">
        <f>19*Pcfu4[[#This Row],[grams]]</f>
        <v>5.7</v>
      </c>
      <c r="I518" s="3" t="s">
        <v>170</v>
      </c>
      <c r="J518" s="59">
        <v>44956</v>
      </c>
      <c r="L518" s="59" t="e" cm="1">
        <f t="array" ref="L518">INDEX($J$4:J1608, MATCH(1,(A518=$A$4:A1606)*(C518=$C$4:C1606)*("Y"=$K$4:K1608),0))</f>
        <v>#N/A</v>
      </c>
      <c r="M518" s="1">
        <v>1000000</v>
      </c>
      <c r="N518">
        <v>12</v>
      </c>
      <c r="O518">
        <v>17</v>
      </c>
      <c r="P518"/>
      <c r="Q518" s="6">
        <f>(SUM(Pcfu4[[#This Row],[R1]:[R3]]))/(Pcfu4[[#This Row],[No. Reps]]*0.025)*Pcfu4[[#This Row],[Best DF]]</f>
        <v>580000000</v>
      </c>
      <c r="R518" s="1">
        <f>_xlfn.STDEV.S(Pcfu4[[#This Row],[R1]:[R3]])/0.025*Pcfu4[[#This Row],[Best DF]]</f>
        <v>141421356.23730952</v>
      </c>
      <c r="S518" s="6">
        <f>Pcfu4[[#This Row],[CFU/mL]]*Pcfu4[[#This Row],[mL]]/Pcfu4[[#This Row],[grams]]</f>
        <v>11020000000</v>
      </c>
      <c r="T518" s="1">
        <f>Pcfu4[[#This Row],[SD CFU/mL]]*Pcfu4[[#This Row],[mL]]/Pcfu4[[#This Row],[grams]]</f>
        <v>2687005768.5088811</v>
      </c>
      <c r="U518" s="7">
        <f>_xlfn.STDEV.S(Pcfu43[[#This Row],[R1]:[R3]])/AVERAGE(Pcfu43[[#This Row],[R1]:[R3]])</f>
        <v>6.8142389516071974E-2</v>
      </c>
      <c r="V518" s="96">
        <v>0.28699999999999998</v>
      </c>
      <c r="W518" s="7"/>
      <c r="X518" t="s">
        <v>518</v>
      </c>
    </row>
    <row r="519" spans="1:24" x14ac:dyDescent="0.15">
      <c r="A519" t="s">
        <v>418</v>
      </c>
      <c r="B519" t="s">
        <v>204</v>
      </c>
      <c r="D519" t="s">
        <v>86</v>
      </c>
      <c r="E519" s="3">
        <v>2</v>
      </c>
      <c r="G519">
        <v>0.3</v>
      </c>
      <c r="H519" s="5">
        <f>19*Pcfu4[[#This Row],[grams]]</f>
        <v>5.7</v>
      </c>
      <c r="I519" s="3" t="s">
        <v>170</v>
      </c>
      <c r="J519" s="59">
        <v>44956</v>
      </c>
      <c r="L519" s="59" t="e" cm="1">
        <f t="array" ref="L519">INDEX($J$4:J1609, MATCH(1,(A519=$A$4:A1607)*(C519=$C$4:C1607)*("Y"=$K$4:K1609),0))</f>
        <v>#N/A</v>
      </c>
      <c r="M519" s="1">
        <v>1000000</v>
      </c>
      <c r="N519">
        <v>6</v>
      </c>
      <c r="O519">
        <v>7</v>
      </c>
      <c r="P519"/>
      <c r="Q519" s="6">
        <f>(SUM(Pcfu4[[#This Row],[R1]:[R3]]))/(Pcfu4[[#This Row],[No. Reps]]*0.025)*Pcfu4[[#This Row],[Best DF]]</f>
        <v>260000000</v>
      </c>
      <c r="R519" s="1">
        <f>_xlfn.STDEV.S(Pcfu4[[#This Row],[R1]:[R3]])/0.025*Pcfu4[[#This Row],[Best DF]]</f>
        <v>28284271.247461904</v>
      </c>
      <c r="S519" s="6">
        <f>Pcfu4[[#This Row],[CFU/mL]]*Pcfu4[[#This Row],[mL]]/Pcfu4[[#This Row],[grams]]</f>
        <v>4940000000</v>
      </c>
      <c r="T519" s="1">
        <f>Pcfu4[[#This Row],[SD CFU/mL]]*Pcfu4[[#This Row],[mL]]/Pcfu4[[#This Row],[grams]]</f>
        <v>537401153.70177615</v>
      </c>
      <c r="U519" s="7">
        <f>_xlfn.STDEV.S(Pcfu43[[#This Row],[R1]:[R3]])/AVERAGE(Pcfu43[[#This Row],[R1]:[R3]])</f>
        <v>4.1736164037804273E-2</v>
      </c>
      <c r="V519" s="96">
        <v>0.30499999999999999</v>
      </c>
      <c r="W519" s="7"/>
      <c r="X519" t="s">
        <v>417</v>
      </c>
    </row>
    <row r="520" spans="1:24" x14ac:dyDescent="0.15">
      <c r="A520" t="s">
        <v>430</v>
      </c>
      <c r="B520" t="s">
        <v>427</v>
      </c>
      <c r="D520" t="s">
        <v>37</v>
      </c>
      <c r="E520" s="3">
        <v>2</v>
      </c>
      <c r="G520">
        <v>0.3</v>
      </c>
      <c r="H520" s="5">
        <f>19*Pcfu4[[#This Row],[grams]]</f>
        <v>5.7</v>
      </c>
      <c r="I520" s="3" t="s">
        <v>170</v>
      </c>
      <c r="J520" s="59">
        <v>44956</v>
      </c>
      <c r="L520" s="59" t="e" cm="1">
        <f t="array" ref="L520">INDEX($J$4:J1610, MATCH(1,(A520=$A$4:A1608)*(C520=$C$4:C1608)*("Y"=$K$4:K1610),0))</f>
        <v>#N/A</v>
      </c>
      <c r="M520" s="1">
        <v>1000000</v>
      </c>
      <c r="N520">
        <v>105</v>
      </c>
      <c r="O520">
        <v>120</v>
      </c>
      <c r="P520"/>
      <c r="Q520" s="6">
        <f>(SUM(Pcfu4[[#This Row],[R1]:[R3]]))/(Pcfu4[[#This Row],[No. Reps]]*0.025)*Pcfu4[[#This Row],[Best DF]]</f>
        <v>4500000000</v>
      </c>
      <c r="R520" s="1">
        <f>_xlfn.STDEV.S(Pcfu4[[#This Row],[R1]:[R3]])/0.025*Pcfu4[[#This Row],[Best DF]]</f>
        <v>424264068.71192855</v>
      </c>
      <c r="S520" s="6">
        <f>Pcfu4[[#This Row],[CFU/mL]]*Pcfu4[[#This Row],[mL]]/Pcfu4[[#This Row],[grams]]</f>
        <v>85500000000</v>
      </c>
      <c r="T520" s="1">
        <f>Pcfu4[[#This Row],[SD CFU/mL]]*Pcfu4[[#This Row],[mL]]/Pcfu4[[#This Row],[grams]]</f>
        <v>8061017305.5266428</v>
      </c>
      <c r="U520" s="7">
        <f>_xlfn.STDEV.S(Pcfu43[[#This Row],[R1]:[R3]])/AVERAGE(Pcfu43[[#This Row],[R1]:[R3]])</f>
        <v>5.6037339441730533E-2</v>
      </c>
      <c r="V520" s="96"/>
      <c r="W520" s="7"/>
    </row>
    <row r="521" spans="1:24" x14ac:dyDescent="0.15">
      <c r="A521" t="s">
        <v>519</v>
      </c>
      <c r="B521" t="s">
        <v>427</v>
      </c>
      <c r="D521" t="s">
        <v>86</v>
      </c>
      <c r="E521" s="3">
        <v>2</v>
      </c>
      <c r="G521">
        <v>0.3</v>
      </c>
      <c r="H521" s="5">
        <f>19*Pcfu4[[#This Row],[grams]]</f>
        <v>5.7</v>
      </c>
      <c r="I521" s="3" t="s">
        <v>170</v>
      </c>
      <c r="J521" s="59">
        <v>44956</v>
      </c>
      <c r="L521" s="59" t="e" cm="1">
        <f t="array" ref="L521">INDEX($J$4:J1611, MATCH(1,(A521=$A$4:A1609)*(C521=$C$4:C1609)*("Y"=$K$4:K1611),0))</f>
        <v>#N/A</v>
      </c>
      <c r="M521" s="1">
        <v>10000000</v>
      </c>
      <c r="N521">
        <v>40</v>
      </c>
      <c r="O521">
        <v>45</v>
      </c>
      <c r="P521"/>
      <c r="Q521" s="6">
        <f>(SUM(Pcfu4[[#This Row],[R1]:[R3]]))/(Pcfu4[[#This Row],[No. Reps]]*0.025)*Pcfu4[[#This Row],[Best DF]]</f>
        <v>17000000000</v>
      </c>
      <c r="R521" s="1">
        <f>_xlfn.STDEV.S(Pcfu4[[#This Row],[R1]:[R3]])/0.025*Pcfu4[[#This Row],[Best DF]]</f>
        <v>1414213562.373095</v>
      </c>
      <c r="S521" s="6">
        <f>Pcfu4[[#This Row],[CFU/mL]]*Pcfu4[[#This Row],[mL]]/Pcfu4[[#This Row],[grams]]</f>
        <v>323000000000</v>
      </c>
      <c r="T521" s="1">
        <f>Pcfu4[[#This Row],[SD CFU/mL]]*Pcfu4[[#This Row],[mL]]/Pcfu4[[#This Row],[grams]]</f>
        <v>26870057685.088806</v>
      </c>
      <c r="U521" s="7">
        <f>_xlfn.STDEV.S(Pcfu43[[#This Row],[R1]:[R3]])/AVERAGE(Pcfu43[[#This Row],[R1]:[R3]])</f>
        <v>0.24743582965269698</v>
      </c>
      <c r="V521" s="96"/>
      <c r="W521" s="7"/>
    </row>
    <row r="522" spans="1:24" x14ac:dyDescent="0.15">
      <c r="A522" t="s">
        <v>520</v>
      </c>
      <c r="B522" t="s">
        <v>427</v>
      </c>
      <c r="D522" t="s">
        <v>86</v>
      </c>
      <c r="E522" s="3">
        <v>2</v>
      </c>
      <c r="G522">
        <v>0.3</v>
      </c>
      <c r="H522" s="5">
        <f>19*Pcfu4[[#This Row],[grams]]</f>
        <v>5.7</v>
      </c>
      <c r="I522" s="3" t="s">
        <v>170</v>
      </c>
      <c r="J522" s="59">
        <v>44956</v>
      </c>
      <c r="L522" s="59" t="e" cm="1">
        <f t="array" ref="L522">INDEX($J$4:J1612, MATCH(1,(A522=$A$4:A1610)*(C522=$C$4:C1610)*("Y"=$K$4:K1612),0))</f>
        <v>#N/A</v>
      </c>
      <c r="M522" s="1">
        <v>1000000</v>
      </c>
      <c r="N522">
        <v>195</v>
      </c>
      <c r="O522">
        <v>251</v>
      </c>
      <c r="P522"/>
      <c r="Q522" s="6">
        <f>(SUM(Pcfu4[[#This Row],[R1]:[R3]]))/(Pcfu4[[#This Row],[No. Reps]]*0.025)*Pcfu4[[#This Row],[Best DF]]</f>
        <v>8920000000</v>
      </c>
      <c r="R522" s="1">
        <f>_xlfn.STDEV.S(Pcfu4[[#This Row],[R1]:[R3]])/0.025*Pcfu4[[#This Row],[Best DF]]</f>
        <v>1583919189.8578663</v>
      </c>
      <c r="S522" s="6">
        <f>Pcfu4[[#This Row],[CFU/mL]]*Pcfu4[[#This Row],[mL]]/Pcfu4[[#This Row],[grams]]</f>
        <v>169480000000</v>
      </c>
      <c r="T522" s="1">
        <f>Pcfu4[[#This Row],[SD CFU/mL]]*Pcfu4[[#This Row],[mL]]/Pcfu4[[#This Row],[grams]]</f>
        <v>30094464607.299461</v>
      </c>
      <c r="U522" s="7">
        <f>_xlfn.STDEV.S(Pcfu43[[#This Row],[R1]:[R3]])/AVERAGE(Pcfu43[[#This Row],[R1]:[R3]])</f>
        <v>0.33333333333333331</v>
      </c>
      <c r="V522" s="96"/>
      <c r="W522" s="7"/>
    </row>
    <row r="523" spans="1:24" x14ac:dyDescent="0.15">
      <c r="A523" t="s">
        <v>429</v>
      </c>
      <c r="B523" t="s">
        <v>427</v>
      </c>
      <c r="D523" t="s">
        <v>86</v>
      </c>
      <c r="E523" s="3">
        <v>2</v>
      </c>
      <c r="G523">
        <v>0.3</v>
      </c>
      <c r="H523" s="5">
        <f>19*Pcfu4[[#This Row],[grams]]</f>
        <v>5.7</v>
      </c>
      <c r="I523" s="3" t="s">
        <v>170</v>
      </c>
      <c r="J523" s="59">
        <v>44956</v>
      </c>
      <c r="L523" s="59" t="e" cm="1">
        <f t="array" ref="L523">INDEX($J$4:J1613, MATCH(1,(A523=$A$4:A1611)*(C523=$C$4:C1611)*("Y"=$K$4:K1613),0))</f>
        <v>#N/A</v>
      </c>
      <c r="M523" s="1">
        <v>1000000</v>
      </c>
      <c r="N523">
        <v>229</v>
      </c>
      <c r="O523">
        <v>163</v>
      </c>
      <c r="P523"/>
      <c r="Q523" s="6">
        <f>(SUM(Pcfu4[[#This Row],[R1]:[R3]]))/(Pcfu4[[#This Row],[No. Reps]]*0.025)*Pcfu4[[#This Row],[Best DF]]</f>
        <v>7840000000</v>
      </c>
      <c r="R523" s="1">
        <f>_xlfn.STDEV.S(Pcfu4[[#This Row],[R1]:[R3]])/0.025*Pcfu4[[#This Row],[Best DF]]</f>
        <v>1866761902.3324852</v>
      </c>
      <c r="S523" s="6">
        <f>Pcfu4[[#This Row],[CFU/mL]]*Pcfu4[[#This Row],[mL]]/Pcfu4[[#This Row],[grams]]</f>
        <v>148960000000</v>
      </c>
      <c r="T523" s="1">
        <f>Pcfu4[[#This Row],[SD CFU/mL]]*Pcfu4[[#This Row],[mL]]/Pcfu4[[#This Row],[grams]]</f>
        <v>35468476144.317223</v>
      </c>
      <c r="U523" s="7">
        <f>_xlfn.STDEV.S(Pcfu43[[#This Row],[R1]:[R3]])/AVERAGE(Pcfu43[[#This Row],[R1]:[R3]])</f>
        <v>0.49487165930539356</v>
      </c>
      <c r="V523" s="96"/>
      <c r="W523" s="7"/>
    </row>
    <row r="524" spans="1:24" x14ac:dyDescent="0.15">
      <c r="A524" t="s">
        <v>389</v>
      </c>
      <c r="B524" t="s">
        <v>482</v>
      </c>
      <c r="D524" t="s">
        <v>86</v>
      </c>
      <c r="E524" s="3">
        <v>2</v>
      </c>
      <c r="G524">
        <v>0.3</v>
      </c>
      <c r="H524" s="5">
        <f>19*Pcfu4[[#This Row],[grams]]</f>
        <v>5.7</v>
      </c>
      <c r="I524" s="3" t="s">
        <v>170</v>
      </c>
      <c r="J524" s="59">
        <v>44956</v>
      </c>
      <c r="L524" s="59" t="e" cm="1">
        <f t="array" ref="L524">INDEX($J$4:J1614, MATCH(1,(A524=$A$4:A1612)*(C524=$C$4:C1612)*("Y"=$K$4:K1614),0))</f>
        <v>#N/A</v>
      </c>
      <c r="M524" s="1">
        <v>1000000</v>
      </c>
      <c r="N524">
        <v>12</v>
      </c>
      <c r="O524">
        <v>7</v>
      </c>
      <c r="P524"/>
      <c r="Q524" s="6">
        <f>(SUM(Pcfu4[[#This Row],[R1]:[R3]]))/(Pcfu4[[#This Row],[No. Reps]]*0.025)*Pcfu4[[#This Row],[Best DF]]</f>
        <v>380000000</v>
      </c>
      <c r="R524" s="1">
        <f>_xlfn.STDEV.S(Pcfu4[[#This Row],[R1]:[R3]])/0.025*Pcfu4[[#This Row],[Best DF]]</f>
        <v>141421356.23730952</v>
      </c>
      <c r="S524" s="6">
        <f>Pcfu4[[#This Row],[CFU/mL]]*Pcfu4[[#This Row],[mL]]/Pcfu4[[#This Row],[grams]]</f>
        <v>7220000000</v>
      </c>
      <c r="T524" s="1">
        <f>Pcfu4[[#This Row],[SD CFU/mL]]*Pcfu4[[#This Row],[mL]]/Pcfu4[[#This Row],[grams]]</f>
        <v>2687005768.5088811</v>
      </c>
      <c r="U524" s="7">
        <f>_xlfn.STDEV.S(Pcfu43[[#This Row],[R1]:[R3]])/AVERAGE(Pcfu43[[#This Row],[R1]:[R3]])</f>
        <v>0.86602540378443882</v>
      </c>
      <c r="V524" s="96">
        <v>0.29899999999999999</v>
      </c>
      <c r="W524" s="7"/>
      <c r="X524" t="s">
        <v>521</v>
      </c>
    </row>
    <row r="525" spans="1:24" x14ac:dyDescent="0.15">
      <c r="A525" t="s">
        <v>390</v>
      </c>
      <c r="B525" t="s">
        <v>482</v>
      </c>
      <c r="D525" t="s">
        <v>86</v>
      </c>
      <c r="E525" s="3">
        <v>2</v>
      </c>
      <c r="G525">
        <v>0.3</v>
      </c>
      <c r="H525" s="5">
        <f>19*Pcfu4[[#This Row],[grams]]</f>
        <v>5.7</v>
      </c>
      <c r="I525" s="3" t="s">
        <v>170</v>
      </c>
      <c r="J525" s="59">
        <v>44956</v>
      </c>
      <c r="L525" s="59" t="e" cm="1">
        <f t="array" ref="L525">INDEX($J$4:J1615, MATCH(1,(A525=$A$4:A1613)*(C525=$C$4:C1613)*("Y"=$K$4:K1615),0))</f>
        <v>#N/A</v>
      </c>
      <c r="M525" s="1">
        <v>1000000</v>
      </c>
      <c r="N525">
        <v>13</v>
      </c>
      <c r="O525">
        <v>16</v>
      </c>
      <c r="P525"/>
      <c r="Q525" s="6">
        <f>(SUM(Pcfu4[[#This Row],[R1]:[R3]]))/(Pcfu4[[#This Row],[No. Reps]]*0.025)*Pcfu4[[#This Row],[Best DF]]</f>
        <v>580000000</v>
      </c>
      <c r="R525" s="1">
        <f>_xlfn.STDEV.S(Pcfu4[[#This Row],[R1]:[R3]])/0.025*Pcfu4[[#This Row],[Best DF]]</f>
        <v>84852813.742385685</v>
      </c>
      <c r="S525" s="6">
        <f>Pcfu4[[#This Row],[CFU/mL]]*Pcfu4[[#This Row],[mL]]/Pcfu4[[#This Row],[grams]]</f>
        <v>11020000000</v>
      </c>
      <c r="T525" s="1">
        <f>Pcfu4[[#This Row],[SD CFU/mL]]*Pcfu4[[#This Row],[mL]]/Pcfu4[[#This Row],[grams]]</f>
        <v>1612203461.1053281</v>
      </c>
      <c r="U525" s="7">
        <f>_xlfn.STDEV.S(Pcfu43[[#This Row],[R1]:[R3]])/AVERAGE(Pcfu43[[#This Row],[R1]:[R3]])</f>
        <v>0.49487165930539356</v>
      </c>
      <c r="V525" s="96">
        <v>0.318</v>
      </c>
      <c r="W525" s="7"/>
      <c r="X525" t="s">
        <v>522</v>
      </c>
    </row>
    <row r="526" spans="1:24" x14ac:dyDescent="0.15">
      <c r="A526" t="s">
        <v>391</v>
      </c>
      <c r="B526" t="s">
        <v>482</v>
      </c>
      <c r="D526" t="s">
        <v>86</v>
      </c>
      <c r="E526" s="3">
        <v>2</v>
      </c>
      <c r="G526">
        <v>0.3</v>
      </c>
      <c r="H526" s="5">
        <f>19*Pcfu4[[#This Row],[grams]]</f>
        <v>5.7</v>
      </c>
      <c r="I526" s="3" t="s">
        <v>170</v>
      </c>
      <c r="J526" s="59">
        <v>44956</v>
      </c>
      <c r="L526" s="59" t="e" cm="1">
        <f t="array" ref="L526">INDEX($J$4:J1616, MATCH(1,(A526=$A$4:A1614)*(C526=$C$4:C1614)*("Y"=$K$4:K1616),0))</f>
        <v>#N/A</v>
      </c>
      <c r="M526" s="1">
        <v>1000000</v>
      </c>
      <c r="N526">
        <v>5</v>
      </c>
      <c r="O526">
        <v>9</v>
      </c>
      <c r="P526"/>
      <c r="Q526" s="6">
        <f>(SUM(Pcfu4[[#This Row],[R1]:[R3]]))/(Pcfu4[[#This Row],[No. Reps]]*0.025)*Pcfu4[[#This Row],[Best DF]]</f>
        <v>280000000</v>
      </c>
      <c r="R526" s="1">
        <f>_xlfn.STDEV.S(Pcfu4[[#This Row],[R1]:[R3]])/0.025*Pcfu4[[#This Row],[Best DF]]</f>
        <v>113137084.98984762</v>
      </c>
      <c r="S526" s="6">
        <f>Pcfu4[[#This Row],[CFU/mL]]*Pcfu4[[#This Row],[mL]]/Pcfu4[[#This Row],[grams]]</f>
        <v>5320000000</v>
      </c>
      <c r="T526" s="1">
        <f>Pcfu4[[#This Row],[SD CFU/mL]]*Pcfu4[[#This Row],[mL]]/Pcfu4[[#This Row],[grams]]</f>
        <v>2149604614.8071046</v>
      </c>
      <c r="U526" s="7">
        <f>_xlfn.STDEV.S(Pcfu43[[#This Row],[R1]:[R3]])/AVERAGE(Pcfu43[[#This Row],[R1]:[R3]])</f>
        <v>0.86602540378443882</v>
      </c>
      <c r="V526" s="96">
        <v>0.35</v>
      </c>
      <c r="W526" s="7"/>
      <c r="X526" t="s">
        <v>523</v>
      </c>
    </row>
    <row r="527" spans="1:24" x14ac:dyDescent="0.15">
      <c r="A527" t="s">
        <v>392</v>
      </c>
      <c r="B527" t="s">
        <v>482</v>
      </c>
      <c r="D527" t="s">
        <v>86</v>
      </c>
      <c r="E527" s="3">
        <v>2</v>
      </c>
      <c r="G527">
        <v>0.3</v>
      </c>
      <c r="H527" s="5">
        <f>19*Pcfu4[[#This Row],[grams]]</f>
        <v>5.7</v>
      </c>
      <c r="I527" s="3" t="s">
        <v>170</v>
      </c>
      <c r="J527" s="59">
        <v>44956</v>
      </c>
      <c r="L527" s="59" t="e" cm="1">
        <f t="array" ref="L527">INDEX($J$4:J1617, MATCH(1,(A527=$A$4:A1615)*(C527=$C$4:C1615)*("Y"=$K$4:K1617),0))</f>
        <v>#N/A</v>
      </c>
      <c r="M527" s="1">
        <v>1000000</v>
      </c>
      <c r="N527">
        <v>27</v>
      </c>
      <c r="O527">
        <v>24</v>
      </c>
      <c r="P527"/>
      <c r="Q527" s="6">
        <f>(SUM(Pcfu4[[#This Row],[R1]:[R3]]))/(Pcfu4[[#This Row],[No. Reps]]*0.025)*Pcfu4[[#This Row],[Best DF]]</f>
        <v>1020000000</v>
      </c>
      <c r="R527" s="1">
        <f>_xlfn.STDEV.S(Pcfu4[[#This Row],[R1]:[R3]])/0.025*Pcfu4[[#This Row],[Best DF]]</f>
        <v>84852813.742385685</v>
      </c>
      <c r="S527" s="6">
        <f>Pcfu4[[#This Row],[CFU/mL]]*Pcfu4[[#This Row],[mL]]/Pcfu4[[#This Row],[grams]]</f>
        <v>19380000000</v>
      </c>
      <c r="T527" s="1">
        <f>Pcfu4[[#This Row],[SD CFU/mL]]*Pcfu4[[#This Row],[mL]]/Pcfu4[[#This Row],[grams]]</f>
        <v>1612203461.1053281</v>
      </c>
      <c r="U527" s="7">
        <f>_xlfn.STDEV.S(Pcfu43[[#This Row],[R1]:[R3]])/AVERAGE(Pcfu43[[#This Row],[R1]:[R3]])</f>
        <v>1.1456439237389602</v>
      </c>
      <c r="V527" s="96">
        <v>0.29899999999999999</v>
      </c>
      <c r="W527" s="7"/>
      <c r="X527" t="s">
        <v>521</v>
      </c>
    </row>
    <row r="528" spans="1:24" x14ac:dyDescent="0.15">
      <c r="A528" t="s">
        <v>393</v>
      </c>
      <c r="B528" t="s">
        <v>482</v>
      </c>
      <c r="D528" t="s">
        <v>86</v>
      </c>
      <c r="E528" s="3">
        <v>2</v>
      </c>
      <c r="G528">
        <v>0.3</v>
      </c>
      <c r="H528" s="5">
        <f>19*Pcfu4[[#This Row],[grams]]</f>
        <v>5.7</v>
      </c>
      <c r="I528" s="3" t="s">
        <v>170</v>
      </c>
      <c r="J528" s="59">
        <v>44956</v>
      </c>
      <c r="L528" s="59" t="e" cm="1">
        <f t="array" ref="L528">INDEX($J$4:J1618, MATCH(1,(A528=$A$4:A1616)*(C528=$C$4:C1616)*("Y"=$K$4:K1618),0))</f>
        <v>#N/A</v>
      </c>
      <c r="M528" s="1">
        <v>1000000</v>
      </c>
      <c r="N528">
        <v>104</v>
      </c>
      <c r="O528">
        <v>118</v>
      </c>
      <c r="P528"/>
      <c r="Q528" s="6">
        <f>(SUM(Pcfu4[[#This Row],[R1]:[R3]]))/(Pcfu4[[#This Row],[No. Reps]]*0.025)*Pcfu4[[#This Row],[Best DF]]</f>
        <v>4440000000</v>
      </c>
      <c r="R528" s="1">
        <f>_xlfn.STDEV.S(Pcfu4[[#This Row],[R1]:[R3]])/0.025*Pcfu4[[#This Row],[Best DF]]</f>
        <v>395979797.46446657</v>
      </c>
      <c r="S528" s="6">
        <f>Pcfu4[[#This Row],[CFU/mL]]*Pcfu4[[#This Row],[mL]]/Pcfu4[[#This Row],[grams]]</f>
        <v>84360000000</v>
      </c>
      <c r="T528" s="1">
        <f>Pcfu4[[#This Row],[SD CFU/mL]]*Pcfu4[[#This Row],[mL]]/Pcfu4[[#This Row],[grams]]</f>
        <v>7523616151.8248653</v>
      </c>
      <c r="U528" s="7">
        <f>_xlfn.STDEV.S(Pcfu43[[#This Row],[R1]:[R3]])/AVERAGE(Pcfu43[[#This Row],[R1]:[R3]])</f>
        <v>0.43301270189221941</v>
      </c>
      <c r="V528" s="96">
        <v>0.309</v>
      </c>
      <c r="W528" s="7"/>
      <c r="X528" t="s">
        <v>524</v>
      </c>
    </row>
    <row r="529" spans="1:24" x14ac:dyDescent="0.15">
      <c r="A529" t="s">
        <v>394</v>
      </c>
      <c r="B529" t="s">
        <v>482</v>
      </c>
      <c r="D529" t="s">
        <v>86</v>
      </c>
      <c r="E529" s="3">
        <v>2</v>
      </c>
      <c r="G529">
        <v>0.3</v>
      </c>
      <c r="H529" s="5">
        <f>19*Pcfu4[[#This Row],[grams]]</f>
        <v>5.7</v>
      </c>
      <c r="I529" s="3" t="s">
        <v>170</v>
      </c>
      <c r="J529" s="59">
        <v>44956</v>
      </c>
      <c r="L529" s="59" t="e" cm="1">
        <f t="array" ref="L529">INDEX($J$4:J1619, MATCH(1,(A529=$A$4:A1617)*(C529=$C$4:C1617)*("Y"=$K$4:K1619),0))</f>
        <v>#N/A</v>
      </c>
      <c r="M529" s="1">
        <v>1000000</v>
      </c>
      <c r="N529">
        <v>61</v>
      </c>
      <c r="O529">
        <v>61</v>
      </c>
      <c r="P529"/>
      <c r="Q529" s="6">
        <f>(SUM(Pcfu4[[#This Row],[R1]:[R3]]))/(Pcfu4[[#This Row],[No. Reps]]*0.025)*Pcfu4[[#This Row],[Best DF]]</f>
        <v>2440000000</v>
      </c>
      <c r="R529" s="1">
        <f>_xlfn.STDEV.S(Pcfu4[[#This Row],[R1]:[R3]])/0.025*Pcfu4[[#This Row],[Best DF]]</f>
        <v>0</v>
      </c>
      <c r="S529" s="6">
        <f>Pcfu4[[#This Row],[CFU/mL]]*Pcfu4[[#This Row],[mL]]/Pcfu4[[#This Row],[grams]]</f>
        <v>46360000000</v>
      </c>
      <c r="T529" s="1">
        <f>Pcfu4[[#This Row],[SD CFU/mL]]*Pcfu4[[#This Row],[mL]]/Pcfu4[[#This Row],[grams]]</f>
        <v>0</v>
      </c>
      <c r="U529" s="7">
        <f>_xlfn.STDEV.S(Pcfu43[[#This Row],[R1]:[R3]])/AVERAGE(Pcfu43[[#This Row],[R1]:[R3]])</f>
        <v>0.35250582268891073</v>
      </c>
      <c r="V529" s="96">
        <v>0.28899999999999998</v>
      </c>
      <c r="W529" s="7"/>
      <c r="X529" t="s">
        <v>485</v>
      </c>
    </row>
    <row r="530" spans="1:24" x14ac:dyDescent="0.15">
      <c r="A530" t="s">
        <v>395</v>
      </c>
      <c r="B530" t="s">
        <v>482</v>
      </c>
      <c r="D530" t="s">
        <v>86</v>
      </c>
      <c r="E530" s="3">
        <v>2</v>
      </c>
      <c r="G530">
        <v>0.3</v>
      </c>
      <c r="H530" s="5">
        <f>19*Pcfu4[[#This Row],[grams]]</f>
        <v>5.7</v>
      </c>
      <c r="I530" s="3" t="s">
        <v>170</v>
      </c>
      <c r="J530" s="59">
        <v>44956</v>
      </c>
      <c r="L530" s="59" t="e" cm="1">
        <f t="array" ref="L530">INDEX($J$4:J1620, MATCH(1,(A530=$A$4:A1618)*(C530=$C$4:C1618)*("Y"=$K$4:K1620),0))</f>
        <v>#N/A</v>
      </c>
      <c r="M530" s="1">
        <v>1000000</v>
      </c>
      <c r="N530">
        <v>39</v>
      </c>
      <c r="O530">
        <v>30</v>
      </c>
      <c r="P530"/>
      <c r="Q530" s="6">
        <f>(SUM(Pcfu4[[#This Row],[R1]:[R3]]))/(Pcfu4[[#This Row],[No. Reps]]*0.025)*Pcfu4[[#This Row],[Best DF]]</f>
        <v>1380000000</v>
      </c>
      <c r="R530" s="1">
        <f>_xlfn.STDEV.S(Pcfu4[[#This Row],[R1]:[R3]])/0.025*Pcfu4[[#This Row],[Best DF]]</f>
        <v>254558441.22715709</v>
      </c>
      <c r="S530" s="6">
        <f>Pcfu4[[#This Row],[CFU/mL]]*Pcfu4[[#This Row],[mL]]/Pcfu4[[#This Row],[grams]]</f>
        <v>26220000000</v>
      </c>
      <c r="T530" s="1">
        <f>Pcfu4[[#This Row],[SD CFU/mL]]*Pcfu4[[#This Row],[mL]]/Pcfu4[[#This Row],[grams]]</f>
        <v>4836610383.3159847</v>
      </c>
      <c r="U530" s="7">
        <f>_xlfn.STDEV.S(Pcfu43[[#This Row],[R1]:[R3]])/AVERAGE(Pcfu43[[#This Row],[R1]:[R3]])</f>
        <v>0.40521745203279758</v>
      </c>
      <c r="V530" s="96">
        <v>0.30599999999999999</v>
      </c>
      <c r="W530" s="7"/>
      <c r="X530" t="s">
        <v>525</v>
      </c>
    </row>
    <row r="531" spans="1:24" x14ac:dyDescent="0.15">
      <c r="A531" t="s">
        <v>389</v>
      </c>
      <c r="B531" t="s">
        <v>526</v>
      </c>
      <c r="D531" t="s">
        <v>86</v>
      </c>
      <c r="E531" s="3">
        <v>2</v>
      </c>
      <c r="G531">
        <v>0.3</v>
      </c>
      <c r="H531" s="5">
        <f>19*Pcfu4[[#This Row],[grams]]</f>
        <v>5.7</v>
      </c>
      <c r="I531" s="3" t="s">
        <v>170</v>
      </c>
      <c r="J531" s="59">
        <v>44956</v>
      </c>
      <c r="L531" s="59" t="e" cm="1">
        <f t="array" ref="L531">INDEX($J$4:J1621, MATCH(1,(A531=$A$4:A1619)*(C531=$C$4:C1619)*("Y"=$K$4:K1621),0))</f>
        <v>#N/A</v>
      </c>
      <c r="M531" s="1">
        <v>1000000</v>
      </c>
      <c r="N531">
        <v>15</v>
      </c>
      <c r="O531">
        <v>11</v>
      </c>
      <c r="P531"/>
      <c r="Q531" s="6">
        <f>(SUM(Pcfu4[[#This Row],[R1]:[R3]]))/(Pcfu4[[#This Row],[No. Reps]]*0.025)*Pcfu4[[#This Row],[Best DF]]</f>
        <v>520000000</v>
      </c>
      <c r="R531" s="1">
        <f>_xlfn.STDEV.S(Pcfu4[[#This Row],[R1]:[R3]])/0.025*Pcfu4[[#This Row],[Best DF]]</f>
        <v>113137084.98984762</v>
      </c>
      <c r="S531" s="6">
        <f>Pcfu4[[#This Row],[CFU/mL]]*Pcfu4[[#This Row],[mL]]/Pcfu4[[#This Row],[grams]]</f>
        <v>9880000000</v>
      </c>
      <c r="T531" s="1">
        <f>Pcfu4[[#This Row],[SD CFU/mL]]*Pcfu4[[#This Row],[mL]]/Pcfu4[[#This Row],[grams]]</f>
        <v>2149604614.8071046</v>
      </c>
      <c r="U531" s="7">
        <f>_xlfn.STDEV.S(Pcfu43[[#This Row],[R1]:[R3]])/AVERAGE(Pcfu43[[#This Row],[R1]:[R3]])</f>
        <v>9.1595295900004411E-2</v>
      </c>
      <c r="V531" s="96"/>
      <c r="W531" s="7"/>
    </row>
    <row r="532" spans="1:24" x14ac:dyDescent="0.15">
      <c r="A532" t="s">
        <v>390</v>
      </c>
      <c r="B532" t="s">
        <v>526</v>
      </c>
      <c r="D532" t="s">
        <v>86</v>
      </c>
      <c r="E532" s="3">
        <v>2</v>
      </c>
      <c r="G532">
        <v>0.3</v>
      </c>
      <c r="H532" s="5">
        <f>19*Pcfu4[[#This Row],[grams]]</f>
        <v>5.7</v>
      </c>
      <c r="I532" s="3" t="s">
        <v>170</v>
      </c>
      <c r="J532" s="59">
        <v>44956</v>
      </c>
      <c r="L532" s="59" t="e" cm="1">
        <f t="array" ref="L532">INDEX($J$4:J1622, MATCH(1,(A532=$A$4:A1620)*(C532=$C$4:C1620)*("Y"=$K$4:K1622),0))</f>
        <v>#N/A</v>
      </c>
      <c r="M532" s="1">
        <v>1000000</v>
      </c>
      <c r="N532">
        <v>39</v>
      </c>
      <c r="O532">
        <v>30</v>
      </c>
      <c r="P532"/>
      <c r="Q532" s="6">
        <f>(SUM(Pcfu4[[#This Row],[R1]:[R3]]))/(Pcfu4[[#This Row],[No. Reps]]*0.025)*Pcfu4[[#This Row],[Best DF]]</f>
        <v>1380000000</v>
      </c>
      <c r="R532" s="1">
        <f>_xlfn.STDEV.S(Pcfu4[[#This Row],[R1]:[R3]])/0.025*Pcfu4[[#This Row],[Best DF]]</f>
        <v>254558441.22715709</v>
      </c>
      <c r="S532" s="6">
        <f>Pcfu4[[#This Row],[CFU/mL]]*Pcfu4[[#This Row],[mL]]/Pcfu4[[#This Row],[grams]]</f>
        <v>26220000000</v>
      </c>
      <c r="T532" s="1">
        <f>Pcfu4[[#This Row],[SD CFU/mL]]*Pcfu4[[#This Row],[mL]]/Pcfu4[[#This Row],[grams]]</f>
        <v>4836610383.3159847</v>
      </c>
      <c r="U532" s="7">
        <f>_xlfn.STDEV.S(Pcfu43[[#This Row],[R1]:[R3]])/AVERAGE(Pcfu43[[#This Row],[R1]:[R3]])</f>
        <v>2.8394275533916026E-2</v>
      </c>
      <c r="V532" s="96"/>
      <c r="W532" s="7"/>
    </row>
    <row r="533" spans="1:24" x14ac:dyDescent="0.15">
      <c r="A533" t="s">
        <v>391</v>
      </c>
      <c r="B533" t="s">
        <v>526</v>
      </c>
      <c r="D533" t="s">
        <v>86</v>
      </c>
      <c r="E533" s="3">
        <v>2</v>
      </c>
      <c r="G533">
        <v>0.3</v>
      </c>
      <c r="H533" s="5">
        <f>19*Pcfu4[[#This Row],[grams]]</f>
        <v>5.7</v>
      </c>
      <c r="I533" s="3" t="s">
        <v>170</v>
      </c>
      <c r="J533" s="59">
        <v>44956</v>
      </c>
      <c r="L533" s="59" t="e" cm="1">
        <f t="array" ref="L533">INDEX($J$4:J1623, MATCH(1,(A533=$A$4:A1621)*(C533=$C$4:C1621)*("Y"=$K$4:K1623),0))</f>
        <v>#N/A</v>
      </c>
      <c r="M533" s="1">
        <v>1000000</v>
      </c>
      <c r="N533">
        <v>4</v>
      </c>
      <c r="O533">
        <v>4</v>
      </c>
      <c r="P533"/>
      <c r="Q533" s="6">
        <f>(SUM(Pcfu4[[#This Row],[R1]:[R3]]))/(Pcfu4[[#This Row],[No. Reps]]*0.025)*Pcfu4[[#This Row],[Best DF]]</f>
        <v>160000000</v>
      </c>
      <c r="R533" s="1">
        <f>_xlfn.STDEV.S(Pcfu4[[#This Row],[R1]:[R3]])/0.025*Pcfu4[[#This Row],[Best DF]]</f>
        <v>0</v>
      </c>
      <c r="S533" s="6">
        <f>Pcfu4[[#This Row],[CFU/mL]]*Pcfu4[[#This Row],[mL]]/Pcfu4[[#This Row],[grams]]</f>
        <v>3040000000</v>
      </c>
      <c r="T533" s="1">
        <f>Pcfu4[[#This Row],[SD CFU/mL]]*Pcfu4[[#This Row],[mL]]/Pcfu4[[#This Row],[grams]]</f>
        <v>0</v>
      </c>
      <c r="U533" s="7">
        <f>_xlfn.STDEV.S(Pcfu43[[#This Row],[R1]:[R3]])/AVERAGE(Pcfu43[[#This Row],[R1]:[R3]])</f>
        <v>2.7936303347885116E-2</v>
      </c>
      <c r="V533" s="96"/>
      <c r="W533" s="7"/>
    </row>
    <row r="534" spans="1:24" x14ac:dyDescent="0.15">
      <c r="A534" t="s">
        <v>392</v>
      </c>
      <c r="B534" t="s">
        <v>526</v>
      </c>
      <c r="D534" t="s">
        <v>86</v>
      </c>
      <c r="E534" s="3">
        <v>2</v>
      </c>
      <c r="G534">
        <v>0.3</v>
      </c>
      <c r="H534" s="5">
        <f>19*Pcfu4[[#This Row],[grams]]</f>
        <v>5.7</v>
      </c>
      <c r="I534" s="3" t="s">
        <v>170</v>
      </c>
      <c r="J534" s="59">
        <v>44956</v>
      </c>
      <c r="L534" s="59" t="e" cm="1">
        <f t="array" ref="L534">INDEX($J$4:J1624, MATCH(1,(A534=$A$4:A1622)*(C534=$C$4:C1622)*("Y"=$K$4:K1624),0))</f>
        <v>#N/A</v>
      </c>
      <c r="M534" s="1">
        <v>1000000</v>
      </c>
      <c r="N534">
        <v>41</v>
      </c>
      <c r="O534">
        <v>46</v>
      </c>
      <c r="P534"/>
      <c r="Q534" s="6">
        <f>(SUM(Pcfu4[[#This Row],[R1]:[R3]]))/(Pcfu4[[#This Row],[No. Reps]]*0.025)*Pcfu4[[#This Row],[Best DF]]</f>
        <v>1740000000</v>
      </c>
      <c r="R534" s="1">
        <f>_xlfn.STDEV.S(Pcfu4[[#This Row],[R1]:[R3]])/0.025*Pcfu4[[#This Row],[Best DF]]</f>
        <v>141421356.23730952</v>
      </c>
      <c r="S534" s="6">
        <f>Pcfu4[[#This Row],[CFU/mL]]*Pcfu4[[#This Row],[mL]]/Pcfu4[[#This Row],[grams]]</f>
        <v>33060000000</v>
      </c>
      <c r="T534" s="1">
        <f>Pcfu4[[#This Row],[SD CFU/mL]]*Pcfu4[[#This Row],[mL]]/Pcfu4[[#This Row],[grams]]</f>
        <v>2687005768.5088811</v>
      </c>
      <c r="U534" s="7">
        <f>_xlfn.STDEV.S(Pcfu43[[#This Row],[R1]:[R3]])/AVERAGE(Pcfu43[[#This Row],[R1]:[R3]])</f>
        <v>0.12541227616058295</v>
      </c>
      <c r="V534" s="96"/>
      <c r="W534" s="7"/>
    </row>
    <row r="535" spans="1:24" x14ac:dyDescent="0.15">
      <c r="A535" t="s">
        <v>393</v>
      </c>
      <c r="B535" t="s">
        <v>526</v>
      </c>
      <c r="D535" t="s">
        <v>86</v>
      </c>
      <c r="E535" s="3">
        <v>2</v>
      </c>
      <c r="G535">
        <v>0.3</v>
      </c>
      <c r="H535" s="5">
        <f>19*Pcfu4[[#This Row],[grams]]</f>
        <v>5.7</v>
      </c>
      <c r="I535" s="3" t="s">
        <v>170</v>
      </c>
      <c r="J535" s="59">
        <v>44956</v>
      </c>
      <c r="L535" s="59" t="e" cm="1">
        <f t="array" ref="L535">INDEX($J$4:J1625, MATCH(1,(A535=$A$4:A1623)*(C535=$C$4:C1623)*("Y"=$K$4:K1625),0))</f>
        <v>#N/A</v>
      </c>
      <c r="M535" s="1">
        <v>1000000</v>
      </c>
      <c r="N535">
        <v>191</v>
      </c>
      <c r="O535">
        <v>222</v>
      </c>
      <c r="P535"/>
      <c r="Q535" s="6">
        <f>(SUM(Pcfu4[[#This Row],[R1]:[R3]]))/(Pcfu4[[#This Row],[No. Reps]]*0.025)*Pcfu4[[#This Row],[Best DF]]</f>
        <v>8260000000</v>
      </c>
      <c r="R535" s="1">
        <f>_xlfn.STDEV.S(Pcfu4[[#This Row],[R1]:[R3]])/0.025*Pcfu4[[#This Row],[Best DF]]</f>
        <v>876812408.67131889</v>
      </c>
      <c r="S535" s="6">
        <f>Pcfu4[[#This Row],[CFU/mL]]*Pcfu4[[#This Row],[mL]]/Pcfu4[[#This Row],[grams]]</f>
        <v>156940000000</v>
      </c>
      <c r="T535" s="1">
        <f>Pcfu4[[#This Row],[SD CFU/mL]]*Pcfu4[[#This Row],[mL]]/Pcfu4[[#This Row],[grams]]</f>
        <v>16659435764.755058</v>
      </c>
      <c r="U535" s="7">
        <f>_xlfn.STDEV.S(Pcfu43[[#This Row],[R1]:[R3]])/AVERAGE(Pcfu43[[#This Row],[R1]:[R3]])</f>
        <v>0.16208698081311931</v>
      </c>
      <c r="V535" s="96"/>
      <c r="W535" s="7"/>
    </row>
    <row r="536" spans="1:24" x14ac:dyDescent="0.15">
      <c r="A536" t="s">
        <v>394</v>
      </c>
      <c r="B536" t="s">
        <v>526</v>
      </c>
      <c r="D536" t="s">
        <v>86</v>
      </c>
      <c r="E536" s="3">
        <v>2</v>
      </c>
      <c r="G536">
        <v>0.3</v>
      </c>
      <c r="H536" s="5">
        <f>19*Pcfu4[[#This Row],[grams]]</f>
        <v>5.7</v>
      </c>
      <c r="I536" s="3" t="s">
        <v>170</v>
      </c>
      <c r="J536" s="59">
        <v>44956</v>
      </c>
      <c r="L536" s="59" t="e" cm="1">
        <f t="array" ref="L536">INDEX($J$4:J1626, MATCH(1,(A536=$A$4:A1624)*(C536=$C$4:C1624)*("Y"=$K$4:K1626),0))</f>
        <v>#N/A</v>
      </c>
      <c r="M536" s="1">
        <v>1000000</v>
      </c>
      <c r="N536">
        <v>198</v>
      </c>
      <c r="O536">
        <v>216</v>
      </c>
      <c r="P536"/>
      <c r="Q536" s="6">
        <f>(SUM(Pcfu4[[#This Row],[R1]:[R3]]))/(Pcfu4[[#This Row],[No. Reps]]*0.025)*Pcfu4[[#This Row],[Best DF]]</f>
        <v>8280000000</v>
      </c>
      <c r="R536" s="1">
        <f>_xlfn.STDEV.S(Pcfu4[[#This Row],[R1]:[R3]])/0.025*Pcfu4[[#This Row],[Best DF]]</f>
        <v>509116882.45431417</v>
      </c>
      <c r="S536" s="6">
        <f>Pcfu4[[#This Row],[CFU/mL]]*Pcfu4[[#This Row],[mL]]/Pcfu4[[#This Row],[grams]]</f>
        <v>157320000000</v>
      </c>
      <c r="T536" s="1">
        <f>Pcfu4[[#This Row],[SD CFU/mL]]*Pcfu4[[#This Row],[mL]]/Pcfu4[[#This Row],[grams]]</f>
        <v>9673220766.6319695</v>
      </c>
      <c r="U536" s="7">
        <f>_xlfn.STDEV.S(Pcfu43[[#This Row],[R1]:[R3]])/AVERAGE(Pcfu43[[#This Row],[R1]:[R3]])</f>
        <v>0.45073638419526874</v>
      </c>
      <c r="V536" s="96"/>
      <c r="W536" s="7"/>
    </row>
    <row r="537" spans="1:24" x14ac:dyDescent="0.15">
      <c r="A537" t="s">
        <v>395</v>
      </c>
      <c r="B537" t="s">
        <v>526</v>
      </c>
      <c r="D537" t="s">
        <v>86</v>
      </c>
      <c r="E537" s="3">
        <v>2</v>
      </c>
      <c r="G537">
        <v>0.3</v>
      </c>
      <c r="H537" s="5">
        <f>19*Pcfu4[[#This Row],[grams]]</f>
        <v>5.7</v>
      </c>
      <c r="I537" s="3" t="s">
        <v>170</v>
      </c>
      <c r="J537" s="59">
        <v>44956</v>
      </c>
      <c r="L537" s="59" t="e" cm="1">
        <f t="array" ref="L537">INDEX($J$4:J1627, MATCH(1,(A537=$A$4:A1625)*(C537=$C$4:C1625)*("Y"=$K$4:K1627),0))</f>
        <v>#N/A</v>
      </c>
      <c r="M537" s="1">
        <v>1000000</v>
      </c>
      <c r="N537">
        <v>97</v>
      </c>
      <c r="O537">
        <v>72</v>
      </c>
      <c r="P537"/>
      <c r="Q537" s="6">
        <f>(SUM(Pcfu4[[#This Row],[R1]:[R3]]))/(Pcfu4[[#This Row],[No. Reps]]*0.025)*Pcfu4[[#This Row],[Best DF]]</f>
        <v>3380000000</v>
      </c>
      <c r="R537" s="1">
        <f>_xlfn.STDEV.S(Pcfu4[[#This Row],[R1]:[R3]])/0.025*Pcfu4[[#This Row],[Best DF]]</f>
        <v>707106781.18654752</v>
      </c>
      <c r="S537" s="6">
        <f>Pcfu4[[#This Row],[CFU/mL]]*Pcfu4[[#This Row],[mL]]/Pcfu4[[#This Row],[grams]]</f>
        <v>64220000000</v>
      </c>
      <c r="T537" s="1">
        <f>Pcfu4[[#This Row],[SD CFU/mL]]*Pcfu4[[#This Row],[mL]]/Pcfu4[[#This Row],[grams]]</f>
        <v>13435028842.544403</v>
      </c>
      <c r="U537" s="7">
        <f>_xlfn.STDEV.S(Pcfu43[[#This Row],[R1]:[R3]])/AVERAGE(Pcfu43[[#This Row],[R1]:[R3]])</f>
        <v>0.27965118211855722</v>
      </c>
      <c r="V537" s="96"/>
      <c r="W537" s="7"/>
    </row>
    <row r="538" spans="1:24" x14ac:dyDescent="0.15">
      <c r="A538" t="s">
        <v>389</v>
      </c>
      <c r="B538" t="s">
        <v>527</v>
      </c>
      <c r="D538" t="s">
        <v>86</v>
      </c>
      <c r="E538" s="3">
        <v>2</v>
      </c>
      <c r="G538">
        <v>0.3</v>
      </c>
      <c r="H538" s="5">
        <f>19*Pcfu4[[#This Row],[grams]]</f>
        <v>5.7</v>
      </c>
      <c r="I538" s="3" t="s">
        <v>170</v>
      </c>
      <c r="J538" s="59">
        <v>44956</v>
      </c>
      <c r="L538" s="59" t="e" cm="1">
        <f t="array" ref="L538">INDEX($J$4:J1628, MATCH(1,(A538=$A$4:A1626)*(C538=$C$4:C1626)*("Y"=$K$4:K1628),0))</f>
        <v>#N/A</v>
      </c>
      <c r="M538" s="1">
        <v>1000000</v>
      </c>
      <c r="N538">
        <v>28</v>
      </c>
      <c r="O538">
        <v>30</v>
      </c>
      <c r="P538"/>
      <c r="Q538" s="6">
        <f>(SUM(Pcfu4[[#This Row],[R1]:[R3]]))/(Pcfu4[[#This Row],[No. Reps]]*0.025)*Pcfu4[[#This Row],[Best DF]]</f>
        <v>1160000000</v>
      </c>
      <c r="R538" s="1">
        <f>_xlfn.STDEV.S(Pcfu4[[#This Row],[R1]:[R3]])/0.025*Pcfu4[[#This Row],[Best DF]]</f>
        <v>56568542.494923808</v>
      </c>
      <c r="S538" s="6">
        <f>Pcfu4[[#This Row],[CFU/mL]]*Pcfu4[[#This Row],[mL]]/Pcfu4[[#This Row],[grams]]</f>
        <v>22040000000</v>
      </c>
      <c r="T538" s="1">
        <f>Pcfu4[[#This Row],[SD CFU/mL]]*Pcfu4[[#This Row],[mL]]/Pcfu4[[#This Row],[grams]]</f>
        <v>1074802307.4035523</v>
      </c>
      <c r="U538" s="7">
        <f>_xlfn.STDEV.S(Pcfu43[[#This Row],[R1]:[R3]])/AVERAGE(Pcfu43[[#This Row],[R1]:[R3]])</f>
        <v>0.27936303347885133</v>
      </c>
      <c r="V538" s="96"/>
      <c r="W538" s="7"/>
    </row>
    <row r="539" spans="1:24" x14ac:dyDescent="0.15">
      <c r="A539" t="s">
        <v>390</v>
      </c>
      <c r="B539" t="s">
        <v>527</v>
      </c>
      <c r="D539" t="s">
        <v>86</v>
      </c>
      <c r="E539" s="3">
        <v>2</v>
      </c>
      <c r="G539">
        <v>0.3</v>
      </c>
      <c r="H539" s="5">
        <f>19*Pcfu4[[#This Row],[grams]]</f>
        <v>5.7</v>
      </c>
      <c r="I539" s="3" t="s">
        <v>170</v>
      </c>
      <c r="J539" s="59">
        <v>44956</v>
      </c>
      <c r="L539" s="59" t="e" cm="1">
        <f t="array" ref="L539">INDEX($J$4:J1629, MATCH(1,(A539=$A$4:A1627)*(C539=$C$4:C1627)*("Y"=$K$4:K1629),0))</f>
        <v>#N/A</v>
      </c>
      <c r="M539" s="1">
        <v>1000000</v>
      </c>
      <c r="N539">
        <v>72</v>
      </c>
      <c r="O539">
        <v>84</v>
      </c>
      <c r="P539"/>
      <c r="Q539" s="6">
        <f>(SUM(Pcfu4[[#This Row],[R1]:[R3]]))/(Pcfu4[[#This Row],[No. Reps]]*0.025)*Pcfu4[[#This Row],[Best DF]]</f>
        <v>3120000000</v>
      </c>
      <c r="R539" s="1">
        <f>_xlfn.STDEV.S(Pcfu4[[#This Row],[R1]:[R3]])/0.025*Pcfu4[[#This Row],[Best DF]]</f>
        <v>339411254.96954274</v>
      </c>
      <c r="S539" s="6">
        <f>Pcfu4[[#This Row],[CFU/mL]]*Pcfu4[[#This Row],[mL]]/Pcfu4[[#This Row],[grams]]</f>
        <v>59280000000</v>
      </c>
      <c r="T539" s="1">
        <f>Pcfu4[[#This Row],[SD CFU/mL]]*Pcfu4[[#This Row],[mL]]/Pcfu4[[#This Row],[grams]]</f>
        <v>6448813844.4213123</v>
      </c>
      <c r="U539" s="7">
        <f>_xlfn.STDEV.S(Pcfu43[[#This Row],[R1]:[R3]])/AVERAGE(Pcfu43[[#This Row],[R1]:[R3]])</f>
        <v>0.15231702435118011</v>
      </c>
      <c r="V539" s="96"/>
      <c r="W539" s="7"/>
    </row>
    <row r="540" spans="1:24" x14ac:dyDescent="0.15">
      <c r="A540" t="s">
        <v>391</v>
      </c>
      <c r="B540" t="s">
        <v>527</v>
      </c>
      <c r="D540" t="s">
        <v>86</v>
      </c>
      <c r="E540" s="3">
        <v>2</v>
      </c>
      <c r="G540">
        <v>0.3</v>
      </c>
      <c r="H540" s="5">
        <f>19*Pcfu4[[#This Row],[grams]]</f>
        <v>5.7</v>
      </c>
      <c r="I540" s="3" t="s">
        <v>170</v>
      </c>
      <c r="J540" s="59">
        <v>44956</v>
      </c>
      <c r="L540" s="59" t="e" cm="1">
        <f t="array" ref="L540">INDEX($J$4:J1630, MATCH(1,(A540=$A$4:A1628)*(C540=$C$4:C1628)*("Y"=$K$4:K1630),0))</f>
        <v>#N/A</v>
      </c>
      <c r="M540" s="1">
        <v>1000000</v>
      </c>
      <c r="N540">
        <v>34</v>
      </c>
      <c r="O540">
        <v>44</v>
      </c>
      <c r="P540"/>
      <c r="Q540" s="6">
        <f>(SUM(Pcfu4[[#This Row],[R1]:[R3]]))/(Pcfu4[[#This Row],[No. Reps]]*0.025)*Pcfu4[[#This Row],[Best DF]]</f>
        <v>1560000000</v>
      </c>
      <c r="R540" s="1">
        <f>_xlfn.STDEV.S(Pcfu4[[#This Row],[R1]:[R3]])/0.025*Pcfu4[[#This Row],[Best DF]]</f>
        <v>282842712.47461903</v>
      </c>
      <c r="S540" s="6">
        <f>Pcfu4[[#This Row],[CFU/mL]]*Pcfu4[[#This Row],[mL]]/Pcfu4[[#This Row],[grams]]</f>
        <v>29640000000</v>
      </c>
      <c r="T540" s="1">
        <f>Pcfu4[[#This Row],[SD CFU/mL]]*Pcfu4[[#This Row],[mL]]/Pcfu4[[#This Row],[grams]]</f>
        <v>5374011537.0177622</v>
      </c>
      <c r="U540" s="7">
        <f>_xlfn.STDEV.S(Pcfu43[[#This Row],[R1]:[R3]])/AVERAGE(Pcfu43[[#This Row],[R1]:[R3]])</f>
        <v>2.7936303347885119E-2</v>
      </c>
      <c r="V540" s="96"/>
      <c r="W540" s="7"/>
    </row>
    <row r="541" spans="1:24" x14ac:dyDescent="0.15">
      <c r="A541" t="s">
        <v>392</v>
      </c>
      <c r="B541" t="s">
        <v>527</v>
      </c>
      <c r="D541" t="s">
        <v>86</v>
      </c>
      <c r="E541" s="3">
        <v>2</v>
      </c>
      <c r="G541">
        <v>0.3</v>
      </c>
      <c r="H541" s="5">
        <f>19*Pcfu4[[#This Row],[grams]]</f>
        <v>5.7</v>
      </c>
      <c r="I541" s="3" t="s">
        <v>170</v>
      </c>
      <c r="J541" s="59">
        <v>44956</v>
      </c>
      <c r="L541" s="59" t="e" cm="1">
        <f t="array" ref="L541">INDEX($J$4:J1631, MATCH(1,(A541=$A$4:A1629)*(C541=$C$4:C1629)*("Y"=$K$4:K1631),0))</f>
        <v>#N/A</v>
      </c>
      <c r="M541" s="1">
        <v>1000000</v>
      </c>
      <c r="N541">
        <v>102</v>
      </c>
      <c r="O541">
        <v>94</v>
      </c>
      <c r="P541"/>
      <c r="Q541" s="6">
        <f>(SUM(Pcfu4[[#This Row],[R1]:[R3]]))/(Pcfu4[[#This Row],[No. Reps]]*0.025)*Pcfu4[[#This Row],[Best DF]]</f>
        <v>3920000000</v>
      </c>
      <c r="R541" s="1">
        <f>_xlfn.STDEV.S(Pcfu4[[#This Row],[R1]:[R3]])/0.025*Pcfu4[[#This Row],[Best DF]]</f>
        <v>226274169.97969523</v>
      </c>
      <c r="S541" s="6">
        <f>Pcfu4[[#This Row],[CFU/mL]]*Pcfu4[[#This Row],[mL]]/Pcfu4[[#This Row],[grams]]</f>
        <v>74480000000</v>
      </c>
      <c r="T541" s="1">
        <f>Pcfu4[[#This Row],[SD CFU/mL]]*Pcfu4[[#This Row],[mL]]/Pcfu4[[#This Row],[grams]]</f>
        <v>4299209229.6142092</v>
      </c>
      <c r="U541" s="7">
        <f>_xlfn.STDEV.S(Pcfu43[[#This Row],[R1]:[R3]])/AVERAGE(Pcfu43[[#This Row],[R1]:[R3]])</f>
        <v>0.25048443535046644</v>
      </c>
      <c r="V541" s="96"/>
      <c r="W541" s="7"/>
    </row>
    <row r="542" spans="1:24" x14ac:dyDescent="0.15">
      <c r="A542" t="s">
        <v>393</v>
      </c>
      <c r="B542" t="s">
        <v>527</v>
      </c>
      <c r="D542" t="s">
        <v>86</v>
      </c>
      <c r="E542" s="3">
        <v>2</v>
      </c>
      <c r="G542">
        <v>0.3</v>
      </c>
      <c r="H542" s="5">
        <f>19*Pcfu4[[#This Row],[grams]]</f>
        <v>5.7</v>
      </c>
      <c r="I542" s="3" t="s">
        <v>170</v>
      </c>
      <c r="J542" s="59">
        <v>44956</v>
      </c>
      <c r="L542" s="59" t="e" cm="1">
        <f t="array" ref="L542">INDEX($J$4:J1632, MATCH(1,(A542=$A$4:A1630)*(C542=$C$4:C1630)*("Y"=$K$4:K1632),0))</f>
        <v>#N/A</v>
      </c>
      <c r="M542" s="1">
        <v>10000000</v>
      </c>
      <c r="N542">
        <v>43</v>
      </c>
      <c r="O542">
        <v>59</v>
      </c>
      <c r="P542"/>
      <c r="Q542" s="6">
        <f>(SUM(Pcfu4[[#This Row],[R1]:[R3]]))/(Pcfu4[[#This Row],[No. Reps]]*0.025)*Pcfu4[[#This Row],[Best DF]]</f>
        <v>20400000000</v>
      </c>
      <c r="R542" s="1">
        <f>_xlfn.STDEV.S(Pcfu4[[#This Row],[R1]:[R3]])/0.025*Pcfu4[[#This Row],[Best DF]]</f>
        <v>4525483399.5939045</v>
      </c>
      <c r="S542" s="6">
        <f>Pcfu4[[#This Row],[CFU/mL]]*Pcfu4[[#This Row],[mL]]/Pcfu4[[#This Row],[grams]]</f>
        <v>387600000000</v>
      </c>
      <c r="T542" s="1">
        <f>Pcfu4[[#This Row],[SD CFU/mL]]*Pcfu4[[#This Row],[mL]]/Pcfu4[[#This Row],[grams]]</f>
        <v>85984184592.284195</v>
      </c>
      <c r="U542" s="7">
        <f>_xlfn.STDEV.S(Pcfu43[[#This Row],[R1]:[R3]])/AVERAGE(Pcfu43[[#This Row],[R1]:[R3]])</f>
        <v>0.21166010488516726</v>
      </c>
      <c r="V542" s="96"/>
      <c r="W542" s="7"/>
    </row>
    <row r="543" spans="1:24" x14ac:dyDescent="0.15">
      <c r="A543" t="s">
        <v>394</v>
      </c>
      <c r="B543" t="s">
        <v>527</v>
      </c>
      <c r="D543" t="s">
        <v>86</v>
      </c>
      <c r="E543" s="3">
        <v>2</v>
      </c>
      <c r="G543">
        <v>0.3</v>
      </c>
      <c r="H543" s="5">
        <f>19*Pcfu4[[#This Row],[grams]]</f>
        <v>5.7</v>
      </c>
      <c r="I543" s="3" t="s">
        <v>170</v>
      </c>
      <c r="J543" s="59">
        <v>44956</v>
      </c>
      <c r="L543" s="59" t="e" cm="1">
        <f t="array" ref="L543">INDEX($J$4:J1633, MATCH(1,(A543=$A$4:A1631)*(C543=$C$4:C1631)*("Y"=$K$4:K1633),0))</f>
        <v>#N/A</v>
      </c>
      <c r="M543" s="1">
        <v>10000000</v>
      </c>
      <c r="N543">
        <v>44</v>
      </c>
      <c r="O543">
        <v>39</v>
      </c>
      <c r="P543"/>
      <c r="Q543" s="6">
        <f>(SUM(Pcfu4[[#This Row],[R1]:[R3]]))/(Pcfu4[[#This Row],[No. Reps]]*0.025)*Pcfu4[[#This Row],[Best DF]]</f>
        <v>16600000000</v>
      </c>
      <c r="R543" s="1">
        <f>_xlfn.STDEV.S(Pcfu4[[#This Row],[R1]:[R3]])/0.025*Pcfu4[[#This Row],[Best DF]]</f>
        <v>1414213562.373095</v>
      </c>
      <c r="S543" s="6">
        <f>Pcfu4[[#This Row],[CFU/mL]]*Pcfu4[[#This Row],[mL]]/Pcfu4[[#This Row],[grams]]</f>
        <v>315400000000</v>
      </c>
      <c r="T543" s="1">
        <f>Pcfu4[[#This Row],[SD CFU/mL]]*Pcfu4[[#This Row],[mL]]/Pcfu4[[#This Row],[grams]]</f>
        <v>26870057685.088806</v>
      </c>
      <c r="U543" s="7">
        <f>_xlfn.STDEV.S(Pcfu43[[#This Row],[R1]:[R3]])/AVERAGE(Pcfu43[[#This Row],[R1]:[R3]])</f>
        <v>0.30201323646834155</v>
      </c>
      <c r="V543" s="96"/>
      <c r="W543" s="7"/>
    </row>
    <row r="544" spans="1:24" x14ac:dyDescent="0.15">
      <c r="A544" t="s">
        <v>395</v>
      </c>
      <c r="B544" t="s">
        <v>527</v>
      </c>
      <c r="D544" t="s">
        <v>86</v>
      </c>
      <c r="E544" s="3">
        <v>2</v>
      </c>
      <c r="G544">
        <v>0.3</v>
      </c>
      <c r="H544" s="5">
        <f>19*Pcfu4[[#This Row],[grams]]</f>
        <v>5.7</v>
      </c>
      <c r="I544" s="3" t="s">
        <v>170</v>
      </c>
      <c r="J544" s="59">
        <v>44956</v>
      </c>
      <c r="L544" s="59" t="e" cm="1">
        <f t="array" ref="L544">INDEX($J$4:J1634, MATCH(1,(A544=$A$4:A1632)*(C544=$C$4:C1632)*("Y"=$K$4:K1634),0))</f>
        <v>#N/A</v>
      </c>
      <c r="M544" s="1">
        <v>1000000</v>
      </c>
      <c r="N544">
        <v>98</v>
      </c>
      <c r="O544">
        <v>130</v>
      </c>
      <c r="P544"/>
      <c r="Q544" s="6">
        <f>(SUM(Pcfu4[[#This Row],[R1]:[R3]]))/(Pcfu4[[#This Row],[No. Reps]]*0.025)*Pcfu4[[#This Row],[Best DF]]</f>
        <v>4560000000</v>
      </c>
      <c r="R544" s="1">
        <f>_xlfn.STDEV.S(Pcfu4[[#This Row],[R1]:[R3]])/0.025*Pcfu4[[#This Row],[Best DF]]</f>
        <v>905096679.91878092</v>
      </c>
      <c r="S544" s="6">
        <f>Pcfu4[[#This Row],[CFU/mL]]*Pcfu4[[#This Row],[mL]]/Pcfu4[[#This Row],[grams]]</f>
        <v>86640000000</v>
      </c>
      <c r="T544" s="1">
        <f>Pcfu4[[#This Row],[SD CFU/mL]]*Pcfu4[[#This Row],[mL]]/Pcfu4[[#This Row],[grams]]</f>
        <v>17196836918.456837</v>
      </c>
      <c r="U544" s="7">
        <f>_xlfn.STDEV.S(Pcfu43[[#This Row],[R1]:[R3]])/AVERAGE(Pcfu43[[#This Row],[R1]:[R3]])</f>
        <v>0.2403700850309326</v>
      </c>
      <c r="V544" s="96"/>
      <c r="W544" s="7"/>
    </row>
    <row r="545" spans="1:24" x14ac:dyDescent="0.15">
      <c r="A545" t="s">
        <v>436</v>
      </c>
      <c r="B545" t="s">
        <v>528</v>
      </c>
      <c r="D545" t="s">
        <v>86</v>
      </c>
      <c r="E545" s="3">
        <v>2</v>
      </c>
      <c r="G545">
        <v>0.3</v>
      </c>
      <c r="H545" s="5">
        <f>19*Pcfu4[[#This Row],[grams]]</f>
        <v>5.7</v>
      </c>
      <c r="I545" s="3" t="s">
        <v>170</v>
      </c>
      <c r="J545" s="59">
        <v>44959</v>
      </c>
      <c r="L545" s="59" t="e" cm="1">
        <f t="array" ref="L545">INDEX($J$4:J1635, MATCH(1,(A545=$A$4:A1633)*(C545=$C$4:C1633)*("Y"=$K$4:K1635),0))</f>
        <v>#N/A</v>
      </c>
      <c r="M545" s="1">
        <v>1000000</v>
      </c>
      <c r="N545">
        <v>21</v>
      </c>
      <c r="O545">
        <v>12</v>
      </c>
      <c r="P545"/>
      <c r="Q545" s="6">
        <f>(SUM(Pcfu4[[#This Row],[R1]:[R3]]))/(Pcfu4[[#This Row],[No. Reps]]*0.025)*Pcfu4[[#This Row],[Best DF]]</f>
        <v>660000000</v>
      </c>
      <c r="R545" s="1">
        <f>_xlfn.STDEV.S(Pcfu4[[#This Row],[R1]:[R3]])/0.025*Pcfu4[[#This Row],[Best DF]]</f>
        <v>254558441.22715709</v>
      </c>
      <c r="S545" s="6">
        <f>Pcfu4[[#This Row],[CFU/mL]]*Pcfu4[[#This Row],[mL]]/Pcfu4[[#This Row],[grams]]</f>
        <v>12540000000</v>
      </c>
      <c r="T545" s="1">
        <f>Pcfu4[[#This Row],[SD CFU/mL]]*Pcfu4[[#This Row],[mL]]/Pcfu4[[#This Row],[grams]]</f>
        <v>4836610383.3159847</v>
      </c>
      <c r="U545" s="7" t="e">
        <f>_xlfn.STDEV.S(Pcfu43[[#This Row],[R1]:[R3]])/AVERAGE(Pcfu43[[#This Row],[R1]:[R3]])</f>
        <v>#VALUE!</v>
      </c>
      <c r="V545" s="96">
        <v>0.2</v>
      </c>
      <c r="W545" s="7"/>
      <c r="X545" t="s">
        <v>529</v>
      </c>
    </row>
    <row r="546" spans="1:24" x14ac:dyDescent="0.15">
      <c r="A546" t="s">
        <v>437</v>
      </c>
      <c r="B546" t="s">
        <v>528</v>
      </c>
      <c r="D546" t="s">
        <v>86</v>
      </c>
      <c r="E546" s="3">
        <v>2</v>
      </c>
      <c r="G546">
        <v>0.3</v>
      </c>
      <c r="H546" s="5">
        <f>19*Pcfu4[[#This Row],[grams]]</f>
        <v>5.7</v>
      </c>
      <c r="I546" s="3" t="s">
        <v>170</v>
      </c>
      <c r="J546" s="59">
        <v>44959</v>
      </c>
      <c r="L546" s="59" t="e" cm="1">
        <f t="array" ref="L546">INDEX($J$4:J1636, MATCH(1,(A546=$A$4:A1634)*(C546=$C$4:C1634)*("Y"=$K$4:K1636),0))</f>
        <v>#N/A</v>
      </c>
      <c r="M546" s="1">
        <v>10000000</v>
      </c>
      <c r="N546">
        <v>42</v>
      </c>
      <c r="O546">
        <v>28</v>
      </c>
      <c r="P546"/>
      <c r="Q546" s="6">
        <f>(SUM(Pcfu4[[#This Row],[R1]:[R3]]))/(Pcfu4[[#This Row],[No. Reps]]*0.025)*Pcfu4[[#This Row],[Best DF]]</f>
        <v>14000000000</v>
      </c>
      <c r="R546" s="1">
        <f>_xlfn.STDEV.S(Pcfu4[[#This Row],[R1]:[R3]])/0.025*Pcfu4[[#This Row],[Best DF]]</f>
        <v>3959797974.6446657</v>
      </c>
      <c r="S546" s="6">
        <f>Pcfu4[[#This Row],[CFU/mL]]*Pcfu4[[#This Row],[mL]]/Pcfu4[[#This Row],[grams]]</f>
        <v>266000000000</v>
      </c>
      <c r="T546" s="1">
        <f>Pcfu4[[#This Row],[SD CFU/mL]]*Pcfu4[[#This Row],[mL]]/Pcfu4[[#This Row],[grams]]</f>
        <v>75236161518.248657</v>
      </c>
      <c r="U546" s="7" t="e">
        <f>_xlfn.STDEV.S(Pcfu43[[#This Row],[R1]:[R3]])/AVERAGE(Pcfu43[[#This Row],[R1]:[R3]])</f>
        <v>#VALUE!</v>
      </c>
      <c r="V546" s="96">
        <v>0.29199999999999998</v>
      </c>
      <c r="W546" s="7"/>
      <c r="X546" t="s">
        <v>530</v>
      </c>
    </row>
    <row r="547" spans="1:24" x14ac:dyDescent="0.15">
      <c r="A547" t="s">
        <v>438</v>
      </c>
      <c r="B547" t="s">
        <v>528</v>
      </c>
      <c r="D547" t="s">
        <v>86</v>
      </c>
      <c r="E547" s="3">
        <v>2</v>
      </c>
      <c r="G547">
        <v>0.3</v>
      </c>
      <c r="H547" s="5">
        <f>19*Pcfu4[[#This Row],[grams]]</f>
        <v>5.7</v>
      </c>
      <c r="I547" s="3" t="s">
        <v>170</v>
      </c>
      <c r="J547" s="59">
        <v>44959</v>
      </c>
      <c r="L547" s="59" t="e" cm="1">
        <f t="array" ref="L547">INDEX($J$4:J1637, MATCH(1,(A547=$A$4:A1635)*(C547=$C$4:C1635)*("Y"=$K$4:K1637),0))</f>
        <v>#N/A</v>
      </c>
      <c r="M547" s="1">
        <v>1000000</v>
      </c>
      <c r="N547">
        <v>41</v>
      </c>
      <c r="O547">
        <v>44</v>
      </c>
      <c r="P547"/>
      <c r="Q547" s="6">
        <f>(SUM(Pcfu4[[#This Row],[R1]:[R3]]))/(Pcfu4[[#This Row],[No. Reps]]*0.025)*Pcfu4[[#This Row],[Best DF]]</f>
        <v>1700000000</v>
      </c>
      <c r="R547" s="1">
        <f>_xlfn.STDEV.S(Pcfu4[[#This Row],[R1]:[R3]])/0.025*Pcfu4[[#This Row],[Best DF]]</f>
        <v>84852813.742385685</v>
      </c>
      <c r="S547" s="6">
        <f>Pcfu4[[#This Row],[CFU/mL]]*Pcfu4[[#This Row],[mL]]/Pcfu4[[#This Row],[grams]]</f>
        <v>32300000000</v>
      </c>
      <c r="T547" s="1">
        <f>Pcfu4[[#This Row],[SD CFU/mL]]*Pcfu4[[#This Row],[mL]]/Pcfu4[[#This Row],[grams]]</f>
        <v>1612203461.1053281</v>
      </c>
      <c r="U547" s="7" t="e">
        <f>_xlfn.STDEV.S(Pcfu43[[#This Row],[R1]:[R3]])/AVERAGE(Pcfu43[[#This Row],[R1]:[R3]])</f>
        <v>#VALUE!</v>
      </c>
      <c r="V547" s="96">
        <v>0.29099999999999998</v>
      </c>
      <c r="W547" s="7"/>
      <c r="X547" t="s">
        <v>493</v>
      </c>
    </row>
    <row r="548" spans="1:24" x14ac:dyDescent="0.15">
      <c r="A548" t="s">
        <v>439</v>
      </c>
      <c r="B548" t="s">
        <v>528</v>
      </c>
      <c r="D548" t="s">
        <v>86</v>
      </c>
      <c r="E548" s="3">
        <v>2</v>
      </c>
      <c r="G548">
        <v>0.3</v>
      </c>
      <c r="H548" s="5">
        <f>19*Pcfu4[[#This Row],[grams]]</f>
        <v>5.7</v>
      </c>
      <c r="I548" s="3" t="s">
        <v>170</v>
      </c>
      <c r="J548" s="59">
        <v>44959</v>
      </c>
      <c r="L548" s="59" t="e" cm="1">
        <f t="array" ref="L548">INDEX($J$4:J1638, MATCH(1,(A548=$A$4:A1636)*(C548=$C$4:C1636)*("Y"=$K$4:K1638),0))</f>
        <v>#N/A</v>
      </c>
      <c r="M548" s="1">
        <v>1000000</v>
      </c>
      <c r="N548">
        <v>110</v>
      </c>
      <c r="O548">
        <v>85</v>
      </c>
      <c r="P548"/>
      <c r="Q548" s="6">
        <f>(SUM(Pcfu4[[#This Row],[R1]:[R3]]))/(Pcfu4[[#This Row],[No. Reps]]*0.025)*Pcfu4[[#This Row],[Best DF]]</f>
        <v>3900000000</v>
      </c>
      <c r="R548" s="1">
        <f>_xlfn.STDEV.S(Pcfu4[[#This Row],[R1]:[R3]])/0.025*Pcfu4[[#This Row],[Best DF]]</f>
        <v>707106781.18654752</v>
      </c>
      <c r="S548" s="6">
        <f>Pcfu4[[#This Row],[CFU/mL]]*Pcfu4[[#This Row],[mL]]/Pcfu4[[#This Row],[grams]]</f>
        <v>74100000000</v>
      </c>
      <c r="T548" s="1">
        <f>Pcfu4[[#This Row],[SD CFU/mL]]*Pcfu4[[#This Row],[mL]]/Pcfu4[[#This Row],[grams]]</f>
        <v>13435028842.544403</v>
      </c>
      <c r="U548" s="7" t="e">
        <f>_xlfn.STDEV.S(Pcfu43[[#This Row],[R1]:[R3]])/AVERAGE(Pcfu43[[#This Row],[R1]:[R3]])</f>
        <v>#VALUE!</v>
      </c>
      <c r="V548" s="96">
        <v>0.27</v>
      </c>
      <c r="W548" s="7"/>
      <c r="X548" t="s">
        <v>497</v>
      </c>
    </row>
    <row r="549" spans="1:24" x14ac:dyDescent="0.15">
      <c r="A549" t="s">
        <v>440</v>
      </c>
      <c r="B549" t="s">
        <v>528</v>
      </c>
      <c r="D549" t="s">
        <v>86</v>
      </c>
      <c r="E549" s="3">
        <v>2</v>
      </c>
      <c r="G549">
        <v>0.3</v>
      </c>
      <c r="H549" s="5">
        <f>19*Pcfu4[[#This Row],[grams]]</f>
        <v>5.7</v>
      </c>
      <c r="I549" s="3" t="s">
        <v>170</v>
      </c>
      <c r="J549" s="59">
        <v>44959</v>
      </c>
      <c r="L549" s="59" t="e" cm="1">
        <f t="array" ref="L549">INDEX($J$4:J1639, MATCH(1,(A549=$A$4:A1637)*(C549=$C$4:C1637)*("Y"=$K$4:K1639),0))</f>
        <v>#N/A</v>
      </c>
      <c r="M549" s="1">
        <v>1000000</v>
      </c>
      <c r="N549">
        <v>16</v>
      </c>
      <c r="O549">
        <v>21</v>
      </c>
      <c r="P549"/>
      <c r="Q549" s="6">
        <f>(SUM(Pcfu4[[#This Row],[R1]:[R3]]))/(Pcfu4[[#This Row],[No. Reps]]*0.025)*Pcfu4[[#This Row],[Best DF]]</f>
        <v>740000000</v>
      </c>
      <c r="R549" s="1">
        <f>_xlfn.STDEV.S(Pcfu4[[#This Row],[R1]:[R3]])/0.025*Pcfu4[[#This Row],[Best DF]]</f>
        <v>141421356.23730952</v>
      </c>
      <c r="S549" s="6">
        <f>Pcfu4[[#This Row],[CFU/mL]]*Pcfu4[[#This Row],[mL]]/Pcfu4[[#This Row],[grams]]</f>
        <v>14060000000</v>
      </c>
      <c r="T549" s="1">
        <f>Pcfu4[[#This Row],[SD CFU/mL]]*Pcfu4[[#This Row],[mL]]/Pcfu4[[#This Row],[grams]]</f>
        <v>2687005768.5088811</v>
      </c>
      <c r="U549" s="7" t="e">
        <f>_xlfn.STDEV.S(Pcfu43[[#This Row],[R1]:[R3]])/AVERAGE(Pcfu43[[#This Row],[R1]:[R3]])</f>
        <v>#VALUE!</v>
      </c>
      <c r="V549" s="96">
        <v>0.27</v>
      </c>
      <c r="W549" s="7"/>
      <c r="X549" t="s">
        <v>497</v>
      </c>
    </row>
    <row r="550" spans="1:24" x14ac:dyDescent="0.15">
      <c r="A550" t="s">
        <v>441</v>
      </c>
      <c r="B550" t="s">
        <v>528</v>
      </c>
      <c r="D550" t="s">
        <v>86</v>
      </c>
      <c r="E550" s="3">
        <v>2</v>
      </c>
      <c r="G550">
        <v>0.3</v>
      </c>
      <c r="H550" s="5">
        <f>19*Pcfu4[[#This Row],[grams]]</f>
        <v>5.7</v>
      </c>
      <c r="I550" s="3" t="s">
        <v>170</v>
      </c>
      <c r="J550" s="59">
        <v>44959</v>
      </c>
      <c r="L550" s="59" t="e" cm="1">
        <f t="array" ref="L550">INDEX($J$4:J1640, MATCH(1,(A550=$A$4:A1638)*(C550=$C$4:C1638)*("Y"=$K$4:K1640),0))</f>
        <v>#N/A</v>
      </c>
      <c r="M550" s="1">
        <v>1000000</v>
      </c>
      <c r="N550">
        <v>28</v>
      </c>
      <c r="O550">
        <v>32</v>
      </c>
      <c r="P550"/>
      <c r="Q550" s="6">
        <f>(SUM(Pcfu4[[#This Row],[R1]:[R3]]))/(Pcfu4[[#This Row],[No. Reps]]*0.025)*Pcfu4[[#This Row],[Best DF]]</f>
        <v>1200000000</v>
      </c>
      <c r="R550" s="1">
        <f>_xlfn.STDEV.S(Pcfu4[[#This Row],[R1]:[R3]])/0.025*Pcfu4[[#This Row],[Best DF]]</f>
        <v>113137084.98984762</v>
      </c>
      <c r="S550" s="6">
        <f>Pcfu4[[#This Row],[CFU/mL]]*Pcfu4[[#This Row],[mL]]/Pcfu4[[#This Row],[grams]]</f>
        <v>22800000000</v>
      </c>
      <c r="T550" s="1">
        <f>Pcfu4[[#This Row],[SD CFU/mL]]*Pcfu4[[#This Row],[mL]]/Pcfu4[[#This Row],[grams]]</f>
        <v>2149604614.8071046</v>
      </c>
      <c r="U550" s="7" t="e">
        <f>_xlfn.STDEV.S(Pcfu43[[#This Row],[R1]:[R3]])/AVERAGE(Pcfu43[[#This Row],[R1]:[R3]])</f>
        <v>#VALUE!</v>
      </c>
      <c r="V550" s="96">
        <v>0.217</v>
      </c>
      <c r="W550" s="7"/>
      <c r="X550" t="s">
        <v>531</v>
      </c>
    </row>
    <row r="551" spans="1:24" x14ac:dyDescent="0.15">
      <c r="A551" t="s">
        <v>442</v>
      </c>
      <c r="B551" t="s">
        <v>528</v>
      </c>
      <c r="D551" t="s">
        <v>86</v>
      </c>
      <c r="E551" s="3">
        <v>2</v>
      </c>
      <c r="G551">
        <v>0.3</v>
      </c>
      <c r="H551" s="5">
        <f>19*Pcfu4[[#This Row],[grams]]</f>
        <v>5.7</v>
      </c>
      <c r="I551" s="3" t="s">
        <v>170</v>
      </c>
      <c r="J551" s="59">
        <v>44959</v>
      </c>
      <c r="L551" s="59" t="e" cm="1">
        <f t="array" ref="L551">INDEX($J$4:J1641, MATCH(1,(A551=$A$4:A1639)*(C551=$C$4:C1639)*("Y"=$K$4:K1641),0))</f>
        <v>#N/A</v>
      </c>
      <c r="M551" s="1">
        <v>1000000</v>
      </c>
      <c r="N551">
        <v>138</v>
      </c>
      <c r="O551">
        <v>117</v>
      </c>
      <c r="P551"/>
      <c r="Q551" s="6">
        <f>(SUM(Pcfu4[[#This Row],[R1]:[R3]]))/(Pcfu4[[#This Row],[No. Reps]]*0.025)*Pcfu4[[#This Row],[Best DF]]</f>
        <v>5100000000</v>
      </c>
      <c r="R551" s="1">
        <f>_xlfn.STDEV.S(Pcfu4[[#This Row],[R1]:[R3]])/0.025*Pcfu4[[#This Row],[Best DF]]</f>
        <v>593969696.19669986</v>
      </c>
      <c r="S551" s="6">
        <f>Pcfu4[[#This Row],[CFU/mL]]*Pcfu4[[#This Row],[mL]]/Pcfu4[[#This Row],[grams]]</f>
        <v>96900000000</v>
      </c>
      <c r="T551" s="1">
        <f>Pcfu4[[#This Row],[SD CFU/mL]]*Pcfu4[[#This Row],[mL]]/Pcfu4[[#This Row],[grams]]</f>
        <v>11285424227.737299</v>
      </c>
      <c r="U551" s="7" t="e">
        <f>_xlfn.STDEV.S(Pcfu43[[#This Row],[R1]:[R3]])/AVERAGE(Pcfu43[[#This Row],[R1]:[R3]])</f>
        <v>#VALUE!</v>
      </c>
      <c r="V551" s="96">
        <v>0.27</v>
      </c>
      <c r="W551" s="7"/>
      <c r="X551" t="s">
        <v>497</v>
      </c>
    </row>
    <row r="552" spans="1:24" x14ac:dyDescent="0.15">
      <c r="A552" t="s">
        <v>443</v>
      </c>
      <c r="B552" t="s">
        <v>528</v>
      </c>
      <c r="D552" t="s">
        <v>86</v>
      </c>
      <c r="E552" s="3">
        <v>2</v>
      </c>
      <c r="G552">
        <v>0.3</v>
      </c>
      <c r="H552" s="5">
        <f>19*Pcfu4[[#This Row],[grams]]</f>
        <v>5.7</v>
      </c>
      <c r="I552" s="3" t="s">
        <v>170</v>
      </c>
      <c r="J552" s="59">
        <v>44959</v>
      </c>
      <c r="L552" s="59" t="e" cm="1">
        <f t="array" ref="L552">INDEX($J$4:J1642, MATCH(1,(A552=$A$4:A1640)*(C552=$C$4:C1640)*("Y"=$K$4:K1642),0))</f>
        <v>#N/A</v>
      </c>
      <c r="M552" s="1">
        <v>10000000</v>
      </c>
      <c r="N552">
        <v>34</v>
      </c>
      <c r="O552">
        <v>41</v>
      </c>
      <c r="P552"/>
      <c r="Q552" s="6">
        <f>(SUM(Pcfu4[[#This Row],[R1]:[R3]]))/(Pcfu4[[#This Row],[No. Reps]]*0.025)*Pcfu4[[#This Row],[Best DF]]</f>
        <v>15000000000</v>
      </c>
      <c r="R552" s="1">
        <f>_xlfn.STDEV.S(Pcfu4[[#This Row],[R1]:[R3]])/0.025*Pcfu4[[#This Row],[Best DF]]</f>
        <v>1979898987.3223329</v>
      </c>
      <c r="S552" s="6">
        <f>Pcfu4[[#This Row],[CFU/mL]]*Pcfu4[[#This Row],[mL]]/Pcfu4[[#This Row],[grams]]</f>
        <v>285000000000</v>
      </c>
      <c r="T552" s="1">
        <f>Pcfu4[[#This Row],[SD CFU/mL]]*Pcfu4[[#This Row],[mL]]/Pcfu4[[#This Row],[grams]]</f>
        <v>37618080759.124329</v>
      </c>
      <c r="U552" s="7" t="e">
        <f>_xlfn.STDEV.S(Pcfu43[[#This Row],[R1]:[R3]])/AVERAGE(Pcfu43[[#This Row],[R1]:[R3]])</f>
        <v>#VALUE!</v>
      </c>
      <c r="V552" s="96">
        <v>0.26</v>
      </c>
      <c r="W552" s="7"/>
      <c r="X552" t="s">
        <v>532</v>
      </c>
    </row>
    <row r="553" spans="1:24" x14ac:dyDescent="0.15">
      <c r="A553" t="s">
        <v>444</v>
      </c>
      <c r="B553" t="s">
        <v>528</v>
      </c>
      <c r="D553" t="s">
        <v>86</v>
      </c>
      <c r="E553" s="3">
        <v>2</v>
      </c>
      <c r="G553">
        <v>0.3</v>
      </c>
      <c r="H553" s="5">
        <f>19*Pcfu4[[#This Row],[grams]]</f>
        <v>5.7</v>
      </c>
      <c r="I553" s="3" t="s">
        <v>170</v>
      </c>
      <c r="J553" s="59">
        <v>44959</v>
      </c>
      <c r="L553" s="59" t="e" cm="1">
        <f t="array" ref="L553">INDEX($J$4:J1643, MATCH(1,(A553=$A$4:A1641)*(C553=$C$4:C1641)*("Y"=$K$4:K1643),0))</f>
        <v>#N/A</v>
      </c>
      <c r="M553" s="1">
        <v>1000000</v>
      </c>
      <c r="N553">
        <v>29</v>
      </c>
      <c r="O553">
        <v>37</v>
      </c>
      <c r="P553"/>
      <c r="Q553" s="6">
        <f>(SUM(Pcfu4[[#This Row],[R1]:[R3]]))/(Pcfu4[[#This Row],[No. Reps]]*0.025)*Pcfu4[[#This Row],[Best DF]]</f>
        <v>1320000000</v>
      </c>
      <c r="R553" s="1">
        <f>_xlfn.STDEV.S(Pcfu4[[#This Row],[R1]:[R3]])/0.025*Pcfu4[[#This Row],[Best DF]]</f>
        <v>226274169.97969523</v>
      </c>
      <c r="S553" s="6">
        <f>Pcfu4[[#This Row],[CFU/mL]]*Pcfu4[[#This Row],[mL]]/Pcfu4[[#This Row],[grams]]</f>
        <v>25080000000</v>
      </c>
      <c r="T553" s="1">
        <f>Pcfu4[[#This Row],[SD CFU/mL]]*Pcfu4[[#This Row],[mL]]/Pcfu4[[#This Row],[grams]]</f>
        <v>4299209229.6142092</v>
      </c>
      <c r="U553" s="7" t="e">
        <f>_xlfn.STDEV.S(Pcfu43[[#This Row],[R1]:[R3]])/AVERAGE(Pcfu43[[#This Row],[R1]:[R3]])</f>
        <v>#VALUE!</v>
      </c>
      <c r="V553" s="96">
        <v>0.219</v>
      </c>
      <c r="W553" s="7"/>
      <c r="X553" t="s">
        <v>533</v>
      </c>
    </row>
    <row r="554" spans="1:24" x14ac:dyDescent="0.15">
      <c r="A554" t="s">
        <v>496</v>
      </c>
      <c r="C554" t="s">
        <v>460</v>
      </c>
      <c r="D554">
        <v>2</v>
      </c>
      <c r="E554" s="3">
        <v>1</v>
      </c>
      <c r="H554" s="5">
        <f>19*Pcfu4[[#This Row],[grams]]</f>
        <v>0</v>
      </c>
      <c r="J554" s="59">
        <v>44964</v>
      </c>
      <c r="L554" s="59" t="e" cm="1">
        <f t="array" ref="L554">INDEX($J$4:J1644, MATCH(1,(A554=$A$4:A1642)*(C554=$C$4:C1642)*("Y"=$K$4:K1644),0))</f>
        <v>#N/A</v>
      </c>
      <c r="M554" s="1">
        <v>100</v>
      </c>
      <c r="N554">
        <v>71</v>
      </c>
      <c r="P554"/>
      <c r="Q554" s="6">
        <f>(SUM(Pcfu4[[#This Row],[R1]:[R3]]))/(Pcfu4[[#This Row],[No. Reps]]*0.025)*Pcfu4[[#This Row],[Best DF]]</f>
        <v>284000</v>
      </c>
      <c r="R554" s="1" t="e">
        <f>_xlfn.STDEV.S(Pcfu4[[#This Row],[R1]:[R3]])/0.025*Pcfu4[[#This Row],[Best DF]]</f>
        <v>#DIV/0!</v>
      </c>
      <c r="S554" s="6" t="e">
        <f>Pcfu4[[#This Row],[CFU/mL]]*Pcfu4[[#This Row],[mL]]/Pcfu4[[#This Row],[grams]]</f>
        <v>#DIV/0!</v>
      </c>
      <c r="T554" s="1" t="e">
        <f>Pcfu4[[#This Row],[SD CFU/mL]]*Pcfu4[[#This Row],[mL]]/Pcfu4[[#This Row],[grams]]</f>
        <v>#DIV/0!</v>
      </c>
      <c r="U554" s="7" t="e">
        <f>_xlfn.STDEV.S(Pcfu43[[#This Row],[R1]:[R3]])/AVERAGE(Pcfu43[[#This Row],[R1]:[R3]])</f>
        <v>#VALUE!</v>
      </c>
      <c r="V554" s="96"/>
      <c r="W554" s="7"/>
    </row>
    <row r="555" spans="1:24" x14ac:dyDescent="0.15">
      <c r="A555" t="s">
        <v>492</v>
      </c>
      <c r="C555" t="s">
        <v>460</v>
      </c>
      <c r="D555">
        <v>2</v>
      </c>
      <c r="E555" s="3">
        <v>1</v>
      </c>
      <c r="H555" s="5">
        <f>19*Pcfu4[[#This Row],[grams]]</f>
        <v>0</v>
      </c>
      <c r="J555" s="59">
        <v>44964</v>
      </c>
      <c r="L555" s="59" t="e" cm="1">
        <f t="array" ref="L555">INDEX($J$4:J1645, MATCH(1,(A555=$A$4:A1643)*(C555=$C$4:C1643)*("Y"=$K$4:K1645),0))</f>
        <v>#N/A</v>
      </c>
      <c r="M555" s="1">
        <v>100</v>
      </c>
      <c r="N555">
        <v>166</v>
      </c>
      <c r="P555"/>
      <c r="Q555" s="6">
        <f>(SUM(Pcfu4[[#This Row],[R1]:[R3]]))/(Pcfu4[[#This Row],[No. Reps]]*0.025)*Pcfu4[[#This Row],[Best DF]]</f>
        <v>664000</v>
      </c>
      <c r="R555" s="1" t="e">
        <f>_xlfn.STDEV.S(Pcfu4[[#This Row],[R1]:[R3]])/0.025*Pcfu4[[#This Row],[Best DF]]</f>
        <v>#DIV/0!</v>
      </c>
      <c r="S555" s="6" t="e">
        <f>Pcfu4[[#This Row],[CFU/mL]]*Pcfu4[[#This Row],[mL]]/Pcfu4[[#This Row],[grams]]</f>
        <v>#DIV/0!</v>
      </c>
      <c r="T555" s="1" t="e">
        <f>Pcfu4[[#This Row],[SD CFU/mL]]*Pcfu4[[#This Row],[mL]]/Pcfu4[[#This Row],[grams]]</f>
        <v>#DIV/0!</v>
      </c>
      <c r="U555" s="7" t="e">
        <f>_xlfn.STDEV.S(Pcfu43[[#This Row],[R1]:[R3]])/AVERAGE(Pcfu43[[#This Row],[R1]:[R3]])</f>
        <v>#VALUE!</v>
      </c>
      <c r="V555" s="96"/>
      <c r="W555" s="7"/>
    </row>
    <row r="556" spans="1:24" x14ac:dyDescent="0.15">
      <c r="A556" t="s">
        <v>490</v>
      </c>
      <c r="C556" t="s">
        <v>460</v>
      </c>
      <c r="D556">
        <v>2</v>
      </c>
      <c r="E556" s="3">
        <v>1</v>
      </c>
      <c r="H556" s="5">
        <f>19*Pcfu4[[#This Row],[grams]]</f>
        <v>0</v>
      </c>
      <c r="J556" s="59">
        <v>44964</v>
      </c>
      <c r="L556" s="59" t="e" cm="1">
        <f t="array" ref="L556">INDEX($J$4:J1646, MATCH(1,(A556=$A$4:A1644)*(C556=$C$4:C1644)*("Y"=$K$4:K1646),0))</f>
        <v>#N/A</v>
      </c>
      <c r="M556" s="1">
        <v>100</v>
      </c>
      <c r="N556">
        <v>90</v>
      </c>
      <c r="P556"/>
      <c r="Q556" s="6">
        <f>(SUM(Pcfu4[[#This Row],[R1]:[R3]]))/(Pcfu4[[#This Row],[No. Reps]]*0.025)*Pcfu4[[#This Row],[Best DF]]</f>
        <v>360000</v>
      </c>
      <c r="R556" s="1" t="e">
        <f>_xlfn.STDEV.S(Pcfu4[[#This Row],[R1]:[R3]])/0.025*Pcfu4[[#This Row],[Best DF]]</f>
        <v>#DIV/0!</v>
      </c>
      <c r="S556" s="6" t="e">
        <f>Pcfu4[[#This Row],[CFU/mL]]*Pcfu4[[#This Row],[mL]]/Pcfu4[[#This Row],[grams]]</f>
        <v>#DIV/0!</v>
      </c>
      <c r="T556" s="1" t="e">
        <f>Pcfu4[[#This Row],[SD CFU/mL]]*Pcfu4[[#This Row],[mL]]/Pcfu4[[#This Row],[grams]]</f>
        <v>#DIV/0!</v>
      </c>
      <c r="U556" s="7" t="e">
        <f>_xlfn.STDEV.S(Pcfu43[[#This Row],[R1]:[R3]])/AVERAGE(Pcfu43[[#This Row],[R1]:[R3]])</f>
        <v>#VALUE!</v>
      </c>
      <c r="V556" s="96"/>
      <c r="W556" s="7"/>
    </row>
    <row r="557" spans="1:24" x14ac:dyDescent="0.15">
      <c r="A557" t="s">
        <v>498</v>
      </c>
      <c r="C557" t="s">
        <v>460</v>
      </c>
      <c r="D557">
        <v>2</v>
      </c>
      <c r="E557" s="3">
        <v>1</v>
      </c>
      <c r="H557" s="5">
        <f>19*Pcfu4[[#This Row],[grams]]</f>
        <v>0</v>
      </c>
      <c r="J557" s="59">
        <v>44964</v>
      </c>
      <c r="L557" s="59" t="e" cm="1">
        <f t="array" ref="L557">INDEX($J$4:J1647, MATCH(1,(A557=$A$4:A1645)*(C557=$C$4:C1645)*("Y"=$K$4:K1647),0))</f>
        <v>#N/A</v>
      </c>
      <c r="M557" s="1">
        <v>100</v>
      </c>
      <c r="N557">
        <v>68</v>
      </c>
      <c r="P557"/>
      <c r="Q557" s="6">
        <f>(SUM(Pcfu4[[#This Row],[R1]:[R3]]))/(Pcfu4[[#This Row],[No. Reps]]*0.025)*Pcfu4[[#This Row],[Best DF]]</f>
        <v>272000</v>
      </c>
      <c r="R557" s="1" t="e">
        <f>_xlfn.STDEV.S(Pcfu4[[#This Row],[R1]:[R3]])/0.025*Pcfu4[[#This Row],[Best DF]]</f>
        <v>#DIV/0!</v>
      </c>
      <c r="S557" s="6" t="e">
        <f>Pcfu4[[#This Row],[CFU/mL]]*Pcfu4[[#This Row],[mL]]/Pcfu4[[#This Row],[grams]]</f>
        <v>#DIV/0!</v>
      </c>
      <c r="T557" s="1" t="e">
        <f>Pcfu4[[#This Row],[SD CFU/mL]]*Pcfu4[[#This Row],[mL]]/Pcfu4[[#This Row],[grams]]</f>
        <v>#DIV/0!</v>
      </c>
      <c r="U557" s="7" t="e">
        <f>_xlfn.STDEV.S(Pcfu43[[#This Row],[R1]:[R3]])/AVERAGE(Pcfu43[[#This Row],[R1]:[R3]])</f>
        <v>#VALUE!</v>
      </c>
      <c r="V557" s="96"/>
      <c r="W557" s="7"/>
    </row>
    <row r="558" spans="1:24" x14ac:dyDescent="0.15">
      <c r="A558" t="s">
        <v>494</v>
      </c>
      <c r="C558" t="s">
        <v>460</v>
      </c>
      <c r="D558">
        <v>2</v>
      </c>
      <c r="E558" s="3">
        <v>1</v>
      </c>
      <c r="H558" s="5">
        <f>19*Pcfu4[[#This Row],[grams]]</f>
        <v>0</v>
      </c>
      <c r="J558" s="59">
        <v>44964</v>
      </c>
      <c r="L558" s="59" t="e" cm="1">
        <f t="array" ref="L558">INDEX($J$4:J1648, MATCH(1,(A558=$A$4:A1646)*(C558=$C$4:C1646)*("Y"=$K$4:K1648),0))</f>
        <v>#N/A</v>
      </c>
      <c r="M558" s="1">
        <v>100</v>
      </c>
      <c r="N558">
        <v>124</v>
      </c>
      <c r="P558"/>
      <c r="Q558" s="6">
        <f>(SUM(Pcfu4[[#This Row],[R1]:[R3]]))/(Pcfu4[[#This Row],[No. Reps]]*0.025)*Pcfu4[[#This Row],[Best DF]]</f>
        <v>496000</v>
      </c>
      <c r="R558" s="1" t="e">
        <f>_xlfn.STDEV.S(Pcfu4[[#This Row],[R1]:[R3]])/0.025*Pcfu4[[#This Row],[Best DF]]</f>
        <v>#DIV/0!</v>
      </c>
      <c r="S558" s="6" t="e">
        <f>Pcfu4[[#This Row],[CFU/mL]]*Pcfu4[[#This Row],[mL]]/Pcfu4[[#This Row],[grams]]</f>
        <v>#DIV/0!</v>
      </c>
      <c r="T558" s="1" t="e">
        <f>Pcfu4[[#This Row],[SD CFU/mL]]*Pcfu4[[#This Row],[mL]]/Pcfu4[[#This Row],[grams]]</f>
        <v>#DIV/0!</v>
      </c>
      <c r="U558" s="7" t="e">
        <f>_xlfn.STDEV.S(Pcfu43[[#This Row],[R1]:[R3]])/AVERAGE(Pcfu43[[#This Row],[R1]:[R3]])</f>
        <v>#VALUE!</v>
      </c>
      <c r="V558" s="96"/>
      <c r="W558" s="7"/>
    </row>
    <row r="559" spans="1:24" x14ac:dyDescent="0.15">
      <c r="A559" t="s">
        <v>496</v>
      </c>
      <c r="C559" t="s">
        <v>463</v>
      </c>
      <c r="D559">
        <v>2</v>
      </c>
      <c r="E559" s="3">
        <v>1</v>
      </c>
      <c r="H559" s="5">
        <f>19*Pcfu4[[#This Row],[grams]]</f>
        <v>0</v>
      </c>
      <c r="J559" s="59">
        <v>44964</v>
      </c>
      <c r="L559" s="59" t="e" cm="1">
        <f t="array" ref="L559">INDEX($J$4:J1649, MATCH(1,(A559=$A$4:A1647)*(C559=$C$4:C1647)*("Y"=$K$4:K1649),0))</f>
        <v>#N/A</v>
      </c>
      <c r="M559" s="1">
        <v>100</v>
      </c>
      <c r="N559">
        <v>86</v>
      </c>
      <c r="P559"/>
      <c r="Q559" s="6">
        <f>(SUM(Pcfu4[[#This Row],[R1]:[R3]]))/(Pcfu4[[#This Row],[No. Reps]]*0.025)*Pcfu4[[#This Row],[Best DF]]</f>
        <v>344000</v>
      </c>
      <c r="R559" s="1" t="e">
        <f>_xlfn.STDEV.S(Pcfu4[[#This Row],[R1]:[R3]])/0.025*Pcfu4[[#This Row],[Best DF]]</f>
        <v>#DIV/0!</v>
      </c>
      <c r="S559" s="6" t="e">
        <f>Pcfu4[[#This Row],[CFU/mL]]*Pcfu4[[#This Row],[mL]]/Pcfu4[[#This Row],[grams]]</f>
        <v>#DIV/0!</v>
      </c>
      <c r="T559" s="1" t="e">
        <f>Pcfu4[[#This Row],[SD CFU/mL]]*Pcfu4[[#This Row],[mL]]/Pcfu4[[#This Row],[grams]]</f>
        <v>#DIV/0!</v>
      </c>
      <c r="U559" s="7" t="e">
        <f>_xlfn.STDEV.S(Pcfu43[[#This Row],[R1]:[R3]])/AVERAGE(Pcfu43[[#This Row],[R1]:[R3]])</f>
        <v>#VALUE!</v>
      </c>
      <c r="V559" s="96"/>
      <c r="W559" s="7"/>
    </row>
    <row r="560" spans="1:24" x14ac:dyDescent="0.15">
      <c r="A560" t="s">
        <v>492</v>
      </c>
      <c r="C560" t="s">
        <v>463</v>
      </c>
      <c r="D560">
        <v>2</v>
      </c>
      <c r="E560" s="3">
        <v>1</v>
      </c>
      <c r="H560" s="5">
        <f>19*Pcfu4[[#This Row],[grams]]</f>
        <v>0</v>
      </c>
      <c r="J560" s="59">
        <v>44964</v>
      </c>
      <c r="L560" s="59" t="e" cm="1">
        <f t="array" ref="L560">INDEX($J$4:J1650, MATCH(1,(A560=$A$4:A1648)*(C560=$C$4:C1648)*("Y"=$K$4:K1650),0))</f>
        <v>#N/A</v>
      </c>
      <c r="M560" s="1">
        <v>100</v>
      </c>
      <c r="N560">
        <v>114</v>
      </c>
      <c r="P560"/>
      <c r="Q560" s="6">
        <f>(SUM(Pcfu4[[#This Row],[R1]:[R3]]))/(Pcfu4[[#This Row],[No. Reps]]*0.025)*Pcfu4[[#This Row],[Best DF]]</f>
        <v>456000</v>
      </c>
      <c r="R560" s="1" t="e">
        <f>_xlfn.STDEV.S(Pcfu4[[#This Row],[R1]:[R3]])/0.025*Pcfu4[[#This Row],[Best DF]]</f>
        <v>#DIV/0!</v>
      </c>
      <c r="S560" s="6" t="e">
        <f>Pcfu4[[#This Row],[CFU/mL]]*Pcfu4[[#This Row],[mL]]/Pcfu4[[#This Row],[grams]]</f>
        <v>#DIV/0!</v>
      </c>
      <c r="T560" s="1" t="e">
        <f>Pcfu4[[#This Row],[SD CFU/mL]]*Pcfu4[[#This Row],[mL]]/Pcfu4[[#This Row],[grams]]</f>
        <v>#DIV/0!</v>
      </c>
      <c r="U560" s="7" t="e">
        <f>_xlfn.STDEV.S(Pcfu43[[#This Row],[R1]:[R3]])/AVERAGE(Pcfu43[[#This Row],[R1]:[R3]])</f>
        <v>#VALUE!</v>
      </c>
      <c r="V560" s="96"/>
      <c r="W560" s="7"/>
    </row>
    <row r="561" spans="1:23" x14ac:dyDescent="0.15">
      <c r="A561" t="s">
        <v>490</v>
      </c>
      <c r="C561" t="s">
        <v>463</v>
      </c>
      <c r="D561">
        <v>2</v>
      </c>
      <c r="E561" s="3">
        <v>1</v>
      </c>
      <c r="H561" s="5">
        <f>19*Pcfu4[[#This Row],[grams]]</f>
        <v>0</v>
      </c>
      <c r="J561" s="59">
        <v>44964</v>
      </c>
      <c r="L561" s="59" t="e" cm="1">
        <f t="array" ref="L561">INDEX($J$4:J1651, MATCH(1,(A561=$A$4:A1649)*(C561=$C$4:C1649)*("Y"=$K$4:K1651),0))</f>
        <v>#N/A</v>
      </c>
      <c r="M561" s="1">
        <v>100</v>
      </c>
      <c r="N561">
        <v>78</v>
      </c>
      <c r="P561"/>
      <c r="Q561" s="6">
        <f>(SUM(Pcfu4[[#This Row],[R1]:[R3]]))/(Pcfu4[[#This Row],[No. Reps]]*0.025)*Pcfu4[[#This Row],[Best DF]]</f>
        <v>312000</v>
      </c>
      <c r="R561" s="1" t="e">
        <f>_xlfn.STDEV.S(Pcfu4[[#This Row],[R1]:[R3]])/0.025*Pcfu4[[#This Row],[Best DF]]</f>
        <v>#DIV/0!</v>
      </c>
      <c r="S561" s="6" t="e">
        <f>Pcfu4[[#This Row],[CFU/mL]]*Pcfu4[[#This Row],[mL]]/Pcfu4[[#This Row],[grams]]</f>
        <v>#DIV/0!</v>
      </c>
      <c r="T561" s="1" t="e">
        <f>Pcfu4[[#This Row],[SD CFU/mL]]*Pcfu4[[#This Row],[mL]]/Pcfu4[[#This Row],[grams]]</f>
        <v>#DIV/0!</v>
      </c>
      <c r="U561" s="7" t="e">
        <f>_xlfn.STDEV.S(Pcfu43[[#This Row],[R1]:[R3]])/AVERAGE(Pcfu43[[#This Row],[R1]:[R3]])</f>
        <v>#VALUE!</v>
      </c>
      <c r="V561" s="96"/>
      <c r="W561" s="7"/>
    </row>
    <row r="562" spans="1:23" x14ac:dyDescent="0.15">
      <c r="A562" t="s">
        <v>498</v>
      </c>
      <c r="C562" t="s">
        <v>463</v>
      </c>
      <c r="D562">
        <v>2</v>
      </c>
      <c r="E562" s="3">
        <v>1</v>
      </c>
      <c r="H562" s="5">
        <f>19*Pcfu4[[#This Row],[grams]]</f>
        <v>0</v>
      </c>
      <c r="J562" s="59">
        <v>44964</v>
      </c>
      <c r="L562" s="59" t="e" cm="1">
        <f t="array" ref="L562">INDEX($J$4:J1652, MATCH(1,(A562=$A$4:A1650)*(C562=$C$4:C1650)*("Y"=$K$4:K1652),0))</f>
        <v>#N/A</v>
      </c>
      <c r="M562" s="1">
        <v>100</v>
      </c>
      <c r="N562">
        <v>69</v>
      </c>
      <c r="P562"/>
      <c r="Q562" s="6">
        <f>(SUM(Pcfu4[[#This Row],[R1]:[R3]]))/(Pcfu4[[#This Row],[No. Reps]]*0.025)*Pcfu4[[#This Row],[Best DF]]</f>
        <v>276000</v>
      </c>
      <c r="R562" s="1" t="e">
        <f>_xlfn.STDEV.S(Pcfu4[[#This Row],[R1]:[R3]])/0.025*Pcfu4[[#This Row],[Best DF]]</f>
        <v>#DIV/0!</v>
      </c>
      <c r="S562" s="6" t="e">
        <f>Pcfu4[[#This Row],[CFU/mL]]*Pcfu4[[#This Row],[mL]]/Pcfu4[[#This Row],[grams]]</f>
        <v>#DIV/0!</v>
      </c>
      <c r="T562" s="1" t="e">
        <f>Pcfu4[[#This Row],[SD CFU/mL]]*Pcfu4[[#This Row],[mL]]/Pcfu4[[#This Row],[grams]]</f>
        <v>#DIV/0!</v>
      </c>
      <c r="U562" s="7" t="e">
        <f>_xlfn.STDEV.S(Pcfu43[[#This Row],[R1]:[R3]])/AVERAGE(Pcfu43[[#This Row],[R1]:[R3]])</f>
        <v>#VALUE!</v>
      </c>
      <c r="V562" s="96"/>
      <c r="W562" s="7"/>
    </row>
    <row r="563" spans="1:23" x14ac:dyDescent="0.15">
      <c r="A563" t="s">
        <v>494</v>
      </c>
      <c r="C563" t="s">
        <v>463</v>
      </c>
      <c r="D563">
        <v>2</v>
      </c>
      <c r="E563" s="3">
        <v>1</v>
      </c>
      <c r="H563" s="5">
        <f>19*Pcfu4[[#This Row],[grams]]</f>
        <v>0</v>
      </c>
      <c r="J563" s="59">
        <v>44964</v>
      </c>
      <c r="L563" s="59" t="e" cm="1">
        <f t="array" ref="L563">INDEX($J$4:J1653, MATCH(1,(A563=$A$4:A1651)*(C563=$C$4:C1651)*("Y"=$K$4:K1653),0))</f>
        <v>#N/A</v>
      </c>
      <c r="M563" s="1">
        <v>100</v>
      </c>
      <c r="N563">
        <v>81</v>
      </c>
      <c r="P563"/>
      <c r="Q563" s="6">
        <f>(SUM(Pcfu4[[#This Row],[R1]:[R3]]))/(Pcfu4[[#This Row],[No. Reps]]*0.025)*Pcfu4[[#This Row],[Best DF]]</f>
        <v>324000</v>
      </c>
      <c r="R563" s="1" t="e">
        <f>_xlfn.STDEV.S(Pcfu4[[#This Row],[R1]:[R3]])/0.025*Pcfu4[[#This Row],[Best DF]]</f>
        <v>#DIV/0!</v>
      </c>
      <c r="S563" s="6" t="e">
        <f>Pcfu4[[#This Row],[CFU/mL]]*Pcfu4[[#This Row],[mL]]/Pcfu4[[#This Row],[grams]]</f>
        <v>#DIV/0!</v>
      </c>
      <c r="T563" s="1" t="e">
        <f>Pcfu4[[#This Row],[SD CFU/mL]]*Pcfu4[[#This Row],[mL]]/Pcfu4[[#This Row],[grams]]</f>
        <v>#DIV/0!</v>
      </c>
      <c r="U563" s="7" t="e">
        <f>_xlfn.STDEV.S(Pcfu43[[#This Row],[R1]:[R3]])/AVERAGE(Pcfu43[[#This Row],[R1]:[R3]])</f>
        <v>#VALUE!</v>
      </c>
      <c r="V563" s="96"/>
      <c r="W563" s="7"/>
    </row>
    <row r="564" spans="1:23" x14ac:dyDescent="0.15">
      <c r="A564" t="s">
        <v>496</v>
      </c>
      <c r="C564" t="s">
        <v>464</v>
      </c>
      <c r="D564">
        <v>2</v>
      </c>
      <c r="E564" s="3">
        <v>1</v>
      </c>
      <c r="H564" s="5">
        <f>19*Pcfu4[[#This Row],[grams]]</f>
        <v>0</v>
      </c>
      <c r="J564" s="59">
        <v>44964</v>
      </c>
      <c r="L564" s="59" t="e" cm="1">
        <f t="array" ref="L564">INDEX($J$4:J1654, MATCH(1,(A564=$A$4:A1652)*(C564=$C$4:C1652)*("Y"=$K$4:K1654),0))</f>
        <v>#N/A</v>
      </c>
      <c r="M564" s="1">
        <v>100</v>
      </c>
      <c r="N564">
        <v>197</v>
      </c>
      <c r="P564"/>
      <c r="Q564" s="6">
        <f>(SUM(Pcfu4[[#This Row],[R1]:[R3]]))/(Pcfu4[[#This Row],[No. Reps]]*0.025)*Pcfu4[[#This Row],[Best DF]]</f>
        <v>788000</v>
      </c>
      <c r="R564" s="1" t="e">
        <f>_xlfn.STDEV.S(Pcfu4[[#This Row],[R1]:[R3]])/0.025*Pcfu4[[#This Row],[Best DF]]</f>
        <v>#DIV/0!</v>
      </c>
      <c r="S564" s="6" t="e">
        <f>Pcfu4[[#This Row],[CFU/mL]]*Pcfu4[[#This Row],[mL]]/Pcfu4[[#This Row],[grams]]</f>
        <v>#DIV/0!</v>
      </c>
      <c r="T564" s="1" t="e">
        <f>Pcfu4[[#This Row],[SD CFU/mL]]*Pcfu4[[#This Row],[mL]]/Pcfu4[[#This Row],[grams]]</f>
        <v>#DIV/0!</v>
      </c>
      <c r="U564" s="7" t="e">
        <f>_xlfn.STDEV.S(Pcfu43[[#This Row],[R1]:[R3]])/AVERAGE(Pcfu43[[#This Row],[R1]:[R3]])</f>
        <v>#VALUE!</v>
      </c>
      <c r="V564" s="96"/>
      <c r="W564" s="7"/>
    </row>
    <row r="565" spans="1:23" x14ac:dyDescent="0.15">
      <c r="A565" t="s">
        <v>492</v>
      </c>
      <c r="C565" t="s">
        <v>464</v>
      </c>
      <c r="D565">
        <v>2</v>
      </c>
      <c r="E565" s="3">
        <v>1</v>
      </c>
      <c r="H565" s="5">
        <f>19*Pcfu4[[#This Row],[grams]]</f>
        <v>0</v>
      </c>
      <c r="J565" s="59">
        <v>44964</v>
      </c>
      <c r="L565" s="59" t="e" cm="1">
        <f t="array" ref="L565">INDEX($J$4:J1655, MATCH(1,(A565=$A$4:A1653)*(C565=$C$4:C1653)*("Y"=$K$4:K1655),0))</f>
        <v>#N/A</v>
      </c>
      <c r="M565" s="1">
        <v>100</v>
      </c>
      <c r="N565">
        <v>104</v>
      </c>
      <c r="P565"/>
      <c r="Q565" s="6">
        <f>(SUM(Pcfu4[[#This Row],[R1]:[R3]]))/(Pcfu4[[#This Row],[No. Reps]]*0.025)*Pcfu4[[#This Row],[Best DF]]</f>
        <v>416000</v>
      </c>
      <c r="R565" s="1" t="e">
        <f>_xlfn.STDEV.S(Pcfu4[[#This Row],[R1]:[R3]])/0.025*Pcfu4[[#This Row],[Best DF]]</f>
        <v>#DIV/0!</v>
      </c>
      <c r="S565" s="6" t="e">
        <f>Pcfu4[[#This Row],[CFU/mL]]*Pcfu4[[#This Row],[mL]]/Pcfu4[[#This Row],[grams]]</f>
        <v>#DIV/0!</v>
      </c>
      <c r="T565" s="1" t="e">
        <f>Pcfu4[[#This Row],[SD CFU/mL]]*Pcfu4[[#This Row],[mL]]/Pcfu4[[#This Row],[grams]]</f>
        <v>#DIV/0!</v>
      </c>
      <c r="U565" s="7" t="e">
        <f>_xlfn.STDEV.S(Pcfu43[[#This Row],[R1]:[R3]])/AVERAGE(Pcfu43[[#This Row],[R1]:[R3]])</f>
        <v>#VALUE!</v>
      </c>
      <c r="V565" s="96"/>
      <c r="W565" s="7"/>
    </row>
    <row r="566" spans="1:23" x14ac:dyDescent="0.15">
      <c r="A566" t="s">
        <v>490</v>
      </c>
      <c r="C566" t="s">
        <v>464</v>
      </c>
      <c r="D566">
        <v>2</v>
      </c>
      <c r="E566" s="3">
        <v>1</v>
      </c>
      <c r="H566" s="5">
        <f>19*Pcfu4[[#This Row],[grams]]</f>
        <v>0</v>
      </c>
      <c r="J566" s="59">
        <v>44964</v>
      </c>
      <c r="L566" s="59" t="e" cm="1">
        <f t="array" ref="L566">INDEX($J$4:J1656, MATCH(1,(A566=$A$4:A1654)*(C566=$C$4:C1654)*("Y"=$K$4:K1656),0))</f>
        <v>#N/A</v>
      </c>
      <c r="M566" s="1">
        <v>100</v>
      </c>
      <c r="N566">
        <v>63</v>
      </c>
      <c r="P566"/>
      <c r="Q566" s="6">
        <f>(SUM(Pcfu4[[#This Row],[R1]:[R3]]))/(Pcfu4[[#This Row],[No. Reps]]*0.025)*Pcfu4[[#This Row],[Best DF]]</f>
        <v>252000</v>
      </c>
      <c r="R566" s="1" t="e">
        <f>_xlfn.STDEV.S(Pcfu4[[#This Row],[R1]:[R3]])/0.025*Pcfu4[[#This Row],[Best DF]]</f>
        <v>#DIV/0!</v>
      </c>
      <c r="S566" s="6" t="e">
        <f>Pcfu4[[#This Row],[CFU/mL]]*Pcfu4[[#This Row],[mL]]/Pcfu4[[#This Row],[grams]]</f>
        <v>#DIV/0!</v>
      </c>
      <c r="T566" s="1" t="e">
        <f>Pcfu4[[#This Row],[SD CFU/mL]]*Pcfu4[[#This Row],[mL]]/Pcfu4[[#This Row],[grams]]</f>
        <v>#DIV/0!</v>
      </c>
      <c r="U566" s="7" t="e">
        <f>_xlfn.STDEV.S(Pcfu43[[#This Row],[R1]:[R3]])/AVERAGE(Pcfu43[[#This Row],[R1]:[R3]])</f>
        <v>#VALUE!</v>
      </c>
      <c r="V566" s="96"/>
      <c r="W566" s="7"/>
    </row>
    <row r="567" spans="1:23" x14ac:dyDescent="0.15">
      <c r="A567" t="s">
        <v>498</v>
      </c>
      <c r="C567" t="s">
        <v>464</v>
      </c>
      <c r="D567">
        <v>2</v>
      </c>
      <c r="E567" s="3">
        <v>1</v>
      </c>
      <c r="H567" s="5">
        <f>19*Pcfu4[[#This Row],[grams]]</f>
        <v>0</v>
      </c>
      <c r="J567" s="59">
        <v>44964</v>
      </c>
      <c r="L567" s="59" t="e" cm="1">
        <f t="array" ref="L567">INDEX($J$4:J1657, MATCH(1,(A567=$A$4:A1655)*(C567=$C$4:C1655)*("Y"=$K$4:K1657),0))</f>
        <v>#N/A</v>
      </c>
      <c r="M567" s="1">
        <v>100</v>
      </c>
      <c r="N567">
        <v>96</v>
      </c>
      <c r="P567"/>
      <c r="Q567" s="6">
        <f>(SUM(Pcfu4[[#This Row],[R1]:[R3]]))/(Pcfu4[[#This Row],[No. Reps]]*0.025)*Pcfu4[[#This Row],[Best DF]]</f>
        <v>384000</v>
      </c>
      <c r="R567" s="1" t="e">
        <f>_xlfn.STDEV.S(Pcfu4[[#This Row],[R1]:[R3]])/0.025*Pcfu4[[#This Row],[Best DF]]</f>
        <v>#DIV/0!</v>
      </c>
      <c r="S567" s="6" t="e">
        <f>Pcfu4[[#This Row],[CFU/mL]]*Pcfu4[[#This Row],[mL]]/Pcfu4[[#This Row],[grams]]</f>
        <v>#DIV/0!</v>
      </c>
      <c r="T567" s="1" t="e">
        <f>Pcfu4[[#This Row],[SD CFU/mL]]*Pcfu4[[#This Row],[mL]]/Pcfu4[[#This Row],[grams]]</f>
        <v>#DIV/0!</v>
      </c>
      <c r="U567" s="7" t="e">
        <f>_xlfn.STDEV.S(Pcfu43[[#This Row],[R1]:[R3]])/AVERAGE(Pcfu43[[#This Row],[R1]:[R3]])</f>
        <v>#VALUE!</v>
      </c>
      <c r="V567" s="96"/>
      <c r="W567" s="7"/>
    </row>
    <row r="568" spans="1:23" x14ac:dyDescent="0.15">
      <c r="A568" t="s">
        <v>494</v>
      </c>
      <c r="C568" t="s">
        <v>464</v>
      </c>
      <c r="D568">
        <v>2</v>
      </c>
      <c r="E568" s="3">
        <v>1</v>
      </c>
      <c r="H568" s="5">
        <f>19*Pcfu4[[#This Row],[grams]]</f>
        <v>0</v>
      </c>
      <c r="J568" s="59">
        <v>44964</v>
      </c>
      <c r="L568" s="59" t="e" cm="1">
        <f t="array" ref="L568">INDEX($J$4:J1658, MATCH(1,(A568=$A$4:A1656)*(C568=$C$4:C1656)*("Y"=$K$4:K1658),0))</f>
        <v>#N/A</v>
      </c>
      <c r="M568" s="1">
        <v>100</v>
      </c>
      <c r="N568">
        <v>81</v>
      </c>
      <c r="P568"/>
      <c r="Q568" s="6">
        <f>(SUM(Pcfu4[[#This Row],[R1]:[R3]]))/(Pcfu4[[#This Row],[No. Reps]]*0.025)*Pcfu4[[#This Row],[Best DF]]</f>
        <v>324000</v>
      </c>
      <c r="R568" s="1" t="e">
        <f>_xlfn.STDEV.S(Pcfu4[[#This Row],[R1]:[R3]])/0.025*Pcfu4[[#This Row],[Best DF]]</f>
        <v>#DIV/0!</v>
      </c>
      <c r="S568" s="6" t="e">
        <f>Pcfu4[[#This Row],[CFU/mL]]*Pcfu4[[#This Row],[mL]]/Pcfu4[[#This Row],[grams]]</f>
        <v>#DIV/0!</v>
      </c>
      <c r="T568" s="1" t="e">
        <f>Pcfu4[[#This Row],[SD CFU/mL]]*Pcfu4[[#This Row],[mL]]/Pcfu4[[#This Row],[grams]]</f>
        <v>#DIV/0!</v>
      </c>
      <c r="U568" s="7" t="e">
        <f>_xlfn.STDEV.S(Pcfu43[[#This Row],[R1]:[R3]])/AVERAGE(Pcfu43[[#This Row],[R1]:[R3]])</f>
        <v>#VALUE!</v>
      </c>
      <c r="V568" s="96"/>
      <c r="W568" s="7"/>
    </row>
    <row r="569" spans="1:23" x14ac:dyDescent="0.15">
      <c r="A569" t="s">
        <v>534</v>
      </c>
      <c r="C569" t="s">
        <v>460</v>
      </c>
      <c r="D569" t="s">
        <v>312</v>
      </c>
      <c r="E569" s="3">
        <v>1</v>
      </c>
      <c r="H569" s="5">
        <f>19*Pcfu4[[#This Row],[grams]]</f>
        <v>0</v>
      </c>
      <c r="I569" s="3" t="s">
        <v>535</v>
      </c>
      <c r="J569" s="59">
        <v>44965</v>
      </c>
      <c r="L569" s="59" t="e" cm="1">
        <f t="array" ref="L569">INDEX($J$4:J1659, MATCH(1,(A569=$A$4:A1657)*(C569=$C$4:C1657)*("Y"=$K$4:K1659),0))</f>
        <v>#N/A</v>
      </c>
      <c r="M569" s="1">
        <v>100</v>
      </c>
      <c r="N569">
        <v>86</v>
      </c>
      <c r="P569"/>
      <c r="Q569" s="6">
        <f>(SUM(Pcfu4[[#This Row],[R1]:[R3]]))/(Pcfu4[[#This Row],[No. Reps]]*0.025)*Pcfu4[[#This Row],[Best DF]]</f>
        <v>344000</v>
      </c>
      <c r="R569" s="1" t="e">
        <f>_xlfn.STDEV.S(Pcfu4[[#This Row],[R1]:[R3]])/0.025*Pcfu4[[#This Row],[Best DF]]</f>
        <v>#DIV/0!</v>
      </c>
      <c r="S569" s="6" t="e">
        <f>Pcfu4[[#This Row],[CFU/mL]]*Pcfu4[[#This Row],[mL]]/Pcfu4[[#This Row],[grams]]</f>
        <v>#DIV/0!</v>
      </c>
      <c r="T569" s="1" t="e">
        <f>Pcfu4[[#This Row],[SD CFU/mL]]*Pcfu4[[#This Row],[mL]]/Pcfu4[[#This Row],[grams]]</f>
        <v>#DIV/0!</v>
      </c>
      <c r="U569" s="7" t="e">
        <f>_xlfn.STDEV.S(Pcfu43[[#This Row],[R1]:[R3]])/AVERAGE(Pcfu43[[#This Row],[R1]:[R3]])</f>
        <v>#VALUE!</v>
      </c>
      <c r="V569" s="96"/>
      <c r="W569" s="7"/>
    </row>
    <row r="570" spans="1:23" x14ac:dyDescent="0.15">
      <c r="A570" t="s">
        <v>536</v>
      </c>
      <c r="C570" t="s">
        <v>460</v>
      </c>
      <c r="D570" t="s">
        <v>312</v>
      </c>
      <c r="E570" s="3">
        <v>1</v>
      </c>
      <c r="H570" s="5">
        <f>19*Pcfu4[[#This Row],[grams]]</f>
        <v>0</v>
      </c>
      <c r="I570" s="3" t="s">
        <v>535</v>
      </c>
      <c r="J570" s="59">
        <v>44965</v>
      </c>
      <c r="L570" s="59" t="e" cm="1">
        <f t="array" ref="L570">INDEX($J$4:J1660, MATCH(1,(A570=$A$4:A1658)*(C570=$C$4:C1658)*("Y"=$K$4:K1660),0))</f>
        <v>#N/A</v>
      </c>
      <c r="M570" s="1">
        <v>100</v>
      </c>
      <c r="N570">
        <v>54</v>
      </c>
      <c r="P570"/>
      <c r="Q570" s="6">
        <f>(SUM(Pcfu4[[#This Row],[R1]:[R3]]))/(Pcfu4[[#This Row],[No. Reps]]*0.025)*Pcfu4[[#This Row],[Best DF]]</f>
        <v>216000</v>
      </c>
      <c r="R570" s="1" t="e">
        <f>_xlfn.STDEV.S(Pcfu4[[#This Row],[R1]:[R3]])/0.025*Pcfu4[[#This Row],[Best DF]]</f>
        <v>#DIV/0!</v>
      </c>
      <c r="S570" s="6" t="e">
        <f>Pcfu4[[#This Row],[CFU/mL]]*Pcfu4[[#This Row],[mL]]/Pcfu4[[#This Row],[grams]]</f>
        <v>#DIV/0!</v>
      </c>
      <c r="T570" s="1" t="e">
        <f>Pcfu4[[#This Row],[SD CFU/mL]]*Pcfu4[[#This Row],[mL]]/Pcfu4[[#This Row],[grams]]</f>
        <v>#DIV/0!</v>
      </c>
      <c r="U570" s="7" t="e">
        <f>_xlfn.STDEV.S(Pcfu43[[#This Row],[R1]:[R3]])/AVERAGE(Pcfu43[[#This Row],[R1]:[R3]])</f>
        <v>#VALUE!</v>
      </c>
      <c r="V570" s="96"/>
      <c r="W570" s="7"/>
    </row>
    <row r="571" spans="1:23" x14ac:dyDescent="0.15">
      <c r="A571" t="s">
        <v>437</v>
      </c>
      <c r="C571" t="s">
        <v>460</v>
      </c>
      <c r="D571" t="s">
        <v>312</v>
      </c>
      <c r="E571" s="3">
        <v>1</v>
      </c>
      <c r="H571" s="5">
        <f>19*Pcfu4[[#This Row],[grams]]</f>
        <v>0</v>
      </c>
      <c r="I571" s="3" t="s">
        <v>535</v>
      </c>
      <c r="J571" s="59">
        <v>44965</v>
      </c>
      <c r="L571" s="59" t="e" cm="1">
        <f t="array" ref="L571">INDEX($J$4:J1661, MATCH(1,(A571=$A$4:A1659)*(C571=$C$4:C1659)*("Y"=$K$4:K1661),0))</f>
        <v>#N/A</v>
      </c>
      <c r="M571" s="1">
        <v>1000</v>
      </c>
      <c r="N571">
        <v>41</v>
      </c>
      <c r="P571"/>
      <c r="Q571" s="6">
        <f>(SUM(Pcfu4[[#This Row],[R1]:[R3]]))/(Pcfu4[[#This Row],[No. Reps]]*0.025)*Pcfu4[[#This Row],[Best DF]]</f>
        <v>1640000</v>
      </c>
      <c r="R571" s="1" t="e">
        <f>_xlfn.STDEV.S(Pcfu4[[#This Row],[R1]:[R3]])/0.025*Pcfu4[[#This Row],[Best DF]]</f>
        <v>#DIV/0!</v>
      </c>
      <c r="S571" s="6" t="e">
        <f>Pcfu4[[#This Row],[CFU/mL]]*Pcfu4[[#This Row],[mL]]/Pcfu4[[#This Row],[grams]]</f>
        <v>#DIV/0!</v>
      </c>
      <c r="T571" s="1" t="e">
        <f>Pcfu4[[#This Row],[SD CFU/mL]]*Pcfu4[[#This Row],[mL]]/Pcfu4[[#This Row],[grams]]</f>
        <v>#DIV/0!</v>
      </c>
      <c r="U571" s="7" t="e">
        <f>_xlfn.STDEV.S(Pcfu43[[#This Row],[R1]:[R3]])/AVERAGE(Pcfu43[[#This Row],[R1]:[R3]])</f>
        <v>#VALUE!</v>
      </c>
      <c r="V571" s="96"/>
      <c r="W571" s="7"/>
    </row>
    <row r="572" spans="1:23" x14ac:dyDescent="0.15">
      <c r="A572" t="s">
        <v>442</v>
      </c>
      <c r="C572" t="s">
        <v>460</v>
      </c>
      <c r="D572" t="s">
        <v>312</v>
      </c>
      <c r="E572" s="3">
        <v>1</v>
      </c>
      <c r="H572" s="5">
        <f>19*Pcfu4[[#This Row],[grams]]</f>
        <v>0</v>
      </c>
      <c r="I572" s="3" t="s">
        <v>535</v>
      </c>
      <c r="J572" s="59">
        <v>44965</v>
      </c>
      <c r="L572" s="59" t="e" cm="1">
        <f t="array" ref="L572">INDEX($J$4:J1662, MATCH(1,(A572=$A$4:A1660)*(C572=$C$4:C1660)*("Y"=$K$4:K1662),0))</f>
        <v>#N/A</v>
      </c>
      <c r="M572" s="1">
        <v>100</v>
      </c>
      <c r="N572">
        <v>152</v>
      </c>
      <c r="P572"/>
      <c r="Q572" s="6">
        <f>(SUM(Pcfu4[[#This Row],[R1]:[R3]]))/(Pcfu4[[#This Row],[No. Reps]]*0.025)*Pcfu4[[#This Row],[Best DF]]</f>
        <v>608000</v>
      </c>
      <c r="R572" s="1" t="e">
        <f>_xlfn.STDEV.S(Pcfu4[[#This Row],[R1]:[R3]])/0.025*Pcfu4[[#This Row],[Best DF]]</f>
        <v>#DIV/0!</v>
      </c>
      <c r="S572" s="6" t="e">
        <f>Pcfu4[[#This Row],[CFU/mL]]*Pcfu4[[#This Row],[mL]]/Pcfu4[[#This Row],[grams]]</f>
        <v>#DIV/0!</v>
      </c>
      <c r="T572" s="1" t="e">
        <f>Pcfu4[[#This Row],[SD CFU/mL]]*Pcfu4[[#This Row],[mL]]/Pcfu4[[#This Row],[grams]]</f>
        <v>#DIV/0!</v>
      </c>
      <c r="U572" s="7" t="e">
        <f>_xlfn.STDEV.S(Pcfu43[[#This Row],[R1]:[R3]])/AVERAGE(Pcfu43[[#This Row],[R1]:[R3]])</f>
        <v>#VALUE!</v>
      </c>
      <c r="V572" s="96"/>
      <c r="W572" s="7"/>
    </row>
    <row r="573" spans="1:23" x14ac:dyDescent="0.15">
      <c r="A573" t="s">
        <v>443</v>
      </c>
      <c r="C573" t="s">
        <v>460</v>
      </c>
      <c r="D573" t="s">
        <v>312</v>
      </c>
      <c r="E573" s="3">
        <v>1</v>
      </c>
      <c r="H573" s="5">
        <f>19*Pcfu4[[#This Row],[grams]]</f>
        <v>0</v>
      </c>
      <c r="I573" s="3" t="s">
        <v>535</v>
      </c>
      <c r="J573" s="59">
        <v>44965</v>
      </c>
      <c r="L573" s="59" t="e" cm="1">
        <f t="array" ref="L573">INDEX($J$4:J1663, MATCH(1,(A573=$A$4:A1661)*(C573=$C$4:C1661)*("Y"=$K$4:K1663),0))</f>
        <v>#N/A</v>
      </c>
      <c r="M573" s="1">
        <v>1000</v>
      </c>
      <c r="N573">
        <v>30</v>
      </c>
      <c r="P573"/>
      <c r="Q573" s="6">
        <f>(SUM(Pcfu4[[#This Row],[R1]:[R3]]))/(Pcfu4[[#This Row],[No. Reps]]*0.025)*Pcfu4[[#This Row],[Best DF]]</f>
        <v>1200000</v>
      </c>
      <c r="R573" s="1" t="e">
        <f>_xlfn.STDEV.S(Pcfu4[[#This Row],[R1]:[R3]])/0.025*Pcfu4[[#This Row],[Best DF]]</f>
        <v>#DIV/0!</v>
      </c>
      <c r="S573" s="6" t="e">
        <f>Pcfu4[[#This Row],[CFU/mL]]*Pcfu4[[#This Row],[mL]]/Pcfu4[[#This Row],[grams]]</f>
        <v>#DIV/0!</v>
      </c>
      <c r="T573" s="1" t="e">
        <f>Pcfu4[[#This Row],[SD CFU/mL]]*Pcfu4[[#This Row],[mL]]/Pcfu4[[#This Row],[grams]]</f>
        <v>#DIV/0!</v>
      </c>
      <c r="U573" s="7" t="e">
        <f>_xlfn.STDEV.S(Pcfu43[[#This Row],[R1]:[R3]])/AVERAGE(Pcfu43[[#This Row],[R1]:[R3]])</f>
        <v>#VALUE!</v>
      </c>
      <c r="V573" s="96"/>
      <c r="W573" s="7"/>
    </row>
    <row r="574" spans="1:23" x14ac:dyDescent="0.15">
      <c r="A574" t="s">
        <v>534</v>
      </c>
      <c r="C574" t="s">
        <v>463</v>
      </c>
      <c r="D574" t="s">
        <v>312</v>
      </c>
      <c r="E574" s="3">
        <v>1</v>
      </c>
      <c r="H574" s="5">
        <f>19*Pcfu4[[#This Row],[grams]]</f>
        <v>0</v>
      </c>
      <c r="I574" s="3" t="s">
        <v>535</v>
      </c>
      <c r="J574" s="59">
        <v>44965</v>
      </c>
      <c r="L574" s="59" t="e" cm="1">
        <f t="array" ref="L574">INDEX($J$4:J1664, MATCH(1,(A574=$A$4:A1662)*(C574=$C$4:C1662)*("Y"=$K$4:K1664),0))</f>
        <v>#N/A</v>
      </c>
      <c r="M574" s="1">
        <v>100</v>
      </c>
      <c r="N574">
        <v>153</v>
      </c>
      <c r="P574"/>
      <c r="Q574" s="6">
        <f>(SUM(Pcfu4[[#This Row],[R1]:[R3]]))/(Pcfu4[[#This Row],[No. Reps]]*0.025)*Pcfu4[[#This Row],[Best DF]]</f>
        <v>612000</v>
      </c>
      <c r="R574" s="1" t="e">
        <f>_xlfn.STDEV.S(Pcfu4[[#This Row],[R1]:[R3]])/0.025*Pcfu4[[#This Row],[Best DF]]</f>
        <v>#DIV/0!</v>
      </c>
      <c r="S574" s="6" t="e">
        <f>Pcfu4[[#This Row],[CFU/mL]]*Pcfu4[[#This Row],[mL]]/Pcfu4[[#This Row],[grams]]</f>
        <v>#DIV/0!</v>
      </c>
      <c r="T574" s="1" t="e">
        <f>Pcfu4[[#This Row],[SD CFU/mL]]*Pcfu4[[#This Row],[mL]]/Pcfu4[[#This Row],[grams]]</f>
        <v>#DIV/0!</v>
      </c>
      <c r="U574" s="7" t="e">
        <f>_xlfn.STDEV.S(Pcfu43[[#This Row],[R1]:[R3]])/AVERAGE(Pcfu43[[#This Row],[R1]:[R3]])</f>
        <v>#VALUE!</v>
      </c>
      <c r="V574" s="96"/>
      <c r="W574" s="7"/>
    </row>
    <row r="575" spans="1:23" x14ac:dyDescent="0.15">
      <c r="A575" t="s">
        <v>536</v>
      </c>
      <c r="C575" t="s">
        <v>463</v>
      </c>
      <c r="D575" t="s">
        <v>312</v>
      </c>
      <c r="E575" s="3">
        <v>1</v>
      </c>
      <c r="H575" s="5">
        <f>19*Pcfu4[[#This Row],[grams]]</f>
        <v>0</v>
      </c>
      <c r="I575" s="3" t="s">
        <v>535</v>
      </c>
      <c r="J575" s="59">
        <v>44965</v>
      </c>
      <c r="L575" s="59" t="e" cm="1">
        <f t="array" ref="L575">INDEX($J$4:J1665, MATCH(1,(A575=$A$4:A1663)*(C575=$C$4:C1663)*("Y"=$K$4:K1665),0))</f>
        <v>#N/A</v>
      </c>
      <c r="M575" s="1">
        <v>100</v>
      </c>
      <c r="N575">
        <v>39</v>
      </c>
      <c r="P575"/>
      <c r="Q575" s="6">
        <f>(SUM(Pcfu4[[#This Row],[R1]:[R3]]))/(Pcfu4[[#This Row],[No. Reps]]*0.025)*Pcfu4[[#This Row],[Best DF]]</f>
        <v>156000</v>
      </c>
      <c r="R575" s="1" t="e">
        <f>_xlfn.STDEV.S(Pcfu4[[#This Row],[R1]:[R3]])/0.025*Pcfu4[[#This Row],[Best DF]]</f>
        <v>#DIV/0!</v>
      </c>
      <c r="S575" s="6" t="e">
        <f>Pcfu4[[#This Row],[CFU/mL]]*Pcfu4[[#This Row],[mL]]/Pcfu4[[#This Row],[grams]]</f>
        <v>#DIV/0!</v>
      </c>
      <c r="T575" s="1" t="e">
        <f>Pcfu4[[#This Row],[SD CFU/mL]]*Pcfu4[[#This Row],[mL]]/Pcfu4[[#This Row],[grams]]</f>
        <v>#DIV/0!</v>
      </c>
      <c r="U575" s="7" t="e">
        <f>_xlfn.STDEV.S(Pcfu43[[#This Row],[R1]:[R3]])/AVERAGE(Pcfu43[[#This Row],[R1]:[R3]])</f>
        <v>#VALUE!</v>
      </c>
      <c r="V575" s="96"/>
      <c r="W575" s="7"/>
    </row>
    <row r="576" spans="1:23" x14ac:dyDescent="0.15">
      <c r="A576" t="s">
        <v>437</v>
      </c>
      <c r="C576" t="s">
        <v>463</v>
      </c>
      <c r="D576" t="s">
        <v>312</v>
      </c>
      <c r="E576" s="3">
        <v>1</v>
      </c>
      <c r="H576" s="5">
        <f>19*Pcfu4[[#This Row],[grams]]</f>
        <v>0</v>
      </c>
      <c r="I576" s="3" t="s">
        <v>535</v>
      </c>
      <c r="J576" s="59">
        <v>44965</v>
      </c>
      <c r="L576" s="59" t="e" cm="1">
        <f t="array" ref="L576">INDEX($J$4:J1666, MATCH(1,(A576=$A$4:A1664)*(C576=$C$4:C1664)*("Y"=$K$4:K1666),0))</f>
        <v>#N/A</v>
      </c>
      <c r="M576" s="1">
        <v>1000</v>
      </c>
      <c r="N576">
        <v>31</v>
      </c>
      <c r="P576"/>
      <c r="Q576" s="6">
        <f>(SUM(Pcfu4[[#This Row],[R1]:[R3]]))/(Pcfu4[[#This Row],[No. Reps]]*0.025)*Pcfu4[[#This Row],[Best DF]]</f>
        <v>1240000</v>
      </c>
      <c r="R576" s="1" t="e">
        <f>_xlfn.STDEV.S(Pcfu4[[#This Row],[R1]:[R3]])/0.025*Pcfu4[[#This Row],[Best DF]]</f>
        <v>#DIV/0!</v>
      </c>
      <c r="S576" s="6" t="e">
        <f>Pcfu4[[#This Row],[CFU/mL]]*Pcfu4[[#This Row],[mL]]/Pcfu4[[#This Row],[grams]]</f>
        <v>#DIV/0!</v>
      </c>
      <c r="T576" s="1" t="e">
        <f>Pcfu4[[#This Row],[SD CFU/mL]]*Pcfu4[[#This Row],[mL]]/Pcfu4[[#This Row],[grams]]</f>
        <v>#DIV/0!</v>
      </c>
      <c r="U576" s="7" t="e">
        <f>_xlfn.STDEV.S(Pcfu43[[#This Row],[R1]:[R3]])/AVERAGE(Pcfu43[[#This Row],[R1]:[R3]])</f>
        <v>#VALUE!</v>
      </c>
      <c r="V576" s="96"/>
      <c r="W576" s="7"/>
    </row>
    <row r="577" spans="1:24" x14ac:dyDescent="0.15">
      <c r="A577" t="s">
        <v>442</v>
      </c>
      <c r="C577" t="s">
        <v>463</v>
      </c>
      <c r="D577" t="s">
        <v>312</v>
      </c>
      <c r="E577" s="3">
        <v>1</v>
      </c>
      <c r="H577" s="5">
        <f>19*Pcfu4[[#This Row],[grams]]</f>
        <v>0</v>
      </c>
      <c r="I577" s="3" t="s">
        <v>535</v>
      </c>
      <c r="J577" s="59">
        <v>44965</v>
      </c>
      <c r="L577" s="59" t="e" cm="1">
        <f t="array" ref="L577">INDEX($J$4:J1667, MATCH(1,(A577=$A$4:A1665)*(C577=$C$4:C1665)*("Y"=$K$4:K1667),0))</f>
        <v>#N/A</v>
      </c>
      <c r="M577" s="1">
        <v>100</v>
      </c>
      <c r="N577">
        <v>162</v>
      </c>
      <c r="P577"/>
      <c r="Q577" s="6">
        <f>(SUM(Pcfu4[[#This Row],[R1]:[R3]]))/(Pcfu4[[#This Row],[No. Reps]]*0.025)*Pcfu4[[#This Row],[Best DF]]</f>
        <v>648000</v>
      </c>
      <c r="R577" s="1" t="e">
        <f>_xlfn.STDEV.S(Pcfu4[[#This Row],[R1]:[R3]])/0.025*Pcfu4[[#This Row],[Best DF]]</f>
        <v>#DIV/0!</v>
      </c>
      <c r="S577" s="6" t="e">
        <f>Pcfu4[[#This Row],[CFU/mL]]*Pcfu4[[#This Row],[mL]]/Pcfu4[[#This Row],[grams]]</f>
        <v>#DIV/0!</v>
      </c>
      <c r="T577" s="1" t="e">
        <f>Pcfu4[[#This Row],[SD CFU/mL]]*Pcfu4[[#This Row],[mL]]/Pcfu4[[#This Row],[grams]]</f>
        <v>#DIV/0!</v>
      </c>
      <c r="U577" s="7" t="e">
        <f>_xlfn.STDEV.S(Pcfu43[[#This Row],[R1]:[R3]])/AVERAGE(Pcfu43[[#This Row],[R1]:[R3]])</f>
        <v>#VALUE!</v>
      </c>
      <c r="V577" s="96"/>
      <c r="W577" s="7"/>
    </row>
    <row r="578" spans="1:24" x14ac:dyDescent="0.15">
      <c r="A578" t="s">
        <v>443</v>
      </c>
      <c r="C578" t="s">
        <v>463</v>
      </c>
      <c r="D578" t="s">
        <v>312</v>
      </c>
      <c r="E578" s="3">
        <v>1</v>
      </c>
      <c r="H578" s="5">
        <f>19*Pcfu4[[#This Row],[grams]]</f>
        <v>0</v>
      </c>
      <c r="I578" s="3" t="s">
        <v>535</v>
      </c>
      <c r="J578" s="59">
        <v>44965</v>
      </c>
      <c r="L578" s="59" t="e" cm="1">
        <f t="array" ref="L578">INDEX($J$4:J1668, MATCH(1,(A578=$A$4:A1666)*(C578=$C$4:C1666)*("Y"=$K$4:K1668),0))</f>
        <v>#N/A</v>
      </c>
      <c r="M578" s="1">
        <v>100</v>
      </c>
      <c r="N578">
        <v>177</v>
      </c>
      <c r="P578"/>
      <c r="Q578" s="6">
        <f>(SUM(Pcfu4[[#This Row],[R1]:[R3]]))/(Pcfu4[[#This Row],[No. Reps]]*0.025)*Pcfu4[[#This Row],[Best DF]]</f>
        <v>708000</v>
      </c>
      <c r="R578" s="1" t="e">
        <f>_xlfn.STDEV.S(Pcfu4[[#This Row],[R1]:[R3]])/0.025*Pcfu4[[#This Row],[Best DF]]</f>
        <v>#DIV/0!</v>
      </c>
      <c r="S578" s="6" t="e">
        <f>Pcfu4[[#This Row],[CFU/mL]]*Pcfu4[[#This Row],[mL]]/Pcfu4[[#This Row],[grams]]</f>
        <v>#DIV/0!</v>
      </c>
      <c r="T578" s="1" t="e">
        <f>Pcfu4[[#This Row],[SD CFU/mL]]*Pcfu4[[#This Row],[mL]]/Pcfu4[[#This Row],[grams]]</f>
        <v>#DIV/0!</v>
      </c>
      <c r="U578" s="7" t="e">
        <f>_xlfn.STDEV.S(Pcfu43[[#This Row],[R1]:[R3]])/AVERAGE(Pcfu43[[#This Row],[R1]:[R3]])</f>
        <v>#VALUE!</v>
      </c>
      <c r="V578" s="96"/>
      <c r="W578" s="7"/>
    </row>
    <row r="579" spans="1:24" x14ac:dyDescent="0.15">
      <c r="A579" t="s">
        <v>534</v>
      </c>
      <c r="C579" t="s">
        <v>464</v>
      </c>
      <c r="D579" t="s">
        <v>312</v>
      </c>
      <c r="E579" s="3">
        <v>1</v>
      </c>
      <c r="H579" s="5">
        <f>19*Pcfu4[[#This Row],[grams]]</f>
        <v>0</v>
      </c>
      <c r="I579" s="3" t="s">
        <v>535</v>
      </c>
      <c r="J579" s="59">
        <v>44965</v>
      </c>
      <c r="L579" s="59" t="e" cm="1">
        <f t="array" ref="L579">INDEX($J$4:J1669, MATCH(1,(A579=$A$4:A1667)*(C579=$C$4:C1667)*("Y"=$K$4:K1669),0))</f>
        <v>#N/A</v>
      </c>
      <c r="M579" s="1">
        <v>100</v>
      </c>
      <c r="N579">
        <v>139</v>
      </c>
      <c r="P579"/>
      <c r="Q579" s="6">
        <f>(SUM(Pcfu4[[#This Row],[R1]:[R3]]))/(Pcfu4[[#This Row],[No. Reps]]*0.025)*Pcfu4[[#This Row],[Best DF]]</f>
        <v>556000</v>
      </c>
      <c r="R579" s="1" t="e">
        <f>_xlfn.STDEV.S(Pcfu4[[#This Row],[R1]:[R3]])/0.025*Pcfu4[[#This Row],[Best DF]]</f>
        <v>#DIV/0!</v>
      </c>
      <c r="S579" s="6" t="e">
        <f>Pcfu4[[#This Row],[CFU/mL]]*Pcfu4[[#This Row],[mL]]/Pcfu4[[#This Row],[grams]]</f>
        <v>#DIV/0!</v>
      </c>
      <c r="T579" s="1" t="e">
        <f>Pcfu4[[#This Row],[SD CFU/mL]]*Pcfu4[[#This Row],[mL]]/Pcfu4[[#This Row],[grams]]</f>
        <v>#DIV/0!</v>
      </c>
      <c r="U579" s="7" t="e">
        <f>_xlfn.STDEV.S(Pcfu43[[#This Row],[R1]:[R3]])/AVERAGE(Pcfu43[[#This Row],[R1]:[R3]])</f>
        <v>#VALUE!</v>
      </c>
      <c r="V579" s="96"/>
      <c r="W579" s="7"/>
    </row>
    <row r="580" spans="1:24" x14ac:dyDescent="0.15">
      <c r="A580" t="s">
        <v>536</v>
      </c>
      <c r="C580" t="s">
        <v>464</v>
      </c>
      <c r="D580" t="s">
        <v>312</v>
      </c>
      <c r="E580" s="3">
        <v>1</v>
      </c>
      <c r="H580" s="5">
        <f>19*Pcfu4[[#This Row],[grams]]</f>
        <v>0</v>
      </c>
      <c r="I580" s="3" t="s">
        <v>535</v>
      </c>
      <c r="J580" s="59">
        <v>44965</v>
      </c>
      <c r="L580" s="59" t="e" cm="1">
        <f t="array" ref="L580">INDEX($J$4:J1670, MATCH(1,(A580=$A$4:A1668)*(C580=$C$4:C1668)*("Y"=$K$4:K1670),0))</f>
        <v>#N/A</v>
      </c>
      <c r="M580" s="1">
        <v>100</v>
      </c>
      <c r="N580">
        <v>44</v>
      </c>
      <c r="P580"/>
      <c r="Q580" s="6">
        <f>(SUM(Pcfu4[[#This Row],[R1]:[R3]]))/(Pcfu4[[#This Row],[No. Reps]]*0.025)*Pcfu4[[#This Row],[Best DF]]</f>
        <v>176000</v>
      </c>
      <c r="R580" s="1" t="e">
        <f>_xlfn.STDEV.S(Pcfu4[[#This Row],[R1]:[R3]])/0.025*Pcfu4[[#This Row],[Best DF]]</f>
        <v>#DIV/0!</v>
      </c>
      <c r="S580" s="6" t="e">
        <f>Pcfu4[[#This Row],[CFU/mL]]*Pcfu4[[#This Row],[mL]]/Pcfu4[[#This Row],[grams]]</f>
        <v>#DIV/0!</v>
      </c>
      <c r="T580" s="1" t="e">
        <f>Pcfu4[[#This Row],[SD CFU/mL]]*Pcfu4[[#This Row],[mL]]/Pcfu4[[#This Row],[grams]]</f>
        <v>#DIV/0!</v>
      </c>
      <c r="U580" s="7" t="e">
        <f>_xlfn.STDEV.S(Pcfu43[[#This Row],[R1]:[R3]])/AVERAGE(Pcfu43[[#This Row],[R1]:[R3]])</f>
        <v>#VALUE!</v>
      </c>
      <c r="V580" s="96"/>
      <c r="W580" s="7"/>
    </row>
    <row r="581" spans="1:24" x14ac:dyDescent="0.15">
      <c r="A581" t="s">
        <v>437</v>
      </c>
      <c r="C581" t="s">
        <v>464</v>
      </c>
      <c r="D581" t="s">
        <v>312</v>
      </c>
      <c r="E581" s="3">
        <v>1</v>
      </c>
      <c r="H581" s="5">
        <f>19*Pcfu4[[#This Row],[grams]]</f>
        <v>0</v>
      </c>
      <c r="I581" s="3" t="s">
        <v>535</v>
      </c>
      <c r="J581" s="59">
        <v>44965</v>
      </c>
      <c r="L581" s="59" t="e" cm="1">
        <f t="array" ref="L581">INDEX($J$4:J1671, MATCH(1,(A581=$A$4:A1669)*(C581=$C$4:C1669)*("Y"=$K$4:K1671),0))</f>
        <v>#N/A</v>
      </c>
      <c r="M581" s="1">
        <v>1000</v>
      </c>
      <c r="N581">
        <v>36</v>
      </c>
      <c r="P581"/>
      <c r="Q581" s="6">
        <f>(SUM(Pcfu4[[#This Row],[R1]:[R3]]))/(Pcfu4[[#This Row],[No. Reps]]*0.025)*Pcfu4[[#This Row],[Best DF]]</f>
        <v>1440000</v>
      </c>
      <c r="R581" s="1" t="e">
        <f>_xlfn.STDEV.S(Pcfu4[[#This Row],[R1]:[R3]])/0.025*Pcfu4[[#This Row],[Best DF]]</f>
        <v>#DIV/0!</v>
      </c>
      <c r="S581" s="6" t="e">
        <f>Pcfu4[[#This Row],[CFU/mL]]*Pcfu4[[#This Row],[mL]]/Pcfu4[[#This Row],[grams]]</f>
        <v>#DIV/0!</v>
      </c>
      <c r="T581" s="1" t="e">
        <f>Pcfu4[[#This Row],[SD CFU/mL]]*Pcfu4[[#This Row],[mL]]/Pcfu4[[#This Row],[grams]]</f>
        <v>#DIV/0!</v>
      </c>
      <c r="U581" s="7" t="e">
        <f>_xlfn.STDEV.S(Pcfu43[[#This Row],[R1]:[R3]])/AVERAGE(Pcfu43[[#This Row],[R1]:[R3]])</f>
        <v>#VALUE!</v>
      </c>
      <c r="V581" s="96"/>
      <c r="W581" s="7"/>
    </row>
    <row r="582" spans="1:24" x14ac:dyDescent="0.15">
      <c r="A582" t="s">
        <v>442</v>
      </c>
      <c r="C582" t="s">
        <v>464</v>
      </c>
      <c r="D582" t="s">
        <v>312</v>
      </c>
      <c r="E582" s="3">
        <v>1</v>
      </c>
      <c r="H582" s="5">
        <f>19*Pcfu4[[#This Row],[grams]]</f>
        <v>0</v>
      </c>
      <c r="I582" s="3" t="s">
        <v>535</v>
      </c>
      <c r="J582" s="59">
        <v>44965</v>
      </c>
      <c r="L582" s="59" t="e" cm="1">
        <f t="array" ref="L582">INDEX($J$4:J1672, MATCH(1,(A582=$A$4:A1670)*(C582=$C$4:C1670)*("Y"=$K$4:K1672),0))</f>
        <v>#N/A</v>
      </c>
      <c r="M582" s="1">
        <v>100</v>
      </c>
      <c r="N582">
        <v>210</v>
      </c>
      <c r="P582"/>
      <c r="Q582" s="6">
        <f>(SUM(Pcfu4[[#This Row],[R1]:[R3]]))/(Pcfu4[[#This Row],[No. Reps]]*0.025)*Pcfu4[[#This Row],[Best DF]]</f>
        <v>840000</v>
      </c>
      <c r="R582" s="1" t="e">
        <f>_xlfn.STDEV.S(Pcfu4[[#This Row],[R1]:[R3]])/0.025*Pcfu4[[#This Row],[Best DF]]</f>
        <v>#DIV/0!</v>
      </c>
      <c r="S582" s="6" t="e">
        <f>Pcfu4[[#This Row],[CFU/mL]]*Pcfu4[[#This Row],[mL]]/Pcfu4[[#This Row],[grams]]</f>
        <v>#DIV/0!</v>
      </c>
      <c r="T582" s="1" t="e">
        <f>Pcfu4[[#This Row],[SD CFU/mL]]*Pcfu4[[#This Row],[mL]]/Pcfu4[[#This Row],[grams]]</f>
        <v>#DIV/0!</v>
      </c>
      <c r="U582" s="7" t="e">
        <f>_xlfn.STDEV.S(Pcfu43[[#This Row],[R1]:[R3]])/AVERAGE(Pcfu43[[#This Row],[R1]:[R3]])</f>
        <v>#VALUE!</v>
      </c>
      <c r="V582" s="96"/>
      <c r="W582" s="7"/>
    </row>
    <row r="583" spans="1:24" x14ac:dyDescent="0.15">
      <c r="A583" t="s">
        <v>443</v>
      </c>
      <c r="C583" t="s">
        <v>464</v>
      </c>
      <c r="D583" t="s">
        <v>312</v>
      </c>
      <c r="E583" s="3">
        <v>1</v>
      </c>
      <c r="H583" s="5">
        <f>19*Pcfu4[[#This Row],[grams]]</f>
        <v>0</v>
      </c>
      <c r="I583" s="3" t="s">
        <v>535</v>
      </c>
      <c r="J583" s="59">
        <v>44965</v>
      </c>
      <c r="L583" s="59" t="e" cm="1">
        <f t="array" ref="L583">INDEX($J$4:J1673, MATCH(1,(A583=$A$4:A1671)*(C583=$C$4:C1671)*("Y"=$K$4:K1673),0))</f>
        <v>#N/A</v>
      </c>
      <c r="M583" s="1">
        <v>1000</v>
      </c>
      <c r="N583">
        <v>29</v>
      </c>
      <c r="P583"/>
      <c r="Q583" s="6">
        <f>(SUM(Pcfu4[[#This Row],[R1]:[R3]]))/(Pcfu4[[#This Row],[No. Reps]]*0.025)*Pcfu4[[#This Row],[Best DF]]</f>
        <v>1160000</v>
      </c>
      <c r="R583" s="1" t="e">
        <f>_xlfn.STDEV.S(Pcfu4[[#This Row],[R1]:[R3]])/0.025*Pcfu4[[#This Row],[Best DF]]</f>
        <v>#DIV/0!</v>
      </c>
      <c r="S583" s="6" t="e">
        <f>Pcfu4[[#This Row],[CFU/mL]]*Pcfu4[[#This Row],[mL]]/Pcfu4[[#This Row],[grams]]</f>
        <v>#DIV/0!</v>
      </c>
      <c r="T583" s="1" t="e">
        <f>Pcfu4[[#This Row],[SD CFU/mL]]*Pcfu4[[#This Row],[mL]]/Pcfu4[[#This Row],[grams]]</f>
        <v>#DIV/0!</v>
      </c>
      <c r="U583" s="7" t="e">
        <f>_xlfn.STDEV.S(Pcfu43[[#This Row],[R1]:[R3]])/AVERAGE(Pcfu43[[#This Row],[R1]:[R3]])</f>
        <v>#VALUE!</v>
      </c>
      <c r="V583" s="96"/>
      <c r="W583" s="7"/>
    </row>
    <row r="584" spans="1:24" x14ac:dyDescent="0.15">
      <c r="A584" t="s">
        <v>537</v>
      </c>
      <c r="C584" t="s">
        <v>538</v>
      </c>
      <c r="D584">
        <v>3</v>
      </c>
      <c r="E584" s="3">
        <v>3</v>
      </c>
      <c r="H584" s="5">
        <f>19*Pcfu4[[#This Row],[grams]]</f>
        <v>0</v>
      </c>
      <c r="J584" s="59">
        <v>44966</v>
      </c>
      <c r="L584" s="59" t="e" cm="1">
        <f t="array" ref="L584">INDEX($J$4:J1674, MATCH(1,(A584=$A$4:A1672)*(C584=$C$4:C1672)*("Y"=$K$4:K1674),0))</f>
        <v>#N/A</v>
      </c>
      <c r="M584" s="1">
        <v>1000000</v>
      </c>
      <c r="N584">
        <v>17</v>
      </c>
      <c r="O584">
        <v>18</v>
      </c>
      <c r="P584">
        <v>21</v>
      </c>
      <c r="Q584" s="6">
        <f>(SUM(Pcfu4[[#This Row],[R1]:[R3]]))/(Pcfu4[[#This Row],[No. Reps]]*0.025)*Pcfu4[[#This Row],[Best DF]]</f>
        <v>746666666.66666651</v>
      </c>
      <c r="R584" s="1">
        <f>_xlfn.STDEV.S(Pcfu4[[#This Row],[R1]:[R3]])/0.025*Pcfu4[[#This Row],[Best DF]]</f>
        <v>83266639.97864531</v>
      </c>
      <c r="S584" s="6" t="e">
        <f>Pcfu4[[#This Row],[CFU/mL]]*Pcfu4[[#This Row],[mL]]/Pcfu4[[#This Row],[grams]]</f>
        <v>#DIV/0!</v>
      </c>
      <c r="T584" s="1" t="e">
        <f>Pcfu4[[#This Row],[SD CFU/mL]]*Pcfu4[[#This Row],[mL]]/Pcfu4[[#This Row],[grams]]</f>
        <v>#DIV/0!</v>
      </c>
      <c r="U584" s="7" t="e">
        <f>_xlfn.STDEV.S(Pcfu43[[#This Row],[R1]:[R3]])/AVERAGE(Pcfu43[[#This Row],[R1]:[R3]])</f>
        <v>#VALUE!</v>
      </c>
      <c r="V584" s="96"/>
      <c r="W584" s="7"/>
    </row>
    <row r="585" spans="1:24" x14ac:dyDescent="0.15">
      <c r="A585" t="s">
        <v>539</v>
      </c>
      <c r="C585" t="s">
        <v>538</v>
      </c>
      <c r="D585">
        <v>3</v>
      </c>
      <c r="E585" s="3">
        <v>3</v>
      </c>
      <c r="H585" s="5">
        <f>19*Pcfu4[[#This Row],[grams]]</f>
        <v>0</v>
      </c>
      <c r="J585" s="59">
        <v>44966</v>
      </c>
      <c r="L585" s="59" t="e" cm="1">
        <f t="array" ref="L585">INDEX($J$4:J1675, MATCH(1,(A585=$A$4:A1673)*(C585=$C$4:C1673)*("Y"=$K$4:K1675),0))</f>
        <v>#N/A</v>
      </c>
      <c r="M585" s="1">
        <v>1000000</v>
      </c>
      <c r="N585">
        <v>63</v>
      </c>
      <c r="O585">
        <v>67</v>
      </c>
      <c r="P585">
        <v>65</v>
      </c>
      <c r="Q585" s="6">
        <f>(SUM(Pcfu4[[#This Row],[R1]:[R3]]))/(Pcfu4[[#This Row],[No. Reps]]*0.025)*Pcfu4[[#This Row],[Best DF]]</f>
        <v>2599999999.9999995</v>
      </c>
      <c r="R585" s="1">
        <f>_xlfn.STDEV.S(Pcfu4[[#This Row],[R1]:[R3]])/0.025*Pcfu4[[#This Row],[Best DF]]</f>
        <v>80000000</v>
      </c>
      <c r="S585" s="6" t="e">
        <f>Pcfu4[[#This Row],[CFU/mL]]*Pcfu4[[#This Row],[mL]]/Pcfu4[[#This Row],[grams]]</f>
        <v>#DIV/0!</v>
      </c>
      <c r="T585" s="1" t="e">
        <f>Pcfu4[[#This Row],[SD CFU/mL]]*Pcfu4[[#This Row],[mL]]/Pcfu4[[#This Row],[grams]]</f>
        <v>#DIV/0!</v>
      </c>
      <c r="U585" s="7" t="e">
        <f>_xlfn.STDEV.S(Pcfu43[[#This Row],[R1]:[R3]])/AVERAGE(Pcfu43[[#This Row],[R1]:[R3]])</f>
        <v>#VALUE!</v>
      </c>
      <c r="V585" s="96"/>
      <c r="W585" s="7"/>
    </row>
    <row r="586" spans="1:24" x14ac:dyDescent="0.15">
      <c r="A586" t="s">
        <v>540</v>
      </c>
      <c r="C586" t="s">
        <v>538</v>
      </c>
      <c r="D586">
        <v>3</v>
      </c>
      <c r="E586" s="3">
        <v>3</v>
      </c>
      <c r="H586" s="5">
        <f>19*Pcfu4[[#This Row],[grams]]</f>
        <v>0</v>
      </c>
      <c r="J586" s="59">
        <v>44966</v>
      </c>
      <c r="L586" s="59" t="e" cm="1">
        <f t="array" ref="L586">INDEX($J$4:J1676, MATCH(1,(A586=$A$4:A1674)*(C586=$C$4:C1674)*("Y"=$K$4:K1676),0))</f>
        <v>#N/A</v>
      </c>
      <c r="M586" s="1">
        <v>10000000</v>
      </c>
      <c r="N586">
        <v>12</v>
      </c>
      <c r="O586">
        <v>12</v>
      </c>
      <c r="P586">
        <v>11</v>
      </c>
      <c r="Q586" s="6">
        <f>(SUM(Pcfu4[[#This Row],[R1]:[R3]]))/(Pcfu4[[#This Row],[No. Reps]]*0.025)*Pcfu4[[#This Row],[Best DF]]</f>
        <v>4666666666.666666</v>
      </c>
      <c r="R586" s="1">
        <f>_xlfn.STDEV.S(Pcfu4[[#This Row],[R1]:[R3]])/0.025*Pcfu4[[#This Row],[Best DF]]</f>
        <v>230940107.6758503</v>
      </c>
      <c r="S586" s="6" t="e">
        <f>Pcfu4[[#This Row],[CFU/mL]]*Pcfu4[[#This Row],[mL]]/Pcfu4[[#This Row],[grams]]</f>
        <v>#DIV/0!</v>
      </c>
      <c r="T586" s="1" t="e">
        <f>Pcfu4[[#This Row],[SD CFU/mL]]*Pcfu4[[#This Row],[mL]]/Pcfu4[[#This Row],[grams]]</f>
        <v>#DIV/0!</v>
      </c>
      <c r="U586" s="7" t="e">
        <f>_xlfn.STDEV.S(Pcfu43[[#This Row],[R1]:[R3]])/AVERAGE(Pcfu43[[#This Row],[R1]:[R3]])</f>
        <v>#VALUE!</v>
      </c>
      <c r="V586" s="96"/>
      <c r="W586" s="7"/>
    </row>
    <row r="587" spans="1:24" x14ac:dyDescent="0.15">
      <c r="A587" t="s">
        <v>541</v>
      </c>
      <c r="C587" t="s">
        <v>538</v>
      </c>
      <c r="D587">
        <v>3</v>
      </c>
      <c r="E587" s="3">
        <v>3</v>
      </c>
      <c r="H587" s="5">
        <f>19*Pcfu4[[#This Row],[grams]]</f>
        <v>0</v>
      </c>
      <c r="J587" s="59">
        <v>44966</v>
      </c>
      <c r="L587" s="59" t="e" cm="1">
        <f t="array" ref="L587">INDEX($J$4:J1677, MATCH(1,(A587=$A$4:A1675)*(C587=$C$4:C1675)*("Y"=$K$4:K1677),0))</f>
        <v>#N/A</v>
      </c>
      <c r="M587" s="1">
        <v>1000000</v>
      </c>
      <c r="N587">
        <v>29</v>
      </c>
      <c r="O587">
        <v>39</v>
      </c>
      <c r="P587">
        <v>36</v>
      </c>
      <c r="Q587" s="6">
        <f>(SUM(Pcfu4[[#This Row],[R1]:[R3]]))/(Pcfu4[[#This Row],[No. Reps]]*0.025)*Pcfu4[[#This Row],[Best DF]]</f>
        <v>1386666666.6666665</v>
      </c>
      <c r="R587" s="1">
        <f>_xlfn.STDEV.S(Pcfu4[[#This Row],[R1]:[R3]])/0.025*Pcfu4[[#This Row],[Best DF]]</f>
        <v>205264057.57787508</v>
      </c>
      <c r="S587" s="6" t="e">
        <f>Pcfu4[[#This Row],[CFU/mL]]*Pcfu4[[#This Row],[mL]]/Pcfu4[[#This Row],[grams]]</f>
        <v>#DIV/0!</v>
      </c>
      <c r="T587" s="1" t="e">
        <f>Pcfu4[[#This Row],[SD CFU/mL]]*Pcfu4[[#This Row],[mL]]/Pcfu4[[#This Row],[grams]]</f>
        <v>#DIV/0!</v>
      </c>
      <c r="U587" s="7" t="e">
        <f>_xlfn.STDEV.S(Pcfu43[[#This Row],[R1]:[R3]])/AVERAGE(Pcfu43[[#This Row],[R1]:[R3]])</f>
        <v>#VALUE!</v>
      </c>
      <c r="V587" s="96"/>
      <c r="W587" s="7"/>
    </row>
    <row r="588" spans="1:24" x14ac:dyDescent="0.15">
      <c r="A588" t="s">
        <v>542</v>
      </c>
      <c r="C588" t="s">
        <v>538</v>
      </c>
      <c r="D588">
        <v>3</v>
      </c>
      <c r="E588" s="3">
        <v>3</v>
      </c>
      <c r="H588" s="5">
        <f>19*Pcfu4[[#This Row],[grams]]</f>
        <v>0</v>
      </c>
      <c r="J588" s="59">
        <v>44966</v>
      </c>
      <c r="L588" s="59" t="e" cm="1">
        <f t="array" ref="L588">INDEX($J$4:J1678, MATCH(1,(A588=$A$4:A1676)*(C588=$C$4:C1676)*("Y"=$K$4:K1678),0))</f>
        <v>#N/A</v>
      </c>
      <c r="M588" s="1">
        <v>1000000</v>
      </c>
      <c r="N588">
        <v>34</v>
      </c>
      <c r="O588">
        <v>27</v>
      </c>
      <c r="P588">
        <v>22</v>
      </c>
      <c r="Q588" s="6">
        <f>(SUM(Pcfu4[[#This Row],[R1]:[R3]]))/(Pcfu4[[#This Row],[No. Reps]]*0.025)*Pcfu4[[#This Row],[Best DF]]</f>
        <v>1106666666.6666665</v>
      </c>
      <c r="R588" s="1">
        <f>_xlfn.STDEV.S(Pcfu4[[#This Row],[R1]:[R3]])/0.025*Pcfu4[[#This Row],[Best DF]]</f>
        <v>241108550.93366808</v>
      </c>
      <c r="S588" s="6" t="e">
        <f>Pcfu4[[#This Row],[CFU/mL]]*Pcfu4[[#This Row],[mL]]/Pcfu4[[#This Row],[grams]]</f>
        <v>#DIV/0!</v>
      </c>
      <c r="T588" s="1" t="e">
        <f>Pcfu4[[#This Row],[SD CFU/mL]]*Pcfu4[[#This Row],[mL]]/Pcfu4[[#This Row],[grams]]</f>
        <v>#DIV/0!</v>
      </c>
      <c r="U588" s="7" t="e">
        <f>_xlfn.STDEV.S(Pcfu43[[#This Row],[R1]:[R3]])/AVERAGE(Pcfu43[[#This Row],[R1]:[R3]])</f>
        <v>#VALUE!</v>
      </c>
      <c r="V588" s="96"/>
      <c r="W588" s="7"/>
    </row>
    <row r="589" spans="1:24" x14ac:dyDescent="0.15">
      <c r="A589" t="s">
        <v>543</v>
      </c>
      <c r="D589">
        <v>2</v>
      </c>
      <c r="E589" s="3">
        <v>2</v>
      </c>
      <c r="G589">
        <v>0.3</v>
      </c>
      <c r="H589" s="5">
        <f>19*Pcfu4[[#This Row],[grams]]</f>
        <v>5.7</v>
      </c>
      <c r="J589" s="59">
        <v>44966</v>
      </c>
      <c r="L589" s="59" t="e" cm="1">
        <f t="array" ref="L589">INDEX($J$4:J1679, MATCH(1,(A589=$A$4:A1677)*(C589=$C$4:C1677)*("Y"=$K$4:K1679),0))</f>
        <v>#N/A</v>
      </c>
      <c r="M589" s="1">
        <v>1000000</v>
      </c>
      <c r="N589">
        <v>63</v>
      </c>
      <c r="O589">
        <v>71</v>
      </c>
      <c r="P589"/>
      <c r="Q589" s="6">
        <f>(SUM(Pcfu4[[#This Row],[R1]:[R3]]))/(Pcfu4[[#This Row],[No. Reps]]*0.015)*Pcfu4[[#This Row],[Best DF]]</f>
        <v>4466666666.666667</v>
      </c>
      <c r="R589" s="1">
        <f>_xlfn.STDEV.S(Pcfu4[[#This Row],[R1]:[R3]])/0.015*Pcfu4[[#This Row],[Best DF]]</f>
        <v>377123616.63282537</v>
      </c>
      <c r="S589" s="6">
        <f>Pcfu4[[#This Row],[CFU/mL]]*Pcfu4[[#This Row],[mL]]/Pcfu4[[#This Row],[grams]]</f>
        <v>84866666666.666687</v>
      </c>
      <c r="T589" s="1">
        <f>Pcfu4[[#This Row],[SD CFU/mL]]*Pcfu4[[#This Row],[mL]]/Pcfu4[[#This Row],[grams]]</f>
        <v>7165348716.0236826</v>
      </c>
      <c r="U589" s="7" t="e">
        <f>_xlfn.STDEV.S(Pcfu43[[#This Row],[R1]:[R3]])/AVERAGE(Pcfu43[[#This Row],[R1]:[R3]])</f>
        <v>#VALUE!</v>
      </c>
      <c r="V589" s="96"/>
      <c r="W589" s="7"/>
      <c r="X589" t="s">
        <v>544</v>
      </c>
    </row>
    <row r="590" spans="1:24" x14ac:dyDescent="0.15">
      <c r="A590" t="s">
        <v>545</v>
      </c>
      <c r="D590">
        <v>2</v>
      </c>
      <c r="E590" s="3">
        <v>2</v>
      </c>
      <c r="G590">
        <v>0.3</v>
      </c>
      <c r="H590" s="5">
        <f>19*Pcfu4[[#This Row],[grams]]</f>
        <v>5.7</v>
      </c>
      <c r="J590" s="59">
        <v>44966</v>
      </c>
      <c r="L590" s="59" t="e" cm="1">
        <f t="array" ref="L590">INDEX($J$4:J1680, MATCH(1,(A590=$A$4:A1678)*(C590=$C$4:C1678)*("Y"=$K$4:K1680),0))</f>
        <v>#N/A</v>
      </c>
      <c r="M590" s="1">
        <v>1000000</v>
      </c>
      <c r="N590">
        <v>56</v>
      </c>
      <c r="O590">
        <v>63</v>
      </c>
      <c r="P590"/>
      <c r="Q590" s="6">
        <f>(SUM(Pcfu4[[#This Row],[R1]:[R3]]))/(Pcfu4[[#This Row],[No. Reps]]*0.015)*Pcfu4[[#This Row],[Best DF]]</f>
        <v>3966666666.666667</v>
      </c>
      <c r="R590" s="1">
        <f>_xlfn.STDEV.S(Pcfu4[[#This Row],[R1]:[R3]])/0.015*Pcfu4[[#This Row],[Best DF]]</f>
        <v>329983164.5537222</v>
      </c>
      <c r="S590" s="6">
        <f>Pcfu4[[#This Row],[CFU/mL]]*Pcfu4[[#This Row],[mL]]/Pcfu4[[#This Row],[grams]]</f>
        <v>75366666666.666687</v>
      </c>
      <c r="T590" s="1">
        <f>Pcfu4[[#This Row],[SD CFU/mL]]*Pcfu4[[#This Row],[mL]]/Pcfu4[[#This Row],[grams]]</f>
        <v>6269680126.5207224</v>
      </c>
      <c r="U590" s="7" t="e">
        <f>_xlfn.STDEV.S(Pcfu43[[#This Row],[R1]:[R3]])/AVERAGE(Pcfu43[[#This Row],[R1]:[R3]])</f>
        <v>#VALUE!</v>
      </c>
      <c r="V590" s="96"/>
      <c r="W590" s="7"/>
      <c r="X590" t="s">
        <v>544</v>
      </c>
    </row>
    <row r="591" spans="1:24" x14ac:dyDescent="0.15">
      <c r="A591" t="s">
        <v>546</v>
      </c>
      <c r="D591">
        <v>2</v>
      </c>
      <c r="E591" s="3">
        <v>2</v>
      </c>
      <c r="G591">
        <v>0.3</v>
      </c>
      <c r="H591" s="5">
        <f>19*Pcfu4[[#This Row],[grams]]</f>
        <v>5.7</v>
      </c>
      <c r="J591" s="59">
        <v>44966</v>
      </c>
      <c r="L591" s="59" t="e" cm="1">
        <f t="array" ref="L591">INDEX($J$4:J1681, MATCH(1,(A591=$A$4:A1679)*(C591=$C$4:C1679)*("Y"=$K$4:K1681),0))</f>
        <v>#N/A</v>
      </c>
      <c r="M591" s="1">
        <v>1000000</v>
      </c>
      <c r="N591">
        <v>85</v>
      </c>
      <c r="O591">
        <v>93</v>
      </c>
      <c r="P591"/>
      <c r="Q591" s="6">
        <f>(SUM(Pcfu4[[#This Row],[R1]:[R3]]))/(Pcfu4[[#This Row],[No. Reps]]*0.015)*Pcfu4[[#This Row],[Best DF]]</f>
        <v>5933333333.333334</v>
      </c>
      <c r="R591" s="1">
        <f>_xlfn.STDEV.S(Pcfu4[[#This Row],[R1]:[R3]])/0.015*Pcfu4[[#This Row],[Best DF]]</f>
        <v>377123616.63282537</v>
      </c>
      <c r="S591" s="6">
        <f>Pcfu4[[#This Row],[CFU/mL]]*Pcfu4[[#This Row],[mL]]/Pcfu4[[#This Row],[grams]]</f>
        <v>112733333333.33334</v>
      </c>
      <c r="T591" s="1">
        <f>Pcfu4[[#This Row],[SD CFU/mL]]*Pcfu4[[#This Row],[mL]]/Pcfu4[[#This Row],[grams]]</f>
        <v>7165348716.0236826</v>
      </c>
      <c r="U591" s="7" t="e">
        <f>_xlfn.STDEV.S(Pcfu43[[#This Row],[R1]:[R3]])/AVERAGE(Pcfu43[[#This Row],[R1]:[R3]])</f>
        <v>#VALUE!</v>
      </c>
      <c r="V591" s="96"/>
      <c r="W591" s="7"/>
      <c r="X591" t="s">
        <v>544</v>
      </c>
    </row>
    <row r="592" spans="1:24" x14ac:dyDescent="0.15">
      <c r="A592" t="s">
        <v>547</v>
      </c>
      <c r="D592">
        <v>2</v>
      </c>
      <c r="E592" s="3">
        <v>2</v>
      </c>
      <c r="G592">
        <v>0.3</v>
      </c>
      <c r="H592" s="5">
        <f>19*Pcfu4[[#This Row],[grams]]</f>
        <v>5.7</v>
      </c>
      <c r="J592" s="59">
        <v>44966</v>
      </c>
      <c r="L592" s="59" t="e" cm="1">
        <f t="array" ref="L592">INDEX($J$4:J1682, MATCH(1,(A592=$A$4:A1680)*(C592=$C$4:C1680)*("Y"=$K$4:K1682),0))</f>
        <v>#N/A</v>
      </c>
      <c r="M592" s="1">
        <v>1000000</v>
      </c>
      <c r="N592">
        <v>96</v>
      </c>
      <c r="O592">
        <v>89</v>
      </c>
      <c r="P592"/>
      <c r="Q592" s="6">
        <f>(SUM(Pcfu4[[#This Row],[R1]:[R3]]))/(Pcfu4[[#This Row],[No. Reps]]*0.015)*Pcfu4[[#This Row],[Best DF]]</f>
        <v>6166666666.666667</v>
      </c>
      <c r="R592" s="1">
        <f>_xlfn.STDEV.S(Pcfu4[[#This Row],[R1]:[R3]])/0.015*Pcfu4[[#This Row],[Best DF]]</f>
        <v>329983164.5537222</v>
      </c>
      <c r="S592" s="6">
        <f>Pcfu4[[#This Row],[CFU/mL]]*Pcfu4[[#This Row],[mL]]/Pcfu4[[#This Row],[grams]]</f>
        <v>117166666666.66667</v>
      </c>
      <c r="T592" s="1">
        <f>Pcfu4[[#This Row],[SD CFU/mL]]*Pcfu4[[#This Row],[mL]]/Pcfu4[[#This Row],[grams]]</f>
        <v>6269680126.5207224</v>
      </c>
      <c r="U592" s="7" t="e">
        <f>_xlfn.STDEV.S(Pcfu43[[#This Row],[R1]:[R3]])/AVERAGE(Pcfu43[[#This Row],[R1]:[R3]])</f>
        <v>#VALUE!</v>
      </c>
      <c r="V592" s="96"/>
      <c r="W592" s="7"/>
      <c r="X592" t="s">
        <v>544</v>
      </c>
    </row>
    <row r="593" spans="1:24" x14ac:dyDescent="0.15">
      <c r="A593" t="s">
        <v>548</v>
      </c>
      <c r="D593">
        <v>2</v>
      </c>
      <c r="E593" s="3">
        <v>2</v>
      </c>
      <c r="G593">
        <v>0.3</v>
      </c>
      <c r="H593" s="5">
        <f>19*Pcfu4[[#This Row],[grams]]</f>
        <v>5.7</v>
      </c>
      <c r="J593" s="59">
        <v>44966</v>
      </c>
      <c r="L593" s="59" t="e" cm="1">
        <f t="array" ref="L593">INDEX($J$4:J1683, MATCH(1,(A593=$A$4:A1681)*(C593=$C$4:C1681)*("Y"=$K$4:K1683),0))</f>
        <v>#N/A</v>
      </c>
      <c r="M593" s="1">
        <v>1000000</v>
      </c>
      <c r="N593">
        <v>83</v>
      </c>
      <c r="O593">
        <v>92</v>
      </c>
      <c r="P593"/>
      <c r="Q593" s="6">
        <f>(SUM(Pcfu4[[#This Row],[R1]:[R3]]))/(Pcfu4[[#This Row],[No. Reps]]*0.015)*Pcfu4[[#This Row],[Best DF]]</f>
        <v>5833333333.333334</v>
      </c>
      <c r="R593" s="1">
        <f>_xlfn.STDEV.S(Pcfu4[[#This Row],[R1]:[R3]])/0.015*Pcfu4[[#This Row],[Best DF]]</f>
        <v>424264068.71192855</v>
      </c>
      <c r="S593" s="6">
        <f>Pcfu4[[#This Row],[CFU/mL]]*Pcfu4[[#This Row],[mL]]/Pcfu4[[#This Row],[grams]]</f>
        <v>110833333333.33334</v>
      </c>
      <c r="T593" s="1">
        <f>Pcfu4[[#This Row],[SD CFU/mL]]*Pcfu4[[#This Row],[mL]]/Pcfu4[[#This Row],[grams]]</f>
        <v>8061017305.5266428</v>
      </c>
      <c r="U593" s="7" t="e">
        <f>_xlfn.STDEV.S(Pcfu43[[#This Row],[R1]:[R3]])/AVERAGE(Pcfu43[[#This Row],[R1]:[R3]])</f>
        <v>#VALUE!</v>
      </c>
      <c r="V593" s="96"/>
      <c r="W593" s="7"/>
      <c r="X593" t="s">
        <v>544</v>
      </c>
    </row>
    <row r="594" spans="1:24" x14ac:dyDescent="0.15">
      <c r="A594" t="s">
        <v>549</v>
      </c>
      <c r="D594">
        <v>2</v>
      </c>
      <c r="E594" s="3">
        <v>2</v>
      </c>
      <c r="G594">
        <v>0.3</v>
      </c>
      <c r="H594" s="5">
        <f>19*Pcfu4[[#This Row],[grams]]</f>
        <v>5.7</v>
      </c>
      <c r="J594" s="59">
        <v>44966</v>
      </c>
      <c r="L594" s="59" t="e" cm="1">
        <f t="array" ref="L594">INDEX($J$4:J1684, MATCH(1,(A594=$A$4:A1682)*(C594=$C$4:C1682)*("Y"=$K$4:K1684),0))</f>
        <v>#N/A</v>
      </c>
      <c r="M594" s="1">
        <v>10000000</v>
      </c>
      <c r="N594">
        <v>22</v>
      </c>
      <c r="O594">
        <v>21</v>
      </c>
      <c r="P594"/>
      <c r="Q594" s="6">
        <f>(SUM(Pcfu4[[#This Row],[R1]:[R3]]))/(Pcfu4[[#This Row],[No. Reps]]*0.015)*Pcfu4[[#This Row],[Best DF]]</f>
        <v>14333333333.333334</v>
      </c>
      <c r="R594" s="1">
        <f>_xlfn.STDEV.S(Pcfu4[[#This Row],[R1]:[R3]])/0.015*Pcfu4[[#This Row],[Best DF]]</f>
        <v>471404520.79103172</v>
      </c>
      <c r="S594" s="6">
        <f>Pcfu4[[#This Row],[CFU/mL]]*Pcfu4[[#This Row],[mL]]/Pcfu4[[#This Row],[grams]]</f>
        <v>272333333333.33334</v>
      </c>
      <c r="T594" s="1">
        <f>Pcfu4[[#This Row],[SD CFU/mL]]*Pcfu4[[#This Row],[mL]]/Pcfu4[[#This Row],[grams]]</f>
        <v>8956685895.029604</v>
      </c>
      <c r="U594" s="7" t="e">
        <f>_xlfn.STDEV.S(Pcfu43[[#This Row],[R1]:[R3]])/AVERAGE(Pcfu43[[#This Row],[R1]:[R3]])</f>
        <v>#VALUE!</v>
      </c>
      <c r="V594" s="96"/>
      <c r="W594" s="7"/>
      <c r="X594" t="s">
        <v>544</v>
      </c>
    </row>
    <row r="595" spans="1:24" x14ac:dyDescent="0.15">
      <c r="A595" t="s">
        <v>550</v>
      </c>
      <c r="D595">
        <v>2</v>
      </c>
      <c r="E595" s="3">
        <v>2</v>
      </c>
      <c r="G595">
        <v>0.3</v>
      </c>
      <c r="H595" s="5">
        <f>19*Pcfu4[[#This Row],[grams]]</f>
        <v>5.7</v>
      </c>
      <c r="J595" s="59">
        <v>44966</v>
      </c>
      <c r="L595" s="59" t="e" cm="1">
        <f t="array" ref="L595">INDEX($J$4:J1685, MATCH(1,(A595=$A$4:A1683)*(C595=$C$4:C1683)*("Y"=$K$4:K1685),0))</f>
        <v>#N/A</v>
      </c>
      <c r="M595" s="1">
        <v>1000000</v>
      </c>
      <c r="N595">
        <v>104</v>
      </c>
      <c r="O595">
        <v>107</v>
      </c>
      <c r="P595"/>
      <c r="Q595" s="6">
        <f>(SUM(Pcfu4[[#This Row],[R1]:[R3]]))/(Pcfu4[[#This Row],[No. Reps]]*0.015)*Pcfu4[[#This Row],[Best DF]]</f>
        <v>7033333333.333334</v>
      </c>
      <c r="R595" s="1">
        <f>_xlfn.STDEV.S(Pcfu4[[#This Row],[R1]:[R3]])/0.015*Pcfu4[[#This Row],[Best DF]]</f>
        <v>141421356.23730952</v>
      </c>
      <c r="S595" s="6">
        <f>Pcfu4[[#This Row],[CFU/mL]]*Pcfu4[[#This Row],[mL]]/Pcfu4[[#This Row],[grams]]</f>
        <v>133633333333.33336</v>
      </c>
      <c r="T595" s="1">
        <f>Pcfu4[[#This Row],[SD CFU/mL]]*Pcfu4[[#This Row],[mL]]/Pcfu4[[#This Row],[grams]]</f>
        <v>2687005768.5088811</v>
      </c>
      <c r="U595" s="7" t="e">
        <f>_xlfn.STDEV.S(Pcfu43[[#This Row],[R1]:[R3]])/AVERAGE(Pcfu43[[#This Row],[R1]:[R3]])</f>
        <v>#VALUE!</v>
      </c>
      <c r="V595" s="96"/>
      <c r="W595" s="7"/>
      <c r="X595" t="s">
        <v>544</v>
      </c>
    </row>
    <row r="596" spans="1:24" x14ac:dyDescent="0.15">
      <c r="A596" t="s">
        <v>551</v>
      </c>
      <c r="D596">
        <v>2</v>
      </c>
      <c r="E596" s="3">
        <v>2</v>
      </c>
      <c r="G596">
        <v>0.3</v>
      </c>
      <c r="H596" s="5">
        <f>19*Pcfu4[[#This Row],[grams]]</f>
        <v>5.7</v>
      </c>
      <c r="J596" s="59">
        <v>44966</v>
      </c>
      <c r="L596" s="59" t="e" cm="1">
        <f t="array" ref="L596">INDEX($J$4:J1686, MATCH(1,(A596=$A$4:A1684)*(C596=$C$4:C1684)*("Y"=$K$4:K1686),0))</f>
        <v>#N/A</v>
      </c>
      <c r="M596" s="1">
        <v>10000000</v>
      </c>
      <c r="N596">
        <v>19</v>
      </c>
      <c r="O596">
        <v>21</v>
      </c>
      <c r="P596"/>
      <c r="Q596" s="6">
        <f>(SUM(Pcfu4[[#This Row],[R1]:[R3]]))/(Pcfu4[[#This Row],[No. Reps]]*0.015)*Pcfu4[[#This Row],[Best DF]]</f>
        <v>13333333333.333334</v>
      </c>
      <c r="R596" s="1">
        <f>_xlfn.STDEV.S(Pcfu4[[#This Row],[R1]:[R3]])/0.015*Pcfu4[[#This Row],[Best DF]]</f>
        <v>942809041.58206344</v>
      </c>
      <c r="S596" s="6">
        <f>Pcfu4[[#This Row],[CFU/mL]]*Pcfu4[[#This Row],[mL]]/Pcfu4[[#This Row],[grams]]</f>
        <v>253333333333.33334</v>
      </c>
      <c r="T596" s="1">
        <f>Pcfu4[[#This Row],[SD CFU/mL]]*Pcfu4[[#This Row],[mL]]/Pcfu4[[#This Row],[grams]]</f>
        <v>17913371790.059208</v>
      </c>
      <c r="U596" s="7" t="e">
        <f>_xlfn.STDEV.S(Pcfu43[[#This Row],[R1]:[R3]])/AVERAGE(Pcfu43[[#This Row],[R1]:[R3]])</f>
        <v>#VALUE!</v>
      </c>
      <c r="V596" s="96"/>
      <c r="W596" s="7"/>
      <c r="X596" t="s">
        <v>544</v>
      </c>
    </row>
    <row r="597" spans="1:24" x14ac:dyDescent="0.15">
      <c r="A597" t="s">
        <v>552</v>
      </c>
      <c r="D597">
        <v>2</v>
      </c>
      <c r="E597" s="3">
        <v>2</v>
      </c>
      <c r="G597">
        <v>0.3</v>
      </c>
      <c r="H597" s="5">
        <f>19*Pcfu4[[#This Row],[grams]]</f>
        <v>5.7</v>
      </c>
      <c r="J597" s="59">
        <v>44966</v>
      </c>
      <c r="L597" s="59" t="e" cm="1">
        <f t="array" ref="L597">INDEX($J$4:J1687, MATCH(1,(A597=$A$4:A1685)*(C597=$C$4:C1685)*("Y"=$K$4:K1687),0))</f>
        <v>#N/A</v>
      </c>
      <c r="M597" s="1">
        <v>1000000</v>
      </c>
      <c r="N597">
        <v>108</v>
      </c>
      <c r="O597">
        <v>115</v>
      </c>
      <c r="P597"/>
      <c r="Q597" s="6">
        <f>(SUM(Pcfu4[[#This Row],[R1]:[R3]]))/(Pcfu4[[#This Row],[No. Reps]]*0.015)*Pcfu4[[#This Row],[Best DF]]</f>
        <v>7433333333.333334</v>
      </c>
      <c r="R597" s="1">
        <f>_xlfn.STDEV.S(Pcfu4[[#This Row],[R1]:[R3]])/0.015*Pcfu4[[#This Row],[Best DF]]</f>
        <v>329983164.5537222</v>
      </c>
      <c r="S597" s="6">
        <f>Pcfu4[[#This Row],[CFU/mL]]*Pcfu4[[#This Row],[mL]]/Pcfu4[[#This Row],[grams]]</f>
        <v>141233333333.33337</v>
      </c>
      <c r="T597" s="1">
        <f>Pcfu4[[#This Row],[SD CFU/mL]]*Pcfu4[[#This Row],[mL]]/Pcfu4[[#This Row],[grams]]</f>
        <v>6269680126.5207224</v>
      </c>
      <c r="U597" s="7" t="e">
        <f>_xlfn.STDEV.S(Pcfu43[[#This Row],[R1]:[R3]])/AVERAGE(Pcfu43[[#This Row],[R1]:[R3]])</f>
        <v>#VALUE!</v>
      </c>
      <c r="V597" s="96"/>
      <c r="W597" s="7"/>
      <c r="X597" t="s">
        <v>544</v>
      </c>
    </row>
    <row r="598" spans="1:24" x14ac:dyDescent="0.15">
      <c r="A598" t="s">
        <v>553</v>
      </c>
      <c r="D598">
        <v>2</v>
      </c>
      <c r="E598" s="3">
        <v>2</v>
      </c>
      <c r="G598">
        <v>0.3</v>
      </c>
      <c r="H598" s="5">
        <f>19*Pcfu4[[#This Row],[grams]]</f>
        <v>5.7</v>
      </c>
      <c r="J598" s="59">
        <v>44966</v>
      </c>
      <c r="L598" s="59" t="e" cm="1">
        <f t="array" ref="L598">INDEX($J$4:J1688, MATCH(1,(A598=$A$4:A1686)*(C598=$C$4:C1686)*("Y"=$K$4:K1688),0))</f>
        <v>#N/A</v>
      </c>
      <c r="M598" s="1">
        <v>10000000</v>
      </c>
      <c r="N598">
        <v>19</v>
      </c>
      <c r="O598">
        <v>23</v>
      </c>
      <c r="P598"/>
      <c r="Q598" s="6">
        <f>(SUM(Pcfu4[[#This Row],[R1]:[R3]]))/(Pcfu4[[#This Row],[No. Reps]]*0.015)*Pcfu4[[#This Row],[Best DF]]</f>
        <v>14000000000</v>
      </c>
      <c r="R598" s="1">
        <f>_xlfn.STDEV.S(Pcfu4[[#This Row],[R1]:[R3]])/0.015*Pcfu4[[#This Row],[Best DF]]</f>
        <v>1885618083.1641269</v>
      </c>
      <c r="S598" s="6">
        <f>Pcfu4[[#This Row],[CFU/mL]]*Pcfu4[[#This Row],[mL]]/Pcfu4[[#This Row],[grams]]</f>
        <v>266000000000</v>
      </c>
      <c r="T598" s="1">
        <f>Pcfu4[[#This Row],[SD CFU/mL]]*Pcfu4[[#This Row],[mL]]/Pcfu4[[#This Row],[grams]]</f>
        <v>35826743580.118416</v>
      </c>
      <c r="U598" s="7" t="e">
        <f>_xlfn.STDEV.S(Pcfu43[[#This Row],[R1]:[R3]])/AVERAGE(Pcfu43[[#This Row],[R1]:[R3]])</f>
        <v>#VALUE!</v>
      </c>
      <c r="V598" s="96"/>
      <c r="W598" s="7"/>
      <c r="X598" t="s">
        <v>544</v>
      </c>
    </row>
    <row r="599" spans="1:24" x14ac:dyDescent="0.15">
      <c r="A599" t="s">
        <v>554</v>
      </c>
      <c r="D599">
        <v>2</v>
      </c>
      <c r="E599" s="3">
        <v>2</v>
      </c>
      <c r="G599">
        <v>0.3</v>
      </c>
      <c r="H599" s="5">
        <f>19*Pcfu4[[#This Row],[grams]]</f>
        <v>5.7</v>
      </c>
      <c r="J599" s="59">
        <v>44966</v>
      </c>
      <c r="L599" s="59" t="e" cm="1">
        <f t="array" ref="L599">INDEX($J$4:J1689, MATCH(1,(A599=$A$4:A1687)*(C599=$C$4:C1687)*("Y"=$K$4:K1689),0))</f>
        <v>#N/A</v>
      </c>
      <c r="M599" s="1">
        <v>1000000</v>
      </c>
      <c r="N599">
        <v>93</v>
      </c>
      <c r="O599">
        <v>95</v>
      </c>
      <c r="P599"/>
      <c r="Q599" s="6">
        <f>(SUM(Pcfu4[[#This Row],[R1]:[R3]]))/(Pcfu4[[#This Row],[No. Reps]]*0.015)*Pcfu4[[#This Row],[Best DF]]</f>
        <v>6266666666.666667</v>
      </c>
      <c r="R599" s="1">
        <f>_xlfn.STDEV.S(Pcfu4[[#This Row],[R1]:[R3]])/0.015*Pcfu4[[#This Row],[Best DF]]</f>
        <v>94280904.158206344</v>
      </c>
      <c r="S599" s="6">
        <f>Pcfu4[[#This Row],[CFU/mL]]*Pcfu4[[#This Row],[mL]]/Pcfu4[[#This Row],[grams]]</f>
        <v>119066666666.66667</v>
      </c>
      <c r="T599" s="1">
        <f>Pcfu4[[#This Row],[SD CFU/mL]]*Pcfu4[[#This Row],[mL]]/Pcfu4[[#This Row],[grams]]</f>
        <v>1791337179.0059206</v>
      </c>
      <c r="U599" s="7" t="e">
        <f>_xlfn.STDEV.S(Pcfu43[[#This Row],[R1]:[R3]])/AVERAGE(Pcfu43[[#This Row],[R1]:[R3]])</f>
        <v>#VALUE!</v>
      </c>
      <c r="V599" s="96"/>
      <c r="W599" s="7"/>
      <c r="X599" t="s">
        <v>544</v>
      </c>
    </row>
    <row r="600" spans="1:24" x14ac:dyDescent="0.15">
      <c r="A600" t="s">
        <v>555</v>
      </c>
      <c r="D600">
        <v>2</v>
      </c>
      <c r="E600" s="3">
        <v>2</v>
      </c>
      <c r="G600">
        <v>0.3</v>
      </c>
      <c r="H600" s="5">
        <f>19*Pcfu4[[#This Row],[grams]]</f>
        <v>5.7</v>
      </c>
      <c r="J600" s="59">
        <v>44966</v>
      </c>
      <c r="L600" s="59" t="e" cm="1">
        <f t="array" ref="L600">INDEX($J$4:J1690, MATCH(1,(A600=$A$4:A1688)*(C600=$C$4:C1688)*("Y"=$K$4:K1690),0))</f>
        <v>#N/A</v>
      </c>
      <c r="M600" s="1">
        <v>1000000</v>
      </c>
      <c r="N600">
        <v>89</v>
      </c>
      <c r="O600">
        <v>80</v>
      </c>
      <c r="P600"/>
      <c r="Q600" s="6">
        <f>(SUM(Pcfu4[[#This Row],[R1]:[R3]]))/(Pcfu4[[#This Row],[No. Reps]]*0.015)*Pcfu4[[#This Row],[Best DF]]</f>
        <v>5633333333.333334</v>
      </c>
      <c r="R600" s="1">
        <f>_xlfn.STDEV.S(Pcfu4[[#This Row],[R1]:[R3]])/0.015*Pcfu4[[#This Row],[Best DF]]</f>
        <v>424264068.71192855</v>
      </c>
      <c r="S600" s="6">
        <f>Pcfu4[[#This Row],[CFU/mL]]*Pcfu4[[#This Row],[mL]]/Pcfu4[[#This Row],[grams]]</f>
        <v>107033333333.33334</v>
      </c>
      <c r="T600" s="1">
        <f>Pcfu4[[#This Row],[SD CFU/mL]]*Pcfu4[[#This Row],[mL]]/Pcfu4[[#This Row],[grams]]</f>
        <v>8061017305.5266428</v>
      </c>
      <c r="U600" s="7" t="e">
        <f>_xlfn.STDEV.S(Pcfu43[[#This Row],[R1]:[R3]])/AVERAGE(Pcfu43[[#This Row],[R1]:[R3]])</f>
        <v>#VALUE!</v>
      </c>
      <c r="V600" s="96"/>
      <c r="W600" s="7"/>
      <c r="X600" t="s">
        <v>544</v>
      </c>
    </row>
    <row r="601" spans="1:24" x14ac:dyDescent="0.15">
      <c r="A601" t="s">
        <v>481</v>
      </c>
      <c r="C601" t="s">
        <v>460</v>
      </c>
      <c r="D601" t="s">
        <v>556</v>
      </c>
      <c r="E601" s="3">
        <v>1</v>
      </c>
      <c r="H601" s="5">
        <f>19*Pcfu4[[#This Row],[grams]]</f>
        <v>0</v>
      </c>
      <c r="I601" s="3" t="s">
        <v>28</v>
      </c>
      <c r="J601" s="59">
        <v>44970</v>
      </c>
      <c r="L601" s="59" t="e" cm="1">
        <f t="array" ref="L601">INDEX($J$4:J1691, MATCH(1,(A601=$A$4:A1689)*(C601=$C$4:C1689)*("Y"=$K$4:K1691),0))</f>
        <v>#N/A</v>
      </c>
      <c r="M601" s="1">
        <v>100</v>
      </c>
      <c r="N601">
        <v>35</v>
      </c>
      <c r="P601"/>
      <c r="Q601" s="6">
        <f>(SUM(Pcfu4[[#This Row],[R1]:[R3]]))/(Pcfu4[[#This Row],[No. Reps]]*0.025)*Pcfu4[[#This Row],[Best DF]]</f>
        <v>140000</v>
      </c>
      <c r="R601" s="1" t="e">
        <f>_xlfn.STDEV.S(Pcfu4[[#This Row],[R1]:[R3]])/0.025*Pcfu4[[#This Row],[Best DF]]</f>
        <v>#DIV/0!</v>
      </c>
      <c r="S601" s="6" t="e">
        <f>Pcfu4[[#This Row],[CFU/mL]]*Pcfu4[[#This Row],[mL]]/Pcfu4[[#This Row],[grams]]</f>
        <v>#DIV/0!</v>
      </c>
      <c r="T601" s="1" t="e">
        <f>Pcfu4[[#This Row],[SD CFU/mL]]*Pcfu4[[#This Row],[mL]]/Pcfu4[[#This Row],[grams]]</f>
        <v>#DIV/0!</v>
      </c>
      <c r="U601" s="7" t="e">
        <f>_xlfn.STDEV.S(Pcfu43[[#This Row],[R1]:[R3]])/AVERAGE(Pcfu43[[#This Row],[R1]:[R3]])</f>
        <v>#VALUE!</v>
      </c>
      <c r="V601" s="96"/>
      <c r="W601" s="7"/>
    </row>
    <row r="602" spans="1:24" x14ac:dyDescent="0.15">
      <c r="A602" t="s">
        <v>484</v>
      </c>
      <c r="C602" t="s">
        <v>460</v>
      </c>
      <c r="D602" t="s">
        <v>556</v>
      </c>
      <c r="E602" s="3">
        <v>1</v>
      </c>
      <c r="H602" s="5">
        <f>19*Pcfu4[[#This Row],[grams]]</f>
        <v>0</v>
      </c>
      <c r="I602" s="3" t="s">
        <v>28</v>
      </c>
      <c r="J602" s="59">
        <v>44970</v>
      </c>
      <c r="L602" s="59" t="e" cm="1">
        <f t="array" ref="L602">INDEX($J$4:J1692, MATCH(1,(A602=$A$4:A1690)*(C602=$C$4:C1690)*("Y"=$K$4:K1692),0))</f>
        <v>#N/A</v>
      </c>
      <c r="M602" s="1">
        <v>100</v>
      </c>
      <c r="N602">
        <v>67</v>
      </c>
      <c r="P602"/>
      <c r="Q602" s="6">
        <f>(SUM(Pcfu4[[#This Row],[R1]:[R3]]))/(Pcfu4[[#This Row],[No. Reps]]*0.025)*Pcfu4[[#This Row],[Best DF]]</f>
        <v>268000</v>
      </c>
      <c r="R602" s="1" t="e">
        <f>_xlfn.STDEV.S(Pcfu4[[#This Row],[R1]:[R3]])/0.025*Pcfu4[[#This Row],[Best DF]]</f>
        <v>#DIV/0!</v>
      </c>
      <c r="S602" s="6" t="e">
        <f>Pcfu4[[#This Row],[CFU/mL]]*Pcfu4[[#This Row],[mL]]/Pcfu4[[#This Row],[grams]]</f>
        <v>#DIV/0!</v>
      </c>
      <c r="T602" s="1" t="e">
        <f>Pcfu4[[#This Row],[SD CFU/mL]]*Pcfu4[[#This Row],[mL]]/Pcfu4[[#This Row],[grams]]</f>
        <v>#DIV/0!</v>
      </c>
      <c r="U602" s="7" t="e">
        <f>_xlfn.STDEV.S(Pcfu43[[#This Row],[R1]:[R3]])/AVERAGE(Pcfu43[[#This Row],[R1]:[R3]])</f>
        <v>#VALUE!</v>
      </c>
      <c r="V602" s="96"/>
      <c r="W602" s="7"/>
    </row>
    <row r="603" spans="1:24" x14ac:dyDescent="0.15">
      <c r="A603" t="s">
        <v>486</v>
      </c>
      <c r="C603" t="s">
        <v>460</v>
      </c>
      <c r="D603" t="s">
        <v>556</v>
      </c>
      <c r="E603" s="3">
        <v>1</v>
      </c>
      <c r="H603" s="5">
        <f>19*Pcfu4[[#This Row],[grams]]</f>
        <v>0</v>
      </c>
      <c r="I603" s="3" t="s">
        <v>28</v>
      </c>
      <c r="J603" s="59">
        <v>44970</v>
      </c>
      <c r="L603" s="59" t="e" cm="1">
        <f t="array" ref="L603">INDEX($J$4:J1693, MATCH(1,(A603=$A$4:A1691)*(C603=$C$4:C1691)*("Y"=$K$4:K1693),0))</f>
        <v>#N/A</v>
      </c>
      <c r="M603" s="1">
        <v>100</v>
      </c>
      <c r="N603">
        <v>78</v>
      </c>
      <c r="P603"/>
      <c r="Q603" s="6">
        <f>(SUM(Pcfu4[[#This Row],[R1]:[R3]]))/(Pcfu4[[#This Row],[No. Reps]]*0.025)*Pcfu4[[#This Row],[Best DF]]</f>
        <v>312000</v>
      </c>
      <c r="R603" s="1" t="e">
        <f>_xlfn.STDEV.S(Pcfu4[[#This Row],[R1]:[R3]])/0.025*Pcfu4[[#This Row],[Best DF]]</f>
        <v>#DIV/0!</v>
      </c>
      <c r="S603" s="6" t="e">
        <f>Pcfu4[[#This Row],[CFU/mL]]*Pcfu4[[#This Row],[mL]]/Pcfu4[[#This Row],[grams]]</f>
        <v>#DIV/0!</v>
      </c>
      <c r="T603" s="1" t="e">
        <f>Pcfu4[[#This Row],[SD CFU/mL]]*Pcfu4[[#This Row],[mL]]/Pcfu4[[#This Row],[grams]]</f>
        <v>#DIV/0!</v>
      </c>
      <c r="U603" s="7" t="e">
        <f>_xlfn.STDEV.S(Pcfu43[[#This Row],[R1]:[R3]])/AVERAGE(Pcfu43[[#This Row],[R1]:[R3]])</f>
        <v>#VALUE!</v>
      </c>
      <c r="V603" s="96"/>
      <c r="W603" s="7"/>
    </row>
    <row r="604" spans="1:24" x14ac:dyDescent="0.15">
      <c r="A604" t="s">
        <v>488</v>
      </c>
      <c r="C604" t="s">
        <v>460</v>
      </c>
      <c r="D604" t="s">
        <v>556</v>
      </c>
      <c r="E604" s="3">
        <v>1</v>
      </c>
      <c r="H604" s="5">
        <f>19*Pcfu4[[#This Row],[grams]]</f>
        <v>0</v>
      </c>
      <c r="I604" s="3" t="s">
        <v>28</v>
      </c>
      <c r="J604" s="59">
        <v>44970</v>
      </c>
      <c r="L604" s="59" t="e" cm="1">
        <f t="array" ref="L604">INDEX($J$4:J1694, MATCH(1,(A604=$A$4:A1692)*(C604=$C$4:C1692)*("Y"=$K$4:K1694),0))</f>
        <v>#N/A</v>
      </c>
      <c r="M604" s="1">
        <v>100</v>
      </c>
      <c r="N604">
        <v>50</v>
      </c>
      <c r="P604"/>
      <c r="Q604" s="6">
        <f>(SUM(Pcfu4[[#This Row],[R1]:[R3]]))/(Pcfu4[[#This Row],[No. Reps]]*0.025)*Pcfu4[[#This Row],[Best DF]]</f>
        <v>200000</v>
      </c>
      <c r="R604" s="1" t="e">
        <f>_xlfn.STDEV.S(Pcfu4[[#This Row],[R1]:[R3]])/0.025*Pcfu4[[#This Row],[Best DF]]</f>
        <v>#DIV/0!</v>
      </c>
      <c r="S604" s="6" t="e">
        <f>Pcfu4[[#This Row],[CFU/mL]]*Pcfu4[[#This Row],[mL]]/Pcfu4[[#This Row],[grams]]</f>
        <v>#DIV/0!</v>
      </c>
      <c r="T604" s="1" t="e">
        <f>Pcfu4[[#This Row],[SD CFU/mL]]*Pcfu4[[#This Row],[mL]]/Pcfu4[[#This Row],[grams]]</f>
        <v>#DIV/0!</v>
      </c>
      <c r="U604" s="7" t="e">
        <f>_xlfn.STDEV.S(Pcfu43[[#This Row],[R1]:[R3]])/AVERAGE(Pcfu43[[#This Row],[R1]:[R3]])</f>
        <v>#VALUE!</v>
      </c>
      <c r="V604" s="96"/>
      <c r="W604" s="7"/>
    </row>
    <row r="605" spans="1:24" x14ac:dyDescent="0.15">
      <c r="A605" t="s">
        <v>490</v>
      </c>
      <c r="C605" t="s">
        <v>460</v>
      </c>
      <c r="D605" t="s">
        <v>556</v>
      </c>
      <c r="E605" s="3">
        <v>1</v>
      </c>
      <c r="H605" s="5">
        <f>19*Pcfu4[[#This Row],[grams]]</f>
        <v>0</v>
      </c>
      <c r="I605" s="3" t="s">
        <v>28</v>
      </c>
      <c r="J605" s="59">
        <v>44970</v>
      </c>
      <c r="L605" s="59" t="e" cm="1">
        <f t="array" ref="L605">INDEX($J$4:J1695, MATCH(1,(A605=$A$4:A1693)*(C605=$C$4:C1693)*("Y"=$K$4:K1695),0))</f>
        <v>#N/A</v>
      </c>
      <c r="M605" s="1">
        <v>100</v>
      </c>
      <c r="N605">
        <v>210</v>
      </c>
      <c r="P605"/>
      <c r="Q605" s="6">
        <f>(SUM(Pcfu4[[#This Row],[R1]:[R3]]))/(Pcfu4[[#This Row],[No. Reps]]*0.025)*Pcfu4[[#This Row],[Best DF]]</f>
        <v>840000</v>
      </c>
      <c r="R605" s="1" t="e">
        <f>_xlfn.STDEV.S(Pcfu4[[#This Row],[R1]:[R3]])/0.025*Pcfu4[[#This Row],[Best DF]]</f>
        <v>#DIV/0!</v>
      </c>
      <c r="S605" s="6" t="e">
        <f>Pcfu4[[#This Row],[CFU/mL]]*Pcfu4[[#This Row],[mL]]/Pcfu4[[#This Row],[grams]]</f>
        <v>#DIV/0!</v>
      </c>
      <c r="T605" s="1" t="e">
        <f>Pcfu4[[#This Row],[SD CFU/mL]]*Pcfu4[[#This Row],[mL]]/Pcfu4[[#This Row],[grams]]</f>
        <v>#DIV/0!</v>
      </c>
      <c r="U605" s="7" t="e">
        <f>_xlfn.STDEV.S(Pcfu43[[#This Row],[R1]:[R3]])/AVERAGE(Pcfu43[[#This Row],[R1]:[R3]])</f>
        <v>#VALUE!</v>
      </c>
      <c r="V605" s="96"/>
      <c r="W605" s="7"/>
    </row>
    <row r="606" spans="1:24" x14ac:dyDescent="0.15">
      <c r="A606" t="s">
        <v>481</v>
      </c>
      <c r="C606" t="s">
        <v>463</v>
      </c>
      <c r="D606" t="s">
        <v>556</v>
      </c>
      <c r="E606" s="3">
        <v>1</v>
      </c>
      <c r="H606" s="5">
        <f>19*Pcfu4[[#This Row],[grams]]</f>
        <v>0</v>
      </c>
      <c r="I606" s="3" t="s">
        <v>28</v>
      </c>
      <c r="J606" s="59">
        <v>44970</v>
      </c>
      <c r="L606" s="59" t="e" cm="1">
        <f t="array" ref="L606">INDEX($J$4:J1696, MATCH(1,(A606=$A$4:A1694)*(C606=$C$4:C1694)*("Y"=$K$4:K1696),0))</f>
        <v>#N/A</v>
      </c>
      <c r="M606" s="1">
        <v>100</v>
      </c>
      <c r="N606">
        <v>26</v>
      </c>
      <c r="P606"/>
      <c r="Q606" s="6">
        <f>(SUM(Pcfu4[[#This Row],[R1]:[R3]]))/(Pcfu4[[#This Row],[No. Reps]]*0.025)*Pcfu4[[#This Row],[Best DF]]</f>
        <v>104000</v>
      </c>
      <c r="R606" s="1" t="e">
        <f>_xlfn.STDEV.S(Pcfu4[[#This Row],[R1]:[R3]])/0.025*Pcfu4[[#This Row],[Best DF]]</f>
        <v>#DIV/0!</v>
      </c>
      <c r="S606" s="6" t="e">
        <f>Pcfu4[[#This Row],[CFU/mL]]*Pcfu4[[#This Row],[mL]]/Pcfu4[[#This Row],[grams]]</f>
        <v>#DIV/0!</v>
      </c>
      <c r="T606" s="1" t="e">
        <f>Pcfu4[[#This Row],[SD CFU/mL]]*Pcfu4[[#This Row],[mL]]/Pcfu4[[#This Row],[grams]]</f>
        <v>#DIV/0!</v>
      </c>
      <c r="U606" s="7" t="e">
        <f>_xlfn.STDEV.S(Pcfu43[[#This Row],[R1]:[R3]])/AVERAGE(Pcfu43[[#This Row],[R1]:[R3]])</f>
        <v>#VALUE!</v>
      </c>
      <c r="V606" s="96"/>
      <c r="W606" s="7"/>
    </row>
    <row r="607" spans="1:24" x14ac:dyDescent="0.15">
      <c r="A607" t="s">
        <v>484</v>
      </c>
      <c r="C607" t="s">
        <v>463</v>
      </c>
      <c r="D607" t="s">
        <v>556</v>
      </c>
      <c r="E607" s="3">
        <v>1</v>
      </c>
      <c r="H607" s="5">
        <f>19*Pcfu4[[#This Row],[grams]]</f>
        <v>0</v>
      </c>
      <c r="I607" s="3" t="s">
        <v>28</v>
      </c>
      <c r="J607" s="59">
        <v>44970</v>
      </c>
      <c r="L607" s="59" t="e" cm="1">
        <f t="array" ref="L607">INDEX($J$4:J1697, MATCH(1,(A607=$A$4:A1695)*(C607=$C$4:C1695)*("Y"=$K$4:K1697),0))</f>
        <v>#N/A</v>
      </c>
      <c r="M607" s="1">
        <v>100</v>
      </c>
      <c r="N607">
        <v>70</v>
      </c>
      <c r="P607"/>
      <c r="Q607" s="6">
        <f>(SUM(Pcfu4[[#This Row],[R1]:[R3]]))/(Pcfu4[[#This Row],[No. Reps]]*0.025)*Pcfu4[[#This Row],[Best DF]]</f>
        <v>280000</v>
      </c>
      <c r="R607" s="1" t="e">
        <f>_xlfn.STDEV.S(Pcfu4[[#This Row],[R1]:[R3]])/0.025*Pcfu4[[#This Row],[Best DF]]</f>
        <v>#DIV/0!</v>
      </c>
      <c r="S607" s="6" t="e">
        <f>Pcfu4[[#This Row],[CFU/mL]]*Pcfu4[[#This Row],[mL]]/Pcfu4[[#This Row],[grams]]</f>
        <v>#DIV/0!</v>
      </c>
      <c r="T607" s="1" t="e">
        <f>Pcfu4[[#This Row],[SD CFU/mL]]*Pcfu4[[#This Row],[mL]]/Pcfu4[[#This Row],[grams]]</f>
        <v>#DIV/0!</v>
      </c>
      <c r="U607" s="7" t="e">
        <f>_xlfn.STDEV.S(Pcfu43[[#This Row],[R1]:[R3]])/AVERAGE(Pcfu43[[#This Row],[R1]:[R3]])</f>
        <v>#VALUE!</v>
      </c>
      <c r="V607" s="96"/>
      <c r="W607" s="7"/>
    </row>
    <row r="608" spans="1:24" x14ac:dyDescent="0.15">
      <c r="A608" t="s">
        <v>486</v>
      </c>
      <c r="C608" t="s">
        <v>463</v>
      </c>
      <c r="D608" t="s">
        <v>556</v>
      </c>
      <c r="E608" s="3">
        <v>1</v>
      </c>
      <c r="H608" s="5">
        <f>19*Pcfu4[[#This Row],[grams]]</f>
        <v>0</v>
      </c>
      <c r="I608" s="3" t="s">
        <v>28</v>
      </c>
      <c r="J608" s="59">
        <v>44970</v>
      </c>
      <c r="L608" s="59" t="e" cm="1">
        <f t="array" ref="L608">INDEX($J$4:J1698, MATCH(1,(A608=$A$4:A1696)*(C608=$C$4:C1696)*("Y"=$K$4:K1698),0))</f>
        <v>#N/A</v>
      </c>
      <c r="M608" s="1">
        <v>100</v>
      </c>
      <c r="N608">
        <v>59</v>
      </c>
      <c r="P608"/>
      <c r="Q608" s="6">
        <f>(SUM(Pcfu4[[#This Row],[R1]:[R3]]))/(Pcfu4[[#This Row],[No. Reps]]*0.025)*Pcfu4[[#This Row],[Best DF]]</f>
        <v>236000</v>
      </c>
      <c r="R608" s="1" t="e">
        <f>_xlfn.STDEV.S(Pcfu4[[#This Row],[R1]:[R3]])/0.025*Pcfu4[[#This Row],[Best DF]]</f>
        <v>#DIV/0!</v>
      </c>
      <c r="S608" s="6" t="e">
        <f>Pcfu4[[#This Row],[CFU/mL]]*Pcfu4[[#This Row],[mL]]/Pcfu4[[#This Row],[grams]]</f>
        <v>#DIV/0!</v>
      </c>
      <c r="T608" s="1" t="e">
        <f>Pcfu4[[#This Row],[SD CFU/mL]]*Pcfu4[[#This Row],[mL]]/Pcfu4[[#This Row],[grams]]</f>
        <v>#DIV/0!</v>
      </c>
      <c r="U608" s="7" t="e">
        <f>_xlfn.STDEV.S(Pcfu43[[#This Row],[R1]:[R3]])/AVERAGE(Pcfu43[[#This Row],[R1]:[R3]])</f>
        <v>#VALUE!</v>
      </c>
      <c r="V608" s="96"/>
      <c r="W608" s="7"/>
    </row>
    <row r="609" spans="1:24" x14ac:dyDescent="0.15">
      <c r="A609" t="s">
        <v>488</v>
      </c>
      <c r="C609" t="s">
        <v>463</v>
      </c>
      <c r="D609" t="s">
        <v>556</v>
      </c>
      <c r="E609" s="3">
        <v>1</v>
      </c>
      <c r="H609" s="5">
        <f>19*Pcfu4[[#This Row],[grams]]</f>
        <v>0</v>
      </c>
      <c r="I609" s="3" t="s">
        <v>28</v>
      </c>
      <c r="J609" s="59">
        <v>44970</v>
      </c>
      <c r="L609" s="59" t="e" cm="1">
        <f t="array" ref="L609">INDEX($J$4:J1699, MATCH(1,(A609=$A$4:A1697)*(C609=$C$4:C1697)*("Y"=$K$4:K1699),0))</f>
        <v>#N/A</v>
      </c>
      <c r="M609" s="1">
        <v>100</v>
      </c>
      <c r="N609">
        <v>32</v>
      </c>
      <c r="P609"/>
      <c r="Q609" s="6">
        <f>(SUM(Pcfu4[[#This Row],[R1]:[R3]]))/(Pcfu4[[#This Row],[No. Reps]]*0.025)*Pcfu4[[#This Row],[Best DF]]</f>
        <v>128000</v>
      </c>
      <c r="R609" s="1" t="e">
        <f>_xlfn.STDEV.S(Pcfu4[[#This Row],[R1]:[R3]])/0.025*Pcfu4[[#This Row],[Best DF]]</f>
        <v>#DIV/0!</v>
      </c>
      <c r="S609" s="6" t="e">
        <f>Pcfu4[[#This Row],[CFU/mL]]*Pcfu4[[#This Row],[mL]]/Pcfu4[[#This Row],[grams]]</f>
        <v>#DIV/0!</v>
      </c>
      <c r="T609" s="1" t="e">
        <f>Pcfu4[[#This Row],[SD CFU/mL]]*Pcfu4[[#This Row],[mL]]/Pcfu4[[#This Row],[grams]]</f>
        <v>#DIV/0!</v>
      </c>
      <c r="U609" s="7" t="e">
        <f>_xlfn.STDEV.S(Pcfu43[[#This Row],[R1]:[R3]])/AVERAGE(Pcfu43[[#This Row],[R1]:[R3]])</f>
        <v>#VALUE!</v>
      </c>
      <c r="V609" s="96"/>
      <c r="W609" s="7"/>
    </row>
    <row r="610" spans="1:24" x14ac:dyDescent="0.15">
      <c r="A610" t="s">
        <v>490</v>
      </c>
      <c r="C610" t="s">
        <v>463</v>
      </c>
      <c r="D610" t="s">
        <v>556</v>
      </c>
      <c r="E610" s="3">
        <v>1</v>
      </c>
      <c r="H610" s="5">
        <f>19*Pcfu4[[#This Row],[grams]]</f>
        <v>0</v>
      </c>
      <c r="I610" s="3" t="s">
        <v>28</v>
      </c>
      <c r="J610" s="59">
        <v>44970</v>
      </c>
      <c r="L610" s="59" t="e" cm="1">
        <f t="array" ref="L610">INDEX($J$4:J1700, MATCH(1,(A610=$A$4:A1698)*(C610=$C$4:C1698)*("Y"=$K$4:K1700),0))</f>
        <v>#N/A</v>
      </c>
      <c r="M610" s="1">
        <v>100</v>
      </c>
      <c r="N610">
        <v>104</v>
      </c>
      <c r="P610"/>
      <c r="Q610" s="6">
        <f>(SUM(Pcfu4[[#This Row],[R1]:[R3]]))/(Pcfu4[[#This Row],[No. Reps]]*0.025)*Pcfu4[[#This Row],[Best DF]]</f>
        <v>416000</v>
      </c>
      <c r="R610" s="1" t="e">
        <f>_xlfn.STDEV.S(Pcfu4[[#This Row],[R1]:[R3]])/0.025*Pcfu4[[#This Row],[Best DF]]</f>
        <v>#DIV/0!</v>
      </c>
      <c r="S610" s="6" t="e">
        <f>Pcfu4[[#This Row],[CFU/mL]]*Pcfu4[[#This Row],[mL]]/Pcfu4[[#This Row],[grams]]</f>
        <v>#DIV/0!</v>
      </c>
      <c r="T610" s="1" t="e">
        <f>Pcfu4[[#This Row],[SD CFU/mL]]*Pcfu4[[#This Row],[mL]]/Pcfu4[[#This Row],[grams]]</f>
        <v>#DIV/0!</v>
      </c>
      <c r="U610" s="7" t="e">
        <f>_xlfn.STDEV.S(Pcfu43[[#This Row],[R1]:[R3]])/AVERAGE(Pcfu43[[#This Row],[R1]:[R3]])</f>
        <v>#VALUE!</v>
      </c>
      <c r="V610" s="96"/>
      <c r="W610" s="7"/>
    </row>
    <row r="611" spans="1:24" x14ac:dyDescent="0.15">
      <c r="A611" t="s">
        <v>481</v>
      </c>
      <c r="C611" t="s">
        <v>464</v>
      </c>
      <c r="D611" t="s">
        <v>556</v>
      </c>
      <c r="E611" s="3">
        <v>1</v>
      </c>
      <c r="H611" s="5">
        <f>19*Pcfu4[[#This Row],[grams]]</f>
        <v>0</v>
      </c>
      <c r="I611" s="3" t="s">
        <v>28</v>
      </c>
      <c r="J611" s="59">
        <v>44970</v>
      </c>
      <c r="L611" s="59" t="e" cm="1">
        <f t="array" ref="L611">INDEX($J$4:J1701, MATCH(1,(A611=$A$4:A1699)*(C611=$C$4:C1699)*("Y"=$K$4:K1701),0))</f>
        <v>#N/A</v>
      </c>
      <c r="M611" s="1">
        <v>100</v>
      </c>
      <c r="N611">
        <v>63</v>
      </c>
      <c r="P611"/>
      <c r="Q611" s="6">
        <f>(SUM(Pcfu4[[#This Row],[R1]:[R3]]))/(Pcfu4[[#This Row],[No. Reps]]*0.025)*Pcfu4[[#This Row],[Best DF]]</f>
        <v>252000</v>
      </c>
      <c r="R611" s="1" t="e">
        <f>_xlfn.STDEV.S(Pcfu4[[#This Row],[R1]:[R3]])/0.025*Pcfu4[[#This Row],[Best DF]]</f>
        <v>#DIV/0!</v>
      </c>
      <c r="S611" s="6" t="e">
        <f>Pcfu4[[#This Row],[CFU/mL]]*Pcfu4[[#This Row],[mL]]/Pcfu4[[#This Row],[grams]]</f>
        <v>#DIV/0!</v>
      </c>
      <c r="T611" s="1" t="e">
        <f>Pcfu4[[#This Row],[SD CFU/mL]]*Pcfu4[[#This Row],[mL]]/Pcfu4[[#This Row],[grams]]</f>
        <v>#DIV/0!</v>
      </c>
      <c r="U611" s="7" t="e">
        <f>_xlfn.STDEV.S(Pcfu43[[#This Row],[R1]:[R3]])/AVERAGE(Pcfu43[[#This Row],[R1]:[R3]])</f>
        <v>#VALUE!</v>
      </c>
      <c r="V611" s="96"/>
      <c r="W611" s="7"/>
    </row>
    <row r="612" spans="1:24" x14ac:dyDescent="0.15">
      <c r="A612" t="s">
        <v>484</v>
      </c>
      <c r="C612" t="s">
        <v>464</v>
      </c>
      <c r="D612" t="s">
        <v>556</v>
      </c>
      <c r="E612" s="3">
        <v>1</v>
      </c>
      <c r="H612" s="5">
        <f>19*Pcfu4[[#This Row],[grams]]</f>
        <v>0</v>
      </c>
      <c r="I612" s="3" t="s">
        <v>28</v>
      </c>
      <c r="J612" s="59">
        <v>44970</v>
      </c>
      <c r="L612" s="59" t="e" cm="1">
        <f t="array" ref="L612">INDEX($J$4:J1702, MATCH(1,(A612=$A$4:A1700)*(C612=$C$4:C1700)*("Y"=$K$4:K1702),0))</f>
        <v>#N/A</v>
      </c>
      <c r="M612" s="1">
        <v>100</v>
      </c>
      <c r="N612">
        <v>63</v>
      </c>
      <c r="P612"/>
      <c r="Q612" s="6">
        <f>(SUM(Pcfu4[[#This Row],[R1]:[R3]]))/(Pcfu4[[#This Row],[No. Reps]]*0.025)*Pcfu4[[#This Row],[Best DF]]</f>
        <v>252000</v>
      </c>
      <c r="R612" s="1" t="e">
        <f>_xlfn.STDEV.S(Pcfu4[[#This Row],[R1]:[R3]])/0.025*Pcfu4[[#This Row],[Best DF]]</f>
        <v>#DIV/0!</v>
      </c>
      <c r="S612" s="6" t="e">
        <f>Pcfu4[[#This Row],[CFU/mL]]*Pcfu4[[#This Row],[mL]]/Pcfu4[[#This Row],[grams]]</f>
        <v>#DIV/0!</v>
      </c>
      <c r="T612" s="1" t="e">
        <f>Pcfu4[[#This Row],[SD CFU/mL]]*Pcfu4[[#This Row],[mL]]/Pcfu4[[#This Row],[grams]]</f>
        <v>#DIV/0!</v>
      </c>
      <c r="U612" s="7" t="e">
        <f>_xlfn.STDEV.S(Pcfu43[[#This Row],[R1]:[R3]])/AVERAGE(Pcfu43[[#This Row],[R1]:[R3]])</f>
        <v>#VALUE!</v>
      </c>
      <c r="V612" s="96"/>
      <c r="W612" s="7"/>
    </row>
    <row r="613" spans="1:24" x14ac:dyDescent="0.15">
      <c r="A613" t="s">
        <v>486</v>
      </c>
      <c r="C613" t="s">
        <v>464</v>
      </c>
      <c r="D613" t="s">
        <v>556</v>
      </c>
      <c r="E613" s="3">
        <v>1</v>
      </c>
      <c r="H613" s="5">
        <f>19*Pcfu4[[#This Row],[grams]]</f>
        <v>0</v>
      </c>
      <c r="I613" s="3" t="s">
        <v>28</v>
      </c>
      <c r="J613" s="59">
        <v>44970</v>
      </c>
      <c r="L613" s="59" t="e" cm="1">
        <f t="array" ref="L613">INDEX($J$4:J1703, MATCH(1,(A613=$A$4:A1701)*(C613=$C$4:C1701)*("Y"=$K$4:K1703),0))</f>
        <v>#N/A</v>
      </c>
      <c r="M613" s="1">
        <v>100</v>
      </c>
      <c r="N613">
        <v>60</v>
      </c>
      <c r="P613"/>
      <c r="Q613" s="6">
        <f>(SUM(Pcfu4[[#This Row],[R1]:[R3]]))/(Pcfu4[[#This Row],[No. Reps]]*0.025)*Pcfu4[[#This Row],[Best DF]]</f>
        <v>240000</v>
      </c>
      <c r="R613" s="1" t="e">
        <f>_xlfn.STDEV.S(Pcfu4[[#This Row],[R1]:[R3]])/0.025*Pcfu4[[#This Row],[Best DF]]</f>
        <v>#DIV/0!</v>
      </c>
      <c r="S613" s="6" t="e">
        <f>Pcfu4[[#This Row],[CFU/mL]]*Pcfu4[[#This Row],[mL]]/Pcfu4[[#This Row],[grams]]</f>
        <v>#DIV/0!</v>
      </c>
      <c r="T613" s="1" t="e">
        <f>Pcfu4[[#This Row],[SD CFU/mL]]*Pcfu4[[#This Row],[mL]]/Pcfu4[[#This Row],[grams]]</f>
        <v>#DIV/0!</v>
      </c>
      <c r="U613" s="7" t="e">
        <f>_xlfn.STDEV.S(Pcfu43[[#This Row],[R1]:[R3]])/AVERAGE(Pcfu43[[#This Row],[R1]:[R3]])</f>
        <v>#VALUE!</v>
      </c>
      <c r="V613" s="96"/>
      <c r="W613" s="7"/>
    </row>
    <row r="614" spans="1:24" x14ac:dyDescent="0.15">
      <c r="A614" t="s">
        <v>488</v>
      </c>
      <c r="C614" t="s">
        <v>464</v>
      </c>
      <c r="D614" t="s">
        <v>556</v>
      </c>
      <c r="E614" s="3">
        <v>1</v>
      </c>
      <c r="H614" s="5">
        <f>19*Pcfu4[[#This Row],[grams]]</f>
        <v>0</v>
      </c>
      <c r="I614" s="3" t="s">
        <v>28</v>
      </c>
      <c r="J614" s="59">
        <v>44970</v>
      </c>
      <c r="L614" s="59" t="e" cm="1">
        <f t="array" ref="L614">INDEX($J$4:J1704, MATCH(1,(A614=$A$4:A1702)*(C614=$C$4:C1702)*("Y"=$K$4:K1704),0))</f>
        <v>#N/A</v>
      </c>
      <c r="M614" s="1">
        <v>100</v>
      </c>
      <c r="N614">
        <v>62</v>
      </c>
      <c r="P614"/>
      <c r="Q614" s="6">
        <f>(SUM(Pcfu4[[#This Row],[R1]:[R3]]))/(Pcfu4[[#This Row],[No. Reps]]*0.025)*Pcfu4[[#This Row],[Best DF]]</f>
        <v>248000</v>
      </c>
      <c r="R614" s="1" t="e">
        <f>_xlfn.STDEV.S(Pcfu4[[#This Row],[R1]:[R3]])/0.025*Pcfu4[[#This Row],[Best DF]]</f>
        <v>#DIV/0!</v>
      </c>
      <c r="S614" s="6" t="e">
        <f>Pcfu4[[#This Row],[CFU/mL]]*Pcfu4[[#This Row],[mL]]/Pcfu4[[#This Row],[grams]]</f>
        <v>#DIV/0!</v>
      </c>
      <c r="T614" s="1" t="e">
        <f>Pcfu4[[#This Row],[SD CFU/mL]]*Pcfu4[[#This Row],[mL]]/Pcfu4[[#This Row],[grams]]</f>
        <v>#DIV/0!</v>
      </c>
      <c r="U614" s="7" t="e">
        <f>_xlfn.STDEV.S(Pcfu43[[#This Row],[R1]:[R3]])/AVERAGE(Pcfu43[[#This Row],[R1]:[R3]])</f>
        <v>#VALUE!</v>
      </c>
      <c r="V614" s="96"/>
      <c r="W614" s="7"/>
    </row>
    <row r="615" spans="1:24" x14ac:dyDescent="0.15">
      <c r="A615" t="s">
        <v>490</v>
      </c>
      <c r="C615" t="s">
        <v>464</v>
      </c>
      <c r="D615" t="s">
        <v>556</v>
      </c>
      <c r="E615" s="3">
        <v>1</v>
      </c>
      <c r="H615" s="5">
        <f>19*Pcfu4[[#This Row],[grams]]</f>
        <v>0</v>
      </c>
      <c r="I615" s="3" t="s">
        <v>28</v>
      </c>
      <c r="J615" s="59">
        <v>44970</v>
      </c>
      <c r="L615" s="59" t="e" cm="1">
        <f t="array" ref="L615">INDEX($J$4:J1705, MATCH(1,(A615=$A$4:A1703)*(C615=$C$4:C1703)*("Y"=$K$4:K1705),0))</f>
        <v>#N/A</v>
      </c>
      <c r="M615" s="1">
        <v>100</v>
      </c>
      <c r="N615">
        <v>206</v>
      </c>
      <c r="P615"/>
      <c r="Q615" s="6">
        <f>(SUM(Pcfu4[[#This Row],[R1]:[R3]]))/(Pcfu4[[#This Row],[No. Reps]]*0.025)*Pcfu4[[#This Row],[Best DF]]</f>
        <v>824000</v>
      </c>
      <c r="R615" s="1" t="e">
        <f>_xlfn.STDEV.S(Pcfu4[[#This Row],[R1]:[R3]])/0.025*Pcfu4[[#This Row],[Best DF]]</f>
        <v>#DIV/0!</v>
      </c>
      <c r="S615" s="6" t="e">
        <f>Pcfu4[[#This Row],[CFU/mL]]*Pcfu4[[#This Row],[mL]]/Pcfu4[[#This Row],[grams]]</f>
        <v>#DIV/0!</v>
      </c>
      <c r="T615" s="1" t="e">
        <f>Pcfu4[[#This Row],[SD CFU/mL]]*Pcfu4[[#This Row],[mL]]/Pcfu4[[#This Row],[grams]]</f>
        <v>#DIV/0!</v>
      </c>
      <c r="U615" s="7" t="e">
        <f>_xlfn.STDEV.S(Pcfu43[[#This Row],[R1]:[R3]])/AVERAGE(Pcfu43[[#This Row],[R1]:[R3]])</f>
        <v>#VALUE!</v>
      </c>
      <c r="V615" s="96"/>
      <c r="W615" s="7"/>
    </row>
    <row r="616" spans="1:24" x14ac:dyDescent="0.15">
      <c r="A616" t="s">
        <v>543</v>
      </c>
      <c r="D616" t="s">
        <v>86</v>
      </c>
      <c r="E616" s="3">
        <v>2</v>
      </c>
      <c r="G616">
        <v>0.3</v>
      </c>
      <c r="H616" s="5">
        <f>19*Pcfu4[[#This Row],[grams]]</f>
        <v>5.7</v>
      </c>
      <c r="I616" s="3" t="s">
        <v>170</v>
      </c>
      <c r="J616" s="59">
        <v>44970</v>
      </c>
      <c r="L616" s="59" t="e" cm="1">
        <f t="array" ref="L616">INDEX($J$4:J1706, MATCH(1,(A616=$A$4:A1704)*(C616=$C$4:C1704)*("Y"=$K$4:K1706),0))</f>
        <v>#N/A</v>
      </c>
      <c r="M616" s="1">
        <v>1000000</v>
      </c>
      <c r="N616">
        <v>70</v>
      </c>
      <c r="O616">
        <v>66</v>
      </c>
      <c r="P616"/>
      <c r="Q616" s="6">
        <f>(SUM(Pcfu4[[#This Row],[R1]:[R3]]))/(Pcfu4[[#This Row],[No. Reps]]*0.025)*Pcfu4[[#This Row],[Best DF]]</f>
        <v>2720000000</v>
      </c>
      <c r="R616" s="1">
        <f>_xlfn.STDEV.S(Pcfu4[[#This Row],[R1]:[R3]])/0.025*Pcfu4[[#This Row],[Best DF]]</f>
        <v>113137084.98984762</v>
      </c>
      <c r="S616" s="6">
        <f>Pcfu4[[#This Row],[CFU/mL]]*Pcfu4[[#This Row],[mL]]/Pcfu4[[#This Row],[grams]]</f>
        <v>51680000000</v>
      </c>
      <c r="T616" s="1">
        <f>Pcfu4[[#This Row],[SD CFU/mL]]*Pcfu4[[#This Row],[mL]]/Pcfu4[[#This Row],[grams]]</f>
        <v>2149604614.8071046</v>
      </c>
      <c r="U616" s="7" t="e">
        <f>_xlfn.STDEV.S(Pcfu43[[#This Row],[R1]:[R3]])/AVERAGE(Pcfu43[[#This Row],[R1]:[R3]])</f>
        <v>#VALUE!</v>
      </c>
      <c r="V616" s="96"/>
      <c r="W616" s="7"/>
    </row>
    <row r="617" spans="1:24" x14ac:dyDescent="0.15">
      <c r="A617" t="s">
        <v>545</v>
      </c>
      <c r="D617" t="s">
        <v>86</v>
      </c>
      <c r="E617" s="3">
        <v>2</v>
      </c>
      <c r="G617">
        <v>0.3</v>
      </c>
      <c r="H617" s="5">
        <f>19*Pcfu4[[#This Row],[grams]]</f>
        <v>5.7</v>
      </c>
      <c r="I617" s="3" t="s">
        <v>170</v>
      </c>
      <c r="J617" s="59">
        <v>44970</v>
      </c>
      <c r="L617" s="59" t="e" cm="1">
        <f t="array" ref="L617">INDEX($J$4:J1707, MATCH(1,(A617=$A$4:A1705)*(C617=$C$4:C1705)*("Y"=$K$4:K1707),0))</f>
        <v>#N/A</v>
      </c>
      <c r="M617" s="1">
        <v>1000000</v>
      </c>
      <c r="N617">
        <v>112</v>
      </c>
      <c r="O617">
        <v>120</v>
      </c>
      <c r="P617"/>
      <c r="Q617" s="6">
        <f>(SUM(Pcfu4[[#This Row],[R1]:[R3]]))/(Pcfu4[[#This Row],[No. Reps]]*0.025)*Pcfu4[[#This Row],[Best DF]]</f>
        <v>4640000000</v>
      </c>
      <c r="R617" s="1">
        <f>_xlfn.STDEV.S(Pcfu4[[#This Row],[R1]:[R3]])/0.025*Pcfu4[[#This Row],[Best DF]]</f>
        <v>226274169.97969523</v>
      </c>
      <c r="S617" s="6">
        <f>Pcfu4[[#This Row],[CFU/mL]]*Pcfu4[[#This Row],[mL]]/Pcfu4[[#This Row],[grams]]</f>
        <v>88160000000</v>
      </c>
      <c r="T617" s="1">
        <f>Pcfu4[[#This Row],[SD CFU/mL]]*Pcfu4[[#This Row],[mL]]/Pcfu4[[#This Row],[grams]]</f>
        <v>4299209229.6142092</v>
      </c>
      <c r="U617" s="7" t="e">
        <f>_xlfn.STDEV.S(Pcfu43[[#This Row],[R1]:[R3]])/AVERAGE(Pcfu43[[#This Row],[R1]:[R3]])</f>
        <v>#VALUE!</v>
      </c>
      <c r="V617" s="96"/>
      <c r="W617" s="7"/>
    </row>
    <row r="618" spans="1:24" x14ac:dyDescent="0.15">
      <c r="A618" t="s">
        <v>47</v>
      </c>
      <c r="D618" t="s">
        <v>86</v>
      </c>
      <c r="E618" s="3">
        <v>2</v>
      </c>
      <c r="G618">
        <v>0.3</v>
      </c>
      <c r="H618" s="5">
        <f>19*Pcfu4[[#This Row],[grams]]</f>
        <v>5.7</v>
      </c>
      <c r="I618" s="3" t="s">
        <v>170</v>
      </c>
      <c r="J618" s="59">
        <v>44970</v>
      </c>
      <c r="L618" s="59" t="e" cm="1">
        <f t="array" ref="L618">INDEX($J$4:J1708, MATCH(1,(A618=$A$4:A1706)*(C618=$C$4:C1706)*("Y"=$K$4:K1708),0))</f>
        <v>#N/A</v>
      </c>
      <c r="M618" s="1">
        <v>10000000</v>
      </c>
      <c r="N618">
        <v>36</v>
      </c>
      <c r="O618">
        <v>32</v>
      </c>
      <c r="P618"/>
      <c r="Q618" s="6">
        <f>(SUM(Pcfu4[[#This Row],[R1]:[R3]]))/(Pcfu4[[#This Row],[No. Reps]]*0.025)*Pcfu4[[#This Row],[Best DF]]</f>
        <v>13600000000</v>
      </c>
      <c r="R618" s="1">
        <f>_xlfn.STDEV.S(Pcfu4[[#This Row],[R1]:[R3]])/0.025*Pcfu4[[#This Row],[Best DF]]</f>
        <v>1131370849.8984761</v>
      </c>
      <c r="S618" s="6">
        <f>Pcfu4[[#This Row],[CFU/mL]]*Pcfu4[[#This Row],[mL]]/Pcfu4[[#This Row],[grams]]</f>
        <v>258400000000</v>
      </c>
      <c r="T618" s="1">
        <f>Pcfu4[[#This Row],[SD CFU/mL]]*Pcfu4[[#This Row],[mL]]/Pcfu4[[#This Row],[grams]]</f>
        <v>21496046148.071049</v>
      </c>
      <c r="U618" s="7" t="e">
        <f>_xlfn.STDEV.S(Pcfu43[[#This Row],[R1]:[R3]])/AVERAGE(Pcfu43[[#This Row],[R1]:[R3]])</f>
        <v>#VALUE!</v>
      </c>
      <c r="V618" s="96"/>
      <c r="W618" s="7"/>
    </row>
    <row r="619" spans="1:24" x14ac:dyDescent="0.15">
      <c r="A619" t="s">
        <v>50</v>
      </c>
      <c r="D619" t="s">
        <v>86</v>
      </c>
      <c r="E619" s="3">
        <v>2</v>
      </c>
      <c r="G619">
        <v>0.3</v>
      </c>
      <c r="H619" s="5">
        <f>19*Pcfu4[[#This Row],[grams]]</f>
        <v>5.7</v>
      </c>
      <c r="I619" s="3" t="s">
        <v>170</v>
      </c>
      <c r="J619" s="59">
        <v>44970</v>
      </c>
      <c r="L619" s="59" t="e" cm="1">
        <f t="array" ref="L619">INDEX($J$4:J1709, MATCH(1,(A619=$A$4:A1707)*(C619=$C$4:C1707)*("Y"=$K$4:K1709),0))</f>
        <v>#N/A</v>
      </c>
      <c r="M619" s="1">
        <v>10000000</v>
      </c>
      <c r="N619">
        <v>74</v>
      </c>
      <c r="O619">
        <v>64</v>
      </c>
      <c r="P619"/>
      <c r="Q619" s="6">
        <f>(SUM(Pcfu4[[#This Row],[R1]:[R3]]))/(Pcfu4[[#This Row],[No. Reps]]*0.025)*Pcfu4[[#This Row],[Best DF]]</f>
        <v>27600000000</v>
      </c>
      <c r="R619" s="1">
        <f>_xlfn.STDEV.S(Pcfu4[[#This Row],[R1]:[R3]])/0.025*Pcfu4[[#This Row],[Best DF]]</f>
        <v>2828427124.7461901</v>
      </c>
      <c r="S619" s="6">
        <f>Pcfu4[[#This Row],[CFU/mL]]*Pcfu4[[#This Row],[mL]]/Pcfu4[[#This Row],[grams]]</f>
        <v>524400000000</v>
      </c>
      <c r="T619" s="1">
        <f>Pcfu4[[#This Row],[SD CFU/mL]]*Pcfu4[[#This Row],[mL]]/Pcfu4[[#This Row],[grams]]</f>
        <v>53740115370.177612</v>
      </c>
      <c r="U619" s="7" t="e">
        <f>_xlfn.STDEV.S(Pcfu43[[#This Row],[R1]:[R3]])/AVERAGE(Pcfu43[[#This Row],[R1]:[R3]])</f>
        <v>#VALUE!</v>
      </c>
      <c r="V619" s="96"/>
      <c r="W619" s="7"/>
    </row>
    <row r="620" spans="1:24" x14ac:dyDescent="0.15">
      <c r="A620" t="s">
        <v>53</v>
      </c>
      <c r="D620" t="s">
        <v>86</v>
      </c>
      <c r="E620" s="3">
        <v>2</v>
      </c>
      <c r="G620">
        <v>0.3</v>
      </c>
      <c r="H620" s="5">
        <f>19*Pcfu4[[#This Row],[grams]]</f>
        <v>5.7</v>
      </c>
      <c r="I620" s="3" t="s">
        <v>170</v>
      </c>
      <c r="J620" s="59">
        <v>44970</v>
      </c>
      <c r="L620" s="59" t="e" cm="1">
        <f t="array" ref="L620">INDEX($J$4:J1710, MATCH(1,(A620=$A$4:A1708)*(C620=$C$4:C1708)*("Y"=$K$4:K1710),0))</f>
        <v>#N/A</v>
      </c>
      <c r="M620" s="1">
        <v>10000000</v>
      </c>
      <c r="N620">
        <v>65</v>
      </c>
      <c r="O620">
        <v>56</v>
      </c>
      <c r="P620"/>
      <c r="Q620" s="6">
        <f>(SUM(Pcfu4[[#This Row],[R1]:[R3]]))/(Pcfu4[[#This Row],[No. Reps]]*0.025)*Pcfu4[[#This Row],[Best DF]]</f>
        <v>24200000000</v>
      </c>
      <c r="R620" s="1">
        <f>_xlfn.STDEV.S(Pcfu4[[#This Row],[R1]:[R3]])/0.025*Pcfu4[[#This Row],[Best DF]]</f>
        <v>2545584412.2715707</v>
      </c>
      <c r="S620" s="6">
        <f>Pcfu4[[#This Row],[CFU/mL]]*Pcfu4[[#This Row],[mL]]/Pcfu4[[#This Row],[grams]]</f>
        <v>459800000000</v>
      </c>
      <c r="T620" s="1">
        <f>Pcfu4[[#This Row],[SD CFU/mL]]*Pcfu4[[#This Row],[mL]]/Pcfu4[[#This Row],[grams]]</f>
        <v>48366103833.159851</v>
      </c>
      <c r="U620" s="7" t="e">
        <f>_xlfn.STDEV.S(Pcfu43[[#This Row],[R1]:[R3]])/AVERAGE(Pcfu43[[#This Row],[R1]:[R3]])</f>
        <v>#VALUE!</v>
      </c>
      <c r="V620" s="96"/>
      <c r="W620" s="7"/>
    </row>
    <row r="621" spans="1:24" x14ac:dyDescent="0.15">
      <c r="A621" t="s">
        <v>55</v>
      </c>
      <c r="D621" t="s">
        <v>86</v>
      </c>
      <c r="E621" s="3">
        <v>2</v>
      </c>
      <c r="G621">
        <v>0.3</v>
      </c>
      <c r="H621" s="5">
        <f>19*Pcfu4[[#This Row],[grams]]</f>
        <v>5.7</v>
      </c>
      <c r="I621" s="3" t="s">
        <v>170</v>
      </c>
      <c r="J621" s="59">
        <v>44970</v>
      </c>
      <c r="L621" s="59" t="e" cm="1">
        <f t="array" ref="L621">INDEX($J$4:J1711, MATCH(1,(A621=$A$4:A1709)*(C621=$C$4:C1709)*("Y"=$K$4:K1711),0))</f>
        <v>#N/A</v>
      </c>
      <c r="M621" s="1">
        <v>10000000</v>
      </c>
      <c r="N621">
        <v>73</v>
      </c>
      <c r="O621">
        <v>80</v>
      </c>
      <c r="P621"/>
      <c r="Q621" s="6">
        <f>(SUM(Pcfu4[[#This Row],[R1]:[R3]]))/(Pcfu4[[#This Row],[No. Reps]]*0.025)*Pcfu4[[#This Row],[Best DF]]</f>
        <v>30600000000</v>
      </c>
      <c r="R621" s="1">
        <f>_xlfn.STDEV.S(Pcfu4[[#This Row],[R1]:[R3]])/0.025*Pcfu4[[#This Row],[Best DF]]</f>
        <v>1979898987.3223329</v>
      </c>
      <c r="S621" s="6">
        <f>Pcfu4[[#This Row],[CFU/mL]]*Pcfu4[[#This Row],[mL]]/Pcfu4[[#This Row],[grams]]</f>
        <v>581400000000</v>
      </c>
      <c r="T621" s="1">
        <f>Pcfu4[[#This Row],[SD CFU/mL]]*Pcfu4[[#This Row],[mL]]/Pcfu4[[#This Row],[grams]]</f>
        <v>37618080759.124329</v>
      </c>
      <c r="U621" s="7" t="e">
        <f>_xlfn.STDEV.S(Pcfu43[[#This Row],[R1]:[R3]])/AVERAGE(Pcfu43[[#This Row],[R1]:[R3]])</f>
        <v>#VALUE!</v>
      </c>
      <c r="V621" s="96"/>
      <c r="W621" s="7"/>
    </row>
    <row r="622" spans="1:24" x14ac:dyDescent="0.15">
      <c r="A622" t="s">
        <v>445</v>
      </c>
      <c r="B622" t="s">
        <v>482</v>
      </c>
      <c r="D622" t="s">
        <v>37</v>
      </c>
      <c r="E622" s="3">
        <v>2</v>
      </c>
      <c r="G622">
        <v>0.3</v>
      </c>
      <c r="H622" s="5">
        <f>19*Pcfu4[[#This Row],[grams]]</f>
        <v>5.7</v>
      </c>
      <c r="I622" s="3" t="s">
        <v>170</v>
      </c>
      <c r="J622" s="59">
        <v>44971</v>
      </c>
      <c r="L622" s="59" t="e" cm="1">
        <f t="array" ref="L622">INDEX($J$4:J1712, MATCH(1,(A622=$A$4:A1710)*(C622=$C$4:C1710)*("Y"=$K$4:K1712),0))</f>
        <v>#N/A</v>
      </c>
      <c r="M622" s="1">
        <v>100000</v>
      </c>
      <c r="N622">
        <v>78</v>
      </c>
      <c r="O622">
        <v>85</v>
      </c>
      <c r="P622"/>
      <c r="Q622" s="6">
        <f>(SUM(Pcfu4[[#This Row],[R1]:[R3]]))/(Pcfu4[[#This Row],[No. Reps]]*0.025)*Pcfu4[[#This Row],[Best DF]]</f>
        <v>326000000</v>
      </c>
      <c r="R622" s="1">
        <f>_xlfn.STDEV.S(Pcfu4[[#This Row],[R1]:[R3]])/0.025*Pcfu4[[#This Row],[Best DF]]</f>
        <v>19798989.873223327</v>
      </c>
      <c r="S622" s="6">
        <f>Pcfu4[[#This Row],[CFU/mL]]*Pcfu4[[#This Row],[mL]]/Pcfu4[[#This Row],[grams]]</f>
        <v>6194000000</v>
      </c>
      <c r="T622" s="1">
        <f>Pcfu4[[#This Row],[SD CFU/mL]]*Pcfu4[[#This Row],[mL]]/Pcfu4[[#This Row],[grams]]</f>
        <v>376180807.59124327</v>
      </c>
      <c r="U622" s="7" t="e">
        <f>_xlfn.STDEV.S(Pcfu43[[#This Row],[R1]:[R3]])/AVERAGE(Pcfu43[[#This Row],[R1]:[R3]])</f>
        <v>#VALUE!</v>
      </c>
      <c r="V622" s="96">
        <v>0.21299999999999999</v>
      </c>
      <c r="W622" s="7"/>
      <c r="X622" t="s">
        <v>507</v>
      </c>
    </row>
    <row r="623" spans="1:24" x14ac:dyDescent="0.15">
      <c r="A623" t="s">
        <v>447</v>
      </c>
      <c r="B623" t="s">
        <v>482</v>
      </c>
      <c r="D623" t="s">
        <v>37</v>
      </c>
      <c r="E623" s="3">
        <v>2</v>
      </c>
      <c r="G623">
        <v>0.3</v>
      </c>
      <c r="H623" s="5">
        <f>19*Pcfu4[[#This Row],[grams]]</f>
        <v>5.7</v>
      </c>
      <c r="I623" s="3" t="s">
        <v>170</v>
      </c>
      <c r="J623" s="59">
        <v>44971</v>
      </c>
      <c r="L623" s="59" t="e" cm="1">
        <f t="array" ref="L623">INDEX($J$4:J1713, MATCH(1,(A623=$A$4:A1711)*(C623=$C$4:C1711)*("Y"=$K$4:K1713),0))</f>
        <v>#N/A</v>
      </c>
      <c r="M623" s="1">
        <v>100000</v>
      </c>
      <c r="N623">
        <v>245</v>
      </c>
      <c r="O623">
        <v>253</v>
      </c>
      <c r="P623"/>
      <c r="Q623" s="6">
        <f>(SUM(Pcfu4[[#This Row],[R1]:[R3]]))/(Pcfu4[[#This Row],[No. Reps]]*0.025)*Pcfu4[[#This Row],[Best DF]]</f>
        <v>996000000</v>
      </c>
      <c r="R623" s="1">
        <f>_xlfn.STDEV.S(Pcfu4[[#This Row],[R1]:[R3]])/0.025*Pcfu4[[#This Row],[Best DF]]</f>
        <v>22627416.997969523</v>
      </c>
      <c r="S623" s="6">
        <f>Pcfu4[[#This Row],[CFU/mL]]*Pcfu4[[#This Row],[mL]]/Pcfu4[[#This Row],[grams]]</f>
        <v>18924000000</v>
      </c>
      <c r="T623" s="1">
        <f>Pcfu4[[#This Row],[SD CFU/mL]]*Pcfu4[[#This Row],[mL]]/Pcfu4[[#This Row],[grams]]</f>
        <v>429920922.96142095</v>
      </c>
      <c r="U623" s="7" t="e">
        <f>_xlfn.STDEV.S(Pcfu43[[#This Row],[R1]:[R3]])/AVERAGE(Pcfu43[[#This Row],[R1]:[R3]])</f>
        <v>#VALUE!</v>
      </c>
      <c r="V623" s="96">
        <v>0.26400000000000001</v>
      </c>
      <c r="W623" s="7"/>
      <c r="X623" t="s">
        <v>557</v>
      </c>
    </row>
    <row r="624" spans="1:24" x14ac:dyDescent="0.15">
      <c r="A624" t="s">
        <v>448</v>
      </c>
      <c r="B624" t="s">
        <v>482</v>
      </c>
      <c r="D624" t="s">
        <v>37</v>
      </c>
      <c r="E624" s="3">
        <v>2</v>
      </c>
      <c r="G624">
        <v>0.3</v>
      </c>
      <c r="H624" s="5">
        <f>19*Pcfu4[[#This Row],[grams]]</f>
        <v>5.7</v>
      </c>
      <c r="I624" s="3" t="s">
        <v>170</v>
      </c>
      <c r="J624" s="59">
        <v>44971</v>
      </c>
      <c r="L624" s="59" t="e" cm="1">
        <f t="array" ref="L624">INDEX($J$4:J1714, MATCH(1,(A624=$A$4:A1712)*(C624=$C$4:C1712)*("Y"=$K$4:K1714),0))</f>
        <v>#N/A</v>
      </c>
      <c r="M624" s="1">
        <v>100000</v>
      </c>
      <c r="N624">
        <v>75</v>
      </c>
      <c r="O624">
        <v>67</v>
      </c>
      <c r="P624"/>
      <c r="Q624" s="6">
        <f>(SUM(Pcfu4[[#This Row],[R1]:[R3]]))/(Pcfu4[[#This Row],[No. Reps]]*0.025)*Pcfu4[[#This Row],[Best DF]]</f>
        <v>284000000</v>
      </c>
      <c r="R624" s="1">
        <f>_xlfn.STDEV.S(Pcfu4[[#This Row],[R1]:[R3]])/0.025*Pcfu4[[#This Row],[Best DF]]</f>
        <v>22627416.997969523</v>
      </c>
      <c r="S624" s="6">
        <f>Pcfu4[[#This Row],[CFU/mL]]*Pcfu4[[#This Row],[mL]]/Pcfu4[[#This Row],[grams]]</f>
        <v>5396000000</v>
      </c>
      <c r="T624" s="1">
        <f>Pcfu4[[#This Row],[SD CFU/mL]]*Pcfu4[[#This Row],[mL]]/Pcfu4[[#This Row],[grams]]</f>
        <v>429920922.96142095</v>
      </c>
      <c r="U624" s="7" t="e">
        <f>_xlfn.STDEV.S(Pcfu43[[#This Row],[R1]:[R3]])/AVERAGE(Pcfu43[[#This Row],[R1]:[R3]])</f>
        <v>#VALUE!</v>
      </c>
      <c r="V624" s="96">
        <v>0.22700000000000001</v>
      </c>
      <c r="W624" s="7"/>
      <c r="X624" t="s">
        <v>558</v>
      </c>
    </row>
    <row r="625" spans="1:24" x14ac:dyDescent="0.15">
      <c r="A625" t="s">
        <v>445</v>
      </c>
      <c r="B625" t="s">
        <v>528</v>
      </c>
      <c r="D625" t="s">
        <v>37</v>
      </c>
      <c r="E625" s="3">
        <v>2</v>
      </c>
      <c r="G625">
        <v>0.3</v>
      </c>
      <c r="H625" s="5">
        <f>19*Pcfu4[[#This Row],[grams]]</f>
        <v>5.7</v>
      </c>
      <c r="I625" s="3" t="s">
        <v>170</v>
      </c>
      <c r="J625" s="59">
        <v>44971</v>
      </c>
      <c r="L625" s="59" t="e" cm="1">
        <f t="array" ref="L625">INDEX($J$4:J1715, MATCH(1,(A625=$A$4:A1713)*(C625=$C$4:C1713)*("Y"=$K$4:K1715),0))</f>
        <v>#N/A</v>
      </c>
      <c r="M625" s="1">
        <v>100000</v>
      </c>
      <c r="N625">
        <v>158</v>
      </c>
      <c r="O625">
        <v>134</v>
      </c>
      <c r="P625"/>
      <c r="Q625" s="6">
        <f>(SUM(Pcfu4[[#This Row],[R1]:[R3]]))/(Pcfu4[[#This Row],[No. Reps]]*0.025)*Pcfu4[[#This Row],[Best DF]]</f>
        <v>584000000</v>
      </c>
      <c r="R625" s="1">
        <f>_xlfn.STDEV.S(Pcfu4[[#This Row],[R1]:[R3]])/0.025*Pcfu4[[#This Row],[Best DF]]</f>
        <v>67882250.993908554</v>
      </c>
      <c r="S625" s="6">
        <f>Pcfu4[[#This Row],[CFU/mL]]*Pcfu4[[#This Row],[mL]]/Pcfu4[[#This Row],[grams]]</f>
        <v>11096000000</v>
      </c>
      <c r="T625" s="1">
        <f>Pcfu4[[#This Row],[SD CFU/mL]]*Pcfu4[[#This Row],[mL]]/Pcfu4[[#This Row],[grams]]</f>
        <v>1289762768.8842628</v>
      </c>
      <c r="U625" s="7" t="e">
        <f>_xlfn.STDEV.S(Pcfu43[[#This Row],[R1]:[R3]])/AVERAGE(Pcfu43[[#This Row],[R1]:[R3]])</f>
        <v>#VALUE!</v>
      </c>
      <c r="V625" s="96">
        <v>0.19</v>
      </c>
      <c r="W625" s="7"/>
      <c r="X625" t="s">
        <v>559</v>
      </c>
    </row>
    <row r="626" spans="1:24" x14ac:dyDescent="0.15">
      <c r="A626" t="s">
        <v>447</v>
      </c>
      <c r="B626" t="s">
        <v>528</v>
      </c>
      <c r="D626" t="s">
        <v>37</v>
      </c>
      <c r="E626" s="3">
        <v>2</v>
      </c>
      <c r="G626">
        <v>0.3</v>
      </c>
      <c r="H626" s="5">
        <f>19*Pcfu4[[#This Row],[grams]]</f>
        <v>5.7</v>
      </c>
      <c r="I626" s="3" t="s">
        <v>170</v>
      </c>
      <c r="J626" s="59">
        <v>44971</v>
      </c>
      <c r="L626" s="59" t="e" cm="1">
        <f t="array" ref="L626">INDEX($J$4:J1716, MATCH(1,(A626=$A$4:A1714)*(C626=$C$4:C1714)*("Y"=$K$4:K1716),0))</f>
        <v>#N/A</v>
      </c>
      <c r="M626" s="1">
        <v>1000000</v>
      </c>
      <c r="N626">
        <v>55</v>
      </c>
      <c r="O626">
        <v>42</v>
      </c>
      <c r="P626"/>
      <c r="Q626" s="6">
        <f>(SUM(Pcfu4[[#This Row],[R1]:[R3]]))/(Pcfu4[[#This Row],[No. Reps]]*0.025)*Pcfu4[[#This Row],[Best DF]]</f>
        <v>1940000000</v>
      </c>
      <c r="R626" s="1">
        <f>_xlfn.STDEV.S(Pcfu4[[#This Row],[R1]:[R3]])/0.025*Pcfu4[[#This Row],[Best DF]]</f>
        <v>367695526.21700466</v>
      </c>
      <c r="S626" s="6">
        <f>Pcfu4[[#This Row],[CFU/mL]]*Pcfu4[[#This Row],[mL]]/Pcfu4[[#This Row],[grams]]</f>
        <v>36860000000</v>
      </c>
      <c r="T626" s="1">
        <f>Pcfu4[[#This Row],[SD CFU/mL]]*Pcfu4[[#This Row],[mL]]/Pcfu4[[#This Row],[grams]]</f>
        <v>6986214998.1230888</v>
      </c>
      <c r="U626" s="7" t="e">
        <f>_xlfn.STDEV.S(Pcfu43[[#This Row],[R1]:[R3]])/AVERAGE(Pcfu43[[#This Row],[R1]:[R3]])</f>
        <v>#VALUE!</v>
      </c>
      <c r="V626" s="96">
        <v>0.25700000000000001</v>
      </c>
      <c r="W626" s="7"/>
      <c r="X626" t="s">
        <v>385</v>
      </c>
    </row>
    <row r="627" spans="1:24" x14ac:dyDescent="0.15">
      <c r="A627" t="s">
        <v>448</v>
      </c>
      <c r="B627" t="s">
        <v>528</v>
      </c>
      <c r="D627" t="s">
        <v>37</v>
      </c>
      <c r="E627" s="3">
        <v>2</v>
      </c>
      <c r="G627">
        <v>0.3</v>
      </c>
      <c r="H627" s="5">
        <f>19*Pcfu4[[#This Row],[grams]]</f>
        <v>5.7</v>
      </c>
      <c r="I627" s="3" t="s">
        <v>170</v>
      </c>
      <c r="J627" s="59">
        <v>44971</v>
      </c>
      <c r="L627" s="59" t="e" cm="1">
        <f t="array" ref="L627">INDEX($J$4:J1717, MATCH(1,(A627=$A$4:A1715)*(C627=$C$4:C1715)*("Y"=$K$4:K1717),0))</f>
        <v>#N/A</v>
      </c>
      <c r="M627" s="1">
        <v>100000</v>
      </c>
      <c r="N627">
        <v>159</v>
      </c>
      <c r="O627">
        <v>152</v>
      </c>
      <c r="P627"/>
      <c r="Q627" s="6">
        <f>(SUM(Pcfu4[[#This Row],[R1]:[R3]]))/(Pcfu4[[#This Row],[No. Reps]]*0.025)*Pcfu4[[#This Row],[Best DF]]</f>
        <v>622000000</v>
      </c>
      <c r="R627" s="1">
        <f>_xlfn.STDEV.S(Pcfu4[[#This Row],[R1]:[R3]])/0.025*Pcfu4[[#This Row],[Best DF]]</f>
        <v>19798989.873223327</v>
      </c>
      <c r="S627" s="6">
        <f>Pcfu4[[#This Row],[CFU/mL]]*Pcfu4[[#This Row],[mL]]/Pcfu4[[#This Row],[grams]]</f>
        <v>11818000000</v>
      </c>
      <c r="T627" s="1">
        <f>Pcfu4[[#This Row],[SD CFU/mL]]*Pcfu4[[#This Row],[mL]]/Pcfu4[[#This Row],[grams]]</f>
        <v>376180807.59124327</v>
      </c>
      <c r="U627" s="7" t="e">
        <f>_xlfn.STDEV.S(Pcfu43[[#This Row],[R1]:[R3]])/AVERAGE(Pcfu43[[#This Row],[R1]:[R3]])</f>
        <v>#VALUE!</v>
      </c>
      <c r="V627" s="96">
        <v>0.19400000000000001</v>
      </c>
      <c r="W627" s="7"/>
      <c r="X627" t="s">
        <v>560</v>
      </c>
    </row>
    <row r="628" spans="1:24" x14ac:dyDescent="0.15">
      <c r="A628" t="s">
        <v>445</v>
      </c>
      <c r="B628" t="s">
        <v>561</v>
      </c>
      <c r="D628" t="s">
        <v>37</v>
      </c>
      <c r="E628" s="3">
        <v>2</v>
      </c>
      <c r="G628">
        <v>0.3</v>
      </c>
      <c r="H628" s="5">
        <f>19*Pcfu4[[#This Row],[grams]]</f>
        <v>5.7</v>
      </c>
      <c r="I628" s="3" t="s">
        <v>170</v>
      </c>
      <c r="J628" s="59">
        <v>44971</v>
      </c>
      <c r="L628" s="59" t="e" cm="1">
        <f t="array" ref="L628">INDEX($J$4:J1718, MATCH(1,(A628=$A$4:A1716)*(C628=$C$4:C1716)*("Y"=$K$4:K1718),0))</f>
        <v>#N/A</v>
      </c>
      <c r="M628" s="1">
        <v>100000</v>
      </c>
      <c r="N628">
        <v>71</v>
      </c>
      <c r="O628">
        <v>80</v>
      </c>
      <c r="P628"/>
      <c r="Q628" s="6">
        <f>(SUM(Pcfu4[[#This Row],[R1]:[R3]]))/(Pcfu4[[#This Row],[No. Reps]]*0.025)*Pcfu4[[#This Row],[Best DF]]</f>
        <v>302000000</v>
      </c>
      <c r="R628" s="1">
        <f>_xlfn.STDEV.S(Pcfu4[[#This Row],[R1]:[R3]])/0.025*Pcfu4[[#This Row],[Best DF]]</f>
        <v>25455844.122715708</v>
      </c>
      <c r="S628" s="6">
        <f>Pcfu4[[#This Row],[CFU/mL]]*Pcfu4[[#This Row],[mL]]/Pcfu4[[#This Row],[grams]]</f>
        <v>5738000000</v>
      </c>
      <c r="T628" s="1">
        <f>Pcfu4[[#This Row],[SD CFU/mL]]*Pcfu4[[#This Row],[mL]]/Pcfu4[[#This Row],[grams]]</f>
        <v>483661038.33159846</v>
      </c>
      <c r="U628" s="7" t="e">
        <f>_xlfn.STDEV.S(Pcfu43[[#This Row],[R1]:[R3]])/AVERAGE(Pcfu43[[#This Row],[R1]:[R3]])</f>
        <v>#VALUE!</v>
      </c>
      <c r="V628" s="96">
        <v>0.184</v>
      </c>
      <c r="W628" s="7"/>
      <c r="X628" t="s">
        <v>503</v>
      </c>
    </row>
    <row r="629" spans="1:24" x14ac:dyDescent="0.15">
      <c r="A629" t="s">
        <v>447</v>
      </c>
      <c r="B629" t="s">
        <v>561</v>
      </c>
      <c r="D629" t="s">
        <v>37</v>
      </c>
      <c r="E629" s="3">
        <v>2</v>
      </c>
      <c r="G629">
        <v>0.3</v>
      </c>
      <c r="H629" s="5">
        <f>19*Pcfu4[[#This Row],[grams]]</f>
        <v>5.7</v>
      </c>
      <c r="I629" s="3" t="s">
        <v>170</v>
      </c>
      <c r="J629" s="59">
        <v>44971</v>
      </c>
      <c r="L629" s="59" t="e" cm="1">
        <f t="array" ref="L629">INDEX($J$4:J1719, MATCH(1,(A629=$A$4:A1717)*(C629=$C$4:C1717)*("Y"=$K$4:K1719),0))</f>
        <v>#N/A</v>
      </c>
      <c r="M629" s="1">
        <v>1000000</v>
      </c>
      <c r="N629">
        <v>61</v>
      </c>
      <c r="O629">
        <v>62</v>
      </c>
      <c r="P629"/>
      <c r="Q629" s="6">
        <f>(SUM(Pcfu4[[#This Row],[R1]:[R3]]))/(Pcfu4[[#This Row],[No. Reps]]*0.025)*Pcfu4[[#This Row],[Best DF]]</f>
        <v>2460000000</v>
      </c>
      <c r="R629" s="1">
        <f>_xlfn.STDEV.S(Pcfu4[[#This Row],[R1]:[R3]])/0.025*Pcfu4[[#This Row],[Best DF]]</f>
        <v>28284271.247461904</v>
      </c>
      <c r="S629" s="6">
        <f>Pcfu4[[#This Row],[CFU/mL]]*Pcfu4[[#This Row],[mL]]/Pcfu4[[#This Row],[grams]]</f>
        <v>46740000000</v>
      </c>
      <c r="T629" s="1">
        <f>Pcfu4[[#This Row],[SD CFU/mL]]*Pcfu4[[#This Row],[mL]]/Pcfu4[[#This Row],[grams]]</f>
        <v>537401153.70177615</v>
      </c>
      <c r="U629" s="7" t="e">
        <f>_xlfn.STDEV.S(Pcfu43[[#This Row],[R1]:[R3]])/AVERAGE(Pcfu43[[#This Row],[R1]:[R3]])</f>
        <v>#VALUE!</v>
      </c>
      <c r="V629" s="96">
        <v>0.25</v>
      </c>
      <c r="W629" s="7"/>
      <c r="X629" t="s">
        <v>562</v>
      </c>
    </row>
    <row r="630" spans="1:24" x14ac:dyDescent="0.15">
      <c r="A630" t="s">
        <v>448</v>
      </c>
      <c r="B630" t="s">
        <v>561</v>
      </c>
      <c r="D630" t="s">
        <v>37</v>
      </c>
      <c r="E630" s="3">
        <v>2</v>
      </c>
      <c r="G630">
        <v>0.3</v>
      </c>
      <c r="H630" s="5">
        <f>19*Pcfu4[[#This Row],[grams]]</f>
        <v>5.7</v>
      </c>
      <c r="I630" s="3" t="s">
        <v>170</v>
      </c>
      <c r="J630" s="59">
        <v>44971</v>
      </c>
      <c r="L630" s="59" t="e" cm="1">
        <f t="array" ref="L630">INDEX($J$4:J1720, MATCH(1,(A630=$A$4:A1718)*(C630=$C$4:C1718)*("Y"=$K$4:K1720),0))</f>
        <v>#N/A</v>
      </c>
      <c r="M630" s="1">
        <v>100000</v>
      </c>
      <c r="N630">
        <v>155</v>
      </c>
      <c r="O630">
        <v>161</v>
      </c>
      <c r="P630"/>
      <c r="Q630" s="6">
        <f>(SUM(Pcfu4[[#This Row],[R1]:[R3]]))/(Pcfu4[[#This Row],[No. Reps]]*0.025)*Pcfu4[[#This Row],[Best DF]]</f>
        <v>632000000</v>
      </c>
      <c r="R630" s="1">
        <f>_xlfn.STDEV.S(Pcfu4[[#This Row],[R1]:[R3]])/0.025*Pcfu4[[#This Row],[Best DF]]</f>
        <v>16970562.748477139</v>
      </c>
      <c r="S630" s="6">
        <f>Pcfu4[[#This Row],[CFU/mL]]*Pcfu4[[#This Row],[mL]]/Pcfu4[[#This Row],[grams]]</f>
        <v>12008000000</v>
      </c>
      <c r="T630" s="1">
        <f>Pcfu4[[#This Row],[SD CFU/mL]]*Pcfu4[[#This Row],[mL]]/Pcfu4[[#This Row],[grams]]</f>
        <v>322440692.2210657</v>
      </c>
      <c r="U630" s="7" t="e">
        <f>_xlfn.STDEV.S(Pcfu43[[#This Row],[R1]:[R3]])/AVERAGE(Pcfu43[[#This Row],[R1]:[R3]])</f>
        <v>#VALUE!</v>
      </c>
      <c r="V630" s="96">
        <v>0.14199999999999999</v>
      </c>
      <c r="W630" s="7"/>
      <c r="X630" t="s">
        <v>563</v>
      </c>
    </row>
    <row r="631" spans="1:24" x14ac:dyDescent="0.15">
      <c r="A631" t="s">
        <v>546</v>
      </c>
      <c r="B631" t="s">
        <v>564</v>
      </c>
      <c r="D631" t="s">
        <v>86</v>
      </c>
      <c r="E631" s="3">
        <v>2</v>
      </c>
      <c r="G631">
        <v>0.3</v>
      </c>
      <c r="H631" s="5">
        <f>19*Pcfu4[[#This Row],[grams]]</f>
        <v>5.7</v>
      </c>
      <c r="I631" s="3" t="s">
        <v>170</v>
      </c>
      <c r="J631" s="59">
        <v>44978</v>
      </c>
      <c r="L631" s="59" t="e" cm="1">
        <f t="array" ref="L631">INDEX($J$4:J1721, MATCH(1,(A631=$A$4:A1719)*(C631=$C$4:C1719)*("Y"=$K$4:K1721),0))</f>
        <v>#N/A</v>
      </c>
      <c r="M631" s="1">
        <v>1000000</v>
      </c>
      <c r="N631">
        <v>61</v>
      </c>
      <c r="O631">
        <v>58</v>
      </c>
      <c r="P631"/>
      <c r="Q631" s="6">
        <f>(SUM(Pcfu4[[#This Row],[R1]:[R3]]))/(Pcfu4[[#This Row],[No. Reps]]*0.025)*Pcfu4[[#This Row],[Best DF]]</f>
        <v>2380000000</v>
      </c>
      <c r="R631" s="1">
        <f>_xlfn.STDEV.S(Pcfu4[[#This Row],[R1]:[R3]])/0.025*Pcfu4[[#This Row],[Best DF]]</f>
        <v>84852813.742385685</v>
      </c>
      <c r="S631" s="6">
        <f>Pcfu4[[#This Row],[CFU/mL]]*Pcfu4[[#This Row],[mL]]/Pcfu4[[#This Row],[grams]]</f>
        <v>45220000000</v>
      </c>
      <c r="T631" s="1">
        <f>Pcfu4[[#This Row],[SD CFU/mL]]*Pcfu4[[#This Row],[mL]]/Pcfu4[[#This Row],[grams]]</f>
        <v>1612203461.1053281</v>
      </c>
      <c r="U631" s="7" t="e">
        <f>_xlfn.STDEV.S(Pcfu43[[#This Row],[R1]:[R3]])/AVERAGE(Pcfu43[[#This Row],[R1]:[R3]])</f>
        <v>#VALUE!</v>
      </c>
      <c r="V631" s="96"/>
      <c r="W631" s="7"/>
      <c r="X631" t="s">
        <v>544</v>
      </c>
    </row>
    <row r="632" spans="1:24" x14ac:dyDescent="0.15">
      <c r="A632" t="s">
        <v>565</v>
      </c>
      <c r="B632" t="s">
        <v>564</v>
      </c>
      <c r="D632" t="s">
        <v>86</v>
      </c>
      <c r="E632" s="3">
        <v>2</v>
      </c>
      <c r="G632">
        <v>0.3</v>
      </c>
      <c r="H632" s="5">
        <f>19*Pcfu4[[#This Row],[grams]]</f>
        <v>5.7</v>
      </c>
      <c r="I632" s="3" t="s">
        <v>170</v>
      </c>
      <c r="J632" s="59">
        <v>44978</v>
      </c>
      <c r="L632" s="59" t="e" cm="1">
        <f t="array" ref="L632">INDEX($J$4:J1722, MATCH(1,(A632=$A$4:A1720)*(C632=$C$4:C1720)*("Y"=$K$4:K1722),0))</f>
        <v>#N/A</v>
      </c>
      <c r="M632" s="1">
        <v>1000000</v>
      </c>
      <c r="N632">
        <v>113</v>
      </c>
      <c r="O632">
        <v>95</v>
      </c>
      <c r="P632"/>
      <c r="Q632" s="6">
        <f>(SUM(Pcfu4[[#This Row],[R1]:[R3]]))/(Pcfu4[[#This Row],[No. Reps]]*0.025)*Pcfu4[[#This Row],[Best DF]]</f>
        <v>4160000000</v>
      </c>
      <c r="R632" s="1">
        <f>_xlfn.STDEV.S(Pcfu4[[#This Row],[R1]:[R3]])/0.025*Pcfu4[[#This Row],[Best DF]]</f>
        <v>509116882.45431417</v>
      </c>
      <c r="S632" s="6">
        <f>Pcfu4[[#This Row],[CFU/mL]]*Pcfu4[[#This Row],[mL]]/Pcfu4[[#This Row],[grams]]</f>
        <v>79040000000</v>
      </c>
      <c r="T632" s="1">
        <f>Pcfu4[[#This Row],[SD CFU/mL]]*Pcfu4[[#This Row],[mL]]/Pcfu4[[#This Row],[grams]]</f>
        <v>9673220766.6319695</v>
      </c>
      <c r="U632" s="7" t="e">
        <f>_xlfn.STDEV.S(Pcfu43[[#This Row],[R1]:[R3]])/AVERAGE(Pcfu43[[#This Row],[R1]:[R3]])</f>
        <v>#VALUE!</v>
      </c>
      <c r="V632" s="96"/>
      <c r="W632" s="7"/>
      <c r="X632" t="s">
        <v>544</v>
      </c>
    </row>
    <row r="633" spans="1:24" x14ac:dyDescent="0.15">
      <c r="A633" t="s">
        <v>566</v>
      </c>
      <c r="B633" t="s">
        <v>564</v>
      </c>
      <c r="D633" t="s">
        <v>86</v>
      </c>
      <c r="E633" s="3">
        <v>2</v>
      </c>
      <c r="G633">
        <v>0.3</v>
      </c>
      <c r="H633" s="5">
        <f>19*Pcfu4[[#This Row],[grams]]</f>
        <v>5.7</v>
      </c>
      <c r="I633" s="3" t="s">
        <v>170</v>
      </c>
      <c r="J633" s="59">
        <v>44978</v>
      </c>
      <c r="L633" s="59" t="e" cm="1">
        <f t="array" ref="L633">INDEX($J$4:J1723, MATCH(1,(A633=$A$4:A1721)*(C633=$C$4:C1721)*("Y"=$K$4:K1723),0))</f>
        <v>#N/A</v>
      </c>
      <c r="M633" s="1">
        <v>1000000</v>
      </c>
      <c r="N633">
        <v>132</v>
      </c>
      <c r="O633">
        <v>147</v>
      </c>
      <c r="P633"/>
      <c r="Q633" s="6">
        <f>(SUM(Pcfu4[[#This Row],[R1]:[R3]]))/(Pcfu4[[#This Row],[No. Reps]]*0.025)*Pcfu4[[#This Row],[Best DF]]</f>
        <v>5580000000</v>
      </c>
      <c r="R633" s="1">
        <f>_xlfn.STDEV.S(Pcfu4[[#This Row],[R1]:[R3]])/0.025*Pcfu4[[#This Row],[Best DF]]</f>
        <v>424264068.71192855</v>
      </c>
      <c r="S633" s="6">
        <f>Pcfu4[[#This Row],[CFU/mL]]*Pcfu4[[#This Row],[mL]]/Pcfu4[[#This Row],[grams]]</f>
        <v>106020000000</v>
      </c>
      <c r="T633" s="1">
        <f>Pcfu4[[#This Row],[SD CFU/mL]]*Pcfu4[[#This Row],[mL]]/Pcfu4[[#This Row],[grams]]</f>
        <v>8061017305.5266428</v>
      </c>
      <c r="U633" s="7" t="e">
        <f>_xlfn.STDEV.S(Pcfu43[[#This Row],[R1]:[R3]])/AVERAGE(Pcfu43[[#This Row],[R1]:[R3]])</f>
        <v>#VALUE!</v>
      </c>
      <c r="V633" s="96"/>
      <c r="W633" s="7"/>
      <c r="X633" t="s">
        <v>544</v>
      </c>
    </row>
    <row r="634" spans="1:24" x14ac:dyDescent="0.15">
      <c r="A634" t="s">
        <v>567</v>
      </c>
      <c r="B634" t="s">
        <v>564</v>
      </c>
      <c r="D634" t="s">
        <v>86</v>
      </c>
      <c r="E634" s="3">
        <v>2</v>
      </c>
      <c r="G634">
        <v>0.3</v>
      </c>
      <c r="H634" s="5">
        <f>19*Pcfu4[[#This Row],[grams]]</f>
        <v>5.7</v>
      </c>
      <c r="I634" s="3" t="s">
        <v>170</v>
      </c>
      <c r="J634" s="59">
        <v>44978</v>
      </c>
      <c r="L634" s="59" t="e" cm="1">
        <f t="array" ref="L634">INDEX($J$4:J1724, MATCH(1,(A634=$A$4:A1722)*(C634=$C$4:C1722)*("Y"=$K$4:K1724),0))</f>
        <v>#N/A</v>
      </c>
      <c r="M634" s="1">
        <v>1000000</v>
      </c>
      <c r="N634">
        <v>68</v>
      </c>
      <c r="O634">
        <v>74</v>
      </c>
      <c r="P634"/>
      <c r="Q634" s="6">
        <f>(SUM(Pcfu4[[#This Row],[R1]:[R3]]))/(Pcfu4[[#This Row],[No. Reps]]*0.025)*Pcfu4[[#This Row],[Best DF]]</f>
        <v>2840000000</v>
      </c>
      <c r="R634" s="1">
        <f>_xlfn.STDEV.S(Pcfu4[[#This Row],[R1]:[R3]])/0.025*Pcfu4[[#This Row],[Best DF]]</f>
        <v>169705627.48477137</v>
      </c>
      <c r="S634" s="6">
        <f>Pcfu4[[#This Row],[CFU/mL]]*Pcfu4[[#This Row],[mL]]/Pcfu4[[#This Row],[grams]]</f>
        <v>53960000000</v>
      </c>
      <c r="T634" s="1">
        <f>Pcfu4[[#This Row],[SD CFU/mL]]*Pcfu4[[#This Row],[mL]]/Pcfu4[[#This Row],[grams]]</f>
        <v>3224406922.2106562</v>
      </c>
      <c r="U634" s="7" t="e">
        <f>_xlfn.STDEV.S(Pcfu43[[#This Row],[R1]:[R3]])/AVERAGE(Pcfu43[[#This Row],[R1]:[R3]])</f>
        <v>#VALUE!</v>
      </c>
      <c r="V634" s="96"/>
      <c r="W634" s="7"/>
      <c r="X634" t="s">
        <v>544</v>
      </c>
    </row>
    <row r="635" spans="1:24" ht="12" customHeight="1" x14ac:dyDescent="0.15">
      <c r="A635" t="s">
        <v>568</v>
      </c>
      <c r="B635" t="s">
        <v>564</v>
      </c>
      <c r="D635" t="s">
        <v>86</v>
      </c>
      <c r="E635" s="3">
        <v>2</v>
      </c>
      <c r="G635">
        <v>0.3</v>
      </c>
      <c r="H635" s="5">
        <f>19*Pcfu4[[#This Row],[grams]]</f>
        <v>5.7</v>
      </c>
      <c r="I635" s="3" t="s">
        <v>170</v>
      </c>
      <c r="J635" s="59">
        <v>44978</v>
      </c>
      <c r="L635" s="59" t="e" cm="1">
        <f t="array" ref="L635">INDEX($J$4:J1725, MATCH(1,(A635=$A$4:A1723)*(C635=$C$4:C1723)*("Y"=$K$4:K1725),0))</f>
        <v>#N/A</v>
      </c>
      <c r="M635" s="1">
        <v>1000000</v>
      </c>
      <c r="N635">
        <v>96</v>
      </c>
      <c r="O635">
        <v>97</v>
      </c>
      <c r="P635"/>
      <c r="Q635" s="6">
        <f>(SUM(Pcfu4[[#This Row],[R1]:[R3]]))/(Pcfu4[[#This Row],[No. Reps]]*0.025)*Pcfu4[[#This Row],[Best DF]]</f>
        <v>3860000000</v>
      </c>
      <c r="R635" s="1">
        <f>_xlfn.STDEV.S(Pcfu4[[#This Row],[R1]:[R3]])/0.025*Pcfu4[[#This Row],[Best DF]]</f>
        <v>28284271.247461904</v>
      </c>
      <c r="S635" s="6">
        <f>Pcfu4[[#This Row],[CFU/mL]]*Pcfu4[[#This Row],[mL]]/Pcfu4[[#This Row],[grams]]</f>
        <v>73340000000</v>
      </c>
      <c r="T635" s="1">
        <f>Pcfu4[[#This Row],[SD CFU/mL]]*Pcfu4[[#This Row],[mL]]/Pcfu4[[#This Row],[grams]]</f>
        <v>537401153.70177615</v>
      </c>
      <c r="U635" s="7" t="e">
        <f>_xlfn.STDEV.S(Pcfu43[[#This Row],[R1]:[R3]])/AVERAGE(Pcfu43[[#This Row],[R1]:[R3]])</f>
        <v>#VALUE!</v>
      </c>
      <c r="V635" s="96"/>
      <c r="W635" s="7"/>
      <c r="X635" t="s">
        <v>544</v>
      </c>
    </row>
    <row r="636" spans="1:24" x14ac:dyDescent="0.15">
      <c r="A636" t="s">
        <v>569</v>
      </c>
      <c r="B636" t="s">
        <v>564</v>
      </c>
      <c r="D636" t="s">
        <v>86</v>
      </c>
      <c r="E636" s="3">
        <v>2</v>
      </c>
      <c r="G636">
        <v>0.3</v>
      </c>
      <c r="H636" s="5">
        <f>19*Pcfu4[[#This Row],[grams]]</f>
        <v>5.7</v>
      </c>
      <c r="I636" s="3" t="s">
        <v>170</v>
      </c>
      <c r="J636" s="59">
        <v>44978</v>
      </c>
      <c r="L636" s="59" t="e" cm="1">
        <f t="array" ref="L636">INDEX($J$4:J1726, MATCH(1,(A636=$A$4:A1724)*(C636=$C$4:C1724)*("Y"=$K$4:K1726),0))</f>
        <v>#N/A</v>
      </c>
      <c r="M636" s="1">
        <v>1000000</v>
      </c>
      <c r="N636">
        <v>97</v>
      </c>
      <c r="O636">
        <v>110</v>
      </c>
      <c r="P636"/>
      <c r="Q636" s="6">
        <f>(SUM(Pcfu4[[#This Row],[R1]:[R3]]))/(Pcfu4[[#This Row],[No. Reps]]*0.025)*Pcfu4[[#This Row],[Best DF]]</f>
        <v>4140000000</v>
      </c>
      <c r="R636" s="1">
        <f>_xlfn.STDEV.S(Pcfu4[[#This Row],[R1]:[R3]])/0.025*Pcfu4[[#This Row],[Best DF]]</f>
        <v>367695526.21700466</v>
      </c>
      <c r="S636" s="6">
        <f>Pcfu4[[#This Row],[CFU/mL]]*Pcfu4[[#This Row],[mL]]/Pcfu4[[#This Row],[grams]]</f>
        <v>78660000000</v>
      </c>
      <c r="T636" s="1">
        <f>Pcfu4[[#This Row],[SD CFU/mL]]*Pcfu4[[#This Row],[mL]]/Pcfu4[[#This Row],[grams]]</f>
        <v>6986214998.1230888</v>
      </c>
      <c r="U636" s="7" t="e">
        <f>_xlfn.STDEV.S(Pcfu43[[#This Row],[R1]:[R3]])/AVERAGE(Pcfu43[[#This Row],[R1]:[R3]])</f>
        <v>#VALUE!</v>
      </c>
      <c r="V636" s="96"/>
      <c r="W636" s="7"/>
      <c r="X636" t="s">
        <v>544</v>
      </c>
    </row>
    <row r="637" spans="1:24" x14ac:dyDescent="0.15">
      <c r="A637" t="s">
        <v>570</v>
      </c>
      <c r="B637" t="s">
        <v>564</v>
      </c>
      <c r="D637" t="s">
        <v>86</v>
      </c>
      <c r="E637" s="3">
        <v>2</v>
      </c>
      <c r="G637">
        <v>0.3</v>
      </c>
      <c r="H637" s="5">
        <f>19*Pcfu4[[#This Row],[grams]]</f>
        <v>5.7</v>
      </c>
      <c r="I637" s="3" t="s">
        <v>170</v>
      </c>
      <c r="J637" s="59">
        <v>44978</v>
      </c>
      <c r="L637" s="59" t="e" cm="1">
        <f t="array" ref="L637">INDEX($J$4:J1727, MATCH(1,(A637=$A$4:A1725)*(C637=$C$4:C1725)*("Y"=$K$4:K1727),0))</f>
        <v>#N/A</v>
      </c>
      <c r="M637" s="1">
        <v>1000000</v>
      </c>
      <c r="N637">
        <v>124</v>
      </c>
      <c r="O637">
        <v>117</v>
      </c>
      <c r="P637"/>
      <c r="Q637" s="6">
        <f>(SUM(Pcfu4[[#This Row],[R1]:[R3]]))/(Pcfu4[[#This Row],[No. Reps]]*0.025)*Pcfu4[[#This Row],[Best DF]]</f>
        <v>4820000000</v>
      </c>
      <c r="R637" s="1">
        <f>_xlfn.STDEV.S(Pcfu4[[#This Row],[R1]:[R3]])/0.025*Pcfu4[[#This Row],[Best DF]]</f>
        <v>197989898.73223329</v>
      </c>
      <c r="S637" s="6">
        <f>Pcfu4[[#This Row],[CFU/mL]]*Pcfu4[[#This Row],[mL]]/Pcfu4[[#This Row],[grams]]</f>
        <v>91580000000</v>
      </c>
      <c r="T637" s="1">
        <f>Pcfu4[[#This Row],[SD CFU/mL]]*Pcfu4[[#This Row],[mL]]/Pcfu4[[#This Row],[grams]]</f>
        <v>3761808075.9124327</v>
      </c>
      <c r="U637" s="7" t="e">
        <f>_xlfn.STDEV.S(Pcfu43[[#This Row],[R1]:[R3]])/AVERAGE(Pcfu43[[#This Row],[R1]:[R3]])</f>
        <v>#VALUE!</v>
      </c>
      <c r="V637" s="96"/>
      <c r="W637" s="7"/>
      <c r="X637" t="s">
        <v>544</v>
      </c>
    </row>
    <row r="638" spans="1:24" x14ac:dyDescent="0.15">
      <c r="A638" t="s">
        <v>571</v>
      </c>
      <c r="B638" t="s">
        <v>564</v>
      </c>
      <c r="D638" t="s">
        <v>86</v>
      </c>
      <c r="E638" s="3">
        <v>2</v>
      </c>
      <c r="G638">
        <v>0.3</v>
      </c>
      <c r="H638" s="5">
        <f>19*Pcfu4[[#This Row],[grams]]</f>
        <v>5.7</v>
      </c>
      <c r="I638" s="3" t="s">
        <v>170</v>
      </c>
      <c r="J638" s="59">
        <v>44978</v>
      </c>
      <c r="L638" s="59" t="e" cm="1">
        <f t="array" ref="L638">INDEX($J$4:J1728, MATCH(1,(A638=$A$4:A1726)*(C638=$C$4:C1726)*("Y"=$K$4:K1728),0))</f>
        <v>#N/A</v>
      </c>
      <c r="M638" s="1">
        <v>1000000</v>
      </c>
      <c r="N638">
        <v>126</v>
      </c>
      <c r="O638">
        <v>122</v>
      </c>
      <c r="P638"/>
      <c r="Q638" s="6">
        <f>(SUM(Pcfu4[[#This Row],[R1]:[R3]]))/(Pcfu4[[#This Row],[No. Reps]]*0.025)*Pcfu4[[#This Row],[Best DF]]</f>
        <v>4960000000</v>
      </c>
      <c r="R638" s="1">
        <f>_xlfn.STDEV.S(Pcfu4[[#This Row],[R1]:[R3]])/0.025*Pcfu4[[#This Row],[Best DF]]</f>
        <v>113137084.98984762</v>
      </c>
      <c r="S638" s="6">
        <f>Pcfu4[[#This Row],[CFU/mL]]*Pcfu4[[#This Row],[mL]]/Pcfu4[[#This Row],[grams]]</f>
        <v>94240000000</v>
      </c>
      <c r="T638" s="1">
        <f>Pcfu4[[#This Row],[SD CFU/mL]]*Pcfu4[[#This Row],[mL]]/Pcfu4[[#This Row],[grams]]</f>
        <v>2149604614.8071046</v>
      </c>
      <c r="U638" s="7" t="e">
        <f>_xlfn.STDEV.S(Pcfu43[[#This Row],[R1]:[R3]])/AVERAGE(Pcfu43[[#This Row],[R1]:[R3]])</f>
        <v>#VALUE!</v>
      </c>
      <c r="V638" s="96"/>
      <c r="W638" s="7"/>
      <c r="X638" t="s">
        <v>544</v>
      </c>
    </row>
    <row r="639" spans="1:24" x14ac:dyDescent="0.15">
      <c r="A639" t="s">
        <v>572</v>
      </c>
      <c r="D639" t="s">
        <v>194</v>
      </c>
      <c r="E639" s="3">
        <v>2</v>
      </c>
      <c r="H639" s="5">
        <f>19*Pcfu4[[#This Row],[grams]]</f>
        <v>0</v>
      </c>
      <c r="I639" s="3" t="s">
        <v>170</v>
      </c>
      <c r="J639" s="59">
        <v>44978</v>
      </c>
      <c r="L639" s="59" t="e" cm="1">
        <f t="array" ref="L639">INDEX($J$4:J1729, MATCH(1,(A639=$A$4:A1727)*(C639=$C$4:C1727)*("Y"=$K$4:K1729),0))</f>
        <v>#N/A</v>
      </c>
      <c r="M639" s="1">
        <v>10000000</v>
      </c>
      <c r="N639">
        <v>369</v>
      </c>
      <c r="O639">
        <v>384</v>
      </c>
      <c r="P639"/>
      <c r="Q639" s="6">
        <f>(SUM(Pcfu4[[#This Row],[R1]:[R3]]))/(Pcfu4[[#This Row],[No. Reps]]*0.025)*Pcfu4[[#This Row],[Best DF]]</f>
        <v>150600000000</v>
      </c>
      <c r="R639" s="1">
        <f>_xlfn.STDEV.S(Pcfu4[[#This Row],[R1]:[R3]])/0.025*Pcfu4[[#This Row],[Best DF]]</f>
        <v>4242640687.1192851</v>
      </c>
      <c r="S639" s="6" t="e">
        <f>Pcfu4[[#This Row],[CFU/mL]]*Pcfu4[[#This Row],[mL]]/Pcfu4[[#This Row],[grams]]</f>
        <v>#DIV/0!</v>
      </c>
      <c r="T639" s="1" t="e">
        <f>Pcfu4[[#This Row],[SD CFU/mL]]*Pcfu4[[#This Row],[mL]]/Pcfu4[[#This Row],[grams]]</f>
        <v>#DIV/0!</v>
      </c>
      <c r="U639" s="7" t="e">
        <f>_xlfn.STDEV.S(Pcfu43[[#This Row],[R1]:[R3]])/AVERAGE(Pcfu43[[#This Row],[R1]:[R3]])</f>
        <v>#VALUE!</v>
      </c>
      <c r="V639" s="96"/>
      <c r="W639" s="7"/>
      <c r="X639" t="s">
        <v>573</v>
      </c>
    </row>
    <row r="640" spans="1:24" x14ac:dyDescent="0.15">
      <c r="A640" t="s">
        <v>574</v>
      </c>
      <c r="D640" t="s">
        <v>194</v>
      </c>
      <c r="E640" s="3">
        <v>2</v>
      </c>
      <c r="H640" s="5">
        <f>19*Pcfu4[[#This Row],[grams]]</f>
        <v>0</v>
      </c>
      <c r="I640" s="3" t="s">
        <v>170</v>
      </c>
      <c r="J640" s="59">
        <v>44978</v>
      </c>
      <c r="L640" s="59" t="e" cm="1">
        <f t="array" ref="L640">INDEX($J$4:J1730, MATCH(1,(A640=$A$4:A1728)*(C640=$C$4:C1728)*("Y"=$K$4:K1730),0))</f>
        <v>#N/A</v>
      </c>
      <c r="M640" s="1">
        <v>1000000</v>
      </c>
      <c r="N640">
        <v>292</v>
      </c>
      <c r="O640">
        <v>241</v>
      </c>
      <c r="P640"/>
      <c r="Q640" s="6">
        <f>(SUM(Pcfu4[[#This Row],[R1]:[R3]]))/(Pcfu4[[#This Row],[No. Reps]]*0.025)*Pcfu4[[#This Row],[Best DF]]</f>
        <v>10660000000</v>
      </c>
      <c r="R640" s="1">
        <f>_xlfn.STDEV.S(Pcfu4[[#This Row],[R1]:[R3]])/0.025*Pcfu4[[#This Row],[Best DF]]</f>
        <v>1442497833.6205568</v>
      </c>
      <c r="S640" s="6" t="e">
        <f>Pcfu4[[#This Row],[CFU/mL]]*Pcfu4[[#This Row],[mL]]/Pcfu4[[#This Row],[grams]]</f>
        <v>#DIV/0!</v>
      </c>
      <c r="T640" s="1" t="e">
        <f>Pcfu4[[#This Row],[SD CFU/mL]]*Pcfu4[[#This Row],[mL]]/Pcfu4[[#This Row],[grams]]</f>
        <v>#DIV/0!</v>
      </c>
      <c r="U640" s="7" t="e">
        <f>_xlfn.STDEV.S(Pcfu43[[#This Row],[R1]:[R3]])/AVERAGE(Pcfu43[[#This Row],[R1]:[R3]])</f>
        <v>#VALUE!</v>
      </c>
      <c r="V640" s="96"/>
      <c r="W640" s="7"/>
      <c r="X640" t="s">
        <v>573</v>
      </c>
    </row>
    <row r="641" spans="1:24" x14ac:dyDescent="0.15">
      <c r="A641" t="s">
        <v>471</v>
      </c>
      <c r="B641" t="s">
        <v>482</v>
      </c>
      <c r="D641" t="s">
        <v>86</v>
      </c>
      <c r="E641" s="3">
        <v>2</v>
      </c>
      <c r="G641">
        <v>0.3</v>
      </c>
      <c r="H641" s="5">
        <f>19*Pcfu4[[#This Row],[grams]]</f>
        <v>5.7</v>
      </c>
      <c r="I641" s="3" t="s">
        <v>170</v>
      </c>
      <c r="J641" s="59">
        <v>44980</v>
      </c>
      <c r="L641" s="59" t="e" cm="1">
        <f t="array" ref="L641">INDEX($J$4:J1731, MATCH(1,(A641=$A$4:A1729)*(C641=$C$4:C1729)*("Y"=$K$4:K1731),0))</f>
        <v>#N/A</v>
      </c>
      <c r="M641" s="1">
        <v>1000000</v>
      </c>
      <c r="N641">
        <v>30</v>
      </c>
      <c r="O641">
        <v>35</v>
      </c>
      <c r="P641"/>
      <c r="Q641" s="6">
        <f>(SUM(Pcfu4[[#This Row],[R1]:[R3]]))/(Pcfu4[[#This Row],[No. Reps]]*0.025)*Pcfu4[[#This Row],[Best DF]]</f>
        <v>1300000000</v>
      </c>
      <c r="R641" s="1">
        <f>_xlfn.STDEV.S(Pcfu4[[#This Row],[R1]:[R3]])/0.025*Pcfu4[[#This Row],[Best DF]]</f>
        <v>141421356.23730952</v>
      </c>
      <c r="S641" s="6">
        <f>Pcfu4[[#This Row],[CFU/mL]]*Pcfu4[[#This Row],[mL]]/Pcfu4[[#This Row],[grams]]</f>
        <v>24700000000</v>
      </c>
      <c r="T641" s="1">
        <f>Pcfu4[[#This Row],[SD CFU/mL]]*Pcfu4[[#This Row],[mL]]/Pcfu4[[#This Row],[grams]]</f>
        <v>2687005768.5088811</v>
      </c>
      <c r="U641" s="7" t="e">
        <f>_xlfn.STDEV.S(Pcfu43[[#This Row],[R1]:[R3]])/AVERAGE(Pcfu43[[#This Row],[R1]:[R3]])</f>
        <v>#VALUE!</v>
      </c>
      <c r="V641" s="96">
        <v>0.30099999999999999</v>
      </c>
      <c r="W641" s="7"/>
      <c r="X641" t="s">
        <v>575</v>
      </c>
    </row>
    <row r="642" spans="1:24" x14ac:dyDescent="0.15">
      <c r="A642" t="s">
        <v>472</v>
      </c>
      <c r="B642" t="s">
        <v>482</v>
      </c>
      <c r="D642" t="s">
        <v>86</v>
      </c>
      <c r="E642" s="3">
        <v>2</v>
      </c>
      <c r="G642">
        <v>0.3</v>
      </c>
      <c r="H642" s="5">
        <f>19*Pcfu4[[#This Row],[grams]]</f>
        <v>5.7</v>
      </c>
      <c r="I642" s="3" t="s">
        <v>170</v>
      </c>
      <c r="J642" s="59">
        <v>44980</v>
      </c>
      <c r="L642" s="59" t="e" cm="1">
        <f t="array" ref="L642">INDEX($J$4:J1732, MATCH(1,(A642=$A$4:A1730)*(C642=$C$4:C1730)*("Y"=$K$4:K1732),0))</f>
        <v>#N/A</v>
      </c>
      <c r="M642" s="1">
        <v>1000000</v>
      </c>
      <c r="N642">
        <v>33</v>
      </c>
      <c r="O642">
        <v>46</v>
      </c>
      <c r="P642"/>
      <c r="Q642" s="6">
        <f>(SUM(Pcfu4[[#This Row],[R1]:[R3]]))/(Pcfu4[[#This Row],[No. Reps]]*0.025)*Pcfu4[[#This Row],[Best DF]]</f>
        <v>1580000000</v>
      </c>
      <c r="R642" s="1">
        <f>_xlfn.STDEV.S(Pcfu4[[#This Row],[R1]:[R3]])/0.025*Pcfu4[[#This Row],[Best DF]]</f>
        <v>367695526.21700466</v>
      </c>
      <c r="S642" s="6">
        <f>Pcfu4[[#This Row],[CFU/mL]]*Pcfu4[[#This Row],[mL]]/Pcfu4[[#This Row],[grams]]</f>
        <v>30020000000</v>
      </c>
      <c r="T642" s="1">
        <f>Pcfu4[[#This Row],[SD CFU/mL]]*Pcfu4[[#This Row],[mL]]/Pcfu4[[#This Row],[grams]]</f>
        <v>6986214998.1230888</v>
      </c>
      <c r="U642" s="7" t="e">
        <f>_xlfn.STDEV.S(Pcfu43[[#This Row],[R1]:[R3]])/AVERAGE(Pcfu43[[#This Row],[R1]:[R3]])</f>
        <v>#VALUE!</v>
      </c>
      <c r="V642" s="96">
        <v>0.30399999999999999</v>
      </c>
      <c r="W642" s="7"/>
      <c r="X642" t="s">
        <v>576</v>
      </c>
    </row>
    <row r="643" spans="1:24" x14ac:dyDescent="0.15">
      <c r="A643" t="s">
        <v>473</v>
      </c>
      <c r="B643" t="s">
        <v>482</v>
      </c>
      <c r="D643" t="s">
        <v>86</v>
      </c>
      <c r="E643" s="3">
        <v>2</v>
      </c>
      <c r="G643">
        <v>0.3</v>
      </c>
      <c r="H643" s="5">
        <f>19*Pcfu4[[#This Row],[grams]]</f>
        <v>5.7</v>
      </c>
      <c r="I643" s="3" t="s">
        <v>170</v>
      </c>
      <c r="J643" s="59">
        <v>44980</v>
      </c>
      <c r="L643" s="59" t="e" cm="1">
        <f t="array" ref="L643">INDEX($J$4:J1733, MATCH(1,(A643=$A$4:A1731)*(C643=$C$4:C1731)*("Y"=$K$4:K1733),0))</f>
        <v>#N/A</v>
      </c>
      <c r="M643" s="1">
        <v>1000000</v>
      </c>
      <c r="N643">
        <v>31</v>
      </c>
      <c r="O643">
        <v>23</v>
      </c>
      <c r="P643"/>
      <c r="Q643" s="6">
        <f>(SUM(Pcfu4[[#This Row],[R1]:[R3]]))/(Pcfu4[[#This Row],[No. Reps]]*0.025)*Pcfu4[[#This Row],[Best DF]]</f>
        <v>1080000000</v>
      </c>
      <c r="R643" s="1">
        <f>_xlfn.STDEV.S(Pcfu4[[#This Row],[R1]:[R3]])/0.025*Pcfu4[[#This Row],[Best DF]]</f>
        <v>226274169.97969523</v>
      </c>
      <c r="S643" s="6">
        <f>Pcfu4[[#This Row],[CFU/mL]]*Pcfu4[[#This Row],[mL]]/Pcfu4[[#This Row],[grams]]</f>
        <v>20520000000</v>
      </c>
      <c r="T643" s="1">
        <f>Pcfu4[[#This Row],[SD CFU/mL]]*Pcfu4[[#This Row],[mL]]/Pcfu4[[#This Row],[grams]]</f>
        <v>4299209229.6142092</v>
      </c>
      <c r="U643" s="7" t="e">
        <f>_xlfn.STDEV.S(Pcfu43[[#This Row],[R1]:[R3]])/AVERAGE(Pcfu43[[#This Row],[R1]:[R3]])</f>
        <v>#VALUE!</v>
      </c>
      <c r="V643" s="96">
        <v>0.27300000000000002</v>
      </c>
      <c r="W643" s="7"/>
      <c r="X643" t="s">
        <v>577</v>
      </c>
    </row>
    <row r="644" spans="1:24" x14ac:dyDescent="0.15">
      <c r="A644" t="s">
        <v>474</v>
      </c>
      <c r="B644" t="s">
        <v>482</v>
      </c>
      <c r="D644" t="s">
        <v>86</v>
      </c>
      <c r="E644" s="3">
        <v>2</v>
      </c>
      <c r="G644">
        <v>0.3</v>
      </c>
      <c r="H644" s="5">
        <f>19*Pcfu4[[#This Row],[grams]]</f>
        <v>5.7</v>
      </c>
      <c r="I644" s="3" t="s">
        <v>170</v>
      </c>
      <c r="J644" s="59">
        <v>44980</v>
      </c>
      <c r="L644" s="59" t="e" cm="1">
        <f t="array" ref="L644">INDEX($J$4:J1734, MATCH(1,(A644=$A$4:A1732)*(C644=$C$4:C1732)*("Y"=$K$4:K1734),0))</f>
        <v>#N/A</v>
      </c>
      <c r="M644" s="1">
        <v>1000000</v>
      </c>
      <c r="N644">
        <v>51</v>
      </c>
      <c r="O644">
        <v>52</v>
      </c>
      <c r="P644"/>
      <c r="Q644" s="6">
        <f>(SUM(Pcfu4[[#This Row],[R1]:[R3]]))/(Pcfu4[[#This Row],[No. Reps]]*0.025)*Pcfu4[[#This Row],[Best DF]]</f>
        <v>2060000000</v>
      </c>
      <c r="R644" s="1">
        <f>_xlfn.STDEV.S(Pcfu4[[#This Row],[R1]:[R3]])/0.025*Pcfu4[[#This Row],[Best DF]]</f>
        <v>28284271.247461904</v>
      </c>
      <c r="S644" s="6">
        <f>Pcfu4[[#This Row],[CFU/mL]]*Pcfu4[[#This Row],[mL]]/Pcfu4[[#This Row],[grams]]</f>
        <v>39140000000</v>
      </c>
      <c r="T644" s="1">
        <f>Pcfu4[[#This Row],[SD CFU/mL]]*Pcfu4[[#This Row],[mL]]/Pcfu4[[#This Row],[grams]]</f>
        <v>537401153.70177615</v>
      </c>
      <c r="U644" s="7" t="e">
        <f>_xlfn.STDEV.S(Pcfu43[[#This Row],[R1]:[R3]])/AVERAGE(Pcfu43[[#This Row],[R1]:[R3]])</f>
        <v>#VALUE!</v>
      </c>
      <c r="V644" s="96">
        <v>0.30599999999999999</v>
      </c>
      <c r="W644" s="7"/>
      <c r="X644" t="s">
        <v>578</v>
      </c>
    </row>
    <row r="645" spans="1:24" x14ac:dyDescent="0.15">
      <c r="A645" t="s">
        <v>475</v>
      </c>
      <c r="B645" t="s">
        <v>482</v>
      </c>
      <c r="D645" t="s">
        <v>86</v>
      </c>
      <c r="E645" s="3">
        <v>2</v>
      </c>
      <c r="G645">
        <v>0.3</v>
      </c>
      <c r="H645" s="5">
        <f>19*Pcfu4[[#This Row],[grams]]</f>
        <v>5.7</v>
      </c>
      <c r="I645" s="3" t="s">
        <v>170</v>
      </c>
      <c r="J645" s="59">
        <v>44980</v>
      </c>
      <c r="L645" s="59" t="e" cm="1">
        <f t="array" ref="L645">INDEX($J$4:J1735, MATCH(1,(A645=$A$4:A1733)*(C645=$C$4:C1733)*("Y"=$K$4:K1735),0))</f>
        <v>#N/A</v>
      </c>
      <c r="M645" s="1">
        <v>1000000</v>
      </c>
      <c r="N645">
        <v>33</v>
      </c>
      <c r="O645">
        <v>39</v>
      </c>
      <c r="P645"/>
      <c r="Q645" s="6">
        <f>(SUM(Pcfu4[[#This Row],[R1]:[R3]]))/(Pcfu4[[#This Row],[No. Reps]]*0.025)*Pcfu4[[#This Row],[Best DF]]</f>
        <v>1440000000</v>
      </c>
      <c r="R645" s="1">
        <f>_xlfn.STDEV.S(Pcfu4[[#This Row],[R1]:[R3]])/0.025*Pcfu4[[#This Row],[Best DF]]</f>
        <v>169705627.48477137</v>
      </c>
      <c r="S645" s="6">
        <f>Pcfu4[[#This Row],[CFU/mL]]*Pcfu4[[#This Row],[mL]]/Pcfu4[[#This Row],[grams]]</f>
        <v>27360000000</v>
      </c>
      <c r="T645" s="1">
        <f>Pcfu4[[#This Row],[SD CFU/mL]]*Pcfu4[[#This Row],[mL]]/Pcfu4[[#This Row],[grams]]</f>
        <v>3224406922.2106562</v>
      </c>
      <c r="U645" s="7" t="e">
        <f>_xlfn.STDEV.S(Pcfu43[[#This Row],[R1]:[R3]])/AVERAGE(Pcfu43[[#This Row],[R1]:[R3]])</f>
        <v>#VALUE!</v>
      </c>
      <c r="V645" s="96">
        <v>0.30099999999999999</v>
      </c>
      <c r="W645" s="7"/>
      <c r="X645" t="s">
        <v>575</v>
      </c>
    </row>
    <row r="646" spans="1:24" x14ac:dyDescent="0.15">
      <c r="A646" t="s">
        <v>579</v>
      </c>
      <c r="B646" t="s">
        <v>482</v>
      </c>
      <c r="D646" t="s">
        <v>86</v>
      </c>
      <c r="E646" s="3">
        <v>2</v>
      </c>
      <c r="G646">
        <v>0.3</v>
      </c>
      <c r="H646" s="5">
        <f>19*Pcfu4[[#This Row],[grams]]</f>
        <v>5.7</v>
      </c>
      <c r="I646" s="3" t="s">
        <v>170</v>
      </c>
      <c r="J646" s="59">
        <v>44980</v>
      </c>
      <c r="L646" s="59" t="e" cm="1">
        <f t="array" ref="L646">INDEX($J$4:J1736, MATCH(1,(A646=$A$4:A1734)*(C646=$C$4:C1734)*("Y"=$K$4:K1736),0))</f>
        <v>#N/A</v>
      </c>
      <c r="M646" s="1">
        <v>1000000</v>
      </c>
      <c r="N646">
        <v>43</v>
      </c>
      <c r="O646">
        <v>33</v>
      </c>
      <c r="P646"/>
      <c r="Q646" s="6">
        <f>(SUM(Pcfu4[[#This Row],[R1]:[R3]]))/(Pcfu4[[#This Row],[No. Reps]]*0.025)*Pcfu4[[#This Row],[Best DF]]</f>
        <v>1520000000</v>
      </c>
      <c r="R646" s="1">
        <f>_xlfn.STDEV.S(Pcfu4[[#This Row],[R1]:[R3]])/0.025*Pcfu4[[#This Row],[Best DF]]</f>
        <v>282842712.47461903</v>
      </c>
      <c r="S646" s="6">
        <f>Pcfu4[[#This Row],[CFU/mL]]*Pcfu4[[#This Row],[mL]]/Pcfu4[[#This Row],[grams]]</f>
        <v>28880000000</v>
      </c>
      <c r="T646" s="1">
        <f>Pcfu4[[#This Row],[SD CFU/mL]]*Pcfu4[[#This Row],[mL]]/Pcfu4[[#This Row],[grams]]</f>
        <v>5374011537.0177622</v>
      </c>
      <c r="U646" s="7" t="e">
        <f>_xlfn.STDEV.S(Pcfu43[[#This Row],[R1]:[R3]])/AVERAGE(Pcfu43[[#This Row],[R1]:[R3]])</f>
        <v>#VALUE!</v>
      </c>
      <c r="V646" s="96">
        <v>0.36499999999999999</v>
      </c>
      <c r="W646" s="7"/>
      <c r="X646" t="s">
        <v>580</v>
      </c>
    </row>
    <row r="647" spans="1:24" x14ac:dyDescent="0.15">
      <c r="A647" t="s">
        <v>477</v>
      </c>
      <c r="B647" t="s">
        <v>482</v>
      </c>
      <c r="D647" t="s">
        <v>86</v>
      </c>
      <c r="E647" s="3">
        <v>2</v>
      </c>
      <c r="G647">
        <v>0.3</v>
      </c>
      <c r="H647" s="5">
        <f>19*Pcfu4[[#This Row],[grams]]</f>
        <v>5.7</v>
      </c>
      <c r="I647" s="3" t="s">
        <v>170</v>
      </c>
      <c r="J647" s="59">
        <v>44980</v>
      </c>
      <c r="L647" s="59" t="e" cm="1">
        <f t="array" ref="L647">INDEX($J$4:J1737, MATCH(1,(A647=$A$4:A1735)*(C647=$C$4:C1735)*("Y"=$K$4:K1737),0))</f>
        <v>#N/A</v>
      </c>
      <c r="M647" s="1">
        <v>1000000</v>
      </c>
      <c r="N647">
        <v>124</v>
      </c>
      <c r="O647">
        <v>120</v>
      </c>
      <c r="P647"/>
      <c r="Q647" s="6">
        <f>(SUM(Pcfu4[[#This Row],[R1]:[R3]]))/(Pcfu4[[#This Row],[No. Reps]]*0.025)*Pcfu4[[#This Row],[Best DF]]</f>
        <v>4880000000</v>
      </c>
      <c r="R647" s="1">
        <f>_xlfn.STDEV.S(Pcfu4[[#This Row],[R1]:[R3]])/0.025*Pcfu4[[#This Row],[Best DF]]</f>
        <v>113137084.98984762</v>
      </c>
      <c r="S647" s="6">
        <f>Pcfu4[[#This Row],[CFU/mL]]*Pcfu4[[#This Row],[mL]]/Pcfu4[[#This Row],[grams]]</f>
        <v>92720000000</v>
      </c>
      <c r="T647" s="1">
        <f>Pcfu4[[#This Row],[SD CFU/mL]]*Pcfu4[[#This Row],[mL]]/Pcfu4[[#This Row],[grams]]</f>
        <v>2149604614.8071046</v>
      </c>
      <c r="U647" s="7" t="e">
        <f>_xlfn.STDEV.S(Pcfu43[[#This Row],[R1]:[R3]])/AVERAGE(Pcfu43[[#This Row],[R1]:[R3]])</f>
        <v>#VALUE!</v>
      </c>
      <c r="V647" s="96">
        <v>0.26100000000000001</v>
      </c>
      <c r="W647" s="7"/>
      <c r="X647" t="s">
        <v>581</v>
      </c>
    </row>
    <row r="648" spans="1:24" x14ac:dyDescent="0.15">
      <c r="A648" t="s">
        <v>478</v>
      </c>
      <c r="B648" t="s">
        <v>482</v>
      </c>
      <c r="D648" t="s">
        <v>86</v>
      </c>
      <c r="E648" s="3">
        <v>2</v>
      </c>
      <c r="G648">
        <v>0.3</v>
      </c>
      <c r="H648" s="5">
        <f>19*Pcfu4[[#This Row],[grams]]</f>
        <v>5.7</v>
      </c>
      <c r="I648" s="3" t="s">
        <v>170</v>
      </c>
      <c r="J648" s="59">
        <v>44980</v>
      </c>
      <c r="L648" s="59" t="e" cm="1">
        <f t="array" ref="L648">INDEX($J$4:J1738, MATCH(1,(A648=$A$4:A1736)*(C648=$C$4:C1736)*("Y"=$K$4:K1738),0))</f>
        <v>#N/A</v>
      </c>
      <c r="M648" s="1">
        <v>1000000</v>
      </c>
      <c r="N648">
        <v>83</v>
      </c>
      <c r="O648">
        <v>76</v>
      </c>
      <c r="P648"/>
      <c r="Q648" s="6">
        <f>(SUM(Pcfu4[[#This Row],[R1]:[R3]]))/(Pcfu4[[#This Row],[No. Reps]]*0.025)*Pcfu4[[#This Row],[Best DF]]</f>
        <v>3180000000</v>
      </c>
      <c r="R648" s="1">
        <f>_xlfn.STDEV.S(Pcfu4[[#This Row],[R1]:[R3]])/0.025*Pcfu4[[#This Row],[Best DF]]</f>
        <v>197989898.73223329</v>
      </c>
      <c r="S648" s="6">
        <f>Pcfu4[[#This Row],[CFU/mL]]*Pcfu4[[#This Row],[mL]]/Pcfu4[[#This Row],[grams]]</f>
        <v>60420000000</v>
      </c>
      <c r="T648" s="1">
        <f>Pcfu4[[#This Row],[SD CFU/mL]]*Pcfu4[[#This Row],[mL]]/Pcfu4[[#This Row],[grams]]</f>
        <v>3761808075.9124327</v>
      </c>
      <c r="U648" s="7" t="e">
        <f>_xlfn.STDEV.S(Pcfu43[[#This Row],[R1]:[R3]])/AVERAGE(Pcfu43[[#This Row],[R1]:[R3]])</f>
        <v>#VALUE!</v>
      </c>
      <c r="V648" s="96">
        <v>0.25800000000000001</v>
      </c>
      <c r="W648" s="7"/>
      <c r="X648" t="s">
        <v>582</v>
      </c>
    </row>
    <row r="649" spans="1:24" x14ac:dyDescent="0.15">
      <c r="A649" t="s">
        <v>479</v>
      </c>
      <c r="B649" t="s">
        <v>482</v>
      </c>
      <c r="D649" t="s">
        <v>86</v>
      </c>
      <c r="E649" s="3">
        <v>2</v>
      </c>
      <c r="G649">
        <v>0.3</v>
      </c>
      <c r="H649" s="5">
        <f>19*Pcfu4[[#This Row],[grams]]</f>
        <v>5.7</v>
      </c>
      <c r="I649" s="3" t="s">
        <v>170</v>
      </c>
      <c r="J649" s="59">
        <v>44980</v>
      </c>
      <c r="L649" s="59" t="e" cm="1">
        <f t="array" ref="L649">INDEX($J$4:J1739, MATCH(1,(A649=$A$4:A1737)*(C649=$C$4:C1737)*("Y"=$K$4:K1739),0))</f>
        <v>#N/A</v>
      </c>
      <c r="M649" s="1">
        <v>1000000</v>
      </c>
      <c r="N649">
        <v>30</v>
      </c>
      <c r="O649">
        <v>32</v>
      </c>
      <c r="P649"/>
      <c r="Q649" s="6">
        <f>(SUM(Pcfu4[[#This Row],[R1]:[R3]]))/(Pcfu4[[#This Row],[No. Reps]]*0.025)*Pcfu4[[#This Row],[Best DF]]</f>
        <v>1240000000</v>
      </c>
      <c r="R649" s="1">
        <f>_xlfn.STDEV.S(Pcfu4[[#This Row],[R1]:[R3]])/0.025*Pcfu4[[#This Row],[Best DF]]</f>
        <v>56568542.494923808</v>
      </c>
      <c r="S649" s="6">
        <f>Pcfu4[[#This Row],[CFU/mL]]*Pcfu4[[#This Row],[mL]]/Pcfu4[[#This Row],[grams]]</f>
        <v>23560000000</v>
      </c>
      <c r="T649" s="1">
        <f>Pcfu4[[#This Row],[SD CFU/mL]]*Pcfu4[[#This Row],[mL]]/Pcfu4[[#This Row],[grams]]</f>
        <v>1074802307.4035523</v>
      </c>
      <c r="U649" s="7" t="e">
        <f>_xlfn.STDEV.S(Pcfu43[[#This Row],[R1]:[R3]])/AVERAGE(Pcfu43[[#This Row],[R1]:[R3]])</f>
        <v>#VALUE!</v>
      </c>
      <c r="V649" s="96">
        <v>0.23400000000000001</v>
      </c>
      <c r="W649" s="7"/>
      <c r="X649" t="s">
        <v>583</v>
      </c>
    </row>
    <row r="650" spans="1:24" x14ac:dyDescent="0.15">
      <c r="A650" t="s">
        <v>480</v>
      </c>
      <c r="B650" t="s">
        <v>482</v>
      </c>
      <c r="D650" t="s">
        <v>86</v>
      </c>
      <c r="E650" s="3">
        <v>2</v>
      </c>
      <c r="G650">
        <v>0.3</v>
      </c>
      <c r="H650" s="5">
        <f>19*Pcfu4[[#This Row],[grams]]</f>
        <v>5.7</v>
      </c>
      <c r="I650" s="3" t="s">
        <v>170</v>
      </c>
      <c r="J650" s="59">
        <v>44980</v>
      </c>
      <c r="L650" s="59" t="e" cm="1">
        <f t="array" ref="L650">INDEX($J$4:J1740, MATCH(1,(A650=$A$4:A1738)*(C650=$C$4:C1738)*("Y"=$K$4:K1740),0))</f>
        <v>#N/A</v>
      </c>
      <c r="M650" s="1">
        <v>1000000</v>
      </c>
      <c r="N650">
        <v>30</v>
      </c>
      <c r="O650">
        <v>23</v>
      </c>
      <c r="P650"/>
      <c r="Q650" s="6">
        <f>(SUM(Pcfu4[[#This Row],[R1]:[R3]]))/(Pcfu4[[#This Row],[No. Reps]]*0.025)*Pcfu4[[#This Row],[Best DF]]</f>
        <v>1060000000</v>
      </c>
      <c r="R650" s="1">
        <f>_xlfn.STDEV.S(Pcfu4[[#This Row],[R1]:[R3]])/0.025*Pcfu4[[#This Row],[Best DF]]</f>
        <v>197989898.73223329</v>
      </c>
      <c r="S650" s="6">
        <f>Pcfu4[[#This Row],[CFU/mL]]*Pcfu4[[#This Row],[mL]]/Pcfu4[[#This Row],[grams]]</f>
        <v>20140000000</v>
      </c>
      <c r="T650" s="1">
        <f>Pcfu4[[#This Row],[SD CFU/mL]]*Pcfu4[[#This Row],[mL]]/Pcfu4[[#This Row],[grams]]</f>
        <v>3761808075.9124327</v>
      </c>
      <c r="U650" s="7" t="e">
        <f>_xlfn.STDEV.S(Pcfu43[[#This Row],[R1]:[R3]])/AVERAGE(Pcfu43[[#This Row],[R1]:[R3]])</f>
        <v>#VALUE!</v>
      </c>
      <c r="V650" s="96">
        <v>0.216</v>
      </c>
      <c r="W650" s="7"/>
      <c r="X650" t="s">
        <v>584</v>
      </c>
    </row>
    <row r="651" spans="1:24" x14ac:dyDescent="0.15">
      <c r="A651" t="s">
        <v>470</v>
      </c>
      <c r="B651" t="s">
        <v>585</v>
      </c>
      <c r="D651" t="s">
        <v>86</v>
      </c>
      <c r="E651" s="3">
        <v>2</v>
      </c>
      <c r="G651">
        <v>0.3</v>
      </c>
      <c r="H651" s="5">
        <f>19*Pcfu4[[#This Row],[grams]]</f>
        <v>5.7</v>
      </c>
      <c r="I651" s="3" t="s">
        <v>170</v>
      </c>
      <c r="J651" s="59">
        <v>44980</v>
      </c>
      <c r="L651" s="59" t="e" cm="1">
        <f t="array" ref="L651">INDEX($J$4:J1741, MATCH(1,(A651=$A$4:A1739)*(C651=$C$4:C1739)*("Y"=$K$4:K1741),0))</f>
        <v>#N/A</v>
      </c>
      <c r="M651" s="1">
        <v>1000000</v>
      </c>
      <c r="N651">
        <v>51</v>
      </c>
      <c r="O651">
        <v>57</v>
      </c>
      <c r="P651"/>
      <c r="Q651" s="6">
        <f>(SUM(Pcfu4[[#This Row],[R1]:[R3]]))/(Pcfu4[[#This Row],[No. Reps]]*0.025)*Pcfu4[[#This Row],[Best DF]]</f>
        <v>2160000000</v>
      </c>
      <c r="R651" s="1">
        <f>_xlfn.STDEV.S(Pcfu4[[#This Row],[R1]:[R3]])/0.025*Pcfu4[[#This Row],[Best DF]]</f>
        <v>169705627.48477137</v>
      </c>
      <c r="S651" s="6">
        <f>Pcfu4[[#This Row],[CFU/mL]]*Pcfu4[[#This Row],[mL]]/Pcfu4[[#This Row],[grams]]</f>
        <v>41040000000</v>
      </c>
      <c r="T651" s="1">
        <f>Pcfu4[[#This Row],[SD CFU/mL]]*Pcfu4[[#This Row],[mL]]/Pcfu4[[#This Row],[grams]]</f>
        <v>3224406922.2106562</v>
      </c>
      <c r="U651" s="7" t="e">
        <f>_xlfn.STDEV.S(Pcfu43[[#This Row],[R1]:[R3]])/AVERAGE(Pcfu43[[#This Row],[R1]:[R3]])</f>
        <v>#VALUE!</v>
      </c>
      <c r="V651" s="96">
        <v>0.30499999999999999</v>
      </c>
      <c r="W651" s="7"/>
      <c r="X651" t="s">
        <v>586</v>
      </c>
    </row>
    <row r="652" spans="1:24" x14ac:dyDescent="0.15">
      <c r="A652" t="s">
        <v>587</v>
      </c>
      <c r="D652" t="s">
        <v>86</v>
      </c>
      <c r="E652" s="3">
        <v>2</v>
      </c>
      <c r="G652">
        <v>0.3</v>
      </c>
      <c r="H652" s="5">
        <f>19*Pcfu4[[#This Row],[grams]]</f>
        <v>5.7</v>
      </c>
      <c r="I652" s="3" t="s">
        <v>170</v>
      </c>
      <c r="J652" s="59">
        <v>44980</v>
      </c>
      <c r="L652" s="59" t="e" cm="1">
        <f t="array" ref="L652">INDEX($J$4:J1742, MATCH(1,(A652=$A$4:A1740)*(C652=$C$4:C1740)*("Y"=$K$4:K1742),0))</f>
        <v>#N/A</v>
      </c>
      <c r="M652" s="1">
        <v>10000000</v>
      </c>
      <c r="N652">
        <v>64</v>
      </c>
      <c r="O652">
        <v>69</v>
      </c>
      <c r="P652"/>
      <c r="Q652" s="6">
        <f>(SUM(Pcfu4[[#This Row],[R1]:[R3]]))/(Pcfu4[[#This Row],[No. Reps]]*0.025)*Pcfu4[[#This Row],[Best DF]]</f>
        <v>26600000000</v>
      </c>
      <c r="R652" s="1">
        <f>_xlfn.STDEV.S(Pcfu4[[#This Row],[R1]:[R3]])/0.025*Pcfu4[[#This Row],[Best DF]]</f>
        <v>1414213562.373095</v>
      </c>
      <c r="S652" s="6">
        <f>Pcfu4[[#This Row],[CFU/mL]]*Pcfu4[[#This Row],[mL]]/Pcfu4[[#This Row],[grams]]</f>
        <v>505400000000</v>
      </c>
      <c r="T652" s="1">
        <f>Pcfu4[[#This Row],[SD CFU/mL]]*Pcfu4[[#This Row],[mL]]/Pcfu4[[#This Row],[grams]]</f>
        <v>26870057685.088806</v>
      </c>
      <c r="U652" s="7" t="e">
        <f>_xlfn.STDEV.S(Pcfu43[[#This Row],[R1]:[R3]])/AVERAGE(Pcfu43[[#This Row],[R1]:[R3]])</f>
        <v>#VALUE!</v>
      </c>
      <c r="V652" s="96"/>
      <c r="W652" s="7"/>
    </row>
    <row r="653" spans="1:24" x14ac:dyDescent="0.15">
      <c r="A653" t="s">
        <v>588</v>
      </c>
      <c r="D653" t="s">
        <v>86</v>
      </c>
      <c r="E653" s="3">
        <v>3</v>
      </c>
      <c r="G653">
        <v>0.3</v>
      </c>
      <c r="H653" s="5">
        <f>19*Pcfu4[[#This Row],[grams]]</f>
        <v>5.7</v>
      </c>
      <c r="I653" s="3" t="s">
        <v>170</v>
      </c>
      <c r="J653" s="59">
        <v>44980</v>
      </c>
      <c r="L653" s="59" t="e" cm="1">
        <f t="array" ref="L653">INDEX($J$4:J1743, MATCH(1,(A653=$A$4:A1741)*(C653=$C$4:C1741)*("Y"=$K$4:K1743),0))</f>
        <v>#N/A</v>
      </c>
      <c r="M653" s="1">
        <v>1000000</v>
      </c>
      <c r="N653">
        <v>84</v>
      </c>
      <c r="O653">
        <v>71</v>
      </c>
      <c r="P653">
        <v>82</v>
      </c>
      <c r="Q653" s="6">
        <f>(SUM(Pcfu4[[#This Row],[R1]:[R3]]))/(Pcfu4[[#This Row],[No. Reps]]*0.025)*Pcfu4[[#This Row],[Best DF]]</f>
        <v>3159999999.9999995</v>
      </c>
      <c r="R653" s="1">
        <f>_xlfn.STDEV.S(Pcfu4[[#This Row],[R1]:[R3]])/0.025*Pcfu4[[#This Row],[Best DF]]</f>
        <v>280000000</v>
      </c>
      <c r="S653" s="6">
        <f>Pcfu4[[#This Row],[CFU/mL]]*Pcfu4[[#This Row],[mL]]/Pcfu4[[#This Row],[grams]]</f>
        <v>60039999999.999992</v>
      </c>
      <c r="T653" s="1">
        <f>Pcfu4[[#This Row],[SD CFU/mL]]*Pcfu4[[#This Row],[mL]]/Pcfu4[[#This Row],[grams]]</f>
        <v>5320000000</v>
      </c>
      <c r="U653" s="7" t="e">
        <f>_xlfn.STDEV.S(Pcfu43[[#This Row],[R1]:[R3]])/AVERAGE(Pcfu43[[#This Row],[R1]:[R3]])</f>
        <v>#VALUE!</v>
      </c>
      <c r="V653" s="96"/>
      <c r="W653" s="7"/>
      <c r="X653" t="s">
        <v>544</v>
      </c>
    </row>
    <row r="654" spans="1:24" x14ac:dyDescent="0.15">
      <c r="A654" t="s">
        <v>589</v>
      </c>
      <c r="D654" t="s">
        <v>86</v>
      </c>
      <c r="E654" s="3">
        <v>3</v>
      </c>
      <c r="G654">
        <v>0.3</v>
      </c>
      <c r="H654" s="5">
        <f>19*Pcfu4[[#This Row],[grams]]</f>
        <v>5.7</v>
      </c>
      <c r="I654" s="3" t="s">
        <v>170</v>
      </c>
      <c r="J654" s="59">
        <v>44980</v>
      </c>
      <c r="L654" s="59" t="e" cm="1">
        <f t="array" ref="L654">INDEX($J$4:J1744, MATCH(1,(A654=$A$4:A1742)*(C654=$C$4:C1742)*("Y"=$K$4:K1744),0))</f>
        <v>#N/A</v>
      </c>
      <c r="M654" s="1">
        <v>1000000</v>
      </c>
      <c r="N654">
        <v>51</v>
      </c>
      <c r="O654">
        <v>46</v>
      </c>
      <c r="P654">
        <v>57</v>
      </c>
      <c r="Q654" s="6">
        <f>(SUM(Pcfu4[[#This Row],[R1]:[R3]]))/(Pcfu4[[#This Row],[No. Reps]]*0.025)*Pcfu4[[#This Row],[Best DF]]</f>
        <v>2053333333.333333</v>
      </c>
      <c r="R654" s="1">
        <f>_xlfn.STDEV.S(Pcfu4[[#This Row],[R1]:[R3]])/0.025*Pcfu4[[#This Row],[Best DF]]</f>
        <v>220302821.89144406</v>
      </c>
      <c r="S654" s="6">
        <f>Pcfu4[[#This Row],[CFU/mL]]*Pcfu4[[#This Row],[mL]]/Pcfu4[[#This Row],[grams]]</f>
        <v>39013333333.333328</v>
      </c>
      <c r="T654" s="1">
        <f>Pcfu4[[#This Row],[SD CFU/mL]]*Pcfu4[[#This Row],[mL]]/Pcfu4[[#This Row],[grams]]</f>
        <v>4185753615.9374375</v>
      </c>
      <c r="U654" s="7" t="e">
        <f>_xlfn.STDEV.S(Pcfu43[[#This Row],[R1]:[R3]])/AVERAGE(Pcfu43[[#This Row],[R1]:[R3]])</f>
        <v>#VALUE!</v>
      </c>
      <c r="V654" s="96"/>
      <c r="W654" s="7"/>
      <c r="X654" t="s">
        <v>544</v>
      </c>
    </row>
    <row r="655" spans="1:24" x14ac:dyDescent="0.15">
      <c r="A655" t="s">
        <v>590</v>
      </c>
      <c r="D655" t="s">
        <v>86</v>
      </c>
      <c r="E655" s="3">
        <v>3</v>
      </c>
      <c r="G655">
        <v>0.3</v>
      </c>
      <c r="H655" s="5">
        <f>19*Pcfu4[[#This Row],[grams]]</f>
        <v>5.7</v>
      </c>
      <c r="I655" s="3" t="s">
        <v>170</v>
      </c>
      <c r="J655" s="59">
        <v>44980</v>
      </c>
      <c r="L655" s="59" t="e" cm="1">
        <f t="array" ref="L655">INDEX($J$4:J1745, MATCH(1,(A655=$A$4:A1743)*(C655=$C$4:C1743)*("Y"=$K$4:K1745),0))</f>
        <v>#N/A</v>
      </c>
      <c r="M655" s="1">
        <v>1000000</v>
      </c>
      <c r="N655">
        <v>85</v>
      </c>
      <c r="O655">
        <v>100</v>
      </c>
      <c r="P655">
        <v>94</v>
      </c>
      <c r="Q655" s="6">
        <f>(SUM(Pcfu4[[#This Row],[R1]:[R3]]))/(Pcfu4[[#This Row],[No. Reps]]*0.025)*Pcfu4[[#This Row],[Best DF]]</f>
        <v>3719999999.9999995</v>
      </c>
      <c r="R655" s="1">
        <f>_xlfn.STDEV.S(Pcfu4[[#This Row],[R1]:[R3]])/0.025*Pcfu4[[#This Row],[Best DF]]</f>
        <v>301993377.41082996</v>
      </c>
      <c r="S655" s="6">
        <f>Pcfu4[[#This Row],[CFU/mL]]*Pcfu4[[#This Row],[mL]]/Pcfu4[[#This Row],[grams]]</f>
        <v>70679999999.999985</v>
      </c>
      <c r="T655" s="1">
        <f>Pcfu4[[#This Row],[SD CFU/mL]]*Pcfu4[[#This Row],[mL]]/Pcfu4[[#This Row],[grams]]</f>
        <v>5737874170.8057699</v>
      </c>
      <c r="U655" s="7" t="e">
        <f>_xlfn.STDEV.S(Pcfu43[[#This Row],[R1]:[R3]])/AVERAGE(Pcfu43[[#This Row],[R1]:[R3]])</f>
        <v>#VALUE!</v>
      </c>
      <c r="V655" s="96"/>
      <c r="W655" s="7"/>
      <c r="X655" t="s">
        <v>544</v>
      </c>
    </row>
    <row r="656" spans="1:24" x14ac:dyDescent="0.15">
      <c r="A656" t="s">
        <v>591</v>
      </c>
      <c r="D656" t="s">
        <v>86</v>
      </c>
      <c r="E656" s="3">
        <v>3</v>
      </c>
      <c r="G656">
        <v>0.3</v>
      </c>
      <c r="H656" s="5">
        <f>19*Pcfu4[[#This Row],[grams]]</f>
        <v>5.7</v>
      </c>
      <c r="I656" s="3" t="s">
        <v>170</v>
      </c>
      <c r="J656" s="59">
        <v>44980</v>
      </c>
      <c r="L656" s="59" t="e" cm="1">
        <f t="array" ref="L656">INDEX($J$4:J1746, MATCH(1,(A656=$A$4:A1744)*(C656=$C$4:C1744)*("Y"=$K$4:K1746),0))</f>
        <v>#N/A</v>
      </c>
      <c r="M656" s="1">
        <v>1000000</v>
      </c>
      <c r="N656">
        <v>39</v>
      </c>
      <c r="O656">
        <v>45</v>
      </c>
      <c r="P656">
        <v>38</v>
      </c>
      <c r="Q656" s="6">
        <f>(SUM(Pcfu4[[#This Row],[R1]:[R3]]))/(Pcfu4[[#This Row],[No. Reps]]*0.025)*Pcfu4[[#This Row],[Best DF]]</f>
        <v>1626666666.6666665</v>
      </c>
      <c r="R656" s="1">
        <f>_xlfn.STDEV.S(Pcfu4[[#This Row],[R1]:[R3]])/0.025*Pcfu4[[#This Row],[Best DF]]</f>
        <v>151437555.88800728</v>
      </c>
      <c r="S656" s="6">
        <f>Pcfu4[[#This Row],[CFU/mL]]*Pcfu4[[#This Row],[mL]]/Pcfu4[[#This Row],[grams]]</f>
        <v>30906666666.666668</v>
      </c>
      <c r="T656" s="1">
        <f>Pcfu4[[#This Row],[SD CFU/mL]]*Pcfu4[[#This Row],[mL]]/Pcfu4[[#This Row],[grams]]</f>
        <v>2877313561.8721385</v>
      </c>
      <c r="U656" s="7" t="e">
        <f>_xlfn.STDEV.S(Pcfu43[[#This Row],[R1]:[R3]])/AVERAGE(Pcfu43[[#This Row],[R1]:[R3]])</f>
        <v>#VALUE!</v>
      </c>
      <c r="V656" s="96"/>
      <c r="W656" s="7"/>
      <c r="X656" t="s">
        <v>544</v>
      </c>
    </row>
    <row r="657" spans="1:24" x14ac:dyDescent="0.15">
      <c r="A657" t="s">
        <v>592</v>
      </c>
      <c r="B657" t="s">
        <v>593</v>
      </c>
      <c r="D657" t="s">
        <v>86</v>
      </c>
      <c r="E657" s="3">
        <v>2</v>
      </c>
      <c r="G657">
        <v>0.3</v>
      </c>
      <c r="H657" s="5">
        <f>19*Pcfu4[[#This Row],[grams]]</f>
        <v>5.7</v>
      </c>
      <c r="I657" s="3" t="s">
        <v>170</v>
      </c>
      <c r="J657" s="59">
        <v>44981</v>
      </c>
      <c r="L657" s="59" t="e" cm="1">
        <f t="array" ref="L657">INDEX($J$4:J1747, MATCH(1,(A657=$A$4:A1745)*(C657=$C$4:C1745)*("Y"=$K$4:K1747),0))</f>
        <v>#N/A</v>
      </c>
      <c r="M657" s="1">
        <v>1000000</v>
      </c>
      <c r="N657">
        <v>180</v>
      </c>
      <c r="O657">
        <v>176</v>
      </c>
      <c r="P657"/>
      <c r="Q657" s="6">
        <f>(SUM(Pcfu4[[#This Row],[R1]:[R3]]))/(Pcfu4[[#This Row],[No. Reps]]*0.025)*Pcfu4[[#This Row],[Best DF]]</f>
        <v>7120000000</v>
      </c>
      <c r="R657" s="1">
        <f>_xlfn.STDEV.S(Pcfu4[[#This Row],[R1]:[R3]])/0.025*Pcfu4[[#This Row],[Best DF]]</f>
        <v>113137084.98984762</v>
      </c>
      <c r="S657" s="6">
        <f>Pcfu4[[#This Row],[CFU/mL]]*Pcfu4[[#This Row],[mL]]/Pcfu4[[#This Row],[grams]]</f>
        <v>135280000000</v>
      </c>
      <c r="T657" s="1">
        <f>Pcfu4[[#This Row],[SD CFU/mL]]*Pcfu4[[#This Row],[mL]]/Pcfu4[[#This Row],[grams]]</f>
        <v>2149604614.8071046</v>
      </c>
      <c r="U657" s="7" t="e">
        <f>_xlfn.STDEV.S(Pcfu43[[#This Row],[R1]:[R3]])/AVERAGE(Pcfu43[[#This Row],[R1]:[R3]])</f>
        <v>#VALUE!</v>
      </c>
      <c r="V657" s="96"/>
      <c r="W657" s="7"/>
      <c r="X657" t="s">
        <v>544</v>
      </c>
    </row>
    <row r="658" spans="1:24" x14ac:dyDescent="0.15">
      <c r="A658" t="s">
        <v>594</v>
      </c>
      <c r="B658" t="s">
        <v>593</v>
      </c>
      <c r="D658" t="s">
        <v>86</v>
      </c>
      <c r="E658" s="3">
        <v>2</v>
      </c>
      <c r="G658">
        <v>0.3</v>
      </c>
      <c r="H658" s="5">
        <f>19*Pcfu4[[#This Row],[grams]]</f>
        <v>5.7</v>
      </c>
      <c r="I658" s="3" t="s">
        <v>170</v>
      </c>
      <c r="J658" s="59">
        <v>44981</v>
      </c>
      <c r="L658" s="59" t="e" cm="1">
        <f t="array" ref="L658">INDEX($J$4:J1748, MATCH(1,(A658=$A$4:A1746)*(C658=$C$4:C1746)*("Y"=$K$4:K1748),0))</f>
        <v>#N/A</v>
      </c>
      <c r="M658" s="1">
        <v>1000000</v>
      </c>
      <c r="N658">
        <v>153</v>
      </c>
      <c r="O658">
        <v>127</v>
      </c>
      <c r="P658"/>
      <c r="Q658" s="6">
        <f>(SUM(Pcfu4[[#This Row],[R1]:[R3]]))/(Pcfu4[[#This Row],[No. Reps]]*0.025)*Pcfu4[[#This Row],[Best DF]]</f>
        <v>5600000000</v>
      </c>
      <c r="R658" s="1">
        <f>_xlfn.STDEV.S(Pcfu4[[#This Row],[R1]:[R3]])/0.025*Pcfu4[[#This Row],[Best DF]]</f>
        <v>735391052.43400931</v>
      </c>
      <c r="S658" s="6">
        <f>Pcfu4[[#This Row],[CFU/mL]]*Pcfu4[[#This Row],[mL]]/Pcfu4[[#This Row],[grams]]</f>
        <v>106400000000</v>
      </c>
      <c r="T658" s="1">
        <f>Pcfu4[[#This Row],[SD CFU/mL]]*Pcfu4[[#This Row],[mL]]/Pcfu4[[#This Row],[grams]]</f>
        <v>13972429996.246178</v>
      </c>
      <c r="U658" s="7" t="e">
        <f>_xlfn.STDEV.S(Pcfu43[[#This Row],[R1]:[R3]])/AVERAGE(Pcfu43[[#This Row],[R1]:[R3]])</f>
        <v>#VALUE!</v>
      </c>
      <c r="V658" s="96"/>
      <c r="W658" s="7"/>
      <c r="X658" t="s">
        <v>544</v>
      </c>
    </row>
    <row r="659" spans="1:24" x14ac:dyDescent="0.15">
      <c r="A659" t="s">
        <v>595</v>
      </c>
      <c r="B659" t="s">
        <v>593</v>
      </c>
      <c r="D659" t="s">
        <v>86</v>
      </c>
      <c r="E659" s="3">
        <v>2</v>
      </c>
      <c r="G659">
        <v>0.3</v>
      </c>
      <c r="H659" s="5">
        <f>19*Pcfu4[[#This Row],[grams]]</f>
        <v>5.7</v>
      </c>
      <c r="I659" s="3" t="s">
        <v>170</v>
      </c>
      <c r="J659" s="59">
        <v>44981</v>
      </c>
      <c r="L659" s="59" t="e" cm="1">
        <f t="array" ref="L659">INDEX($J$4:J1749, MATCH(1,(A659=$A$4:A1747)*(C659=$C$4:C1747)*("Y"=$K$4:K1749),0))</f>
        <v>#N/A</v>
      </c>
      <c r="M659" s="1">
        <v>1000000</v>
      </c>
      <c r="N659">
        <v>108</v>
      </c>
      <c r="O659">
        <v>97</v>
      </c>
      <c r="P659"/>
      <c r="Q659" s="6">
        <f>(SUM(Pcfu4[[#This Row],[R1]:[R3]]))/(Pcfu4[[#This Row],[No. Reps]]*0.025)*Pcfu4[[#This Row],[Best DF]]</f>
        <v>4100000000</v>
      </c>
      <c r="R659" s="1">
        <f>_xlfn.STDEV.S(Pcfu4[[#This Row],[R1]:[R3]])/0.025*Pcfu4[[#This Row],[Best DF]]</f>
        <v>311126983.72208089</v>
      </c>
      <c r="S659" s="6">
        <f>Pcfu4[[#This Row],[CFU/mL]]*Pcfu4[[#This Row],[mL]]/Pcfu4[[#This Row],[grams]]</f>
        <v>77900000000</v>
      </c>
      <c r="T659" s="1">
        <f>Pcfu4[[#This Row],[SD CFU/mL]]*Pcfu4[[#This Row],[mL]]/Pcfu4[[#This Row],[grams]]</f>
        <v>5911412690.7195368</v>
      </c>
      <c r="U659" s="7" t="e">
        <f>_xlfn.STDEV.S(Pcfu43[[#This Row],[R1]:[R3]])/AVERAGE(Pcfu43[[#This Row],[R1]:[R3]])</f>
        <v>#VALUE!</v>
      </c>
      <c r="V659" s="96"/>
      <c r="W659" s="7"/>
      <c r="X659" t="s">
        <v>544</v>
      </c>
    </row>
    <row r="660" spans="1:24" x14ac:dyDescent="0.15">
      <c r="A660" t="s">
        <v>596</v>
      </c>
      <c r="B660" t="s">
        <v>593</v>
      </c>
      <c r="D660" t="s">
        <v>86</v>
      </c>
      <c r="E660" s="3">
        <v>2</v>
      </c>
      <c r="G660">
        <v>0.3</v>
      </c>
      <c r="H660" s="5">
        <f>19*Pcfu4[[#This Row],[grams]]</f>
        <v>5.7</v>
      </c>
      <c r="I660" s="3" t="s">
        <v>170</v>
      </c>
      <c r="J660" s="59">
        <v>44981</v>
      </c>
      <c r="L660" s="59" t="e" cm="1">
        <f t="array" ref="L660">INDEX($J$4:J1750, MATCH(1,(A660=$A$4:A1748)*(C660=$C$4:C1748)*("Y"=$K$4:K1750),0))</f>
        <v>#N/A</v>
      </c>
      <c r="M660" s="1">
        <v>1000000</v>
      </c>
      <c r="N660">
        <v>90</v>
      </c>
      <c r="O660">
        <v>103</v>
      </c>
      <c r="P660"/>
      <c r="Q660" s="6">
        <f>(SUM(Pcfu4[[#This Row],[R1]:[R3]]))/(Pcfu4[[#This Row],[No. Reps]]*0.025)*Pcfu4[[#This Row],[Best DF]]</f>
        <v>3860000000</v>
      </c>
      <c r="R660" s="1">
        <f>_xlfn.STDEV.S(Pcfu4[[#This Row],[R1]:[R3]])/0.025*Pcfu4[[#This Row],[Best DF]]</f>
        <v>367695526.21700466</v>
      </c>
      <c r="S660" s="6">
        <f>Pcfu4[[#This Row],[CFU/mL]]*Pcfu4[[#This Row],[mL]]/Pcfu4[[#This Row],[grams]]</f>
        <v>73340000000</v>
      </c>
      <c r="T660" s="1">
        <f>Pcfu4[[#This Row],[SD CFU/mL]]*Pcfu4[[#This Row],[mL]]/Pcfu4[[#This Row],[grams]]</f>
        <v>6986214998.1230888</v>
      </c>
      <c r="U660" s="7" t="e">
        <f>_xlfn.STDEV.S(Pcfu43[[#This Row],[R1]:[R3]])/AVERAGE(Pcfu43[[#This Row],[R1]:[R3]])</f>
        <v>#VALUE!</v>
      </c>
      <c r="V660" s="96"/>
      <c r="W660" s="7"/>
      <c r="X660" t="s">
        <v>544</v>
      </c>
    </row>
    <row r="661" spans="1:24" x14ac:dyDescent="0.15">
      <c r="A661" t="s">
        <v>415</v>
      </c>
      <c r="B661" t="s">
        <v>204</v>
      </c>
      <c r="D661" t="s">
        <v>26</v>
      </c>
      <c r="E661" s="3">
        <v>3</v>
      </c>
      <c r="G661">
        <v>0.3</v>
      </c>
      <c r="H661" s="5">
        <f>19*Pcfu4[[#This Row],[grams]]</f>
        <v>5.7</v>
      </c>
      <c r="I661" s="3" t="s">
        <v>170</v>
      </c>
      <c r="J661" s="59">
        <v>44984</v>
      </c>
      <c r="L661" s="59" t="e" cm="1">
        <f t="array" ref="L661">INDEX($J$4:J1751, MATCH(1,(A661=$A$4:A1749)*(C661=$C$4:C1749)*("Y"=$K$4:K1751),0))</f>
        <v>#N/A</v>
      </c>
      <c r="M661" s="1">
        <v>10000</v>
      </c>
      <c r="N661">
        <v>177</v>
      </c>
      <c r="O661">
        <v>202</v>
      </c>
      <c r="P661">
        <v>203</v>
      </c>
      <c r="Q661" s="6">
        <f>(SUM(Pcfu4[[#This Row],[R1]:[R3]]))/(Pcfu4[[#This Row],[No. Reps]]*0.025)*Pcfu4[[#This Row],[Best DF]]</f>
        <v>77599999.999999985</v>
      </c>
      <c r="R661" s="1">
        <f>_xlfn.STDEV.S(Pcfu4[[#This Row],[R1]:[R3]])/0.025*Pcfu4[[#This Row],[Best DF]]</f>
        <v>5892367.945062493</v>
      </c>
      <c r="S661" s="6">
        <f>Pcfu4[[#This Row],[CFU/mL]]*Pcfu4[[#This Row],[mL]]/Pcfu4[[#This Row],[grams]]</f>
        <v>1474399999.9999998</v>
      </c>
      <c r="T661" s="1">
        <f>Pcfu4[[#This Row],[SD CFU/mL]]*Pcfu4[[#This Row],[mL]]/Pcfu4[[#This Row],[grams]]</f>
        <v>111954990.95618738</v>
      </c>
      <c r="U661" s="7" t="e">
        <f>_xlfn.STDEV.S(Pcfu43[[#This Row],[R1]:[R3]])/AVERAGE(Pcfu43[[#This Row],[R1]:[R3]])</f>
        <v>#VALUE!</v>
      </c>
      <c r="V661" s="96">
        <v>0.36</v>
      </c>
      <c r="W661" s="7"/>
      <c r="X661" t="s">
        <v>597</v>
      </c>
    </row>
    <row r="662" spans="1:24" x14ac:dyDescent="0.15">
      <c r="A662" t="s">
        <v>416</v>
      </c>
      <c r="B662" t="s">
        <v>204</v>
      </c>
      <c r="D662" t="s">
        <v>26</v>
      </c>
      <c r="E662" s="3">
        <v>3</v>
      </c>
      <c r="G662">
        <v>0.3</v>
      </c>
      <c r="H662" s="5">
        <f>19*Pcfu4[[#This Row],[grams]]</f>
        <v>5.7</v>
      </c>
      <c r="I662" s="3" t="s">
        <v>170</v>
      </c>
      <c r="J662" s="59">
        <v>44984</v>
      </c>
      <c r="L662" s="59" t="e" cm="1">
        <f t="array" ref="L662">INDEX($J$4:J1752, MATCH(1,(A662=$A$4:A1750)*(C662=$C$4:C1750)*("Y"=$K$4:K1752),0))</f>
        <v>#N/A</v>
      </c>
      <c r="M662" s="1">
        <v>100000</v>
      </c>
      <c r="N662">
        <v>69</v>
      </c>
      <c r="O662">
        <v>81</v>
      </c>
      <c r="P662">
        <v>78</v>
      </c>
      <c r="Q662" s="6">
        <f>(SUM(Pcfu4[[#This Row],[R1]:[R3]]))/(Pcfu4[[#This Row],[No. Reps]]*0.025)*Pcfu4[[#This Row],[Best DF]]</f>
        <v>303999999.99999994</v>
      </c>
      <c r="R662" s="1">
        <f>_xlfn.STDEV.S(Pcfu4[[#This Row],[R1]:[R3]])/0.025*Pcfu4[[#This Row],[Best DF]]</f>
        <v>24979991.993593592</v>
      </c>
      <c r="S662" s="6">
        <f>Pcfu4[[#This Row],[CFU/mL]]*Pcfu4[[#This Row],[mL]]/Pcfu4[[#This Row],[grams]]</f>
        <v>5775999999.999999</v>
      </c>
      <c r="T662" s="1">
        <f>Pcfu4[[#This Row],[SD CFU/mL]]*Pcfu4[[#This Row],[mL]]/Pcfu4[[#This Row],[grams]]</f>
        <v>474619847.87827832</v>
      </c>
      <c r="U662" s="7" t="e">
        <f>_xlfn.STDEV.S(Pcfu43[[#This Row],[R1]:[R3]])/AVERAGE(Pcfu43[[#This Row],[R1]:[R3]])</f>
        <v>#VALUE!</v>
      </c>
      <c r="V662" s="96">
        <v>0.308</v>
      </c>
      <c r="W662" s="7"/>
      <c r="X662" t="s">
        <v>598</v>
      </c>
    </row>
    <row r="663" spans="1:24" x14ac:dyDescent="0.15">
      <c r="A663" t="s">
        <v>420</v>
      </c>
      <c r="B663" t="s">
        <v>204</v>
      </c>
      <c r="D663" t="s">
        <v>26</v>
      </c>
      <c r="E663" s="3">
        <v>3</v>
      </c>
      <c r="G663">
        <v>0.3</v>
      </c>
      <c r="H663" s="5">
        <f>19*Pcfu4[[#This Row],[grams]]</f>
        <v>5.7</v>
      </c>
      <c r="I663" s="3" t="s">
        <v>170</v>
      </c>
      <c r="J663" s="59">
        <v>44984</v>
      </c>
      <c r="L663" s="59" t="e" cm="1">
        <f t="array" ref="L663">INDEX($J$4:J1753, MATCH(1,(A663=$A$4:A1751)*(C663=$C$4:C1751)*("Y"=$K$4:K1753),0))</f>
        <v>#N/A</v>
      </c>
      <c r="M663" s="1">
        <v>10000</v>
      </c>
      <c r="N663">
        <v>24</v>
      </c>
      <c r="O663">
        <v>16</v>
      </c>
      <c r="P663">
        <v>18</v>
      </c>
      <c r="Q663" s="6">
        <f>(SUM(Pcfu4[[#This Row],[R1]:[R3]]))/(Pcfu4[[#This Row],[No. Reps]]*0.025)*Pcfu4[[#This Row],[Best DF]]</f>
        <v>7733333.333333333</v>
      </c>
      <c r="R663" s="1">
        <f>_xlfn.STDEV.S(Pcfu4[[#This Row],[R1]:[R3]])/0.025*Pcfu4[[#This Row],[Best DF]]</f>
        <v>1665332.7995729076</v>
      </c>
      <c r="S663" s="6">
        <f>Pcfu4[[#This Row],[CFU/mL]]*Pcfu4[[#This Row],[mL]]/Pcfu4[[#This Row],[grams]]</f>
        <v>146933333.33333334</v>
      </c>
      <c r="T663" s="1">
        <f>Pcfu4[[#This Row],[SD CFU/mL]]*Pcfu4[[#This Row],[mL]]/Pcfu4[[#This Row],[grams]]</f>
        <v>31641323.191885248</v>
      </c>
      <c r="U663" s="7" t="e">
        <f>_xlfn.STDEV.S(Pcfu43[[#This Row],[R1]:[R3]])/AVERAGE(Pcfu43[[#This Row],[R1]:[R3]])</f>
        <v>#VALUE!</v>
      </c>
      <c r="V663" s="96">
        <v>0.32400000000000001</v>
      </c>
      <c r="W663" s="7"/>
      <c r="X663" t="s">
        <v>599</v>
      </c>
    </row>
    <row r="664" spans="1:24" x14ac:dyDescent="0.15">
      <c r="A664" t="s">
        <v>422</v>
      </c>
      <c r="B664" t="s">
        <v>204</v>
      </c>
      <c r="D664" t="s">
        <v>26</v>
      </c>
      <c r="E664" s="3">
        <v>3</v>
      </c>
      <c r="G664">
        <v>0.3</v>
      </c>
      <c r="H664" s="5">
        <f>19*Pcfu4[[#This Row],[grams]]</f>
        <v>5.7</v>
      </c>
      <c r="I664" s="3" t="s">
        <v>170</v>
      </c>
      <c r="J664" s="59">
        <v>44984</v>
      </c>
      <c r="L664" s="59" t="e" cm="1">
        <f t="array" ref="L664">INDEX($J$4:J1754, MATCH(1,(A664=$A$4:A1752)*(C664=$C$4:C1752)*("Y"=$K$4:K1754),0))</f>
        <v>#N/A</v>
      </c>
      <c r="M664" s="1">
        <v>10000</v>
      </c>
      <c r="N664">
        <v>23</v>
      </c>
      <c r="O664">
        <v>24</v>
      </c>
      <c r="P664">
        <v>32</v>
      </c>
      <c r="Q664" s="6">
        <f>(SUM(Pcfu4[[#This Row],[R1]:[R3]]))/(Pcfu4[[#This Row],[No. Reps]]*0.025)*Pcfu4[[#This Row],[Best DF]]</f>
        <v>10533333.333333332</v>
      </c>
      <c r="R664" s="1">
        <f>_xlfn.STDEV.S(Pcfu4[[#This Row],[R1]:[R3]])/0.025*Pcfu4[[#This Row],[Best DF]]</f>
        <v>1973153.1449264959</v>
      </c>
      <c r="S664" s="6">
        <f>Pcfu4[[#This Row],[CFU/mL]]*Pcfu4[[#This Row],[mL]]/Pcfu4[[#This Row],[grams]]</f>
        <v>200133333.33333331</v>
      </c>
      <c r="T664" s="1">
        <f>Pcfu4[[#This Row],[SD CFU/mL]]*Pcfu4[[#This Row],[mL]]/Pcfu4[[#This Row],[grams]]</f>
        <v>37489909.753603421</v>
      </c>
      <c r="U664" s="7" t="e">
        <f>_xlfn.STDEV.S(Pcfu43[[#This Row],[R1]:[R3]])/AVERAGE(Pcfu43[[#This Row],[R1]:[R3]])</f>
        <v>#VALUE!</v>
      </c>
      <c r="V664" s="96">
        <v>0.22700000000000001</v>
      </c>
      <c r="W664" s="7"/>
      <c r="X664" t="s">
        <v>600</v>
      </c>
    </row>
    <row r="665" spans="1:24" x14ac:dyDescent="0.15">
      <c r="A665" t="s">
        <v>424</v>
      </c>
      <c r="B665" t="s">
        <v>204</v>
      </c>
      <c r="D665" t="s">
        <v>26</v>
      </c>
      <c r="E665" s="3">
        <v>3</v>
      </c>
      <c r="G665">
        <v>0.3</v>
      </c>
      <c r="H665" s="5">
        <f>19*Pcfu4[[#This Row],[grams]]</f>
        <v>5.7</v>
      </c>
      <c r="I665" s="3" t="s">
        <v>170</v>
      </c>
      <c r="J665" s="59">
        <v>44984</v>
      </c>
      <c r="L665" s="59" t="e" cm="1">
        <f t="array" ref="L665">INDEX($J$4:J1755, MATCH(1,(A665=$A$4:A1753)*(C665=$C$4:C1753)*("Y"=$K$4:K1755),0))</f>
        <v>#N/A</v>
      </c>
      <c r="M665" s="1">
        <v>10000</v>
      </c>
      <c r="N665">
        <v>7</v>
      </c>
      <c r="O665">
        <v>12</v>
      </c>
      <c r="P665">
        <v>12</v>
      </c>
      <c r="Q665" s="6">
        <f>(SUM(Pcfu4[[#This Row],[R1]:[R3]]))/(Pcfu4[[#This Row],[No. Reps]]*0.025)*Pcfu4[[#This Row],[Best DF]]</f>
        <v>4133333.3333333326</v>
      </c>
      <c r="R665" s="1">
        <f>_xlfn.STDEV.S(Pcfu4[[#This Row],[R1]:[R3]])/0.025*Pcfu4[[#This Row],[Best DF]]</f>
        <v>1154700.538379252</v>
      </c>
      <c r="S665" s="6">
        <f>Pcfu4[[#This Row],[CFU/mL]]*Pcfu4[[#This Row],[mL]]/Pcfu4[[#This Row],[grams]]</f>
        <v>78533333.333333328</v>
      </c>
      <c r="T665" s="1">
        <f>Pcfu4[[#This Row],[SD CFU/mL]]*Pcfu4[[#This Row],[mL]]/Pcfu4[[#This Row],[grams]]</f>
        <v>21939310.229205787</v>
      </c>
      <c r="U665" s="7" t="e">
        <f>_xlfn.STDEV.S(Pcfu43[[#This Row],[R1]:[R3]])/AVERAGE(Pcfu43[[#This Row],[R1]:[R3]])</f>
        <v>#VALUE!</v>
      </c>
      <c r="V665" s="96">
        <v>0.30099999999999999</v>
      </c>
      <c r="W665" s="7"/>
      <c r="X665" t="s">
        <v>575</v>
      </c>
    </row>
    <row r="666" spans="1:24" x14ac:dyDescent="0.15">
      <c r="A666" t="s">
        <v>403</v>
      </c>
      <c r="B666" t="s">
        <v>204</v>
      </c>
      <c r="D666" t="s">
        <v>37</v>
      </c>
      <c r="E666" s="3">
        <v>3</v>
      </c>
      <c r="G666">
        <v>0.3</v>
      </c>
      <c r="H666" s="5">
        <f>19*Pcfu4[[#This Row],[grams]]</f>
        <v>5.7</v>
      </c>
      <c r="I666" s="3" t="s">
        <v>170</v>
      </c>
      <c r="J666" s="59">
        <v>44984</v>
      </c>
      <c r="L666" s="59" t="e" cm="1">
        <f t="array" ref="L666">INDEX($J$4:J1756, MATCH(1,(A666=$A$4:A1754)*(C666=$C$4:C1754)*("Y"=$K$4:K1756),0))</f>
        <v>#N/A</v>
      </c>
      <c r="M666" s="1">
        <v>100000</v>
      </c>
      <c r="N666">
        <v>181</v>
      </c>
      <c r="O666">
        <v>203</v>
      </c>
      <c r="P666">
        <v>172</v>
      </c>
      <c r="Q666" s="6">
        <f>(SUM(Pcfu4[[#This Row],[R1]:[R3]]))/(Pcfu4[[#This Row],[No. Reps]]*0.025)*Pcfu4[[#This Row],[Best DF]]</f>
        <v>741333333.33333325</v>
      </c>
      <c r="R666" s="1">
        <f>_xlfn.STDEV.S(Pcfu4[[#This Row],[R1]:[R3]])/0.025*Pcfu4[[#This Row],[Best DF]]</f>
        <v>63791326.474163659</v>
      </c>
      <c r="S666" s="6">
        <f>Pcfu4[[#This Row],[CFU/mL]]*Pcfu4[[#This Row],[mL]]/Pcfu4[[#This Row],[grams]]</f>
        <v>14085333333.333332</v>
      </c>
      <c r="T666" s="1">
        <f>Pcfu4[[#This Row],[SD CFU/mL]]*Pcfu4[[#This Row],[mL]]/Pcfu4[[#This Row],[grams]]</f>
        <v>1212035203.0091095</v>
      </c>
      <c r="U666" s="7" t="e">
        <f>_xlfn.STDEV.S(Pcfu43[[#This Row],[R1]:[R3]])/AVERAGE(Pcfu43[[#This Row],[R1]:[R3]])</f>
        <v>#VALUE!</v>
      </c>
      <c r="V666" s="96">
        <v>0.254</v>
      </c>
      <c r="W666" s="7"/>
      <c r="X666" t="s">
        <v>601</v>
      </c>
    </row>
    <row r="667" spans="1:24" x14ac:dyDescent="0.15">
      <c r="A667" t="s">
        <v>405</v>
      </c>
      <c r="B667" t="s">
        <v>204</v>
      </c>
      <c r="D667" t="s">
        <v>37</v>
      </c>
      <c r="E667" s="3">
        <v>3</v>
      </c>
      <c r="G667">
        <v>0.3</v>
      </c>
      <c r="H667" s="5">
        <f>19*Pcfu4[[#This Row],[grams]]</f>
        <v>5.7</v>
      </c>
      <c r="I667" s="3" t="s">
        <v>170</v>
      </c>
      <c r="J667" s="59">
        <v>44984</v>
      </c>
      <c r="L667" s="59" t="e" cm="1">
        <f t="array" ref="L667">INDEX($J$4:J1757, MATCH(1,(A667=$A$4:A1755)*(C667=$C$4:C1755)*("Y"=$K$4:K1757),0))</f>
        <v>#N/A</v>
      </c>
      <c r="M667" s="1">
        <v>1000000</v>
      </c>
      <c r="N667">
        <v>55</v>
      </c>
      <c r="O667">
        <v>47</v>
      </c>
      <c r="P667">
        <v>46</v>
      </c>
      <c r="Q667" s="6">
        <f>(SUM(Pcfu4[[#This Row],[R1]:[R3]]))/(Pcfu4[[#This Row],[No. Reps]]*0.025)*Pcfu4[[#This Row],[Best DF]]</f>
        <v>1973333333.333333</v>
      </c>
      <c r="R667" s="1">
        <f>_xlfn.STDEV.S(Pcfu4[[#This Row],[R1]:[R3]])/0.025*Pcfu4[[#This Row],[Best DF]]</f>
        <v>197315314.49264991</v>
      </c>
      <c r="S667" s="6">
        <f>Pcfu4[[#This Row],[CFU/mL]]*Pcfu4[[#This Row],[mL]]/Pcfu4[[#This Row],[grams]]</f>
        <v>37493333333.333328</v>
      </c>
      <c r="T667" s="1">
        <f>Pcfu4[[#This Row],[SD CFU/mL]]*Pcfu4[[#This Row],[mL]]/Pcfu4[[#This Row],[grams]]</f>
        <v>3748990975.3603482</v>
      </c>
      <c r="U667" s="7" t="e">
        <f>_xlfn.STDEV.S(Pcfu43[[#This Row],[R1]:[R3]])/AVERAGE(Pcfu43[[#This Row],[R1]:[R3]])</f>
        <v>#VALUE!</v>
      </c>
      <c r="V667" s="96">
        <v>0.19800000000000001</v>
      </c>
      <c r="W667" s="7"/>
      <c r="X667" t="s">
        <v>602</v>
      </c>
    </row>
    <row r="668" spans="1:24" x14ac:dyDescent="0.15">
      <c r="A668" t="s">
        <v>407</v>
      </c>
      <c r="B668" t="s">
        <v>204</v>
      </c>
      <c r="D668" t="s">
        <v>37</v>
      </c>
      <c r="E668" s="3">
        <v>3</v>
      </c>
      <c r="G668">
        <v>0.3</v>
      </c>
      <c r="H668" s="5">
        <f>19*Pcfu4[[#This Row],[grams]]</f>
        <v>5.7</v>
      </c>
      <c r="I668" s="3" t="s">
        <v>170</v>
      </c>
      <c r="J668" s="59">
        <v>44984</v>
      </c>
      <c r="L668" s="59" t="e" cm="1">
        <f t="array" ref="L668">INDEX($J$4:J1758, MATCH(1,(A668=$A$4:A1756)*(C668=$C$4:C1756)*("Y"=$K$4:K1758),0))</f>
        <v>#N/A</v>
      </c>
      <c r="M668" s="1">
        <v>100000</v>
      </c>
      <c r="N668">
        <v>109</v>
      </c>
      <c r="O668">
        <v>124</v>
      </c>
      <c r="P668">
        <v>108</v>
      </c>
      <c r="Q668" s="6">
        <f>(SUM(Pcfu4[[#This Row],[R1]:[R3]]))/(Pcfu4[[#This Row],[No. Reps]]*0.025)*Pcfu4[[#This Row],[Best DF]]</f>
        <v>454666666.66666663</v>
      </c>
      <c r="R668" s="1">
        <f>_xlfn.STDEV.S(Pcfu4[[#This Row],[R1]:[R3]])/0.025*Pcfu4[[#This Row],[Best DF]]</f>
        <v>35851545.759330012</v>
      </c>
      <c r="S668" s="6">
        <f>Pcfu4[[#This Row],[CFU/mL]]*Pcfu4[[#This Row],[mL]]/Pcfu4[[#This Row],[grams]]</f>
        <v>8638666666.6666679</v>
      </c>
      <c r="T668" s="1">
        <f>Pcfu4[[#This Row],[SD CFU/mL]]*Pcfu4[[#This Row],[mL]]/Pcfu4[[#This Row],[grams]]</f>
        <v>681179369.42727029</v>
      </c>
      <c r="U668" s="7" t="e">
        <f>_xlfn.STDEV.S(Pcfu43[[#This Row],[R1]:[R3]])/AVERAGE(Pcfu43[[#This Row],[R1]:[R3]])</f>
        <v>#VALUE!</v>
      </c>
      <c r="V668" s="96">
        <v>0.26700000000000002</v>
      </c>
      <c r="W668" s="7"/>
      <c r="X668" t="s">
        <v>603</v>
      </c>
    </row>
    <row r="669" spans="1:24" x14ac:dyDescent="0.15">
      <c r="A669" t="s">
        <v>409</v>
      </c>
      <c r="B669" t="s">
        <v>204</v>
      </c>
      <c r="D669" t="s">
        <v>37</v>
      </c>
      <c r="E669" s="3">
        <v>3</v>
      </c>
      <c r="G669">
        <v>0.3</v>
      </c>
      <c r="H669" s="5">
        <f>19*Pcfu4[[#This Row],[grams]]</f>
        <v>5.7</v>
      </c>
      <c r="I669" s="3" t="s">
        <v>170</v>
      </c>
      <c r="J669" s="59">
        <v>44984</v>
      </c>
      <c r="L669" s="59" t="e" cm="1">
        <f t="array" ref="L669">INDEX($J$4:J1759, MATCH(1,(A669=$A$4:A1757)*(C669=$C$4:C1757)*("Y"=$K$4:K1759),0))</f>
        <v>#N/A</v>
      </c>
      <c r="M669" s="1">
        <v>100000</v>
      </c>
      <c r="N669">
        <v>59</v>
      </c>
      <c r="O669">
        <v>60</v>
      </c>
      <c r="P669">
        <v>64</v>
      </c>
      <c r="Q669" s="6">
        <f>(SUM(Pcfu4[[#This Row],[R1]:[R3]]))/(Pcfu4[[#This Row],[No. Reps]]*0.025)*Pcfu4[[#This Row],[Best DF]]</f>
        <v>243999999.99999994</v>
      </c>
      <c r="R669" s="1">
        <f>_xlfn.STDEV.S(Pcfu4[[#This Row],[R1]:[R3]])/0.025*Pcfu4[[#This Row],[Best DF]]</f>
        <v>10583005.244258363</v>
      </c>
      <c r="S669" s="6">
        <f>Pcfu4[[#This Row],[CFU/mL]]*Pcfu4[[#This Row],[mL]]/Pcfu4[[#This Row],[grams]]</f>
        <v>4635999999.999999</v>
      </c>
      <c r="T669" s="1">
        <f>Pcfu4[[#This Row],[SD CFU/mL]]*Pcfu4[[#This Row],[mL]]/Pcfu4[[#This Row],[grams]]</f>
        <v>201077099.64090893</v>
      </c>
      <c r="U669" s="7" t="e">
        <f>_xlfn.STDEV.S(Pcfu43[[#This Row],[R1]:[R3]])/AVERAGE(Pcfu43[[#This Row],[R1]:[R3]])</f>
        <v>#VALUE!</v>
      </c>
      <c r="V669" s="96">
        <v>0.22700000000000001</v>
      </c>
      <c r="W669" s="7"/>
      <c r="X669" t="s">
        <v>604</v>
      </c>
    </row>
    <row r="670" spans="1:24" x14ac:dyDescent="0.15">
      <c r="A670" t="s">
        <v>411</v>
      </c>
      <c r="B670" t="s">
        <v>204</v>
      </c>
      <c r="D670" t="s">
        <v>37</v>
      </c>
      <c r="E670" s="3">
        <v>3</v>
      </c>
      <c r="G670">
        <v>0.3</v>
      </c>
      <c r="H670" s="5">
        <f>19*Pcfu4[[#This Row],[grams]]</f>
        <v>5.7</v>
      </c>
      <c r="I670" s="3" t="s">
        <v>170</v>
      </c>
      <c r="J670" s="59">
        <v>44984</v>
      </c>
      <c r="L670" s="59" t="e" cm="1">
        <f t="array" ref="L670">INDEX($J$4:J1760, MATCH(1,(A670=$A$4:A1758)*(C670=$C$4:C1758)*("Y"=$K$4:K1760),0))</f>
        <v>#N/A</v>
      </c>
      <c r="M670" s="1">
        <v>100000</v>
      </c>
      <c r="N670">
        <v>106</v>
      </c>
      <c r="O670">
        <v>91</v>
      </c>
      <c r="P670">
        <v>108</v>
      </c>
      <c r="Q670" s="6">
        <f>(SUM(Pcfu4[[#This Row],[R1]:[R3]]))/(Pcfu4[[#This Row],[No. Reps]]*0.025)*Pcfu4[[#This Row],[Best DF]]</f>
        <v>406666666.66666663</v>
      </c>
      <c r="R670" s="1">
        <f>_xlfn.STDEV.S(Pcfu4[[#This Row],[R1]:[R3]])/0.025*Pcfu4[[#This Row],[Best DF]]</f>
        <v>37166292.972710274</v>
      </c>
      <c r="S670" s="6">
        <f>Pcfu4[[#This Row],[CFU/mL]]*Pcfu4[[#This Row],[mL]]/Pcfu4[[#This Row],[grams]]</f>
        <v>7726666666.666667</v>
      </c>
      <c r="T670" s="1">
        <f>Pcfu4[[#This Row],[SD CFU/mL]]*Pcfu4[[#This Row],[mL]]/Pcfu4[[#This Row],[grams]]</f>
        <v>706159566.48149526</v>
      </c>
      <c r="U670" s="7" t="e">
        <f>_xlfn.STDEV.S(Pcfu43[[#This Row],[R1]:[R3]])/AVERAGE(Pcfu43[[#This Row],[R1]:[R3]])</f>
        <v>#VALUE!</v>
      </c>
      <c r="V670" s="96">
        <v>0.157</v>
      </c>
      <c r="W670" s="7"/>
      <c r="X670" t="s">
        <v>605</v>
      </c>
    </row>
    <row r="671" spans="1:24" x14ac:dyDescent="0.15">
      <c r="A671" t="s">
        <v>413</v>
      </c>
      <c r="B671" t="s">
        <v>204</v>
      </c>
      <c r="D671" t="s">
        <v>37</v>
      </c>
      <c r="E671" s="3">
        <v>3</v>
      </c>
      <c r="G671">
        <v>0.3</v>
      </c>
      <c r="H671" s="5">
        <f>19*Pcfu4[[#This Row],[grams]]</f>
        <v>5.7</v>
      </c>
      <c r="I671" s="3" t="s">
        <v>170</v>
      </c>
      <c r="J671" s="59">
        <v>44984</v>
      </c>
      <c r="L671" s="59" t="e" cm="1">
        <f t="array" ref="L671">INDEX($J$4:J1761, MATCH(1,(A671=$A$4:A1759)*(C671=$C$4:C1759)*("Y"=$K$4:K1761),0))</f>
        <v>#N/A</v>
      </c>
      <c r="M671" s="1">
        <v>100000</v>
      </c>
      <c r="N671">
        <v>33</v>
      </c>
      <c r="O671">
        <v>26</v>
      </c>
      <c r="P671">
        <v>33</v>
      </c>
      <c r="Q671" s="6">
        <f>(SUM(Pcfu4[[#This Row],[R1]:[R3]]))/(Pcfu4[[#This Row],[No. Reps]]*0.025)*Pcfu4[[#This Row],[Best DF]]</f>
        <v>122666666.66666666</v>
      </c>
      <c r="R671" s="1">
        <f>_xlfn.STDEV.S(Pcfu4[[#This Row],[R1]:[R3]])/0.025*Pcfu4[[#This Row],[Best DF]]</f>
        <v>16165807.537309481</v>
      </c>
      <c r="S671" s="6">
        <f>Pcfu4[[#This Row],[CFU/mL]]*Pcfu4[[#This Row],[mL]]/Pcfu4[[#This Row],[grams]]</f>
        <v>2330666666.666667</v>
      </c>
      <c r="T671" s="1">
        <f>Pcfu4[[#This Row],[SD CFU/mL]]*Pcfu4[[#This Row],[mL]]/Pcfu4[[#This Row],[grams]]</f>
        <v>307150343.20888013</v>
      </c>
      <c r="U671" s="7" t="e">
        <f>_xlfn.STDEV.S(Pcfu43[[#This Row],[R1]:[R3]])/AVERAGE(Pcfu43[[#This Row],[R1]:[R3]])</f>
        <v>#VALUE!</v>
      </c>
      <c r="V671" s="96">
        <v>0.24299999999999999</v>
      </c>
      <c r="W671" s="7"/>
      <c r="X671" t="s">
        <v>606</v>
      </c>
    </row>
    <row r="672" spans="1:24" x14ac:dyDescent="0.15">
      <c r="A672" t="s">
        <v>418</v>
      </c>
      <c r="B672" t="s">
        <v>204</v>
      </c>
      <c r="D672" t="s">
        <v>37</v>
      </c>
      <c r="E672" s="3">
        <v>3</v>
      </c>
      <c r="G672">
        <v>0.3</v>
      </c>
      <c r="H672" s="5">
        <f>19*Pcfu4[[#This Row],[grams]]</f>
        <v>5.7</v>
      </c>
      <c r="I672" s="3" t="s">
        <v>170</v>
      </c>
      <c r="J672" s="59">
        <v>44984</v>
      </c>
      <c r="L672" s="59" t="e" cm="1">
        <f t="array" ref="L672">INDEX($J$4:J1762, MATCH(1,(A672=$A$4:A1760)*(C672=$C$4:C1760)*("Y"=$K$4:K1762),0))</f>
        <v>#N/A</v>
      </c>
      <c r="M672" s="1">
        <v>10000</v>
      </c>
      <c r="N672">
        <v>184</v>
      </c>
      <c r="O672">
        <v>167</v>
      </c>
      <c r="P672">
        <v>187</v>
      </c>
      <c r="Q672" s="6">
        <f>(SUM(Pcfu4[[#This Row],[R1]:[R3]]))/(Pcfu4[[#This Row],[No. Reps]]*0.025)*Pcfu4[[#This Row],[Best DF]]</f>
        <v>71733333.333333328</v>
      </c>
      <c r="R672" s="1">
        <f>_xlfn.STDEV.S(Pcfu4[[#This Row],[R1]:[R3]])/0.025*Pcfu4[[#This Row],[Best DF]]</f>
        <v>4314317.2499635834</v>
      </c>
      <c r="S672" s="6">
        <f>Pcfu4[[#This Row],[CFU/mL]]*Pcfu4[[#This Row],[mL]]/Pcfu4[[#This Row],[grams]]</f>
        <v>1362933333.3333335</v>
      </c>
      <c r="T672" s="1">
        <f>Pcfu4[[#This Row],[SD CFU/mL]]*Pcfu4[[#This Row],[mL]]/Pcfu4[[#This Row],[grams]]</f>
        <v>81972027.749308094</v>
      </c>
      <c r="U672" s="7" t="e">
        <f>_xlfn.STDEV.S(Pcfu43[[#This Row],[R1]:[R3]])/AVERAGE(Pcfu43[[#This Row],[R1]:[R3]])</f>
        <v>#VALUE!</v>
      </c>
      <c r="V672" s="96">
        <v>0.32900000000000001</v>
      </c>
      <c r="W672" s="7"/>
      <c r="X672" t="s">
        <v>607</v>
      </c>
    </row>
    <row r="673" spans="1:24" x14ac:dyDescent="0.15">
      <c r="A673" t="s">
        <v>429</v>
      </c>
      <c r="B673" t="s">
        <v>427</v>
      </c>
      <c r="D673" t="s">
        <v>26</v>
      </c>
      <c r="E673" s="3">
        <v>3</v>
      </c>
      <c r="G673">
        <v>0.3</v>
      </c>
      <c r="H673" s="5">
        <f>19*Pcfu4[[#This Row],[grams]]</f>
        <v>5.7</v>
      </c>
      <c r="I673" s="3" t="s">
        <v>170</v>
      </c>
      <c r="J673" s="59">
        <v>44984</v>
      </c>
      <c r="L673" s="59" t="e" cm="1">
        <f t="array" ref="L673">INDEX($J$4:J1763, MATCH(1,(A673=$A$4:A1761)*(C673=$C$4:C1761)*("Y"=$K$4:K1763),0))</f>
        <v>#N/A</v>
      </c>
      <c r="M673" s="1">
        <v>1000000</v>
      </c>
      <c r="N673">
        <v>106</v>
      </c>
      <c r="O673">
        <v>119</v>
      </c>
      <c r="P673">
        <v>86</v>
      </c>
      <c r="Q673" s="6">
        <f>(SUM(Pcfu4[[#This Row],[R1]:[R3]]))/(Pcfu4[[#This Row],[No. Reps]]*0.025)*Pcfu4[[#This Row],[Best DF]]</f>
        <v>4146666666.666666</v>
      </c>
      <c r="R673" s="1">
        <f>_xlfn.STDEV.S(Pcfu4[[#This Row],[R1]:[R3]])/0.025*Pcfu4[[#This Row],[Best DF]]</f>
        <v>664931074.12222373</v>
      </c>
      <c r="S673" s="6">
        <f>Pcfu4[[#This Row],[CFU/mL]]*Pcfu4[[#This Row],[mL]]/Pcfu4[[#This Row],[grams]]</f>
        <v>78786666666.666656</v>
      </c>
      <c r="T673" s="1">
        <f>Pcfu4[[#This Row],[SD CFU/mL]]*Pcfu4[[#This Row],[mL]]/Pcfu4[[#This Row],[grams]]</f>
        <v>12633690408.322252</v>
      </c>
      <c r="U673" s="7" t="e">
        <f>_xlfn.STDEV.S(Pcfu43[[#This Row],[R1]:[R3]])/AVERAGE(Pcfu43[[#This Row],[R1]:[R3]])</f>
        <v>#VALUE!</v>
      </c>
      <c r="V673" s="96"/>
      <c r="W673" s="7"/>
      <c r="X673" t="s">
        <v>544</v>
      </c>
    </row>
    <row r="674" spans="1:24" x14ac:dyDescent="0.15">
      <c r="A674" t="s">
        <v>430</v>
      </c>
      <c r="B674" t="s">
        <v>427</v>
      </c>
      <c r="D674" t="s">
        <v>37</v>
      </c>
      <c r="E674" s="3">
        <v>3</v>
      </c>
      <c r="G674">
        <v>0.3</v>
      </c>
      <c r="H674" s="5">
        <f>19*Pcfu4[[#This Row],[grams]]</f>
        <v>5.7</v>
      </c>
      <c r="I674" s="3" t="s">
        <v>170</v>
      </c>
      <c r="J674" s="59">
        <v>44984</v>
      </c>
      <c r="L674" s="59" t="e" cm="1">
        <f t="array" ref="L674">INDEX($J$4:J1764, MATCH(1,(A674=$A$4:A1762)*(C674=$C$4:C1762)*("Y"=$K$4:K1764),0))</f>
        <v>#N/A</v>
      </c>
      <c r="M674" s="1">
        <v>1000000</v>
      </c>
      <c r="N674">
        <v>57</v>
      </c>
      <c r="O674">
        <v>74</v>
      </c>
      <c r="P674">
        <v>74</v>
      </c>
      <c r="Q674" s="6">
        <f>(SUM(Pcfu4[[#This Row],[R1]:[R3]]))/(Pcfu4[[#This Row],[No. Reps]]*0.025)*Pcfu4[[#This Row],[Best DF]]</f>
        <v>2733333333.333333</v>
      </c>
      <c r="R674" s="1">
        <f>_xlfn.STDEV.S(Pcfu4[[#This Row],[R1]:[R3]])/0.025*Pcfu4[[#This Row],[Best DF]]</f>
        <v>392598183.04894489</v>
      </c>
      <c r="S674" s="6">
        <f>Pcfu4[[#This Row],[CFU/mL]]*Pcfu4[[#This Row],[mL]]/Pcfu4[[#This Row],[grams]]</f>
        <v>51933333333.333328</v>
      </c>
      <c r="T674" s="1">
        <f>Pcfu4[[#This Row],[SD CFU/mL]]*Pcfu4[[#This Row],[mL]]/Pcfu4[[#This Row],[grams]]</f>
        <v>7459365477.9299536</v>
      </c>
      <c r="U674" s="7" t="e">
        <f>_xlfn.STDEV.S(Pcfu43[[#This Row],[R1]:[R3]])/AVERAGE(Pcfu43[[#This Row],[R1]:[R3]])</f>
        <v>#VALUE!</v>
      </c>
      <c r="V674" s="96"/>
      <c r="W674" s="7"/>
      <c r="X674" t="s">
        <v>544</v>
      </c>
    </row>
    <row r="675" spans="1:24" x14ac:dyDescent="0.15">
      <c r="A675" t="s">
        <v>426</v>
      </c>
      <c r="B675" t="s">
        <v>427</v>
      </c>
      <c r="D675" t="s">
        <v>86</v>
      </c>
      <c r="E675" s="3">
        <v>3</v>
      </c>
      <c r="G675">
        <v>0.3</v>
      </c>
      <c r="H675" s="5">
        <f>19*Pcfu4[[#This Row],[grams]]</f>
        <v>5.7</v>
      </c>
      <c r="I675" s="3" t="s">
        <v>170</v>
      </c>
      <c r="J675" s="59">
        <v>44984</v>
      </c>
      <c r="L675" s="59" t="e" cm="1">
        <f t="array" ref="L675">INDEX($J$4:J1765, MATCH(1,(A675=$A$4:A1763)*(C675=$C$4:C1763)*("Y"=$K$4:K1765),0))</f>
        <v>#N/A</v>
      </c>
      <c r="M675" s="1">
        <v>10000000</v>
      </c>
      <c r="N675">
        <v>35</v>
      </c>
      <c r="O675">
        <v>24</v>
      </c>
      <c r="P675">
        <v>35</v>
      </c>
      <c r="Q675" s="6">
        <f>(SUM(Pcfu4[[#This Row],[R1]:[R3]]))/(Pcfu4[[#This Row],[No. Reps]]*0.025)*Pcfu4[[#This Row],[Best DF]]</f>
        <v>12533333333.333332</v>
      </c>
      <c r="R675" s="1">
        <f>_xlfn.STDEV.S(Pcfu4[[#This Row],[R1]:[R3]])/0.025*Pcfu4[[#This Row],[Best DF]]</f>
        <v>2540341184.434351</v>
      </c>
      <c r="S675" s="6">
        <f>Pcfu4[[#This Row],[CFU/mL]]*Pcfu4[[#This Row],[mL]]/Pcfu4[[#This Row],[grams]]</f>
        <v>238133333333.33334</v>
      </c>
      <c r="T675" s="1">
        <f>Pcfu4[[#This Row],[SD CFU/mL]]*Pcfu4[[#This Row],[mL]]/Pcfu4[[#This Row],[grams]]</f>
        <v>48266482504.25267</v>
      </c>
      <c r="U675" s="7" t="e">
        <f>_xlfn.STDEV.S(Pcfu43[[#This Row],[R1]:[R3]])/AVERAGE(Pcfu43[[#This Row],[R1]:[R3]])</f>
        <v>#VALUE!</v>
      </c>
      <c r="V675" s="96"/>
      <c r="W675" s="7"/>
      <c r="X675" t="s">
        <v>544</v>
      </c>
    </row>
    <row r="676" spans="1:24" x14ac:dyDescent="0.15">
      <c r="A676" t="s">
        <v>428</v>
      </c>
      <c r="B676" t="s">
        <v>427</v>
      </c>
      <c r="D676" t="s">
        <v>86</v>
      </c>
      <c r="E676" s="3">
        <v>3</v>
      </c>
      <c r="G676">
        <v>0.3</v>
      </c>
      <c r="H676" s="5">
        <f>19*Pcfu4[[#This Row],[grams]]</f>
        <v>5.7</v>
      </c>
      <c r="I676" s="3" t="s">
        <v>170</v>
      </c>
      <c r="J676" s="59">
        <v>44984</v>
      </c>
      <c r="L676" s="59" t="e" cm="1">
        <f t="array" ref="L676">INDEX($J$4:J1766, MATCH(1,(A676=$A$4:A1764)*(C676=$C$4:C1764)*("Y"=$K$4:K1766),0))</f>
        <v>#N/A</v>
      </c>
      <c r="M676" s="1">
        <v>1000000</v>
      </c>
      <c r="N676">
        <v>165</v>
      </c>
      <c r="O676">
        <v>156</v>
      </c>
      <c r="P676">
        <v>167</v>
      </c>
      <c r="Q676" s="6">
        <f>(SUM(Pcfu4[[#This Row],[R1]:[R3]]))/(Pcfu4[[#This Row],[No. Reps]]*0.025)*Pcfu4[[#This Row],[Best DF]]</f>
        <v>6506666666.666666</v>
      </c>
      <c r="R676" s="1">
        <f>_xlfn.STDEV.S(Pcfu4[[#This Row],[R1]:[R3]])/0.025*Pcfu4[[#This Row],[Best DF]]</f>
        <v>234378611.08329257</v>
      </c>
      <c r="S676" s="6">
        <f>Pcfu4[[#This Row],[CFU/mL]]*Pcfu4[[#This Row],[mL]]/Pcfu4[[#This Row],[grams]]</f>
        <v>123626666666.66667</v>
      </c>
      <c r="T676" s="1">
        <f>Pcfu4[[#This Row],[SD CFU/mL]]*Pcfu4[[#This Row],[mL]]/Pcfu4[[#This Row],[grams]]</f>
        <v>4453193610.5825596</v>
      </c>
      <c r="U676" s="7" t="e">
        <f>_xlfn.STDEV.S(Pcfu43[[#This Row],[R1]:[R3]])/AVERAGE(Pcfu43[[#This Row],[R1]:[R3]])</f>
        <v>#VALUE!</v>
      </c>
      <c r="V676" s="96"/>
      <c r="W676" s="7"/>
      <c r="X676" t="s">
        <v>544</v>
      </c>
    </row>
    <row r="677" spans="1:24" x14ac:dyDescent="0.15">
      <c r="A677" t="s">
        <v>488</v>
      </c>
      <c r="C677" t="s">
        <v>608</v>
      </c>
      <c r="D677" t="s">
        <v>609</v>
      </c>
      <c r="E677" s="3">
        <v>1</v>
      </c>
      <c r="H677" s="5">
        <f>19*Pcfu4[[#This Row],[grams]]</f>
        <v>0</v>
      </c>
      <c r="I677" s="3" t="s">
        <v>28</v>
      </c>
      <c r="J677" s="59">
        <v>44984</v>
      </c>
      <c r="L677" s="59" t="e" cm="1">
        <f t="array" ref="L677">INDEX($J$4:J1767, MATCH(1,(A677=$A$4:A1765)*(C677=$C$4:C1765)*("Y"=$K$4:K1767),0))</f>
        <v>#N/A</v>
      </c>
      <c r="M677" s="1">
        <v>10</v>
      </c>
      <c r="N677">
        <v>317</v>
      </c>
      <c r="P677"/>
      <c r="Q677" s="6">
        <f>(SUM(Pcfu4[[#This Row],[R1]:[R3]]))/(Pcfu4[[#This Row],[No. Reps]]*0.025)*Pcfu4[[#This Row],[Best DF]]</f>
        <v>126800</v>
      </c>
      <c r="R677" s="1" t="e">
        <f>_xlfn.STDEV.S(Pcfu4[[#This Row],[R1]:[R3]])/0.025*Pcfu4[[#This Row],[Best DF]]</f>
        <v>#DIV/0!</v>
      </c>
      <c r="S677" s="6" t="e">
        <f>Pcfu4[[#This Row],[CFU/mL]]*Pcfu4[[#This Row],[mL]]/Pcfu4[[#This Row],[grams]]</f>
        <v>#DIV/0!</v>
      </c>
      <c r="T677" s="1" t="e">
        <f>Pcfu4[[#This Row],[SD CFU/mL]]*Pcfu4[[#This Row],[mL]]/Pcfu4[[#This Row],[grams]]</f>
        <v>#DIV/0!</v>
      </c>
      <c r="U677" s="7" t="e">
        <f>_xlfn.STDEV.S(Pcfu43[[#This Row],[R1]:[R3]])/AVERAGE(Pcfu43[[#This Row],[R1]:[R3]])</f>
        <v>#VALUE!</v>
      </c>
      <c r="V677" s="96"/>
      <c r="W677" s="7"/>
    </row>
    <row r="678" spans="1:24" x14ac:dyDescent="0.15">
      <c r="A678" t="s">
        <v>500</v>
      </c>
      <c r="C678" t="s">
        <v>608</v>
      </c>
      <c r="D678" t="s">
        <v>609</v>
      </c>
      <c r="E678" s="3">
        <v>1</v>
      </c>
      <c r="H678" s="5">
        <f>19*Pcfu4[[#This Row],[grams]]</f>
        <v>0</v>
      </c>
      <c r="I678" s="3" t="s">
        <v>28</v>
      </c>
      <c r="J678" s="59">
        <v>44984</v>
      </c>
      <c r="L678" s="59" t="e" cm="1">
        <f t="array" ref="L678">INDEX($J$4:J1768, MATCH(1,(A678=$A$4:A1766)*(C678=$C$4:C1766)*("Y"=$K$4:K1768),0))</f>
        <v>#N/A</v>
      </c>
      <c r="M678" s="1">
        <v>1</v>
      </c>
      <c r="N678">
        <v>90</v>
      </c>
      <c r="P678"/>
      <c r="Q678" s="6">
        <f>(SUM(Pcfu4[[#This Row],[R1]:[R3]]))/(Pcfu4[[#This Row],[No. Reps]]*0.025)*Pcfu4[[#This Row],[Best DF]]</f>
        <v>3600</v>
      </c>
      <c r="R678" s="1" t="e">
        <f>_xlfn.STDEV.S(Pcfu4[[#This Row],[R1]:[R3]])/0.025*Pcfu4[[#This Row],[Best DF]]</f>
        <v>#DIV/0!</v>
      </c>
      <c r="S678" s="6" t="e">
        <f>Pcfu4[[#This Row],[CFU/mL]]*Pcfu4[[#This Row],[mL]]/Pcfu4[[#This Row],[grams]]</f>
        <v>#DIV/0!</v>
      </c>
      <c r="T678" s="1" t="e">
        <f>Pcfu4[[#This Row],[SD CFU/mL]]*Pcfu4[[#This Row],[mL]]/Pcfu4[[#This Row],[grams]]</f>
        <v>#DIV/0!</v>
      </c>
      <c r="U678" s="7" t="e">
        <f>_xlfn.STDEV.S(Pcfu43[[#This Row],[R1]:[R3]])/AVERAGE(Pcfu43[[#This Row],[R1]:[R3]])</f>
        <v>#VALUE!</v>
      </c>
      <c r="V678" s="96"/>
      <c r="W678" s="7"/>
    </row>
    <row r="679" spans="1:24" x14ac:dyDescent="0.15">
      <c r="A679" t="s">
        <v>502</v>
      </c>
      <c r="C679" t="s">
        <v>608</v>
      </c>
      <c r="D679" t="s">
        <v>609</v>
      </c>
      <c r="E679" s="3">
        <v>1</v>
      </c>
      <c r="H679" s="5">
        <f>19*Pcfu4[[#This Row],[grams]]</f>
        <v>0</v>
      </c>
      <c r="I679" s="3" t="s">
        <v>28</v>
      </c>
      <c r="J679" s="59">
        <v>44984</v>
      </c>
      <c r="L679" s="59" t="e" cm="1">
        <f t="array" ref="L679">INDEX($J$4:J1769, MATCH(1,(A679=$A$4:A1767)*(C679=$C$4:C1767)*("Y"=$K$4:K1769),0))</f>
        <v>#N/A</v>
      </c>
      <c r="M679" s="1">
        <v>10</v>
      </c>
      <c r="N679">
        <v>30</v>
      </c>
      <c r="P679"/>
      <c r="Q679" s="6">
        <f>(SUM(Pcfu4[[#This Row],[R1]:[R3]]))/(Pcfu4[[#This Row],[No. Reps]]*0.025)*Pcfu4[[#This Row],[Best DF]]</f>
        <v>12000</v>
      </c>
      <c r="R679" s="1" t="e">
        <f>_xlfn.STDEV.S(Pcfu4[[#This Row],[R1]:[R3]])/0.025*Pcfu4[[#This Row],[Best DF]]</f>
        <v>#DIV/0!</v>
      </c>
      <c r="S679" s="6" t="e">
        <f>Pcfu4[[#This Row],[CFU/mL]]*Pcfu4[[#This Row],[mL]]/Pcfu4[[#This Row],[grams]]</f>
        <v>#DIV/0!</v>
      </c>
      <c r="T679" s="1" t="e">
        <f>Pcfu4[[#This Row],[SD CFU/mL]]*Pcfu4[[#This Row],[mL]]/Pcfu4[[#This Row],[grams]]</f>
        <v>#DIV/0!</v>
      </c>
      <c r="U679" s="7" t="e">
        <f>_xlfn.STDEV.S(Pcfu43[[#This Row],[R1]:[R3]])/AVERAGE(Pcfu43[[#This Row],[R1]:[R3]])</f>
        <v>#VALUE!</v>
      </c>
      <c r="V679" s="96"/>
      <c r="W679" s="7"/>
    </row>
    <row r="680" spans="1:24" x14ac:dyDescent="0.15">
      <c r="A680" t="s">
        <v>481</v>
      </c>
      <c r="C680" t="s">
        <v>608</v>
      </c>
      <c r="D680" t="s">
        <v>556</v>
      </c>
      <c r="E680" s="3">
        <v>1</v>
      </c>
      <c r="H680" s="5">
        <f>19*Pcfu4[[#This Row],[grams]]</f>
        <v>0</v>
      </c>
      <c r="I680" s="3" t="s">
        <v>28</v>
      </c>
      <c r="J680" s="59">
        <v>44984</v>
      </c>
      <c r="L680" s="59" t="e" cm="1">
        <f t="array" ref="L680">INDEX($J$4:J1770, MATCH(1,(A680=$A$4:A1768)*(C680=$C$4:C1768)*("Y"=$K$4:K1770),0))</f>
        <v>#N/A</v>
      </c>
      <c r="M680" s="1">
        <v>10</v>
      </c>
      <c r="N680">
        <v>134</v>
      </c>
      <c r="P680"/>
      <c r="Q680" s="6">
        <f>(SUM(Pcfu4[[#This Row],[R1]:[R3]]))/(Pcfu4[[#This Row],[No. Reps]]*0.025)*Pcfu4[[#This Row],[Best DF]]</f>
        <v>53600</v>
      </c>
      <c r="R680" s="1" t="e">
        <f>_xlfn.STDEV.S(Pcfu4[[#This Row],[R1]:[R3]])/0.025*Pcfu4[[#This Row],[Best DF]]</f>
        <v>#DIV/0!</v>
      </c>
      <c r="S680" s="6" t="e">
        <f>Pcfu4[[#This Row],[CFU/mL]]*Pcfu4[[#This Row],[mL]]/Pcfu4[[#This Row],[grams]]</f>
        <v>#DIV/0!</v>
      </c>
      <c r="T680" s="1" t="e">
        <f>Pcfu4[[#This Row],[SD CFU/mL]]*Pcfu4[[#This Row],[mL]]/Pcfu4[[#This Row],[grams]]</f>
        <v>#DIV/0!</v>
      </c>
      <c r="U680" s="7" t="e">
        <f>_xlfn.STDEV.S(Pcfu43[[#This Row],[R1]:[R3]])/AVERAGE(Pcfu43[[#This Row],[R1]:[R3]])</f>
        <v>#VALUE!</v>
      </c>
      <c r="V680" s="96"/>
      <c r="W680" s="7"/>
    </row>
    <row r="681" spans="1:24" x14ac:dyDescent="0.15">
      <c r="A681" t="s">
        <v>484</v>
      </c>
      <c r="C681" t="s">
        <v>608</v>
      </c>
      <c r="D681" t="s">
        <v>556</v>
      </c>
      <c r="E681" s="3">
        <v>1</v>
      </c>
      <c r="H681" s="5">
        <f>19*Pcfu4[[#This Row],[grams]]</f>
        <v>0</v>
      </c>
      <c r="I681" s="3" t="s">
        <v>28</v>
      </c>
      <c r="J681" s="59">
        <v>44984</v>
      </c>
      <c r="L681" s="59" t="e" cm="1">
        <f t="array" ref="L681">INDEX($J$4:J1771, MATCH(1,(A681=$A$4:A1769)*(C681=$C$4:C1769)*("Y"=$K$4:K1771),0))</f>
        <v>#N/A</v>
      </c>
      <c r="M681" s="1">
        <v>10</v>
      </c>
      <c r="N681">
        <v>93</v>
      </c>
      <c r="P681"/>
      <c r="Q681" s="6">
        <f>(SUM(Pcfu4[[#This Row],[R1]:[R3]]))/(Pcfu4[[#This Row],[No. Reps]]*0.025)*Pcfu4[[#This Row],[Best DF]]</f>
        <v>37200</v>
      </c>
      <c r="R681" s="1" t="e">
        <f>_xlfn.STDEV.S(Pcfu4[[#This Row],[R1]:[R3]])/0.025*Pcfu4[[#This Row],[Best DF]]</f>
        <v>#DIV/0!</v>
      </c>
      <c r="S681" s="6" t="e">
        <f>Pcfu4[[#This Row],[CFU/mL]]*Pcfu4[[#This Row],[mL]]/Pcfu4[[#This Row],[grams]]</f>
        <v>#DIV/0!</v>
      </c>
      <c r="T681" s="1" t="e">
        <f>Pcfu4[[#This Row],[SD CFU/mL]]*Pcfu4[[#This Row],[mL]]/Pcfu4[[#This Row],[grams]]</f>
        <v>#DIV/0!</v>
      </c>
      <c r="U681" s="7" t="e">
        <f>_xlfn.STDEV.S(Pcfu43[[#This Row],[R1]:[R3]])/AVERAGE(Pcfu43[[#This Row],[R1]:[R3]])</f>
        <v>#VALUE!</v>
      </c>
      <c r="V681" s="96"/>
      <c r="W681" s="7"/>
    </row>
    <row r="682" spans="1:24" x14ac:dyDescent="0.15">
      <c r="A682" t="s">
        <v>486</v>
      </c>
      <c r="C682" t="s">
        <v>608</v>
      </c>
      <c r="D682" t="s">
        <v>556</v>
      </c>
      <c r="E682" s="3">
        <v>1</v>
      </c>
      <c r="H682" s="5">
        <f>19*Pcfu4[[#This Row],[grams]]</f>
        <v>0</v>
      </c>
      <c r="I682" s="3" t="s">
        <v>28</v>
      </c>
      <c r="J682" s="59">
        <v>44984</v>
      </c>
      <c r="L682" s="59" t="e" cm="1">
        <f t="array" ref="L682">INDEX($J$4:J1772, MATCH(1,(A682=$A$4:A1770)*(C682=$C$4:C1770)*("Y"=$K$4:K1772),0))</f>
        <v>#N/A</v>
      </c>
      <c r="M682" s="1">
        <v>10</v>
      </c>
      <c r="N682">
        <v>184</v>
      </c>
      <c r="P682"/>
      <c r="Q682" s="6">
        <f>(SUM(Pcfu4[[#This Row],[R1]:[R3]]))/(Pcfu4[[#This Row],[No. Reps]]*0.025)*Pcfu4[[#This Row],[Best DF]]</f>
        <v>73600</v>
      </c>
      <c r="R682" s="1" t="e">
        <f>_xlfn.STDEV.S(Pcfu4[[#This Row],[R1]:[R3]])/0.025*Pcfu4[[#This Row],[Best DF]]</f>
        <v>#DIV/0!</v>
      </c>
      <c r="S682" s="6" t="e">
        <f>Pcfu4[[#This Row],[CFU/mL]]*Pcfu4[[#This Row],[mL]]/Pcfu4[[#This Row],[grams]]</f>
        <v>#DIV/0!</v>
      </c>
      <c r="T682" s="1" t="e">
        <f>Pcfu4[[#This Row],[SD CFU/mL]]*Pcfu4[[#This Row],[mL]]/Pcfu4[[#This Row],[grams]]</f>
        <v>#DIV/0!</v>
      </c>
      <c r="U682" s="7" t="e">
        <f>_xlfn.STDEV.S(Pcfu43[[#This Row],[R1]:[R3]])/AVERAGE(Pcfu43[[#This Row],[R1]:[R3]])</f>
        <v>#VALUE!</v>
      </c>
      <c r="V682" s="96"/>
      <c r="W682" s="7"/>
    </row>
    <row r="683" spans="1:24" x14ac:dyDescent="0.15">
      <c r="A683" t="s">
        <v>490</v>
      </c>
      <c r="C683" t="s">
        <v>608</v>
      </c>
      <c r="D683" t="s">
        <v>556</v>
      </c>
      <c r="E683" s="3">
        <v>1</v>
      </c>
      <c r="H683" s="5">
        <f>19*Pcfu4[[#This Row],[grams]]</f>
        <v>0</v>
      </c>
      <c r="I683" s="3" t="s">
        <v>28</v>
      </c>
      <c r="J683" s="59">
        <v>44984</v>
      </c>
      <c r="L683" s="59" t="e" cm="1">
        <f t="array" ref="L683">INDEX($J$4:J1773, MATCH(1,(A683=$A$4:A1771)*(C683=$C$4:C1771)*("Y"=$K$4:K1773),0))</f>
        <v>#N/A</v>
      </c>
      <c r="M683" s="1">
        <v>100</v>
      </c>
      <c r="N683">
        <v>47</v>
      </c>
      <c r="P683"/>
      <c r="Q683" s="6">
        <f>(SUM(Pcfu4[[#This Row],[R1]:[R3]]))/(Pcfu4[[#This Row],[No. Reps]]*0.025)*Pcfu4[[#This Row],[Best DF]]</f>
        <v>188000</v>
      </c>
      <c r="R683" s="1" t="e">
        <f>_xlfn.STDEV.S(Pcfu4[[#This Row],[R1]:[R3]])/0.025*Pcfu4[[#This Row],[Best DF]]</f>
        <v>#DIV/0!</v>
      </c>
      <c r="S683" s="6" t="e">
        <f>Pcfu4[[#This Row],[CFU/mL]]*Pcfu4[[#This Row],[mL]]/Pcfu4[[#This Row],[grams]]</f>
        <v>#DIV/0!</v>
      </c>
      <c r="T683" s="1" t="e">
        <f>Pcfu4[[#This Row],[SD CFU/mL]]*Pcfu4[[#This Row],[mL]]/Pcfu4[[#This Row],[grams]]</f>
        <v>#DIV/0!</v>
      </c>
      <c r="U683" s="7" t="e">
        <f>_xlfn.STDEV.S(Pcfu43[[#This Row],[R1]:[R3]])/AVERAGE(Pcfu43[[#This Row],[R1]:[R3]])</f>
        <v>#VALUE!</v>
      </c>
      <c r="V683" s="96"/>
      <c r="W683" s="7"/>
    </row>
    <row r="684" spans="1:24" x14ac:dyDescent="0.15">
      <c r="A684" t="s">
        <v>492</v>
      </c>
      <c r="C684" t="s">
        <v>608</v>
      </c>
      <c r="D684" t="s">
        <v>556</v>
      </c>
      <c r="E684" s="3">
        <v>1</v>
      </c>
      <c r="H684" s="5">
        <f>19*Pcfu4[[#This Row],[grams]]</f>
        <v>0</v>
      </c>
      <c r="I684" s="3" t="s">
        <v>28</v>
      </c>
      <c r="J684" s="59">
        <v>44984</v>
      </c>
      <c r="L684" s="59" t="e" cm="1">
        <f t="array" ref="L684">INDEX($J$4:J1774, MATCH(1,(A684=$A$4:A1772)*(C684=$C$4:C1772)*("Y"=$K$4:K1774),0))</f>
        <v>#N/A</v>
      </c>
      <c r="M684" s="1">
        <v>100</v>
      </c>
      <c r="N684">
        <v>61</v>
      </c>
      <c r="P684"/>
      <c r="Q684" s="6">
        <f>(SUM(Pcfu4[[#This Row],[R1]:[R3]]))/(Pcfu4[[#This Row],[No. Reps]]*0.025)*Pcfu4[[#This Row],[Best DF]]</f>
        <v>244000</v>
      </c>
      <c r="R684" s="1" t="e">
        <f>_xlfn.STDEV.S(Pcfu4[[#This Row],[R1]:[R3]])/0.025*Pcfu4[[#This Row],[Best DF]]</f>
        <v>#DIV/0!</v>
      </c>
      <c r="S684" s="6" t="e">
        <f>Pcfu4[[#This Row],[CFU/mL]]*Pcfu4[[#This Row],[mL]]/Pcfu4[[#This Row],[grams]]</f>
        <v>#DIV/0!</v>
      </c>
      <c r="T684" s="1" t="e">
        <f>Pcfu4[[#This Row],[SD CFU/mL]]*Pcfu4[[#This Row],[mL]]/Pcfu4[[#This Row],[grams]]</f>
        <v>#DIV/0!</v>
      </c>
      <c r="U684" s="7" t="e">
        <f>_xlfn.STDEV.S(Pcfu43[[#This Row],[R1]:[R3]])/AVERAGE(Pcfu43[[#This Row],[R1]:[R3]])</f>
        <v>#VALUE!</v>
      </c>
      <c r="V684" s="96"/>
      <c r="W684" s="7"/>
    </row>
    <row r="685" spans="1:24" x14ac:dyDescent="0.15">
      <c r="A685" t="s">
        <v>494</v>
      </c>
      <c r="C685" t="s">
        <v>608</v>
      </c>
      <c r="D685" t="s">
        <v>556</v>
      </c>
      <c r="E685" s="3">
        <v>1</v>
      </c>
      <c r="H685" s="5">
        <f>19*Pcfu4[[#This Row],[grams]]</f>
        <v>0</v>
      </c>
      <c r="I685" s="3" t="s">
        <v>28</v>
      </c>
      <c r="J685" s="59">
        <v>44984</v>
      </c>
      <c r="L685" s="59" t="e" cm="1">
        <f t="array" ref="L685">INDEX($J$4:J1775, MATCH(1,(A685=$A$4:A1773)*(C685=$C$4:C1773)*("Y"=$K$4:K1775),0))</f>
        <v>#N/A</v>
      </c>
      <c r="M685" s="1">
        <v>100</v>
      </c>
      <c r="N685">
        <v>20</v>
      </c>
      <c r="P685"/>
      <c r="Q685" s="6">
        <f>(SUM(Pcfu4[[#This Row],[R1]:[R3]]))/(Pcfu4[[#This Row],[No. Reps]]*0.025)*Pcfu4[[#This Row],[Best DF]]</f>
        <v>80000</v>
      </c>
      <c r="R685" s="1" t="e">
        <f>_xlfn.STDEV.S(Pcfu4[[#This Row],[R1]:[R3]])/0.025*Pcfu4[[#This Row],[Best DF]]</f>
        <v>#DIV/0!</v>
      </c>
      <c r="S685" s="6" t="e">
        <f>Pcfu4[[#This Row],[CFU/mL]]*Pcfu4[[#This Row],[mL]]/Pcfu4[[#This Row],[grams]]</f>
        <v>#DIV/0!</v>
      </c>
      <c r="T685" s="1" t="e">
        <f>Pcfu4[[#This Row],[SD CFU/mL]]*Pcfu4[[#This Row],[mL]]/Pcfu4[[#This Row],[grams]]</f>
        <v>#DIV/0!</v>
      </c>
      <c r="U685" s="7" t="e">
        <f>_xlfn.STDEV.S(Pcfu43[[#This Row],[R1]:[R3]])/AVERAGE(Pcfu43[[#This Row],[R1]:[R3]])</f>
        <v>#VALUE!</v>
      </c>
      <c r="V685" s="96"/>
      <c r="W685" s="7"/>
    </row>
    <row r="686" spans="1:24" x14ac:dyDescent="0.15">
      <c r="A686" t="s">
        <v>496</v>
      </c>
      <c r="C686" t="s">
        <v>608</v>
      </c>
      <c r="D686" t="s">
        <v>556</v>
      </c>
      <c r="E686" s="3">
        <v>1</v>
      </c>
      <c r="H686" s="5">
        <f>19*Pcfu4[[#This Row],[grams]]</f>
        <v>0</v>
      </c>
      <c r="I686" s="3" t="s">
        <v>28</v>
      </c>
      <c r="J686" s="59">
        <v>44984</v>
      </c>
      <c r="L686" s="59" t="e" cm="1">
        <f t="array" ref="L686">INDEX($J$4:J1776, MATCH(1,(A686=$A$4:A1774)*(C686=$C$4:C1774)*("Y"=$K$4:K1776),0))</f>
        <v>#N/A</v>
      </c>
      <c r="M686" s="1">
        <v>100</v>
      </c>
      <c r="N686">
        <v>86</v>
      </c>
      <c r="P686"/>
      <c r="Q686" s="6">
        <f>(SUM(Pcfu4[[#This Row],[R1]:[R3]]))/(Pcfu4[[#This Row],[No. Reps]]*0.025)*Pcfu4[[#This Row],[Best DF]]</f>
        <v>344000</v>
      </c>
      <c r="R686" s="1" t="e">
        <f>_xlfn.STDEV.S(Pcfu4[[#This Row],[R1]:[R3]])/0.025*Pcfu4[[#This Row],[Best DF]]</f>
        <v>#DIV/0!</v>
      </c>
      <c r="S686" s="6" t="e">
        <f>Pcfu4[[#This Row],[CFU/mL]]*Pcfu4[[#This Row],[mL]]/Pcfu4[[#This Row],[grams]]</f>
        <v>#DIV/0!</v>
      </c>
      <c r="T686" s="1" t="e">
        <f>Pcfu4[[#This Row],[SD CFU/mL]]*Pcfu4[[#This Row],[mL]]/Pcfu4[[#This Row],[grams]]</f>
        <v>#DIV/0!</v>
      </c>
      <c r="U686" s="7" t="e">
        <f>_xlfn.STDEV.S(Pcfu43[[#This Row],[R1]:[R3]])/AVERAGE(Pcfu43[[#This Row],[R1]:[R3]])</f>
        <v>#VALUE!</v>
      </c>
      <c r="V686" s="96"/>
      <c r="W686" s="7"/>
    </row>
    <row r="687" spans="1:24" x14ac:dyDescent="0.15">
      <c r="A687" t="s">
        <v>498</v>
      </c>
      <c r="C687" t="s">
        <v>608</v>
      </c>
      <c r="D687" t="s">
        <v>556</v>
      </c>
      <c r="E687" s="3">
        <v>1</v>
      </c>
      <c r="H687" s="5">
        <f>19*Pcfu4[[#This Row],[grams]]</f>
        <v>0</v>
      </c>
      <c r="I687" s="3" t="s">
        <v>28</v>
      </c>
      <c r="J687" s="59">
        <v>44984</v>
      </c>
      <c r="L687" s="59" t="e" cm="1">
        <f t="array" ref="L687">INDEX($J$4:J1777, MATCH(1,(A687=$A$4:A1775)*(C687=$C$4:C1775)*("Y"=$K$4:K1777),0))</f>
        <v>#N/A</v>
      </c>
      <c r="M687" s="1">
        <v>10</v>
      </c>
      <c r="N687">
        <v>11</v>
      </c>
      <c r="P687"/>
      <c r="Q687" s="6">
        <f>(SUM(Pcfu4[[#This Row],[R1]:[R3]]))/(Pcfu4[[#This Row],[No. Reps]]*0.025)*Pcfu4[[#This Row],[Best DF]]</f>
        <v>4400</v>
      </c>
      <c r="R687" s="1" t="e">
        <f>_xlfn.STDEV.S(Pcfu4[[#This Row],[R1]:[R3]])/0.025*Pcfu4[[#This Row],[Best DF]]</f>
        <v>#DIV/0!</v>
      </c>
      <c r="S687" s="6" t="e">
        <f>Pcfu4[[#This Row],[CFU/mL]]*Pcfu4[[#This Row],[mL]]/Pcfu4[[#This Row],[grams]]</f>
        <v>#DIV/0!</v>
      </c>
      <c r="T687" s="1" t="e">
        <f>Pcfu4[[#This Row],[SD CFU/mL]]*Pcfu4[[#This Row],[mL]]/Pcfu4[[#This Row],[grams]]</f>
        <v>#DIV/0!</v>
      </c>
      <c r="U687" s="7" t="e">
        <f>_xlfn.STDEV.S(Pcfu43[[#This Row],[R1]:[R3]])/AVERAGE(Pcfu43[[#This Row],[R1]:[R3]])</f>
        <v>#VALUE!</v>
      </c>
      <c r="V687" s="96"/>
      <c r="W687" s="7"/>
    </row>
    <row r="688" spans="1:24" x14ac:dyDescent="0.15">
      <c r="A688" t="s">
        <v>610</v>
      </c>
      <c r="C688" t="s">
        <v>608</v>
      </c>
      <c r="D688" t="s">
        <v>611</v>
      </c>
      <c r="E688" s="3">
        <v>1</v>
      </c>
      <c r="H688" s="5">
        <f>19*Pcfu4[[#This Row],[grams]]</f>
        <v>0</v>
      </c>
      <c r="I688" s="3" t="s">
        <v>28</v>
      </c>
      <c r="J688" s="59">
        <v>44984</v>
      </c>
      <c r="L688" s="59" t="e" cm="1">
        <f t="array" ref="L688">INDEX($J$4:J1778, MATCH(1,(A688=$A$4:A1776)*(C688=$C$4:C1776)*("Y"=$K$4:K1778),0))</f>
        <v>#N/A</v>
      </c>
      <c r="M688" s="1">
        <v>1000</v>
      </c>
      <c r="N688">
        <v>37</v>
      </c>
      <c r="P688"/>
      <c r="Q688" s="6">
        <f>(SUM(Pcfu4[[#This Row],[R1]:[R3]]))/(Pcfu4[[#This Row],[No. Reps]]*0.025)*Pcfu4[[#This Row],[Best DF]]</f>
        <v>1480000</v>
      </c>
      <c r="R688" s="1" t="e">
        <f>_xlfn.STDEV.S(Pcfu4[[#This Row],[R1]:[R3]])/0.025*Pcfu4[[#This Row],[Best DF]]</f>
        <v>#DIV/0!</v>
      </c>
      <c r="S688" s="6" t="e">
        <f>Pcfu4[[#This Row],[CFU/mL]]*Pcfu4[[#This Row],[mL]]/Pcfu4[[#This Row],[grams]]</f>
        <v>#DIV/0!</v>
      </c>
      <c r="T688" s="1" t="e">
        <f>Pcfu4[[#This Row],[SD CFU/mL]]*Pcfu4[[#This Row],[mL]]/Pcfu4[[#This Row],[grams]]</f>
        <v>#DIV/0!</v>
      </c>
      <c r="U688" s="7" t="e">
        <f>_xlfn.STDEV.S(Pcfu43[[#This Row],[R1]:[R3]])/AVERAGE(Pcfu43[[#This Row],[R1]:[R3]])</f>
        <v>#VALUE!</v>
      </c>
      <c r="V688" s="96"/>
      <c r="W688" s="7"/>
    </row>
    <row r="689" spans="1:23" x14ac:dyDescent="0.15">
      <c r="A689" t="s">
        <v>612</v>
      </c>
      <c r="C689" t="s">
        <v>608</v>
      </c>
      <c r="D689" t="s">
        <v>611</v>
      </c>
      <c r="E689" s="3">
        <v>1</v>
      </c>
      <c r="H689" s="5">
        <f>19*Pcfu4[[#This Row],[grams]]</f>
        <v>0</v>
      </c>
      <c r="I689" s="3" t="s">
        <v>28</v>
      </c>
      <c r="J689" s="59">
        <v>44984</v>
      </c>
      <c r="L689" s="59" t="e" cm="1">
        <f t="array" ref="L689">INDEX($J$4:J1779, MATCH(1,(A689=$A$4:A1777)*(C689=$C$4:C1777)*("Y"=$K$4:K1779),0))</f>
        <v>#N/A</v>
      </c>
      <c r="M689" s="1">
        <v>100</v>
      </c>
      <c r="N689">
        <v>20</v>
      </c>
      <c r="P689"/>
      <c r="Q689" s="6">
        <f>(SUM(Pcfu4[[#This Row],[R1]:[R3]]))/(Pcfu4[[#This Row],[No. Reps]]*0.025)*Pcfu4[[#This Row],[Best DF]]</f>
        <v>80000</v>
      </c>
      <c r="R689" s="1" t="e">
        <f>_xlfn.STDEV.S(Pcfu4[[#This Row],[R1]:[R3]])/0.025*Pcfu4[[#This Row],[Best DF]]</f>
        <v>#DIV/0!</v>
      </c>
      <c r="S689" s="6" t="e">
        <f>Pcfu4[[#This Row],[CFU/mL]]*Pcfu4[[#This Row],[mL]]/Pcfu4[[#This Row],[grams]]</f>
        <v>#DIV/0!</v>
      </c>
      <c r="T689" s="1" t="e">
        <f>Pcfu4[[#This Row],[SD CFU/mL]]*Pcfu4[[#This Row],[mL]]/Pcfu4[[#This Row],[grams]]</f>
        <v>#DIV/0!</v>
      </c>
      <c r="U689" s="7" t="e">
        <f>_xlfn.STDEV.S(Pcfu43[[#This Row],[R1]:[R3]])/AVERAGE(Pcfu43[[#This Row],[R1]:[R3]])</f>
        <v>#VALUE!</v>
      </c>
      <c r="V689" s="96"/>
      <c r="W689" s="7"/>
    </row>
    <row r="690" spans="1:23" x14ac:dyDescent="0.15">
      <c r="A690" t="s">
        <v>613</v>
      </c>
      <c r="C690" t="s">
        <v>608</v>
      </c>
      <c r="D690" t="s">
        <v>611</v>
      </c>
      <c r="E690" s="3">
        <v>1</v>
      </c>
      <c r="H690" s="5">
        <f>19*Pcfu4[[#This Row],[grams]]</f>
        <v>0</v>
      </c>
      <c r="I690" s="3" t="s">
        <v>28</v>
      </c>
      <c r="J690" s="59">
        <v>44984</v>
      </c>
      <c r="L690" s="59" t="e" cm="1">
        <f t="array" ref="L690">INDEX($J$4:J1780, MATCH(1,(A690=$A$4:A1778)*(C690=$C$4:C1778)*("Y"=$K$4:K1780),0))</f>
        <v>#N/A</v>
      </c>
      <c r="M690" s="1">
        <v>1000</v>
      </c>
      <c r="N690">
        <v>28</v>
      </c>
      <c r="P690"/>
      <c r="Q690" s="6">
        <f>(SUM(Pcfu4[[#This Row],[R1]:[R3]]))/(Pcfu4[[#This Row],[No. Reps]]*0.025)*Pcfu4[[#This Row],[Best DF]]</f>
        <v>1120000</v>
      </c>
      <c r="R690" s="1" t="e">
        <f>_xlfn.STDEV.S(Pcfu4[[#This Row],[R1]:[R3]])/0.025*Pcfu4[[#This Row],[Best DF]]</f>
        <v>#DIV/0!</v>
      </c>
      <c r="S690" s="6" t="e">
        <f>Pcfu4[[#This Row],[CFU/mL]]*Pcfu4[[#This Row],[mL]]/Pcfu4[[#This Row],[grams]]</f>
        <v>#DIV/0!</v>
      </c>
      <c r="T690" s="1" t="e">
        <f>Pcfu4[[#This Row],[SD CFU/mL]]*Pcfu4[[#This Row],[mL]]/Pcfu4[[#This Row],[grams]]</f>
        <v>#DIV/0!</v>
      </c>
      <c r="U690" s="7" t="e">
        <f>_xlfn.STDEV.S(Pcfu43[[#This Row],[R1]:[R3]])/AVERAGE(Pcfu43[[#This Row],[R1]:[R3]])</f>
        <v>#VALUE!</v>
      </c>
      <c r="V690" s="96"/>
      <c r="W690" s="7"/>
    </row>
    <row r="691" spans="1:23" x14ac:dyDescent="0.15">
      <c r="A691" t="s">
        <v>480</v>
      </c>
      <c r="C691" t="s">
        <v>608</v>
      </c>
      <c r="D691" t="s">
        <v>611</v>
      </c>
      <c r="E691" s="3">
        <v>1</v>
      </c>
      <c r="H691" s="5">
        <f>19*Pcfu4[[#This Row],[grams]]</f>
        <v>0</v>
      </c>
      <c r="I691" s="3" t="s">
        <v>28</v>
      </c>
      <c r="J691" s="59">
        <v>44984</v>
      </c>
      <c r="L691" s="59" t="e" cm="1">
        <f t="array" ref="L691">INDEX($J$4:J1781, MATCH(1,(A691=$A$4:A1779)*(C691=$C$4:C1779)*("Y"=$K$4:K1781),0))</f>
        <v>#N/A</v>
      </c>
      <c r="M691" s="1">
        <v>10</v>
      </c>
      <c r="N691">
        <v>45</v>
      </c>
      <c r="P691"/>
      <c r="Q691" s="6">
        <f>(SUM(Pcfu4[[#This Row],[R1]:[R3]]))/(Pcfu4[[#This Row],[No. Reps]]*0.025)*Pcfu4[[#This Row],[Best DF]]</f>
        <v>18000</v>
      </c>
      <c r="R691" s="1" t="e">
        <f>_xlfn.STDEV.S(Pcfu4[[#This Row],[R1]:[R3]])/0.025*Pcfu4[[#This Row],[Best DF]]</f>
        <v>#DIV/0!</v>
      </c>
      <c r="S691" s="6" t="e">
        <f>Pcfu4[[#This Row],[CFU/mL]]*Pcfu4[[#This Row],[mL]]/Pcfu4[[#This Row],[grams]]</f>
        <v>#DIV/0!</v>
      </c>
      <c r="T691" s="1" t="e">
        <f>Pcfu4[[#This Row],[SD CFU/mL]]*Pcfu4[[#This Row],[mL]]/Pcfu4[[#This Row],[grams]]</f>
        <v>#DIV/0!</v>
      </c>
      <c r="U691" s="7" t="e">
        <f>_xlfn.STDEV.S(Pcfu43[[#This Row],[R1]:[R3]])/AVERAGE(Pcfu43[[#This Row],[R1]:[R3]])</f>
        <v>#VALUE!</v>
      </c>
      <c r="V691" s="96"/>
      <c r="W691" s="7"/>
    </row>
    <row r="692" spans="1:23" x14ac:dyDescent="0.15">
      <c r="A692" t="s">
        <v>488</v>
      </c>
      <c r="C692" t="s">
        <v>614</v>
      </c>
      <c r="D692" t="s">
        <v>609</v>
      </c>
      <c r="E692" s="3">
        <v>1</v>
      </c>
      <c r="H692" s="5">
        <f>19*Pcfu4[[#This Row],[grams]]</f>
        <v>0</v>
      </c>
      <c r="I692" s="3" t="s">
        <v>28</v>
      </c>
      <c r="J692" s="59">
        <v>44984</v>
      </c>
      <c r="L692" s="59" t="e" cm="1">
        <f t="array" ref="L692">INDEX($J$4:J1782, MATCH(1,(A692=$A$4:A1780)*(C692=$C$4:C1780)*("Y"=$K$4:K1782),0))</f>
        <v>#N/A</v>
      </c>
      <c r="M692" s="1">
        <v>10</v>
      </c>
      <c r="N692">
        <v>168</v>
      </c>
      <c r="P692"/>
      <c r="Q692" s="6">
        <f>(SUM(Pcfu4[[#This Row],[R1]:[R3]]))/(Pcfu4[[#This Row],[No. Reps]]*0.025)*Pcfu4[[#This Row],[Best DF]]</f>
        <v>67200</v>
      </c>
      <c r="R692" s="1" t="e">
        <f>_xlfn.STDEV.S(Pcfu4[[#This Row],[R1]:[R3]])/0.025*Pcfu4[[#This Row],[Best DF]]</f>
        <v>#DIV/0!</v>
      </c>
      <c r="S692" s="6" t="e">
        <f>Pcfu4[[#This Row],[CFU/mL]]*Pcfu4[[#This Row],[mL]]/Pcfu4[[#This Row],[grams]]</f>
        <v>#DIV/0!</v>
      </c>
      <c r="T692" s="1" t="e">
        <f>Pcfu4[[#This Row],[SD CFU/mL]]*Pcfu4[[#This Row],[mL]]/Pcfu4[[#This Row],[grams]]</f>
        <v>#DIV/0!</v>
      </c>
      <c r="U692" s="7" t="e">
        <f>_xlfn.STDEV.S(Pcfu43[[#This Row],[R1]:[R3]])/AVERAGE(Pcfu43[[#This Row],[R1]:[R3]])</f>
        <v>#VALUE!</v>
      </c>
      <c r="V692" s="96"/>
      <c r="W692" s="7"/>
    </row>
    <row r="693" spans="1:23" x14ac:dyDescent="0.15">
      <c r="A693" t="s">
        <v>500</v>
      </c>
      <c r="C693" t="s">
        <v>614</v>
      </c>
      <c r="D693" t="s">
        <v>609</v>
      </c>
      <c r="E693" s="3">
        <v>1</v>
      </c>
      <c r="H693" s="5">
        <f>19*Pcfu4[[#This Row],[grams]]</f>
        <v>0</v>
      </c>
      <c r="I693" s="3" t="s">
        <v>28</v>
      </c>
      <c r="J693" s="59">
        <v>44984</v>
      </c>
      <c r="L693" s="59" t="e" cm="1">
        <f t="array" ref="L693">INDEX($J$4:J1783, MATCH(1,(A693=$A$4:A1781)*(C693=$C$4:C1781)*("Y"=$K$4:K1783),0))</f>
        <v>#N/A</v>
      </c>
      <c r="M693" s="1">
        <v>1</v>
      </c>
      <c r="N693">
        <v>92</v>
      </c>
      <c r="P693"/>
      <c r="Q693" s="6">
        <f>(SUM(Pcfu4[[#This Row],[R1]:[R3]]))/(Pcfu4[[#This Row],[No. Reps]]*0.025)*Pcfu4[[#This Row],[Best DF]]</f>
        <v>3680</v>
      </c>
      <c r="R693" s="1" t="e">
        <f>_xlfn.STDEV.S(Pcfu4[[#This Row],[R1]:[R3]])/0.025*Pcfu4[[#This Row],[Best DF]]</f>
        <v>#DIV/0!</v>
      </c>
      <c r="S693" s="6" t="e">
        <f>Pcfu4[[#This Row],[CFU/mL]]*Pcfu4[[#This Row],[mL]]/Pcfu4[[#This Row],[grams]]</f>
        <v>#DIV/0!</v>
      </c>
      <c r="T693" s="1" t="e">
        <f>Pcfu4[[#This Row],[SD CFU/mL]]*Pcfu4[[#This Row],[mL]]/Pcfu4[[#This Row],[grams]]</f>
        <v>#DIV/0!</v>
      </c>
      <c r="U693" s="7" t="e">
        <f>_xlfn.STDEV.S(Pcfu43[[#This Row],[R1]:[R3]])/AVERAGE(Pcfu43[[#This Row],[R1]:[R3]])</f>
        <v>#VALUE!</v>
      </c>
      <c r="V693" s="96"/>
      <c r="W693" s="7"/>
    </row>
    <row r="694" spans="1:23" x14ac:dyDescent="0.15">
      <c r="A694" t="s">
        <v>502</v>
      </c>
      <c r="C694" t="s">
        <v>614</v>
      </c>
      <c r="D694" t="s">
        <v>609</v>
      </c>
      <c r="E694" s="3">
        <v>1</v>
      </c>
      <c r="H694" s="5">
        <f>19*Pcfu4[[#This Row],[grams]]</f>
        <v>0</v>
      </c>
      <c r="I694" s="3" t="s">
        <v>28</v>
      </c>
      <c r="J694" s="59">
        <v>44984</v>
      </c>
      <c r="L694" s="59" t="e" cm="1">
        <f t="array" ref="L694">INDEX($J$4:J1784, MATCH(1,(A694=$A$4:A1782)*(C694=$C$4:C1782)*("Y"=$K$4:K1784),0))</f>
        <v>#N/A</v>
      </c>
      <c r="M694" s="1">
        <v>1</v>
      </c>
      <c r="N694">
        <v>44</v>
      </c>
      <c r="P694"/>
      <c r="Q694" s="6">
        <f>(SUM(Pcfu4[[#This Row],[R1]:[R3]]))/(Pcfu4[[#This Row],[No. Reps]]*0.025)*Pcfu4[[#This Row],[Best DF]]</f>
        <v>1760</v>
      </c>
      <c r="R694" s="1" t="e">
        <f>_xlfn.STDEV.S(Pcfu4[[#This Row],[R1]:[R3]])/0.025*Pcfu4[[#This Row],[Best DF]]</f>
        <v>#DIV/0!</v>
      </c>
      <c r="S694" s="6" t="e">
        <f>Pcfu4[[#This Row],[CFU/mL]]*Pcfu4[[#This Row],[mL]]/Pcfu4[[#This Row],[grams]]</f>
        <v>#DIV/0!</v>
      </c>
      <c r="T694" s="1" t="e">
        <f>Pcfu4[[#This Row],[SD CFU/mL]]*Pcfu4[[#This Row],[mL]]/Pcfu4[[#This Row],[grams]]</f>
        <v>#DIV/0!</v>
      </c>
      <c r="U694" s="7" t="e">
        <f>_xlfn.STDEV.S(Pcfu43[[#This Row],[R1]:[R3]])/AVERAGE(Pcfu43[[#This Row],[R1]:[R3]])</f>
        <v>#VALUE!</v>
      </c>
      <c r="V694" s="96"/>
      <c r="W694" s="7"/>
    </row>
    <row r="695" spans="1:23" x14ac:dyDescent="0.15">
      <c r="A695" t="s">
        <v>481</v>
      </c>
      <c r="C695" t="s">
        <v>614</v>
      </c>
      <c r="D695" t="s">
        <v>556</v>
      </c>
      <c r="E695" s="3">
        <v>1</v>
      </c>
      <c r="H695" s="5">
        <f>19*Pcfu4[[#This Row],[grams]]</f>
        <v>0</v>
      </c>
      <c r="I695" s="3" t="s">
        <v>28</v>
      </c>
      <c r="J695" s="59">
        <v>44984</v>
      </c>
      <c r="L695" s="59" t="e" cm="1">
        <f t="array" ref="L695">INDEX($J$4:J1785, MATCH(1,(A695=$A$4:A1783)*(C695=$C$4:C1783)*("Y"=$K$4:K1785),0))</f>
        <v>#N/A</v>
      </c>
      <c r="M695" s="1">
        <v>10</v>
      </c>
      <c r="N695">
        <v>148</v>
      </c>
      <c r="P695"/>
      <c r="Q695" s="6">
        <f>(SUM(Pcfu4[[#This Row],[R1]:[R3]]))/(Pcfu4[[#This Row],[No. Reps]]*0.025)*Pcfu4[[#This Row],[Best DF]]</f>
        <v>59200</v>
      </c>
      <c r="R695" s="1" t="e">
        <f>_xlfn.STDEV.S(Pcfu4[[#This Row],[R1]:[R3]])/0.025*Pcfu4[[#This Row],[Best DF]]</f>
        <v>#DIV/0!</v>
      </c>
      <c r="S695" s="6" t="e">
        <f>Pcfu4[[#This Row],[CFU/mL]]*Pcfu4[[#This Row],[mL]]/Pcfu4[[#This Row],[grams]]</f>
        <v>#DIV/0!</v>
      </c>
      <c r="T695" s="1" t="e">
        <f>Pcfu4[[#This Row],[SD CFU/mL]]*Pcfu4[[#This Row],[mL]]/Pcfu4[[#This Row],[grams]]</f>
        <v>#DIV/0!</v>
      </c>
      <c r="U695" s="7" t="e">
        <f>_xlfn.STDEV.S(Pcfu43[[#This Row],[R1]:[R3]])/AVERAGE(Pcfu43[[#This Row],[R1]:[R3]])</f>
        <v>#VALUE!</v>
      </c>
      <c r="V695" s="96"/>
      <c r="W695" s="7"/>
    </row>
    <row r="696" spans="1:23" x14ac:dyDescent="0.15">
      <c r="A696" t="s">
        <v>484</v>
      </c>
      <c r="C696" t="s">
        <v>614</v>
      </c>
      <c r="D696" t="s">
        <v>556</v>
      </c>
      <c r="E696" s="3">
        <v>1</v>
      </c>
      <c r="H696" s="5">
        <f>19*Pcfu4[[#This Row],[grams]]</f>
        <v>0</v>
      </c>
      <c r="I696" s="3" t="s">
        <v>28</v>
      </c>
      <c r="J696" s="59">
        <v>44984</v>
      </c>
      <c r="L696" s="59" t="e" cm="1">
        <f t="array" ref="L696">INDEX($J$4:J1786, MATCH(1,(A696=$A$4:A1784)*(C696=$C$4:C1784)*("Y"=$K$4:K1786),0))</f>
        <v>#N/A</v>
      </c>
      <c r="M696" s="1">
        <v>10</v>
      </c>
      <c r="N696">
        <v>169</v>
      </c>
      <c r="P696"/>
      <c r="Q696" s="6">
        <f>(SUM(Pcfu4[[#This Row],[R1]:[R3]]))/(Pcfu4[[#This Row],[No. Reps]]*0.025)*Pcfu4[[#This Row],[Best DF]]</f>
        <v>67600</v>
      </c>
      <c r="R696" s="1" t="e">
        <f>_xlfn.STDEV.S(Pcfu4[[#This Row],[R1]:[R3]])/0.025*Pcfu4[[#This Row],[Best DF]]</f>
        <v>#DIV/0!</v>
      </c>
      <c r="S696" s="6" t="e">
        <f>Pcfu4[[#This Row],[CFU/mL]]*Pcfu4[[#This Row],[mL]]/Pcfu4[[#This Row],[grams]]</f>
        <v>#DIV/0!</v>
      </c>
      <c r="T696" s="1" t="e">
        <f>Pcfu4[[#This Row],[SD CFU/mL]]*Pcfu4[[#This Row],[mL]]/Pcfu4[[#This Row],[grams]]</f>
        <v>#DIV/0!</v>
      </c>
      <c r="U696" s="7" t="e">
        <f>_xlfn.STDEV.S(Pcfu43[[#This Row],[R1]:[R3]])/AVERAGE(Pcfu43[[#This Row],[R1]:[R3]])</f>
        <v>#VALUE!</v>
      </c>
      <c r="V696" s="96"/>
      <c r="W696" s="7"/>
    </row>
    <row r="697" spans="1:23" x14ac:dyDescent="0.15">
      <c r="A697" t="s">
        <v>486</v>
      </c>
      <c r="C697" t="s">
        <v>614</v>
      </c>
      <c r="D697" t="s">
        <v>556</v>
      </c>
      <c r="E697" s="3">
        <v>1</v>
      </c>
      <c r="H697" s="5">
        <f>19*Pcfu4[[#This Row],[grams]]</f>
        <v>0</v>
      </c>
      <c r="I697" s="3" t="s">
        <v>28</v>
      </c>
      <c r="J697" s="59">
        <v>44984</v>
      </c>
      <c r="L697" s="59" t="e" cm="1">
        <f t="array" ref="L697">INDEX($J$4:J1787, MATCH(1,(A697=$A$4:A1785)*(C697=$C$4:C1785)*("Y"=$K$4:K1787),0))</f>
        <v>#N/A</v>
      </c>
      <c r="M697" s="1">
        <v>100</v>
      </c>
      <c r="N697">
        <v>29</v>
      </c>
      <c r="P697"/>
      <c r="Q697" s="6">
        <f>(SUM(Pcfu4[[#This Row],[R1]:[R3]]))/(Pcfu4[[#This Row],[No. Reps]]*0.025)*Pcfu4[[#This Row],[Best DF]]</f>
        <v>116000</v>
      </c>
      <c r="R697" s="1" t="e">
        <f>_xlfn.STDEV.S(Pcfu4[[#This Row],[R1]:[R3]])/0.025*Pcfu4[[#This Row],[Best DF]]</f>
        <v>#DIV/0!</v>
      </c>
      <c r="S697" s="6" t="e">
        <f>Pcfu4[[#This Row],[CFU/mL]]*Pcfu4[[#This Row],[mL]]/Pcfu4[[#This Row],[grams]]</f>
        <v>#DIV/0!</v>
      </c>
      <c r="T697" s="1" t="e">
        <f>Pcfu4[[#This Row],[SD CFU/mL]]*Pcfu4[[#This Row],[mL]]/Pcfu4[[#This Row],[grams]]</f>
        <v>#DIV/0!</v>
      </c>
      <c r="U697" s="7" t="e">
        <f>_xlfn.STDEV.S(Pcfu43[[#This Row],[R1]:[R3]])/AVERAGE(Pcfu43[[#This Row],[R1]:[R3]])</f>
        <v>#VALUE!</v>
      </c>
      <c r="V697" s="96"/>
      <c r="W697" s="7"/>
    </row>
    <row r="698" spans="1:23" x14ac:dyDescent="0.15">
      <c r="A698" t="s">
        <v>490</v>
      </c>
      <c r="C698" t="s">
        <v>614</v>
      </c>
      <c r="D698" t="s">
        <v>556</v>
      </c>
      <c r="E698" s="3">
        <v>1</v>
      </c>
      <c r="H698" s="5">
        <f>19*Pcfu4[[#This Row],[grams]]</f>
        <v>0</v>
      </c>
      <c r="I698" s="3" t="s">
        <v>28</v>
      </c>
      <c r="J698" s="59">
        <v>44984</v>
      </c>
      <c r="L698" s="59" t="e" cm="1">
        <f t="array" ref="L698">INDEX($J$4:J1788, MATCH(1,(A698=$A$4:A1786)*(C698=$C$4:C1786)*("Y"=$K$4:K1788),0))</f>
        <v>#N/A</v>
      </c>
      <c r="M698" s="1">
        <v>100</v>
      </c>
      <c r="N698">
        <v>39</v>
      </c>
      <c r="P698"/>
      <c r="Q698" s="6">
        <f>(SUM(Pcfu4[[#This Row],[R1]:[R3]]))/(Pcfu4[[#This Row],[No. Reps]]*0.025)*Pcfu4[[#This Row],[Best DF]]</f>
        <v>156000</v>
      </c>
      <c r="R698" s="1" t="e">
        <f>_xlfn.STDEV.S(Pcfu4[[#This Row],[R1]:[R3]])/0.025*Pcfu4[[#This Row],[Best DF]]</f>
        <v>#DIV/0!</v>
      </c>
      <c r="S698" s="6" t="e">
        <f>Pcfu4[[#This Row],[CFU/mL]]*Pcfu4[[#This Row],[mL]]/Pcfu4[[#This Row],[grams]]</f>
        <v>#DIV/0!</v>
      </c>
      <c r="T698" s="1" t="e">
        <f>Pcfu4[[#This Row],[SD CFU/mL]]*Pcfu4[[#This Row],[mL]]/Pcfu4[[#This Row],[grams]]</f>
        <v>#DIV/0!</v>
      </c>
      <c r="U698" s="7" t="e">
        <f>_xlfn.STDEV.S(Pcfu43[[#This Row],[R1]:[R3]])/AVERAGE(Pcfu43[[#This Row],[R1]:[R3]])</f>
        <v>#VALUE!</v>
      </c>
      <c r="V698" s="96"/>
      <c r="W698" s="7"/>
    </row>
    <row r="699" spans="1:23" x14ac:dyDescent="0.15">
      <c r="A699" t="s">
        <v>492</v>
      </c>
      <c r="C699" t="s">
        <v>614</v>
      </c>
      <c r="D699" t="s">
        <v>556</v>
      </c>
      <c r="E699" s="3">
        <v>1</v>
      </c>
      <c r="H699" s="5">
        <f>19*Pcfu4[[#This Row],[grams]]</f>
        <v>0</v>
      </c>
      <c r="I699" s="3" t="s">
        <v>28</v>
      </c>
      <c r="J699" s="59">
        <v>44984</v>
      </c>
      <c r="L699" s="59" t="e" cm="1">
        <f t="array" ref="L699">INDEX($J$4:J1789, MATCH(1,(A699=$A$4:A1787)*(C699=$C$4:C1787)*("Y"=$K$4:K1789),0))</f>
        <v>#N/A</v>
      </c>
      <c r="M699" s="1">
        <v>10</v>
      </c>
      <c r="N699">
        <v>279</v>
      </c>
      <c r="P699"/>
      <c r="Q699" s="6">
        <f>(SUM(Pcfu4[[#This Row],[R1]:[R3]]))/(Pcfu4[[#This Row],[No. Reps]]*0.025)*Pcfu4[[#This Row],[Best DF]]</f>
        <v>111600</v>
      </c>
      <c r="R699" s="1" t="e">
        <f>_xlfn.STDEV.S(Pcfu4[[#This Row],[R1]:[R3]])/0.025*Pcfu4[[#This Row],[Best DF]]</f>
        <v>#DIV/0!</v>
      </c>
      <c r="S699" s="6" t="e">
        <f>Pcfu4[[#This Row],[CFU/mL]]*Pcfu4[[#This Row],[mL]]/Pcfu4[[#This Row],[grams]]</f>
        <v>#DIV/0!</v>
      </c>
      <c r="T699" s="1" t="e">
        <f>Pcfu4[[#This Row],[SD CFU/mL]]*Pcfu4[[#This Row],[mL]]/Pcfu4[[#This Row],[grams]]</f>
        <v>#DIV/0!</v>
      </c>
      <c r="U699" s="7" t="e">
        <f>_xlfn.STDEV.S(Pcfu43[[#This Row],[R1]:[R3]])/AVERAGE(Pcfu43[[#This Row],[R1]:[R3]])</f>
        <v>#VALUE!</v>
      </c>
      <c r="V699" s="96"/>
      <c r="W699" s="7"/>
    </row>
    <row r="700" spans="1:23" x14ac:dyDescent="0.15">
      <c r="A700" t="s">
        <v>494</v>
      </c>
      <c r="C700" t="s">
        <v>614</v>
      </c>
      <c r="D700" t="s">
        <v>556</v>
      </c>
      <c r="E700" s="3">
        <v>1</v>
      </c>
      <c r="H700" s="5">
        <f>19*Pcfu4[[#This Row],[grams]]</f>
        <v>0</v>
      </c>
      <c r="I700" s="3" t="s">
        <v>28</v>
      </c>
      <c r="J700" s="59">
        <v>44984</v>
      </c>
      <c r="L700" s="59" t="e" cm="1">
        <f t="array" ref="L700">INDEX($J$4:J1790, MATCH(1,(A700=$A$4:A1788)*(C700=$C$4:C1788)*("Y"=$K$4:K1790),0))</f>
        <v>#N/A</v>
      </c>
      <c r="M700" s="1">
        <v>100</v>
      </c>
      <c r="N700">
        <v>37</v>
      </c>
      <c r="P700"/>
      <c r="Q700" s="6">
        <f>(SUM(Pcfu4[[#This Row],[R1]:[R3]]))/(Pcfu4[[#This Row],[No. Reps]]*0.025)*Pcfu4[[#This Row],[Best DF]]</f>
        <v>148000</v>
      </c>
      <c r="R700" s="1" t="e">
        <f>_xlfn.STDEV.S(Pcfu4[[#This Row],[R1]:[R3]])/0.025*Pcfu4[[#This Row],[Best DF]]</f>
        <v>#DIV/0!</v>
      </c>
      <c r="S700" s="6" t="e">
        <f>Pcfu4[[#This Row],[CFU/mL]]*Pcfu4[[#This Row],[mL]]/Pcfu4[[#This Row],[grams]]</f>
        <v>#DIV/0!</v>
      </c>
      <c r="T700" s="1" t="e">
        <f>Pcfu4[[#This Row],[SD CFU/mL]]*Pcfu4[[#This Row],[mL]]/Pcfu4[[#This Row],[grams]]</f>
        <v>#DIV/0!</v>
      </c>
      <c r="U700" s="7" t="e">
        <f>_xlfn.STDEV.S(Pcfu43[[#This Row],[R1]:[R3]])/AVERAGE(Pcfu43[[#This Row],[R1]:[R3]])</f>
        <v>#VALUE!</v>
      </c>
      <c r="V700" s="96"/>
      <c r="W700" s="7"/>
    </row>
    <row r="701" spans="1:23" x14ac:dyDescent="0.15">
      <c r="A701" t="s">
        <v>496</v>
      </c>
      <c r="C701" t="s">
        <v>614</v>
      </c>
      <c r="D701" t="s">
        <v>556</v>
      </c>
      <c r="E701" s="3">
        <v>1</v>
      </c>
      <c r="H701" s="5">
        <f>19*Pcfu4[[#This Row],[grams]]</f>
        <v>0</v>
      </c>
      <c r="I701" s="3" t="s">
        <v>28</v>
      </c>
      <c r="J701" s="59">
        <v>44984</v>
      </c>
      <c r="L701" s="59" t="e" cm="1">
        <f t="array" ref="L701">INDEX($J$4:J1791, MATCH(1,(A701=$A$4:A1789)*(C701=$C$4:C1789)*("Y"=$K$4:K1791),0))</f>
        <v>#N/A</v>
      </c>
      <c r="M701" s="1">
        <v>100</v>
      </c>
      <c r="N701">
        <v>70</v>
      </c>
      <c r="P701"/>
      <c r="Q701" s="6">
        <f>(SUM(Pcfu4[[#This Row],[R1]:[R3]]))/(Pcfu4[[#This Row],[No. Reps]]*0.025)*Pcfu4[[#This Row],[Best DF]]</f>
        <v>280000</v>
      </c>
      <c r="R701" s="1" t="e">
        <f>_xlfn.STDEV.S(Pcfu4[[#This Row],[R1]:[R3]])/0.025*Pcfu4[[#This Row],[Best DF]]</f>
        <v>#DIV/0!</v>
      </c>
      <c r="S701" s="6" t="e">
        <f>Pcfu4[[#This Row],[CFU/mL]]*Pcfu4[[#This Row],[mL]]/Pcfu4[[#This Row],[grams]]</f>
        <v>#DIV/0!</v>
      </c>
      <c r="T701" s="1" t="e">
        <f>Pcfu4[[#This Row],[SD CFU/mL]]*Pcfu4[[#This Row],[mL]]/Pcfu4[[#This Row],[grams]]</f>
        <v>#DIV/0!</v>
      </c>
      <c r="U701" s="7" t="e">
        <f>_xlfn.STDEV.S(Pcfu43[[#This Row],[R1]:[R3]])/AVERAGE(Pcfu43[[#This Row],[R1]:[R3]])</f>
        <v>#VALUE!</v>
      </c>
      <c r="V701" s="96"/>
      <c r="W701" s="7"/>
    </row>
    <row r="702" spans="1:23" x14ac:dyDescent="0.15">
      <c r="A702" t="s">
        <v>498</v>
      </c>
      <c r="C702" t="s">
        <v>614</v>
      </c>
      <c r="D702" t="s">
        <v>556</v>
      </c>
      <c r="E702" s="3">
        <v>1</v>
      </c>
      <c r="H702" s="5">
        <f>19*Pcfu4[[#This Row],[grams]]</f>
        <v>0</v>
      </c>
      <c r="I702" s="3" t="s">
        <v>28</v>
      </c>
      <c r="J702" s="59">
        <v>44984</v>
      </c>
      <c r="L702" s="59" t="e" cm="1">
        <f t="array" ref="L702">INDEX($J$4:J1792, MATCH(1,(A702=$A$4:A1790)*(C702=$C$4:C1790)*("Y"=$K$4:K1792),0))</f>
        <v>#N/A</v>
      </c>
      <c r="M702" s="1">
        <v>10</v>
      </c>
      <c r="N702">
        <v>251</v>
      </c>
      <c r="P702"/>
      <c r="Q702" s="6">
        <f>(SUM(Pcfu4[[#This Row],[R1]:[R3]]))/(Pcfu4[[#This Row],[No. Reps]]*0.025)*Pcfu4[[#This Row],[Best DF]]</f>
        <v>100400</v>
      </c>
      <c r="R702" s="1" t="e">
        <f>_xlfn.STDEV.S(Pcfu4[[#This Row],[R1]:[R3]])/0.025*Pcfu4[[#This Row],[Best DF]]</f>
        <v>#DIV/0!</v>
      </c>
      <c r="S702" s="6" t="e">
        <f>Pcfu4[[#This Row],[CFU/mL]]*Pcfu4[[#This Row],[mL]]/Pcfu4[[#This Row],[grams]]</f>
        <v>#DIV/0!</v>
      </c>
      <c r="T702" s="1" t="e">
        <f>Pcfu4[[#This Row],[SD CFU/mL]]*Pcfu4[[#This Row],[mL]]/Pcfu4[[#This Row],[grams]]</f>
        <v>#DIV/0!</v>
      </c>
      <c r="U702" s="7" t="e">
        <f>_xlfn.STDEV.S(Pcfu43[[#This Row],[R1]:[R3]])/AVERAGE(Pcfu43[[#This Row],[R1]:[R3]])</f>
        <v>#VALUE!</v>
      </c>
      <c r="V702" s="96"/>
      <c r="W702" s="7"/>
    </row>
    <row r="703" spans="1:23" x14ac:dyDescent="0.15">
      <c r="A703" t="s">
        <v>610</v>
      </c>
      <c r="C703" t="s">
        <v>614</v>
      </c>
      <c r="D703" t="s">
        <v>611</v>
      </c>
      <c r="E703" s="3">
        <v>1</v>
      </c>
      <c r="H703" s="5">
        <f>19*Pcfu4[[#This Row],[grams]]</f>
        <v>0</v>
      </c>
      <c r="I703" s="3" t="s">
        <v>28</v>
      </c>
      <c r="J703" s="59">
        <v>44984</v>
      </c>
      <c r="L703" s="59" t="e" cm="1">
        <f t="array" ref="L703">INDEX($J$4:J1793, MATCH(1,(A703=$A$4:A1791)*(C703=$C$4:C1791)*("Y"=$K$4:K1793),0))</f>
        <v>#N/A</v>
      </c>
      <c r="M703" s="1">
        <v>1000</v>
      </c>
      <c r="N703">
        <v>41</v>
      </c>
      <c r="P703"/>
      <c r="Q703" s="6">
        <f>(SUM(Pcfu4[[#This Row],[R1]:[R3]]))/(Pcfu4[[#This Row],[No. Reps]]*0.025)*Pcfu4[[#This Row],[Best DF]]</f>
        <v>1640000</v>
      </c>
      <c r="R703" s="1" t="e">
        <f>_xlfn.STDEV.S(Pcfu4[[#This Row],[R1]:[R3]])/0.025*Pcfu4[[#This Row],[Best DF]]</f>
        <v>#DIV/0!</v>
      </c>
      <c r="S703" s="6" t="e">
        <f>Pcfu4[[#This Row],[CFU/mL]]*Pcfu4[[#This Row],[mL]]/Pcfu4[[#This Row],[grams]]</f>
        <v>#DIV/0!</v>
      </c>
      <c r="T703" s="1" t="e">
        <f>Pcfu4[[#This Row],[SD CFU/mL]]*Pcfu4[[#This Row],[mL]]/Pcfu4[[#This Row],[grams]]</f>
        <v>#DIV/0!</v>
      </c>
      <c r="U703" s="7" t="e">
        <f>_xlfn.STDEV.S(Pcfu43[[#This Row],[R1]:[R3]])/AVERAGE(Pcfu43[[#This Row],[R1]:[R3]])</f>
        <v>#VALUE!</v>
      </c>
      <c r="V703" s="96"/>
      <c r="W703" s="7"/>
    </row>
    <row r="704" spans="1:23" x14ac:dyDescent="0.15">
      <c r="A704" t="s">
        <v>612</v>
      </c>
      <c r="C704" t="s">
        <v>614</v>
      </c>
      <c r="D704" t="s">
        <v>611</v>
      </c>
      <c r="E704" s="3">
        <v>1</v>
      </c>
      <c r="H704" s="5">
        <f>19*Pcfu4[[#This Row],[grams]]</f>
        <v>0</v>
      </c>
      <c r="I704" s="3" t="s">
        <v>28</v>
      </c>
      <c r="J704" s="59">
        <v>44984</v>
      </c>
      <c r="L704" s="59" t="e" cm="1">
        <f t="array" ref="L704">INDEX($J$4:J1794, MATCH(1,(A704=$A$4:A1792)*(C704=$C$4:C1792)*("Y"=$K$4:K1794),0))</f>
        <v>#N/A</v>
      </c>
      <c r="M704" s="1">
        <v>100</v>
      </c>
      <c r="N704">
        <v>39</v>
      </c>
      <c r="P704"/>
      <c r="Q704" s="6">
        <f>(SUM(Pcfu4[[#This Row],[R1]:[R3]]))/(Pcfu4[[#This Row],[No. Reps]]*0.025)*Pcfu4[[#This Row],[Best DF]]</f>
        <v>156000</v>
      </c>
      <c r="R704" s="1" t="e">
        <f>_xlfn.STDEV.S(Pcfu4[[#This Row],[R1]:[R3]])/0.025*Pcfu4[[#This Row],[Best DF]]</f>
        <v>#DIV/0!</v>
      </c>
      <c r="S704" s="6" t="e">
        <f>Pcfu4[[#This Row],[CFU/mL]]*Pcfu4[[#This Row],[mL]]/Pcfu4[[#This Row],[grams]]</f>
        <v>#DIV/0!</v>
      </c>
      <c r="T704" s="1" t="e">
        <f>Pcfu4[[#This Row],[SD CFU/mL]]*Pcfu4[[#This Row],[mL]]/Pcfu4[[#This Row],[grams]]</f>
        <v>#DIV/0!</v>
      </c>
      <c r="U704" s="7" t="e">
        <f>_xlfn.STDEV.S(Pcfu43[[#This Row],[R1]:[R3]])/AVERAGE(Pcfu43[[#This Row],[R1]:[R3]])</f>
        <v>#VALUE!</v>
      </c>
      <c r="V704" s="96"/>
      <c r="W704" s="7"/>
    </row>
    <row r="705" spans="1:23" x14ac:dyDescent="0.15">
      <c r="A705" t="s">
        <v>613</v>
      </c>
      <c r="C705" t="s">
        <v>614</v>
      </c>
      <c r="D705" t="s">
        <v>611</v>
      </c>
      <c r="E705" s="3">
        <v>1</v>
      </c>
      <c r="H705" s="5">
        <f>19*Pcfu4[[#This Row],[grams]]</f>
        <v>0</v>
      </c>
      <c r="I705" s="3" t="s">
        <v>28</v>
      </c>
      <c r="J705" s="59">
        <v>44984</v>
      </c>
      <c r="L705" s="59" t="e" cm="1">
        <f t="array" ref="L705">INDEX($J$4:J1795, MATCH(1,(A705=$A$4:A1793)*(C705=$C$4:C1793)*("Y"=$K$4:K1795),0))</f>
        <v>#N/A</v>
      </c>
      <c r="M705" s="1">
        <v>1000</v>
      </c>
      <c r="N705">
        <v>33</v>
      </c>
      <c r="P705"/>
      <c r="Q705" s="6">
        <f>(SUM(Pcfu4[[#This Row],[R1]:[R3]]))/(Pcfu4[[#This Row],[No. Reps]]*0.025)*Pcfu4[[#This Row],[Best DF]]</f>
        <v>1320000</v>
      </c>
      <c r="R705" s="1" t="e">
        <f>_xlfn.STDEV.S(Pcfu4[[#This Row],[R1]:[R3]])/0.025*Pcfu4[[#This Row],[Best DF]]</f>
        <v>#DIV/0!</v>
      </c>
      <c r="S705" s="6" t="e">
        <f>Pcfu4[[#This Row],[CFU/mL]]*Pcfu4[[#This Row],[mL]]/Pcfu4[[#This Row],[grams]]</f>
        <v>#DIV/0!</v>
      </c>
      <c r="T705" s="1" t="e">
        <f>Pcfu4[[#This Row],[SD CFU/mL]]*Pcfu4[[#This Row],[mL]]/Pcfu4[[#This Row],[grams]]</f>
        <v>#DIV/0!</v>
      </c>
      <c r="U705" s="7" t="e">
        <f>_xlfn.STDEV.S(Pcfu43[[#This Row],[R1]:[R3]])/AVERAGE(Pcfu43[[#This Row],[R1]:[R3]])</f>
        <v>#VALUE!</v>
      </c>
      <c r="V705" s="96"/>
      <c r="W705" s="7"/>
    </row>
    <row r="706" spans="1:23" x14ac:dyDescent="0.15">
      <c r="A706" t="s">
        <v>480</v>
      </c>
      <c r="C706" t="s">
        <v>614</v>
      </c>
      <c r="D706" t="s">
        <v>611</v>
      </c>
      <c r="E706" s="3">
        <v>1</v>
      </c>
      <c r="H706" s="5">
        <f>19*Pcfu4[[#This Row],[grams]]</f>
        <v>0</v>
      </c>
      <c r="I706" s="3" t="s">
        <v>28</v>
      </c>
      <c r="J706" s="59">
        <v>44984</v>
      </c>
      <c r="L706" s="59" t="e" cm="1">
        <f t="array" ref="L706">INDEX($J$4:J1796, MATCH(1,(A706=$A$4:A1794)*(C706=$C$4:C1794)*("Y"=$K$4:K1796),0))</f>
        <v>#N/A</v>
      </c>
      <c r="M706" s="1">
        <v>10</v>
      </c>
      <c r="N706">
        <v>46</v>
      </c>
      <c r="P706"/>
      <c r="Q706" s="6">
        <f>(SUM(Pcfu4[[#This Row],[R1]:[R3]]))/(Pcfu4[[#This Row],[No. Reps]]*0.025)*Pcfu4[[#This Row],[Best DF]]</f>
        <v>18400</v>
      </c>
      <c r="R706" s="1" t="e">
        <f>_xlfn.STDEV.S(Pcfu4[[#This Row],[R1]:[R3]])/0.025*Pcfu4[[#This Row],[Best DF]]</f>
        <v>#DIV/0!</v>
      </c>
      <c r="S706" s="6" t="e">
        <f>Pcfu4[[#This Row],[CFU/mL]]*Pcfu4[[#This Row],[mL]]/Pcfu4[[#This Row],[grams]]</f>
        <v>#DIV/0!</v>
      </c>
      <c r="T706" s="1" t="e">
        <f>Pcfu4[[#This Row],[SD CFU/mL]]*Pcfu4[[#This Row],[mL]]/Pcfu4[[#This Row],[grams]]</f>
        <v>#DIV/0!</v>
      </c>
      <c r="U706" s="7" t="e">
        <f>_xlfn.STDEV.S(Pcfu43[[#This Row],[R1]:[R3]])/AVERAGE(Pcfu43[[#This Row],[R1]:[R3]])</f>
        <v>#VALUE!</v>
      </c>
      <c r="V706" s="96"/>
      <c r="W706" s="7"/>
    </row>
    <row r="707" spans="1:23" x14ac:dyDescent="0.15">
      <c r="A707" t="s">
        <v>488</v>
      </c>
      <c r="C707" t="s">
        <v>615</v>
      </c>
      <c r="D707" t="s">
        <v>609</v>
      </c>
      <c r="E707" s="3">
        <v>1</v>
      </c>
      <c r="H707" s="5">
        <f>19*Pcfu4[[#This Row],[grams]]</f>
        <v>0</v>
      </c>
      <c r="I707" s="3" t="s">
        <v>28</v>
      </c>
      <c r="J707" s="59">
        <v>44984</v>
      </c>
      <c r="L707" s="59" t="e" cm="1">
        <f t="array" ref="L707">INDEX($J$4:J1797, MATCH(1,(A707=$A$4:A1795)*(C707=$C$4:C1795)*("Y"=$K$4:K1797),0))</f>
        <v>#N/A</v>
      </c>
      <c r="M707" s="1">
        <v>10</v>
      </c>
      <c r="N707">
        <v>318</v>
      </c>
      <c r="P707"/>
      <c r="Q707" s="6">
        <f>(SUM(Pcfu4[[#This Row],[R1]:[R3]]))/(Pcfu4[[#This Row],[No. Reps]]*0.025)*Pcfu4[[#This Row],[Best DF]]</f>
        <v>127200</v>
      </c>
      <c r="R707" s="1" t="e">
        <f>_xlfn.STDEV.S(Pcfu4[[#This Row],[R1]:[R3]])/0.025*Pcfu4[[#This Row],[Best DF]]</f>
        <v>#DIV/0!</v>
      </c>
      <c r="S707" s="6" t="e">
        <f>Pcfu4[[#This Row],[CFU/mL]]*Pcfu4[[#This Row],[mL]]/Pcfu4[[#This Row],[grams]]</f>
        <v>#DIV/0!</v>
      </c>
      <c r="T707" s="1" t="e">
        <f>Pcfu4[[#This Row],[SD CFU/mL]]*Pcfu4[[#This Row],[mL]]/Pcfu4[[#This Row],[grams]]</f>
        <v>#DIV/0!</v>
      </c>
      <c r="U707" s="7" t="e">
        <f>_xlfn.STDEV.S(Pcfu43[[#This Row],[R1]:[R3]])/AVERAGE(Pcfu43[[#This Row],[R1]:[R3]])</f>
        <v>#VALUE!</v>
      </c>
      <c r="V707" s="96"/>
      <c r="W707" s="7"/>
    </row>
    <row r="708" spans="1:23" x14ac:dyDescent="0.15">
      <c r="A708" t="s">
        <v>500</v>
      </c>
      <c r="C708" t="s">
        <v>615</v>
      </c>
      <c r="D708" t="s">
        <v>609</v>
      </c>
      <c r="E708" s="3">
        <v>1</v>
      </c>
      <c r="H708" s="5">
        <f>19*Pcfu4[[#This Row],[grams]]</f>
        <v>0</v>
      </c>
      <c r="I708" s="3" t="s">
        <v>28</v>
      </c>
      <c r="J708" s="59">
        <v>44984</v>
      </c>
      <c r="L708" s="59" t="e" cm="1">
        <f t="array" ref="L708">INDEX($J$4:J1798, MATCH(1,(A708=$A$4:A1796)*(C708=$C$4:C1796)*("Y"=$K$4:K1798),0))</f>
        <v>#N/A</v>
      </c>
      <c r="M708" s="1">
        <v>1</v>
      </c>
      <c r="N708">
        <v>165</v>
      </c>
      <c r="P708"/>
      <c r="Q708" s="6">
        <f>(SUM(Pcfu4[[#This Row],[R1]:[R3]]))/(Pcfu4[[#This Row],[No. Reps]]*0.025)*Pcfu4[[#This Row],[Best DF]]</f>
        <v>6600</v>
      </c>
      <c r="R708" s="1" t="e">
        <f>_xlfn.STDEV.S(Pcfu4[[#This Row],[R1]:[R3]])/0.025*Pcfu4[[#This Row],[Best DF]]</f>
        <v>#DIV/0!</v>
      </c>
      <c r="S708" s="6" t="e">
        <f>Pcfu4[[#This Row],[CFU/mL]]*Pcfu4[[#This Row],[mL]]/Pcfu4[[#This Row],[grams]]</f>
        <v>#DIV/0!</v>
      </c>
      <c r="T708" s="1" t="e">
        <f>Pcfu4[[#This Row],[SD CFU/mL]]*Pcfu4[[#This Row],[mL]]/Pcfu4[[#This Row],[grams]]</f>
        <v>#DIV/0!</v>
      </c>
      <c r="U708" s="7" t="e">
        <f>_xlfn.STDEV.S(Pcfu43[[#This Row],[R1]:[R3]])/AVERAGE(Pcfu43[[#This Row],[R1]:[R3]])</f>
        <v>#VALUE!</v>
      </c>
      <c r="V708" s="96"/>
      <c r="W708" s="7"/>
    </row>
    <row r="709" spans="1:23" x14ac:dyDescent="0.15">
      <c r="A709" t="s">
        <v>502</v>
      </c>
      <c r="C709" t="s">
        <v>615</v>
      </c>
      <c r="D709" t="s">
        <v>609</v>
      </c>
      <c r="E709" s="3">
        <v>1</v>
      </c>
      <c r="H709" s="5">
        <f>19*Pcfu4[[#This Row],[grams]]</f>
        <v>0</v>
      </c>
      <c r="I709" s="3" t="s">
        <v>28</v>
      </c>
      <c r="J709" s="59">
        <v>44984</v>
      </c>
      <c r="L709" s="59" t="e" cm="1">
        <f t="array" ref="L709">INDEX($J$4:J1799, MATCH(1,(A709=$A$4:A1797)*(C709=$C$4:C1797)*("Y"=$K$4:K1799),0))</f>
        <v>#N/A</v>
      </c>
      <c r="M709" s="1">
        <v>10</v>
      </c>
      <c r="N709">
        <v>55</v>
      </c>
      <c r="P709"/>
      <c r="Q709" s="6">
        <f>(SUM(Pcfu4[[#This Row],[R1]:[R3]]))/(Pcfu4[[#This Row],[No. Reps]]*0.025)*Pcfu4[[#This Row],[Best DF]]</f>
        <v>22000</v>
      </c>
      <c r="R709" s="1" t="e">
        <f>_xlfn.STDEV.S(Pcfu4[[#This Row],[R1]:[R3]])/0.025*Pcfu4[[#This Row],[Best DF]]</f>
        <v>#DIV/0!</v>
      </c>
      <c r="S709" s="6" t="e">
        <f>Pcfu4[[#This Row],[CFU/mL]]*Pcfu4[[#This Row],[mL]]/Pcfu4[[#This Row],[grams]]</f>
        <v>#DIV/0!</v>
      </c>
      <c r="T709" s="1" t="e">
        <f>Pcfu4[[#This Row],[SD CFU/mL]]*Pcfu4[[#This Row],[mL]]/Pcfu4[[#This Row],[grams]]</f>
        <v>#DIV/0!</v>
      </c>
      <c r="U709" s="7" t="e">
        <f>_xlfn.STDEV.S(Pcfu43[[#This Row],[R1]:[R3]])/AVERAGE(Pcfu43[[#This Row],[R1]:[R3]])</f>
        <v>#VALUE!</v>
      </c>
      <c r="V709" s="96"/>
      <c r="W709" s="7"/>
    </row>
    <row r="710" spans="1:23" x14ac:dyDescent="0.15">
      <c r="A710" t="s">
        <v>481</v>
      </c>
      <c r="C710" t="s">
        <v>615</v>
      </c>
      <c r="D710" t="s">
        <v>556</v>
      </c>
      <c r="E710" s="3">
        <v>1</v>
      </c>
      <c r="H710" s="5">
        <f>19*Pcfu4[[#This Row],[grams]]</f>
        <v>0</v>
      </c>
      <c r="I710" s="3" t="s">
        <v>28</v>
      </c>
      <c r="J710" s="59">
        <v>44984</v>
      </c>
      <c r="L710" s="59" t="e" cm="1">
        <f t="array" ref="L710">INDEX($J$4:J1800, MATCH(1,(A710=$A$4:A1798)*(C710=$C$4:C1798)*("Y"=$K$4:K1800),0))</f>
        <v>#N/A</v>
      </c>
      <c r="M710" s="1">
        <v>10</v>
      </c>
      <c r="N710">
        <v>147</v>
      </c>
      <c r="P710"/>
      <c r="Q710" s="6">
        <f>(SUM(Pcfu4[[#This Row],[R1]:[R3]]))/(Pcfu4[[#This Row],[No. Reps]]*0.025)*Pcfu4[[#This Row],[Best DF]]</f>
        <v>58800</v>
      </c>
      <c r="R710" s="1" t="e">
        <f>_xlfn.STDEV.S(Pcfu4[[#This Row],[R1]:[R3]])/0.025*Pcfu4[[#This Row],[Best DF]]</f>
        <v>#DIV/0!</v>
      </c>
      <c r="S710" s="6" t="e">
        <f>Pcfu4[[#This Row],[CFU/mL]]*Pcfu4[[#This Row],[mL]]/Pcfu4[[#This Row],[grams]]</f>
        <v>#DIV/0!</v>
      </c>
      <c r="T710" s="1" t="e">
        <f>Pcfu4[[#This Row],[SD CFU/mL]]*Pcfu4[[#This Row],[mL]]/Pcfu4[[#This Row],[grams]]</f>
        <v>#DIV/0!</v>
      </c>
      <c r="U710" s="7" t="e">
        <f>_xlfn.STDEV.S(Pcfu43[[#This Row],[R1]:[R3]])/AVERAGE(Pcfu43[[#This Row],[R1]:[R3]])</f>
        <v>#VALUE!</v>
      </c>
      <c r="V710" s="96"/>
      <c r="W710" s="7"/>
    </row>
    <row r="711" spans="1:23" x14ac:dyDescent="0.15">
      <c r="A711" t="s">
        <v>484</v>
      </c>
      <c r="C711" t="s">
        <v>615</v>
      </c>
      <c r="D711" t="s">
        <v>556</v>
      </c>
      <c r="E711" s="3">
        <v>1</v>
      </c>
      <c r="H711" s="5">
        <f>19*Pcfu4[[#This Row],[grams]]</f>
        <v>0</v>
      </c>
      <c r="I711" s="3" t="s">
        <v>28</v>
      </c>
      <c r="J711" s="59">
        <v>44984</v>
      </c>
      <c r="L711" s="59" t="e" cm="1">
        <f t="array" ref="L711">INDEX($J$4:J1801, MATCH(1,(A711=$A$4:A1799)*(C711=$C$4:C1799)*("Y"=$K$4:K1801),0))</f>
        <v>#N/A</v>
      </c>
      <c r="M711" s="1">
        <v>10</v>
      </c>
      <c r="N711">
        <v>220</v>
      </c>
      <c r="P711"/>
      <c r="Q711" s="6">
        <f>(SUM(Pcfu4[[#This Row],[R1]:[R3]]))/(Pcfu4[[#This Row],[No. Reps]]*0.025)*Pcfu4[[#This Row],[Best DF]]</f>
        <v>88000</v>
      </c>
      <c r="R711" s="1" t="e">
        <f>_xlfn.STDEV.S(Pcfu4[[#This Row],[R1]:[R3]])/0.025*Pcfu4[[#This Row],[Best DF]]</f>
        <v>#DIV/0!</v>
      </c>
      <c r="S711" s="6" t="e">
        <f>Pcfu4[[#This Row],[CFU/mL]]*Pcfu4[[#This Row],[mL]]/Pcfu4[[#This Row],[grams]]</f>
        <v>#DIV/0!</v>
      </c>
      <c r="T711" s="1" t="e">
        <f>Pcfu4[[#This Row],[SD CFU/mL]]*Pcfu4[[#This Row],[mL]]/Pcfu4[[#This Row],[grams]]</f>
        <v>#DIV/0!</v>
      </c>
      <c r="U711" s="7" t="e">
        <f>_xlfn.STDEV.S(Pcfu43[[#This Row],[R1]:[R3]])/AVERAGE(Pcfu43[[#This Row],[R1]:[R3]])</f>
        <v>#VALUE!</v>
      </c>
      <c r="V711" s="96"/>
      <c r="W711" s="7"/>
    </row>
    <row r="712" spans="1:23" x14ac:dyDescent="0.15">
      <c r="A712" t="s">
        <v>486</v>
      </c>
      <c r="C712" t="s">
        <v>615</v>
      </c>
      <c r="D712" t="s">
        <v>556</v>
      </c>
      <c r="E712" s="3">
        <v>1</v>
      </c>
      <c r="H712" s="5">
        <f>19*Pcfu4[[#This Row],[grams]]</f>
        <v>0</v>
      </c>
      <c r="I712" s="3" t="s">
        <v>28</v>
      </c>
      <c r="J712" s="59">
        <v>44984</v>
      </c>
      <c r="L712" s="59" t="e" cm="1">
        <f t="array" ref="L712">INDEX($J$4:J1802, MATCH(1,(A712=$A$4:A1800)*(C712=$C$4:C1800)*("Y"=$K$4:K1802),0))</f>
        <v>#N/A</v>
      </c>
      <c r="M712" s="1">
        <v>100</v>
      </c>
      <c r="N712">
        <v>42</v>
      </c>
      <c r="P712"/>
      <c r="Q712" s="6">
        <f>(SUM(Pcfu4[[#This Row],[R1]:[R3]]))/(Pcfu4[[#This Row],[No. Reps]]*0.025)*Pcfu4[[#This Row],[Best DF]]</f>
        <v>168000</v>
      </c>
      <c r="R712" s="1" t="e">
        <f>_xlfn.STDEV.S(Pcfu4[[#This Row],[R1]:[R3]])/0.025*Pcfu4[[#This Row],[Best DF]]</f>
        <v>#DIV/0!</v>
      </c>
      <c r="S712" s="6" t="e">
        <f>Pcfu4[[#This Row],[CFU/mL]]*Pcfu4[[#This Row],[mL]]/Pcfu4[[#This Row],[grams]]</f>
        <v>#DIV/0!</v>
      </c>
      <c r="T712" s="1" t="e">
        <f>Pcfu4[[#This Row],[SD CFU/mL]]*Pcfu4[[#This Row],[mL]]/Pcfu4[[#This Row],[grams]]</f>
        <v>#DIV/0!</v>
      </c>
      <c r="U712" s="7" t="e">
        <f>_xlfn.STDEV.S(Pcfu43[[#This Row],[R1]:[R3]])/AVERAGE(Pcfu43[[#This Row],[R1]:[R3]])</f>
        <v>#VALUE!</v>
      </c>
      <c r="V712" s="96"/>
      <c r="W712" s="7"/>
    </row>
    <row r="713" spans="1:23" x14ac:dyDescent="0.15">
      <c r="A713" t="s">
        <v>490</v>
      </c>
      <c r="C713" t="s">
        <v>615</v>
      </c>
      <c r="D713" t="s">
        <v>556</v>
      </c>
      <c r="E713" s="3">
        <v>1</v>
      </c>
      <c r="H713" s="5">
        <f>19*Pcfu4[[#This Row],[grams]]</f>
        <v>0</v>
      </c>
      <c r="I713" s="3" t="s">
        <v>28</v>
      </c>
      <c r="J713" s="59">
        <v>44984</v>
      </c>
      <c r="L713" s="59" t="e" cm="1">
        <f t="array" ref="L713">INDEX($J$4:J1803, MATCH(1,(A713=$A$4:A1801)*(C713=$C$4:C1801)*("Y"=$K$4:K1803),0))</f>
        <v>#N/A</v>
      </c>
      <c r="M713" s="1">
        <v>100</v>
      </c>
      <c r="N713">
        <v>113</v>
      </c>
      <c r="P713"/>
      <c r="Q713" s="6">
        <f>(SUM(Pcfu4[[#This Row],[R1]:[R3]]))/(Pcfu4[[#This Row],[No. Reps]]*0.025)*Pcfu4[[#This Row],[Best DF]]</f>
        <v>452000</v>
      </c>
      <c r="R713" s="1" t="e">
        <f>_xlfn.STDEV.S(Pcfu4[[#This Row],[R1]:[R3]])/0.025*Pcfu4[[#This Row],[Best DF]]</f>
        <v>#DIV/0!</v>
      </c>
      <c r="S713" s="6" t="e">
        <f>Pcfu4[[#This Row],[CFU/mL]]*Pcfu4[[#This Row],[mL]]/Pcfu4[[#This Row],[grams]]</f>
        <v>#DIV/0!</v>
      </c>
      <c r="T713" s="1" t="e">
        <f>Pcfu4[[#This Row],[SD CFU/mL]]*Pcfu4[[#This Row],[mL]]/Pcfu4[[#This Row],[grams]]</f>
        <v>#DIV/0!</v>
      </c>
      <c r="U713" s="7" t="e">
        <f>_xlfn.STDEV.S(Pcfu43[[#This Row],[R1]:[R3]])/AVERAGE(Pcfu43[[#This Row],[R1]:[R3]])</f>
        <v>#VALUE!</v>
      </c>
      <c r="V713" s="96"/>
      <c r="W713" s="7"/>
    </row>
    <row r="714" spans="1:23" x14ac:dyDescent="0.15">
      <c r="A714" t="s">
        <v>492</v>
      </c>
      <c r="C714" t="s">
        <v>615</v>
      </c>
      <c r="D714" t="s">
        <v>556</v>
      </c>
      <c r="E714" s="3">
        <v>1</v>
      </c>
      <c r="H714" s="5">
        <f>19*Pcfu4[[#This Row],[grams]]</f>
        <v>0</v>
      </c>
      <c r="I714" s="3" t="s">
        <v>28</v>
      </c>
      <c r="J714" s="59">
        <v>44984</v>
      </c>
      <c r="L714" s="59" t="e" cm="1">
        <f t="array" ref="L714">INDEX($J$4:J1804, MATCH(1,(A714=$A$4:A1802)*(C714=$C$4:C1802)*("Y"=$K$4:K1804),0))</f>
        <v>#N/A</v>
      </c>
      <c r="M714" s="1">
        <v>100</v>
      </c>
      <c r="N714">
        <v>49</v>
      </c>
      <c r="P714"/>
      <c r="Q714" s="6">
        <f>(SUM(Pcfu4[[#This Row],[R1]:[R3]]))/(Pcfu4[[#This Row],[No. Reps]]*0.025)*Pcfu4[[#This Row],[Best DF]]</f>
        <v>196000</v>
      </c>
      <c r="R714" s="1" t="e">
        <f>_xlfn.STDEV.S(Pcfu4[[#This Row],[R1]:[R3]])/0.025*Pcfu4[[#This Row],[Best DF]]</f>
        <v>#DIV/0!</v>
      </c>
      <c r="S714" s="6" t="e">
        <f>Pcfu4[[#This Row],[CFU/mL]]*Pcfu4[[#This Row],[mL]]/Pcfu4[[#This Row],[grams]]</f>
        <v>#DIV/0!</v>
      </c>
      <c r="T714" s="1" t="e">
        <f>Pcfu4[[#This Row],[SD CFU/mL]]*Pcfu4[[#This Row],[mL]]/Pcfu4[[#This Row],[grams]]</f>
        <v>#DIV/0!</v>
      </c>
      <c r="U714" s="7" t="e">
        <f>_xlfn.STDEV.S(Pcfu43[[#This Row],[R1]:[R3]])/AVERAGE(Pcfu43[[#This Row],[R1]:[R3]])</f>
        <v>#VALUE!</v>
      </c>
      <c r="V714" s="96"/>
      <c r="W714" s="7"/>
    </row>
    <row r="715" spans="1:23" x14ac:dyDescent="0.15">
      <c r="A715" t="s">
        <v>494</v>
      </c>
      <c r="C715" t="s">
        <v>615</v>
      </c>
      <c r="D715" t="s">
        <v>556</v>
      </c>
      <c r="E715" s="3">
        <v>1</v>
      </c>
      <c r="H715" s="5">
        <f>19*Pcfu4[[#This Row],[grams]]</f>
        <v>0</v>
      </c>
      <c r="I715" s="3" t="s">
        <v>28</v>
      </c>
      <c r="J715" s="59">
        <v>44984</v>
      </c>
      <c r="L715" s="59" t="e" cm="1">
        <f t="array" ref="L715">INDEX($J$4:J1805, MATCH(1,(A715=$A$4:A1803)*(C715=$C$4:C1803)*("Y"=$K$4:K1805),0))</f>
        <v>#N/A</v>
      </c>
      <c r="M715" s="1">
        <v>100</v>
      </c>
      <c r="N715">
        <v>31</v>
      </c>
      <c r="P715"/>
      <c r="Q715" s="6">
        <f>(SUM(Pcfu4[[#This Row],[R1]:[R3]]))/(Pcfu4[[#This Row],[No. Reps]]*0.025)*Pcfu4[[#This Row],[Best DF]]</f>
        <v>124000</v>
      </c>
      <c r="R715" s="1" t="e">
        <f>_xlfn.STDEV.S(Pcfu4[[#This Row],[R1]:[R3]])/0.025*Pcfu4[[#This Row],[Best DF]]</f>
        <v>#DIV/0!</v>
      </c>
      <c r="S715" s="6" t="e">
        <f>Pcfu4[[#This Row],[CFU/mL]]*Pcfu4[[#This Row],[mL]]/Pcfu4[[#This Row],[grams]]</f>
        <v>#DIV/0!</v>
      </c>
      <c r="T715" s="1" t="e">
        <f>Pcfu4[[#This Row],[SD CFU/mL]]*Pcfu4[[#This Row],[mL]]/Pcfu4[[#This Row],[grams]]</f>
        <v>#DIV/0!</v>
      </c>
      <c r="U715" s="7" t="e">
        <f>_xlfn.STDEV.S(Pcfu43[[#This Row],[R1]:[R3]])/AVERAGE(Pcfu43[[#This Row],[R1]:[R3]])</f>
        <v>#VALUE!</v>
      </c>
      <c r="V715" s="96"/>
      <c r="W715" s="7"/>
    </row>
    <row r="716" spans="1:23" x14ac:dyDescent="0.15">
      <c r="A716" t="s">
        <v>496</v>
      </c>
      <c r="C716" t="s">
        <v>615</v>
      </c>
      <c r="D716" t="s">
        <v>556</v>
      </c>
      <c r="E716" s="3">
        <v>1</v>
      </c>
      <c r="H716" s="5">
        <f>19*Pcfu4[[#This Row],[grams]]</f>
        <v>0</v>
      </c>
      <c r="I716" s="3" t="s">
        <v>28</v>
      </c>
      <c r="J716" s="59">
        <v>44984</v>
      </c>
      <c r="L716" s="59" t="e" cm="1">
        <f t="array" ref="L716">INDEX($J$4:J1806, MATCH(1,(A716=$A$4:A1804)*(C716=$C$4:C1804)*("Y"=$K$4:K1806),0))</f>
        <v>#N/A</v>
      </c>
      <c r="M716" s="1">
        <v>100</v>
      </c>
      <c r="N716">
        <v>70</v>
      </c>
      <c r="P716"/>
      <c r="Q716" s="6">
        <f>(SUM(Pcfu4[[#This Row],[R1]:[R3]]))/(Pcfu4[[#This Row],[No. Reps]]*0.025)*Pcfu4[[#This Row],[Best DF]]</f>
        <v>280000</v>
      </c>
      <c r="R716" s="1" t="e">
        <f>_xlfn.STDEV.S(Pcfu4[[#This Row],[R1]:[R3]])/0.025*Pcfu4[[#This Row],[Best DF]]</f>
        <v>#DIV/0!</v>
      </c>
      <c r="S716" s="6" t="e">
        <f>Pcfu4[[#This Row],[CFU/mL]]*Pcfu4[[#This Row],[mL]]/Pcfu4[[#This Row],[grams]]</f>
        <v>#DIV/0!</v>
      </c>
      <c r="T716" s="1" t="e">
        <f>Pcfu4[[#This Row],[SD CFU/mL]]*Pcfu4[[#This Row],[mL]]/Pcfu4[[#This Row],[grams]]</f>
        <v>#DIV/0!</v>
      </c>
      <c r="U716" s="7" t="e">
        <f>_xlfn.STDEV.S(Pcfu43[[#This Row],[R1]:[R3]])/AVERAGE(Pcfu43[[#This Row],[R1]:[R3]])</f>
        <v>#VALUE!</v>
      </c>
      <c r="V716" s="96"/>
      <c r="W716" s="7"/>
    </row>
    <row r="717" spans="1:23" x14ac:dyDescent="0.15">
      <c r="A717" t="s">
        <v>498</v>
      </c>
      <c r="C717" t="s">
        <v>615</v>
      </c>
      <c r="D717" t="s">
        <v>556</v>
      </c>
      <c r="E717" s="3">
        <v>1</v>
      </c>
      <c r="H717" s="5">
        <f>19*Pcfu4[[#This Row],[grams]]</f>
        <v>0</v>
      </c>
      <c r="I717" s="3" t="s">
        <v>28</v>
      </c>
      <c r="J717" s="59">
        <v>44984</v>
      </c>
      <c r="L717" s="59" t="e" cm="1">
        <f t="array" ref="L717">INDEX($J$4:J1807, MATCH(1,(A717=$A$4:A1805)*(C717=$C$4:C1805)*("Y"=$K$4:K1807),0))</f>
        <v>#N/A</v>
      </c>
      <c r="M717" s="1">
        <v>10</v>
      </c>
      <c r="N717">
        <v>221</v>
      </c>
      <c r="P717"/>
      <c r="Q717" s="6">
        <f>(SUM(Pcfu4[[#This Row],[R1]:[R3]]))/(Pcfu4[[#This Row],[No. Reps]]*0.025)*Pcfu4[[#This Row],[Best DF]]</f>
        <v>88400</v>
      </c>
      <c r="R717" s="1" t="e">
        <f>_xlfn.STDEV.S(Pcfu4[[#This Row],[R1]:[R3]])/0.025*Pcfu4[[#This Row],[Best DF]]</f>
        <v>#DIV/0!</v>
      </c>
      <c r="S717" s="6" t="e">
        <f>Pcfu4[[#This Row],[CFU/mL]]*Pcfu4[[#This Row],[mL]]/Pcfu4[[#This Row],[grams]]</f>
        <v>#DIV/0!</v>
      </c>
      <c r="T717" s="1" t="e">
        <f>Pcfu4[[#This Row],[SD CFU/mL]]*Pcfu4[[#This Row],[mL]]/Pcfu4[[#This Row],[grams]]</f>
        <v>#DIV/0!</v>
      </c>
      <c r="U717" s="7" t="e">
        <f>_xlfn.STDEV.S(Pcfu43[[#This Row],[R1]:[R3]])/AVERAGE(Pcfu43[[#This Row],[R1]:[R3]])</f>
        <v>#VALUE!</v>
      </c>
      <c r="V717" s="96"/>
      <c r="W717" s="7"/>
    </row>
    <row r="718" spans="1:23" x14ac:dyDescent="0.15">
      <c r="A718" t="s">
        <v>610</v>
      </c>
      <c r="C718" t="s">
        <v>615</v>
      </c>
      <c r="D718" t="s">
        <v>611</v>
      </c>
      <c r="E718" s="3">
        <v>1</v>
      </c>
      <c r="H718" s="5">
        <f>19*Pcfu4[[#This Row],[grams]]</f>
        <v>0</v>
      </c>
      <c r="I718" s="3" t="s">
        <v>28</v>
      </c>
      <c r="J718" s="59">
        <v>44984</v>
      </c>
      <c r="L718" s="59" t="e" cm="1">
        <f t="array" ref="L718">INDEX($J$4:J1808, MATCH(1,(A718=$A$4:A1806)*(C718=$C$4:C1806)*("Y"=$K$4:K1808),0))</f>
        <v>#N/A</v>
      </c>
      <c r="M718" s="1">
        <v>1000</v>
      </c>
      <c r="N718">
        <v>31</v>
      </c>
      <c r="P718"/>
      <c r="Q718" s="6">
        <f>(SUM(Pcfu4[[#This Row],[R1]:[R3]]))/(Pcfu4[[#This Row],[No. Reps]]*0.025)*Pcfu4[[#This Row],[Best DF]]</f>
        <v>1240000</v>
      </c>
      <c r="R718" s="1" t="e">
        <f>_xlfn.STDEV.S(Pcfu4[[#This Row],[R1]:[R3]])/0.025*Pcfu4[[#This Row],[Best DF]]</f>
        <v>#DIV/0!</v>
      </c>
      <c r="S718" s="6" t="e">
        <f>Pcfu4[[#This Row],[CFU/mL]]*Pcfu4[[#This Row],[mL]]/Pcfu4[[#This Row],[grams]]</f>
        <v>#DIV/0!</v>
      </c>
      <c r="T718" s="1" t="e">
        <f>Pcfu4[[#This Row],[SD CFU/mL]]*Pcfu4[[#This Row],[mL]]/Pcfu4[[#This Row],[grams]]</f>
        <v>#DIV/0!</v>
      </c>
      <c r="U718" s="7" t="e">
        <f>_xlfn.STDEV.S(Pcfu43[[#This Row],[R1]:[R3]])/AVERAGE(Pcfu43[[#This Row],[R1]:[R3]])</f>
        <v>#VALUE!</v>
      </c>
      <c r="V718" s="96"/>
      <c r="W718" s="7"/>
    </row>
    <row r="719" spans="1:23" x14ac:dyDescent="0.15">
      <c r="A719" t="s">
        <v>612</v>
      </c>
      <c r="C719" t="s">
        <v>615</v>
      </c>
      <c r="D719" t="s">
        <v>611</v>
      </c>
      <c r="E719" s="3">
        <v>1</v>
      </c>
      <c r="H719" s="5">
        <f>19*Pcfu4[[#This Row],[grams]]</f>
        <v>0</v>
      </c>
      <c r="I719" s="3" t="s">
        <v>28</v>
      </c>
      <c r="J719" s="59">
        <v>44984</v>
      </c>
      <c r="L719" s="59" t="e" cm="1">
        <f t="array" ref="L719">INDEX($J$4:J1809, MATCH(1,(A719=$A$4:A1807)*(C719=$C$4:C1807)*("Y"=$K$4:K1809),0))</f>
        <v>#N/A</v>
      </c>
      <c r="M719" s="1">
        <v>100</v>
      </c>
      <c r="N719">
        <v>42</v>
      </c>
      <c r="P719"/>
      <c r="Q719" s="6">
        <f>(SUM(Pcfu4[[#This Row],[R1]:[R3]]))/(Pcfu4[[#This Row],[No. Reps]]*0.025)*Pcfu4[[#This Row],[Best DF]]</f>
        <v>168000</v>
      </c>
      <c r="R719" s="1" t="e">
        <f>_xlfn.STDEV.S(Pcfu4[[#This Row],[R1]:[R3]])/0.025*Pcfu4[[#This Row],[Best DF]]</f>
        <v>#DIV/0!</v>
      </c>
      <c r="S719" s="6" t="e">
        <f>Pcfu4[[#This Row],[CFU/mL]]*Pcfu4[[#This Row],[mL]]/Pcfu4[[#This Row],[grams]]</f>
        <v>#DIV/0!</v>
      </c>
      <c r="T719" s="1" t="e">
        <f>Pcfu4[[#This Row],[SD CFU/mL]]*Pcfu4[[#This Row],[mL]]/Pcfu4[[#This Row],[grams]]</f>
        <v>#DIV/0!</v>
      </c>
      <c r="U719" s="7" t="e">
        <f>_xlfn.STDEV.S(Pcfu43[[#This Row],[R1]:[R3]])/AVERAGE(Pcfu43[[#This Row],[R1]:[R3]])</f>
        <v>#VALUE!</v>
      </c>
      <c r="V719" s="96"/>
      <c r="W719" s="7"/>
    </row>
    <row r="720" spans="1:23" x14ac:dyDescent="0.15">
      <c r="A720" t="s">
        <v>613</v>
      </c>
      <c r="C720" t="s">
        <v>615</v>
      </c>
      <c r="D720" t="s">
        <v>611</v>
      </c>
      <c r="E720" s="3">
        <v>1</v>
      </c>
      <c r="H720" s="5">
        <f>19*Pcfu4[[#This Row],[grams]]</f>
        <v>0</v>
      </c>
      <c r="I720" s="3" t="s">
        <v>28</v>
      </c>
      <c r="J720" s="59">
        <v>44984</v>
      </c>
      <c r="L720" s="59" t="e" cm="1">
        <f t="array" ref="L720">INDEX($J$4:J1810, MATCH(1,(A720=$A$4:A1808)*(C720=$C$4:C1808)*("Y"=$K$4:K1810),0))</f>
        <v>#N/A</v>
      </c>
      <c r="M720" s="1">
        <v>1000</v>
      </c>
      <c r="N720">
        <v>26</v>
      </c>
      <c r="P720"/>
      <c r="Q720" s="6">
        <f>(SUM(Pcfu4[[#This Row],[R1]:[R3]]))/(Pcfu4[[#This Row],[No. Reps]]*0.025)*Pcfu4[[#This Row],[Best DF]]</f>
        <v>1040000</v>
      </c>
      <c r="R720" s="1" t="e">
        <f>_xlfn.STDEV.S(Pcfu4[[#This Row],[R1]:[R3]])/0.025*Pcfu4[[#This Row],[Best DF]]</f>
        <v>#DIV/0!</v>
      </c>
      <c r="S720" s="6" t="e">
        <f>Pcfu4[[#This Row],[CFU/mL]]*Pcfu4[[#This Row],[mL]]/Pcfu4[[#This Row],[grams]]</f>
        <v>#DIV/0!</v>
      </c>
      <c r="T720" s="1" t="e">
        <f>Pcfu4[[#This Row],[SD CFU/mL]]*Pcfu4[[#This Row],[mL]]/Pcfu4[[#This Row],[grams]]</f>
        <v>#DIV/0!</v>
      </c>
      <c r="U720" s="7" t="e">
        <f>_xlfn.STDEV.S(Pcfu43[[#This Row],[R1]:[R3]])/AVERAGE(Pcfu43[[#This Row],[R1]:[R3]])</f>
        <v>#VALUE!</v>
      </c>
      <c r="V720" s="96"/>
      <c r="W720" s="7"/>
    </row>
    <row r="721" spans="1:23" x14ac:dyDescent="0.15">
      <c r="A721" t="s">
        <v>480</v>
      </c>
      <c r="C721" t="s">
        <v>615</v>
      </c>
      <c r="D721" t="s">
        <v>611</v>
      </c>
      <c r="E721" s="3">
        <v>1</v>
      </c>
      <c r="H721" s="5">
        <f>19*Pcfu4[[#This Row],[grams]]</f>
        <v>0</v>
      </c>
      <c r="I721" s="3" t="s">
        <v>28</v>
      </c>
      <c r="J721" s="59">
        <v>44984</v>
      </c>
      <c r="L721" s="59" t="e" cm="1">
        <f t="array" ref="L721">INDEX($J$4:J1811, MATCH(1,(A721=$A$4:A1809)*(C721=$C$4:C1809)*("Y"=$K$4:K1811),0))</f>
        <v>#N/A</v>
      </c>
      <c r="M721" s="1">
        <v>10</v>
      </c>
      <c r="N721">
        <v>35</v>
      </c>
      <c r="P721"/>
      <c r="Q721" s="6">
        <f>(SUM(Pcfu4[[#This Row],[R1]:[R3]]))/(Pcfu4[[#This Row],[No. Reps]]*0.025)*Pcfu4[[#This Row],[Best DF]]</f>
        <v>14000</v>
      </c>
      <c r="R721" s="1" t="e">
        <f>_xlfn.STDEV.S(Pcfu4[[#This Row],[R1]:[R3]])/0.025*Pcfu4[[#This Row],[Best DF]]</f>
        <v>#DIV/0!</v>
      </c>
      <c r="S721" s="6" t="e">
        <f>Pcfu4[[#This Row],[CFU/mL]]*Pcfu4[[#This Row],[mL]]/Pcfu4[[#This Row],[grams]]</f>
        <v>#DIV/0!</v>
      </c>
      <c r="T721" s="1" t="e">
        <f>Pcfu4[[#This Row],[SD CFU/mL]]*Pcfu4[[#This Row],[mL]]/Pcfu4[[#This Row],[grams]]</f>
        <v>#DIV/0!</v>
      </c>
      <c r="U721" s="7" t="e">
        <f>_xlfn.STDEV.S(Pcfu43[[#This Row],[R1]:[R3]])/AVERAGE(Pcfu43[[#This Row],[R1]:[R3]])</f>
        <v>#VALUE!</v>
      </c>
      <c r="V721" s="96"/>
      <c r="W721" s="7"/>
    </row>
    <row r="722" spans="1:23" x14ac:dyDescent="0.15">
      <c r="A722" t="s">
        <v>616</v>
      </c>
      <c r="C722" t="s">
        <v>617</v>
      </c>
      <c r="D722" t="s">
        <v>611</v>
      </c>
      <c r="E722" s="3">
        <v>1</v>
      </c>
      <c r="H722" s="5">
        <f>19*Pcfu4[[#This Row],[grams]]</f>
        <v>0</v>
      </c>
      <c r="I722" s="3" t="s">
        <v>28</v>
      </c>
      <c r="J722" s="59">
        <v>44984</v>
      </c>
      <c r="L722" s="59" t="e" cm="1">
        <f t="array" ref="L722">INDEX($J$4:J1812, MATCH(1,(A722=$A$4:A1810)*(C722=$C$4:C1810)*("Y"=$K$4:K1812),0))</f>
        <v>#N/A</v>
      </c>
      <c r="M722" s="1">
        <v>100</v>
      </c>
      <c r="N722">
        <v>105</v>
      </c>
      <c r="P722"/>
      <c r="Q722" s="6">
        <f>(SUM(Pcfu4[[#This Row],[R1]:[R3]]))/(Pcfu4[[#This Row],[No. Reps]]*0.025)*Pcfu4[[#This Row],[Best DF]]</f>
        <v>420000</v>
      </c>
      <c r="R722" s="1" t="e">
        <f>_xlfn.STDEV.S(Pcfu4[[#This Row],[R1]:[R3]])/0.025*Pcfu4[[#This Row],[Best DF]]</f>
        <v>#DIV/0!</v>
      </c>
      <c r="S722" s="6" t="e">
        <f>Pcfu4[[#This Row],[CFU/mL]]*Pcfu4[[#This Row],[mL]]/Pcfu4[[#This Row],[grams]]</f>
        <v>#DIV/0!</v>
      </c>
      <c r="T722" s="1" t="e">
        <f>Pcfu4[[#This Row],[SD CFU/mL]]*Pcfu4[[#This Row],[mL]]/Pcfu4[[#This Row],[grams]]</f>
        <v>#DIV/0!</v>
      </c>
      <c r="U722" s="7" t="e">
        <f>_xlfn.STDEV.S(Pcfu43[[#This Row],[R1]:[R3]])/AVERAGE(Pcfu43[[#This Row],[R1]:[R3]])</f>
        <v>#VALUE!</v>
      </c>
      <c r="V722" s="96"/>
      <c r="W722" s="7"/>
    </row>
    <row r="723" spans="1:23" x14ac:dyDescent="0.15">
      <c r="A723" t="s">
        <v>616</v>
      </c>
      <c r="C723" t="s">
        <v>618</v>
      </c>
      <c r="D723" t="s">
        <v>611</v>
      </c>
      <c r="E723" s="3">
        <v>1</v>
      </c>
      <c r="H723" s="5">
        <f>19*Pcfu4[[#This Row],[grams]]</f>
        <v>0</v>
      </c>
      <c r="I723" s="3" t="s">
        <v>28</v>
      </c>
      <c r="J723" s="59">
        <v>44984</v>
      </c>
      <c r="L723" s="59" t="e" cm="1">
        <f t="array" ref="L723">INDEX($J$4:J1813, MATCH(1,(A723=$A$4:A1811)*(C723=$C$4:C1811)*("Y"=$K$4:K1813),0))</f>
        <v>#N/A</v>
      </c>
      <c r="M723" s="1">
        <v>100</v>
      </c>
      <c r="N723">
        <v>94</v>
      </c>
      <c r="P723"/>
      <c r="Q723" s="6">
        <f>(SUM(Pcfu4[[#This Row],[R1]:[R3]]))/(Pcfu4[[#This Row],[No. Reps]]*0.025)*Pcfu4[[#This Row],[Best DF]]</f>
        <v>376000</v>
      </c>
      <c r="R723" s="1" t="e">
        <f>_xlfn.STDEV.S(Pcfu4[[#This Row],[R1]:[R3]])/0.025*Pcfu4[[#This Row],[Best DF]]</f>
        <v>#DIV/0!</v>
      </c>
      <c r="S723" s="6" t="e">
        <f>Pcfu4[[#This Row],[CFU/mL]]*Pcfu4[[#This Row],[mL]]/Pcfu4[[#This Row],[grams]]</f>
        <v>#DIV/0!</v>
      </c>
      <c r="T723" s="1" t="e">
        <f>Pcfu4[[#This Row],[SD CFU/mL]]*Pcfu4[[#This Row],[mL]]/Pcfu4[[#This Row],[grams]]</f>
        <v>#DIV/0!</v>
      </c>
      <c r="U723" s="7" t="e">
        <f>_xlfn.STDEV.S(Pcfu43[[#This Row],[R1]:[R3]])/AVERAGE(Pcfu43[[#This Row],[R1]:[R3]])</f>
        <v>#VALUE!</v>
      </c>
      <c r="V723" s="96"/>
      <c r="W723" s="7"/>
    </row>
    <row r="724" spans="1:23" x14ac:dyDescent="0.15">
      <c r="A724" t="s">
        <v>616</v>
      </c>
      <c r="C724" t="s">
        <v>619</v>
      </c>
      <c r="D724" t="s">
        <v>611</v>
      </c>
      <c r="E724" s="3">
        <v>1</v>
      </c>
      <c r="H724" s="5">
        <f>19*Pcfu4[[#This Row],[grams]]</f>
        <v>0</v>
      </c>
      <c r="I724" s="3" t="s">
        <v>28</v>
      </c>
      <c r="J724" s="59">
        <v>44984</v>
      </c>
      <c r="L724" s="59" t="e" cm="1">
        <f t="array" ref="L724">INDEX($J$4:J1814, MATCH(1,(A724=$A$4:A1812)*(C724=$C$4:C1812)*("Y"=$K$4:K1814),0))</f>
        <v>#N/A</v>
      </c>
      <c r="M724" s="1">
        <v>100</v>
      </c>
      <c r="N724">
        <v>120</v>
      </c>
      <c r="P724"/>
      <c r="Q724" s="6">
        <f>(SUM(Pcfu4[[#This Row],[R1]:[R3]]))/(Pcfu4[[#This Row],[No. Reps]]*0.025)*Pcfu4[[#This Row],[Best DF]]</f>
        <v>480000</v>
      </c>
      <c r="R724" s="1" t="e">
        <f>_xlfn.STDEV.S(Pcfu4[[#This Row],[R1]:[R3]])/0.025*Pcfu4[[#This Row],[Best DF]]</f>
        <v>#DIV/0!</v>
      </c>
      <c r="S724" s="6" t="e">
        <f>Pcfu4[[#This Row],[CFU/mL]]*Pcfu4[[#This Row],[mL]]/Pcfu4[[#This Row],[grams]]</f>
        <v>#DIV/0!</v>
      </c>
      <c r="T724" s="1" t="e">
        <f>Pcfu4[[#This Row],[SD CFU/mL]]*Pcfu4[[#This Row],[mL]]/Pcfu4[[#This Row],[grams]]</f>
        <v>#DIV/0!</v>
      </c>
      <c r="U724" s="7" t="e">
        <f>_xlfn.STDEV.S(Pcfu43[[#This Row],[R1]:[R3]])/AVERAGE(Pcfu43[[#This Row],[R1]:[R3]])</f>
        <v>#VALUE!</v>
      </c>
      <c r="V724" s="96"/>
      <c r="W724" s="7"/>
    </row>
    <row r="725" spans="1:23" x14ac:dyDescent="0.15">
      <c r="A725" t="s">
        <v>620</v>
      </c>
      <c r="C725" t="s">
        <v>621</v>
      </c>
      <c r="D725" t="s">
        <v>611</v>
      </c>
      <c r="E725" s="3">
        <v>1</v>
      </c>
      <c r="H725" s="5">
        <f>19*Pcfu4[[#This Row],[grams]]</f>
        <v>0</v>
      </c>
      <c r="I725" s="3" t="s">
        <v>28</v>
      </c>
      <c r="J725" s="59">
        <v>44984</v>
      </c>
      <c r="L725" s="59" t="e" cm="1">
        <f t="array" ref="L725">INDEX($J$4:J1815, MATCH(1,(A725=$A$4:A1813)*(C725=$C$4:C1813)*("Y"=$K$4:K1815),0))</f>
        <v>#N/A</v>
      </c>
      <c r="M725" s="1">
        <v>100</v>
      </c>
      <c r="N725">
        <v>121</v>
      </c>
      <c r="P725"/>
      <c r="Q725" s="6">
        <f>(SUM(Pcfu4[[#This Row],[R1]:[R3]]))/(Pcfu4[[#This Row],[No. Reps]]*0.025)*Pcfu4[[#This Row],[Best DF]]</f>
        <v>484000</v>
      </c>
      <c r="R725" s="1" t="e">
        <f>_xlfn.STDEV.S(Pcfu4[[#This Row],[R1]:[R3]])/0.025*Pcfu4[[#This Row],[Best DF]]</f>
        <v>#DIV/0!</v>
      </c>
      <c r="S725" s="6" t="e">
        <f>Pcfu4[[#This Row],[CFU/mL]]*Pcfu4[[#This Row],[mL]]/Pcfu4[[#This Row],[grams]]</f>
        <v>#DIV/0!</v>
      </c>
      <c r="T725" s="1" t="e">
        <f>Pcfu4[[#This Row],[SD CFU/mL]]*Pcfu4[[#This Row],[mL]]/Pcfu4[[#This Row],[grams]]</f>
        <v>#DIV/0!</v>
      </c>
      <c r="U725" s="7" t="e">
        <f>_xlfn.STDEV.S(Pcfu43[[#This Row],[R1]:[R3]])/AVERAGE(Pcfu43[[#This Row],[R1]:[R3]])</f>
        <v>#VALUE!</v>
      </c>
      <c r="V725" s="96"/>
      <c r="W725" s="7"/>
    </row>
    <row r="726" spans="1:23" x14ac:dyDescent="0.15">
      <c r="A726" t="s">
        <v>620</v>
      </c>
      <c r="C726" t="s">
        <v>622</v>
      </c>
      <c r="D726" t="s">
        <v>611</v>
      </c>
      <c r="E726" s="3">
        <v>1</v>
      </c>
      <c r="H726" s="5">
        <f>19*Pcfu4[[#This Row],[grams]]</f>
        <v>0</v>
      </c>
      <c r="I726" s="3" t="s">
        <v>28</v>
      </c>
      <c r="J726" s="59">
        <v>44984</v>
      </c>
      <c r="L726" s="59" t="e" cm="1">
        <f t="array" ref="L726">INDEX($J$4:J1816, MATCH(1,(A726=$A$4:A1814)*(C726=$C$4:C1814)*("Y"=$K$4:K1816),0))</f>
        <v>#N/A</v>
      </c>
      <c r="M726" s="1">
        <v>100</v>
      </c>
      <c r="N726">
        <v>164</v>
      </c>
      <c r="P726"/>
      <c r="Q726" s="6">
        <f>(SUM(Pcfu4[[#This Row],[R1]:[R3]]))/(Pcfu4[[#This Row],[No. Reps]]*0.025)*Pcfu4[[#This Row],[Best DF]]</f>
        <v>656000</v>
      </c>
      <c r="R726" s="1" t="e">
        <f>_xlfn.STDEV.S(Pcfu4[[#This Row],[R1]:[R3]])/0.025*Pcfu4[[#This Row],[Best DF]]</f>
        <v>#DIV/0!</v>
      </c>
      <c r="S726" s="6" t="e">
        <f>Pcfu4[[#This Row],[CFU/mL]]*Pcfu4[[#This Row],[mL]]/Pcfu4[[#This Row],[grams]]</f>
        <v>#DIV/0!</v>
      </c>
      <c r="T726" s="1" t="e">
        <f>Pcfu4[[#This Row],[SD CFU/mL]]*Pcfu4[[#This Row],[mL]]/Pcfu4[[#This Row],[grams]]</f>
        <v>#DIV/0!</v>
      </c>
      <c r="U726" s="7" t="e">
        <f>_xlfn.STDEV.S(Pcfu43[[#This Row],[R1]:[R3]])/AVERAGE(Pcfu43[[#This Row],[R1]:[R3]])</f>
        <v>#VALUE!</v>
      </c>
      <c r="V726" s="96"/>
      <c r="W726" s="7"/>
    </row>
    <row r="727" spans="1:23" x14ac:dyDescent="0.15">
      <c r="A727" t="s">
        <v>620</v>
      </c>
      <c r="C727" t="s">
        <v>623</v>
      </c>
      <c r="D727" t="s">
        <v>611</v>
      </c>
      <c r="E727" s="3">
        <v>1</v>
      </c>
      <c r="H727" s="5">
        <f>19*Pcfu4[[#This Row],[grams]]</f>
        <v>0</v>
      </c>
      <c r="I727" s="3" t="s">
        <v>28</v>
      </c>
      <c r="J727" s="59">
        <v>44984</v>
      </c>
      <c r="L727" s="59" t="e" cm="1">
        <f t="array" ref="L727">INDEX($J$4:J1817, MATCH(1,(A727=$A$4:A1815)*(C727=$C$4:C1815)*("Y"=$K$4:K1817),0))</f>
        <v>#N/A</v>
      </c>
      <c r="M727" s="1">
        <v>100</v>
      </c>
      <c r="N727">
        <v>174</v>
      </c>
      <c r="P727"/>
      <c r="Q727" s="6">
        <f>(SUM(Pcfu4[[#This Row],[R1]:[R3]]))/(Pcfu4[[#This Row],[No. Reps]]*0.025)*Pcfu4[[#This Row],[Best DF]]</f>
        <v>696000</v>
      </c>
      <c r="R727" s="1" t="e">
        <f>_xlfn.STDEV.S(Pcfu4[[#This Row],[R1]:[R3]])/0.025*Pcfu4[[#This Row],[Best DF]]</f>
        <v>#DIV/0!</v>
      </c>
      <c r="S727" s="6" t="e">
        <f>Pcfu4[[#This Row],[CFU/mL]]*Pcfu4[[#This Row],[mL]]/Pcfu4[[#This Row],[grams]]</f>
        <v>#DIV/0!</v>
      </c>
      <c r="T727" s="1" t="e">
        <f>Pcfu4[[#This Row],[SD CFU/mL]]*Pcfu4[[#This Row],[mL]]/Pcfu4[[#This Row],[grams]]</f>
        <v>#DIV/0!</v>
      </c>
      <c r="U727" s="7" t="e">
        <f>_xlfn.STDEV.S(Pcfu43[[#This Row],[R1]:[R3]])/AVERAGE(Pcfu43[[#This Row],[R1]:[R3]])</f>
        <v>#VALUE!</v>
      </c>
      <c r="V727" s="96"/>
      <c r="W727" s="7"/>
    </row>
    <row r="728" spans="1:23" x14ac:dyDescent="0.15">
      <c r="A728" t="s">
        <v>624</v>
      </c>
      <c r="D728" t="s">
        <v>194</v>
      </c>
      <c r="E728" s="3">
        <v>2</v>
      </c>
      <c r="G728">
        <v>0.3</v>
      </c>
      <c r="H728" s="5">
        <f>19*Pcfu4[[#This Row],[grams]]</f>
        <v>5.7</v>
      </c>
      <c r="I728" s="3" t="s">
        <v>170</v>
      </c>
      <c r="J728" s="59">
        <v>44994</v>
      </c>
      <c r="L728" s="59" t="e" cm="1">
        <f t="array" ref="L728">INDEX($J$4:J1818, MATCH(1,(A728=$A$4:A1816)*(C728=$C$4:C1816)*("Y"=$K$4:K1818),0))</f>
        <v>#N/A</v>
      </c>
      <c r="M728" s="1">
        <v>10000000</v>
      </c>
      <c r="N728">
        <v>46</v>
      </c>
      <c r="O728">
        <v>53</v>
      </c>
      <c r="P728"/>
      <c r="Q728" s="6">
        <f>(SUM(Pcfu4[[#This Row],[R1]:[R3]]))/(Pcfu4[[#This Row],[No. Reps]]*0.025)*Pcfu4[[#This Row],[Best DF]]</f>
        <v>19800000000</v>
      </c>
      <c r="R728" s="1">
        <f>_xlfn.STDEV.S(Pcfu4[[#This Row],[R1]:[R3]])/0.025*Pcfu4[[#This Row],[Best DF]]</f>
        <v>1979898987.3223329</v>
      </c>
      <c r="S728" s="6">
        <f>Pcfu4[[#This Row],[CFU/mL]]*Pcfu4[[#This Row],[mL]]/Pcfu4[[#This Row],[grams]]</f>
        <v>376200000000</v>
      </c>
      <c r="T728" s="1">
        <f>Pcfu4[[#This Row],[SD CFU/mL]]*Pcfu4[[#This Row],[mL]]/Pcfu4[[#This Row],[grams]]</f>
        <v>37618080759.124329</v>
      </c>
      <c r="U728" s="7" t="e">
        <f>_xlfn.STDEV.S(Pcfu43[[#This Row],[R1]:[R3]])/AVERAGE(Pcfu43[[#This Row],[R1]:[R3]])</f>
        <v>#VALUE!</v>
      </c>
      <c r="V728" s="96"/>
      <c r="W728" s="7"/>
    </row>
    <row r="729" spans="1:23" x14ac:dyDescent="0.15">
      <c r="A729" t="s">
        <v>625</v>
      </c>
      <c r="D729" t="s">
        <v>194</v>
      </c>
      <c r="E729" s="3">
        <v>3</v>
      </c>
      <c r="G729">
        <v>0.3</v>
      </c>
      <c r="H729" s="5">
        <f>19*Pcfu4[[#This Row],[grams]]</f>
        <v>5.7</v>
      </c>
      <c r="I729" s="3" t="s">
        <v>170</v>
      </c>
      <c r="J729" s="59">
        <v>44994</v>
      </c>
      <c r="L729" s="59" t="e" cm="1">
        <f t="array" ref="L729">INDEX($J$4:J1819, MATCH(1,(A729=$A$4:A1817)*(C729=$C$4:C1817)*("Y"=$K$4:K1819),0))</f>
        <v>#N/A</v>
      </c>
      <c r="M729" s="1">
        <v>10000000</v>
      </c>
      <c r="N729">
        <v>62</v>
      </c>
      <c r="O729">
        <v>65</v>
      </c>
      <c r="P729">
        <v>53</v>
      </c>
      <c r="Q729" s="6">
        <f>(SUM(Pcfu4[[#This Row],[R1]:[R3]]))/(Pcfu4[[#This Row],[No. Reps]]*0.025)*Pcfu4[[#This Row],[Best DF]]</f>
        <v>23999999999.999996</v>
      </c>
      <c r="R729" s="1">
        <f>_xlfn.STDEV.S(Pcfu4[[#This Row],[R1]:[R3]])/0.025*Pcfu4[[#This Row],[Best DF]]</f>
        <v>2497999199.3593593</v>
      </c>
      <c r="S729" s="6">
        <f>Pcfu4[[#This Row],[CFU/mL]]*Pcfu4[[#This Row],[mL]]/Pcfu4[[#This Row],[grams]]</f>
        <v>455999999999.99994</v>
      </c>
      <c r="T729" s="1">
        <f>Pcfu4[[#This Row],[SD CFU/mL]]*Pcfu4[[#This Row],[mL]]/Pcfu4[[#This Row],[grams]]</f>
        <v>47461984787.827827</v>
      </c>
      <c r="U729" s="7" t="e">
        <f>_xlfn.STDEV.S(Pcfu43[[#This Row],[R1]:[R3]])/AVERAGE(Pcfu43[[#This Row],[R1]:[R3]])</f>
        <v>#VALUE!</v>
      </c>
      <c r="V729" s="96"/>
      <c r="W729" s="7"/>
    </row>
    <row r="730" spans="1:23" x14ac:dyDescent="0.15">
      <c r="A730" t="s">
        <v>626</v>
      </c>
      <c r="D730" t="s">
        <v>194</v>
      </c>
      <c r="E730" s="3">
        <v>3</v>
      </c>
      <c r="G730">
        <v>0.3</v>
      </c>
      <c r="H730" s="5">
        <f>19*Pcfu4[[#This Row],[grams]]</f>
        <v>5.7</v>
      </c>
      <c r="I730" s="3" t="s">
        <v>170</v>
      </c>
      <c r="J730" s="59">
        <v>44994</v>
      </c>
      <c r="L730" s="59" t="e" cm="1">
        <f t="array" ref="L730">INDEX($J$4:J1820, MATCH(1,(A730=$A$4:A1818)*(C730=$C$4:C1818)*("Y"=$K$4:K1820),0))</f>
        <v>#N/A</v>
      </c>
      <c r="M730" s="1">
        <v>10000000</v>
      </c>
      <c r="N730">
        <v>49</v>
      </c>
      <c r="O730">
        <v>40</v>
      </c>
      <c r="P730">
        <v>45</v>
      </c>
      <c r="Q730" s="6">
        <f>(SUM(Pcfu4[[#This Row],[R1]:[R3]]))/(Pcfu4[[#This Row],[No. Reps]]*0.025)*Pcfu4[[#This Row],[Best DF]]</f>
        <v>17866666666.666664</v>
      </c>
      <c r="R730" s="1">
        <f>_xlfn.STDEV.S(Pcfu4[[#This Row],[R1]:[R3]])/0.025*Pcfu4[[#This Row],[Best DF]]</f>
        <v>1803699901.1291575</v>
      </c>
      <c r="S730" s="6">
        <f>Pcfu4[[#This Row],[CFU/mL]]*Pcfu4[[#This Row],[mL]]/Pcfu4[[#This Row],[grams]]</f>
        <v>339466666666.66663</v>
      </c>
      <c r="T730" s="1">
        <f>Pcfu4[[#This Row],[SD CFU/mL]]*Pcfu4[[#This Row],[mL]]/Pcfu4[[#This Row],[grams]]</f>
        <v>34270298121.453999</v>
      </c>
      <c r="U730" s="7" t="e">
        <f>_xlfn.STDEV.S(Pcfu43[[#This Row],[R1]:[R3]])/AVERAGE(Pcfu43[[#This Row],[R1]:[R3]])</f>
        <v>#VALUE!</v>
      </c>
      <c r="V730" s="96"/>
      <c r="W730" s="7"/>
    </row>
    <row r="731" spans="1:23" x14ac:dyDescent="0.15">
      <c r="A731" t="s">
        <v>627</v>
      </c>
      <c r="D731" t="s">
        <v>194</v>
      </c>
      <c r="E731" s="3">
        <v>3</v>
      </c>
      <c r="G731">
        <v>0.3</v>
      </c>
      <c r="H731" s="5">
        <f>19*Pcfu4[[#This Row],[grams]]</f>
        <v>5.7</v>
      </c>
      <c r="I731" s="3" t="s">
        <v>170</v>
      </c>
      <c r="J731" s="59">
        <v>44994</v>
      </c>
      <c r="L731" s="59" t="e" cm="1">
        <f t="array" ref="L731">INDEX($J$4:J1821, MATCH(1,(A731=$A$4:A1819)*(C731=$C$4:C1819)*("Y"=$K$4:K1821),0))</f>
        <v>#N/A</v>
      </c>
      <c r="M731" s="1">
        <v>1000000</v>
      </c>
      <c r="N731">
        <v>159</v>
      </c>
      <c r="O731">
        <v>191</v>
      </c>
      <c r="P731">
        <v>184</v>
      </c>
      <c r="Q731" s="6">
        <f>(SUM(Pcfu4[[#This Row],[R1]:[R3]]))/(Pcfu4[[#This Row],[No. Reps]]*0.025)*Pcfu4[[#This Row],[Best DF]]</f>
        <v>7119999999.999999</v>
      </c>
      <c r="R731" s="1">
        <f>_xlfn.STDEV.S(Pcfu4[[#This Row],[R1]:[R3]])/0.025*Pcfu4[[#This Row],[Best DF]]</f>
        <v>672904153.65042889</v>
      </c>
      <c r="S731" s="6">
        <f>Pcfu4[[#This Row],[CFU/mL]]*Pcfu4[[#This Row],[mL]]/Pcfu4[[#This Row],[grams]]</f>
        <v>135279999999.99998</v>
      </c>
      <c r="T731" s="1">
        <f>Pcfu4[[#This Row],[SD CFU/mL]]*Pcfu4[[#This Row],[mL]]/Pcfu4[[#This Row],[grams]]</f>
        <v>12785178919.358149</v>
      </c>
      <c r="U731" s="7" t="e">
        <f>_xlfn.STDEV.S(Pcfu43[[#This Row],[R1]:[R3]])/AVERAGE(Pcfu43[[#This Row],[R1]:[R3]])</f>
        <v>#VALUE!</v>
      </c>
      <c r="V731" s="96"/>
      <c r="W731" s="7"/>
    </row>
    <row r="732" spans="1:23" x14ac:dyDescent="0.15">
      <c r="A732" t="s">
        <v>628</v>
      </c>
      <c r="D732" t="s">
        <v>86</v>
      </c>
      <c r="E732" s="3">
        <v>2</v>
      </c>
      <c r="G732">
        <v>0.3</v>
      </c>
      <c r="H732" s="5">
        <f>19*Pcfu4[[#This Row],[grams]]</f>
        <v>5.7</v>
      </c>
      <c r="I732" s="3" t="s">
        <v>170</v>
      </c>
      <c r="J732" s="59">
        <v>44998</v>
      </c>
      <c r="L732" s="59" t="e" cm="1">
        <f t="array" ref="L732">INDEX($J$4:J1822, MATCH(1,(A732=$A$4:A1820)*(C732=$C$4:C1820)*("Y"=$K$4:K1822),0))</f>
        <v>#N/A</v>
      </c>
      <c r="M732" s="1">
        <v>1000000</v>
      </c>
      <c r="N732">
        <v>280</v>
      </c>
      <c r="O732">
        <v>262</v>
      </c>
      <c r="P732"/>
      <c r="Q732" s="6">
        <f>(SUM(Pcfu4[[#This Row],[R1]:[R3]]))/(Pcfu4[[#This Row],[No. Reps]]*0.025)*Pcfu4[[#This Row],[Best DF]]</f>
        <v>10840000000</v>
      </c>
      <c r="R732" s="1">
        <f>_xlfn.STDEV.S(Pcfu4[[#This Row],[R1]:[R3]])/0.025*Pcfu4[[#This Row],[Best DF]]</f>
        <v>509116882.45431417</v>
      </c>
      <c r="S732" s="6">
        <f>Pcfu4[[#This Row],[CFU/mL]]*Pcfu4[[#This Row],[mL]]/Pcfu4[[#This Row],[grams]]</f>
        <v>205960000000</v>
      </c>
      <c r="T732" s="1">
        <f>Pcfu4[[#This Row],[SD CFU/mL]]*Pcfu4[[#This Row],[mL]]/Pcfu4[[#This Row],[grams]]</f>
        <v>9673220766.6319695</v>
      </c>
      <c r="U732" s="7" t="e">
        <f>_xlfn.STDEV.S(Pcfu43[[#This Row],[R1]:[R3]])/AVERAGE(Pcfu43[[#This Row],[R1]:[R3]])</f>
        <v>#VALUE!</v>
      </c>
      <c r="V732" s="96"/>
      <c r="W732" s="7"/>
    </row>
    <row r="733" spans="1:23" x14ac:dyDescent="0.15">
      <c r="A733" t="s">
        <v>629</v>
      </c>
      <c r="D733" t="s">
        <v>86</v>
      </c>
      <c r="E733" s="3">
        <v>2</v>
      </c>
      <c r="G733">
        <v>0.3</v>
      </c>
      <c r="H733" s="5">
        <f>19*Pcfu4[[#This Row],[grams]]</f>
        <v>5.7</v>
      </c>
      <c r="I733" s="3" t="s">
        <v>170</v>
      </c>
      <c r="J733" s="59">
        <v>44998</v>
      </c>
      <c r="L733" s="59" t="e" cm="1">
        <f t="array" ref="L733">INDEX($J$4:J1823, MATCH(1,(A733=$A$4:A1821)*(C733=$C$4:C1821)*("Y"=$K$4:K1823),0))</f>
        <v>#N/A</v>
      </c>
      <c r="M733" s="1">
        <v>1000000</v>
      </c>
      <c r="N733">
        <v>272</v>
      </c>
      <c r="O733">
        <v>297</v>
      </c>
      <c r="P733"/>
      <c r="Q733" s="6">
        <f>(SUM(Pcfu4[[#This Row],[R1]:[R3]]))/(Pcfu4[[#This Row],[No. Reps]]*0.025)*Pcfu4[[#This Row],[Best DF]]</f>
        <v>11380000000</v>
      </c>
      <c r="R733" s="1">
        <f>_xlfn.STDEV.S(Pcfu4[[#This Row],[R1]:[R3]])/0.025*Pcfu4[[#This Row],[Best DF]]</f>
        <v>707106781.18654752</v>
      </c>
      <c r="S733" s="6">
        <f>Pcfu4[[#This Row],[CFU/mL]]*Pcfu4[[#This Row],[mL]]/Pcfu4[[#This Row],[grams]]</f>
        <v>216220000000</v>
      </c>
      <c r="T733" s="1">
        <f>Pcfu4[[#This Row],[SD CFU/mL]]*Pcfu4[[#This Row],[mL]]/Pcfu4[[#This Row],[grams]]</f>
        <v>13435028842.544403</v>
      </c>
      <c r="U733" s="7" t="e">
        <f>_xlfn.STDEV.S(Pcfu43[[#This Row],[R1]:[R3]])/AVERAGE(Pcfu43[[#This Row],[R1]:[R3]])</f>
        <v>#VALUE!</v>
      </c>
      <c r="V733" s="96"/>
      <c r="W733" s="7"/>
    </row>
    <row r="734" spans="1:23" x14ac:dyDescent="0.15">
      <c r="A734" t="s">
        <v>630</v>
      </c>
      <c r="D734" t="s">
        <v>86</v>
      </c>
      <c r="E734" s="3">
        <v>2</v>
      </c>
      <c r="G734">
        <v>0.3</v>
      </c>
      <c r="H734" s="5">
        <f>19*Pcfu4[[#This Row],[grams]]</f>
        <v>5.7</v>
      </c>
      <c r="I734" s="3" t="s">
        <v>170</v>
      </c>
      <c r="J734" s="59">
        <v>44998</v>
      </c>
      <c r="L734" s="59" t="e" cm="1">
        <f t="array" ref="L734">INDEX($J$4:J1824, MATCH(1,(A734=$A$4:A1822)*(C734=$C$4:C1822)*("Y"=$K$4:K1824),0))</f>
        <v>#N/A</v>
      </c>
      <c r="M734" s="1">
        <v>10000000</v>
      </c>
      <c r="N734">
        <v>41</v>
      </c>
      <c r="O734">
        <v>55</v>
      </c>
      <c r="P734"/>
      <c r="Q734" s="6">
        <f>(SUM(Pcfu4[[#This Row],[R1]:[R3]]))/(Pcfu4[[#This Row],[No. Reps]]*0.025)*Pcfu4[[#This Row],[Best DF]]</f>
        <v>19200000000</v>
      </c>
      <c r="R734" s="1">
        <f>_xlfn.STDEV.S(Pcfu4[[#This Row],[R1]:[R3]])/0.025*Pcfu4[[#This Row],[Best DF]]</f>
        <v>3959797974.6446657</v>
      </c>
      <c r="S734" s="6">
        <f>Pcfu4[[#This Row],[CFU/mL]]*Pcfu4[[#This Row],[mL]]/Pcfu4[[#This Row],[grams]]</f>
        <v>364800000000</v>
      </c>
      <c r="T734" s="1">
        <f>Pcfu4[[#This Row],[SD CFU/mL]]*Pcfu4[[#This Row],[mL]]/Pcfu4[[#This Row],[grams]]</f>
        <v>75236161518.248657</v>
      </c>
      <c r="U734" s="7" t="e">
        <f>_xlfn.STDEV.S(Pcfu43[[#This Row],[R1]:[R3]])/AVERAGE(Pcfu43[[#This Row],[R1]:[R3]])</f>
        <v>#VALUE!</v>
      </c>
      <c r="V734" s="96"/>
      <c r="W734" s="7"/>
    </row>
    <row r="735" spans="1:23" x14ac:dyDescent="0.15">
      <c r="A735" t="s">
        <v>631</v>
      </c>
      <c r="D735" t="s">
        <v>86</v>
      </c>
      <c r="E735" s="3">
        <v>2</v>
      </c>
      <c r="G735">
        <v>0.3</v>
      </c>
      <c r="H735" s="5">
        <f>19*Pcfu4[[#This Row],[grams]]</f>
        <v>5.7</v>
      </c>
      <c r="I735" s="3" t="s">
        <v>170</v>
      </c>
      <c r="J735" s="59">
        <v>44998</v>
      </c>
      <c r="L735" s="59" t="e" cm="1">
        <f t="array" ref="L735">INDEX($J$4:J1825, MATCH(1,(A735=$A$4:A1823)*(C735=$C$4:C1823)*("Y"=$K$4:K1825),0))</f>
        <v>#N/A</v>
      </c>
      <c r="M735" s="1">
        <v>10000000</v>
      </c>
      <c r="N735">
        <v>31</v>
      </c>
      <c r="O735">
        <v>31</v>
      </c>
      <c r="P735"/>
      <c r="Q735" s="6">
        <f>(SUM(Pcfu4[[#This Row],[R1]:[R3]]))/(Pcfu4[[#This Row],[No. Reps]]*0.025)*Pcfu4[[#This Row],[Best DF]]</f>
        <v>12400000000</v>
      </c>
      <c r="R735" s="1">
        <f>_xlfn.STDEV.S(Pcfu4[[#This Row],[R1]:[R3]])/0.025*Pcfu4[[#This Row],[Best DF]]</f>
        <v>0</v>
      </c>
      <c r="S735" s="6">
        <f>Pcfu4[[#This Row],[CFU/mL]]*Pcfu4[[#This Row],[mL]]/Pcfu4[[#This Row],[grams]]</f>
        <v>235600000000</v>
      </c>
      <c r="T735" s="1">
        <f>Pcfu4[[#This Row],[SD CFU/mL]]*Pcfu4[[#This Row],[mL]]/Pcfu4[[#This Row],[grams]]</f>
        <v>0</v>
      </c>
      <c r="U735" s="7" t="e">
        <f>_xlfn.STDEV.S(Pcfu43[[#This Row],[R1]:[R3]])/AVERAGE(Pcfu43[[#This Row],[R1]:[R3]])</f>
        <v>#VALUE!</v>
      </c>
      <c r="V735" s="96"/>
      <c r="W735" s="7"/>
    </row>
    <row r="736" spans="1:23" x14ac:dyDescent="0.15">
      <c r="A736" t="s">
        <v>632</v>
      </c>
      <c r="D736" t="s">
        <v>86</v>
      </c>
      <c r="E736" s="3">
        <v>2</v>
      </c>
      <c r="G736">
        <v>0.3</v>
      </c>
      <c r="H736" s="5">
        <f>19*Pcfu4[[#This Row],[grams]]</f>
        <v>5.7</v>
      </c>
      <c r="I736" s="3" t="s">
        <v>170</v>
      </c>
      <c r="J736" s="59">
        <v>44998</v>
      </c>
      <c r="L736" s="59" t="e" cm="1">
        <f t="array" ref="L736">INDEX($J$4:J1826, MATCH(1,(A736=$A$4:A1824)*(C736=$C$4:C1824)*("Y"=$K$4:K1826),0))</f>
        <v>#N/A</v>
      </c>
      <c r="M736" s="1">
        <v>10000000</v>
      </c>
      <c r="N736">
        <v>62</v>
      </c>
      <c r="O736">
        <v>61</v>
      </c>
      <c r="P736"/>
      <c r="Q736" s="6">
        <f>(SUM(Pcfu4[[#This Row],[R1]:[R3]]))/(Pcfu4[[#This Row],[No. Reps]]*0.025)*Pcfu4[[#This Row],[Best DF]]</f>
        <v>24600000000</v>
      </c>
      <c r="R736" s="1">
        <f>_xlfn.STDEV.S(Pcfu4[[#This Row],[R1]:[R3]])/0.025*Pcfu4[[#This Row],[Best DF]]</f>
        <v>282842712.47461903</v>
      </c>
      <c r="S736" s="6">
        <f>Pcfu4[[#This Row],[CFU/mL]]*Pcfu4[[#This Row],[mL]]/Pcfu4[[#This Row],[grams]]</f>
        <v>467400000000</v>
      </c>
      <c r="T736" s="1">
        <f>Pcfu4[[#This Row],[SD CFU/mL]]*Pcfu4[[#This Row],[mL]]/Pcfu4[[#This Row],[grams]]</f>
        <v>5374011537.0177622</v>
      </c>
      <c r="U736" s="7" t="e">
        <f>_xlfn.STDEV.S(Pcfu43[[#This Row],[R1]:[R3]])/AVERAGE(Pcfu43[[#This Row],[R1]:[R3]])</f>
        <v>#VALUE!</v>
      </c>
      <c r="V736" s="96"/>
      <c r="W736" s="7"/>
    </row>
    <row r="737" spans="1:23" x14ac:dyDescent="0.15">
      <c r="A737" t="s">
        <v>625</v>
      </c>
      <c r="D737" t="s">
        <v>86</v>
      </c>
      <c r="E737" s="3">
        <v>3</v>
      </c>
      <c r="G737">
        <v>0.3</v>
      </c>
      <c r="H737" s="5">
        <f>19*Pcfu4[[#This Row],[grams]]</f>
        <v>5.7</v>
      </c>
      <c r="I737" s="3" t="s">
        <v>170</v>
      </c>
      <c r="J737" s="59">
        <v>44999</v>
      </c>
      <c r="L737" s="59" t="e" cm="1">
        <f t="array" ref="L737">INDEX($J$4:J1827, MATCH(1,(A737=$A$4:A1825)*(C737=$C$4:C1825)*("Y"=$K$4:K1827),0))</f>
        <v>#N/A</v>
      </c>
      <c r="M737" s="1">
        <v>10000000</v>
      </c>
      <c r="N737">
        <v>32</v>
      </c>
      <c r="O737">
        <v>40</v>
      </c>
      <c r="P737">
        <v>30</v>
      </c>
      <c r="Q737" s="6">
        <f>(SUM(Pcfu4[[#This Row],[R1]:[R3]]))/(Pcfu4[[#This Row],[No. Reps]]*0.025)*Pcfu4[[#This Row],[Best DF]]</f>
        <v>13599999999.999998</v>
      </c>
      <c r="R737" s="1">
        <f>_xlfn.STDEV.S(Pcfu4[[#This Row],[R1]:[R3]])/0.025*Pcfu4[[#This Row],[Best DF]]</f>
        <v>2116601048.8516724</v>
      </c>
      <c r="S737" s="6">
        <f>Pcfu4[[#This Row],[CFU/mL]]*Pcfu4[[#This Row],[mL]]/Pcfu4[[#This Row],[grams]]</f>
        <v>258399999999.99997</v>
      </c>
      <c r="T737" s="1">
        <f>Pcfu4[[#This Row],[SD CFU/mL]]*Pcfu4[[#This Row],[mL]]/Pcfu4[[#This Row],[grams]]</f>
        <v>40215419928.181778</v>
      </c>
      <c r="U737" s="7" t="e">
        <f>_xlfn.STDEV.S(Pcfu43[[#This Row],[R1]:[R3]])/AVERAGE(Pcfu43[[#This Row],[R1]:[R3]])</f>
        <v>#VALUE!</v>
      </c>
      <c r="V737" s="96"/>
      <c r="W737" s="7"/>
    </row>
    <row r="738" spans="1:23" x14ac:dyDescent="0.15">
      <c r="A738" t="s">
        <v>626</v>
      </c>
      <c r="D738" t="s">
        <v>86</v>
      </c>
      <c r="E738" s="3">
        <v>3</v>
      </c>
      <c r="G738">
        <v>0.3</v>
      </c>
      <c r="H738" s="5">
        <f>19*Pcfu4[[#This Row],[grams]]</f>
        <v>5.7</v>
      </c>
      <c r="I738" s="3" t="s">
        <v>170</v>
      </c>
      <c r="J738" s="59">
        <v>44999</v>
      </c>
      <c r="L738" s="59" t="e" cm="1">
        <f t="array" ref="L738">INDEX($J$4:J1828, MATCH(1,(A738=$A$4:A1826)*(C738=$C$4:C1826)*("Y"=$K$4:K1828),0))</f>
        <v>#N/A</v>
      </c>
      <c r="M738" s="1">
        <v>10000000</v>
      </c>
      <c r="N738">
        <v>45</v>
      </c>
      <c r="O738">
        <v>50</v>
      </c>
      <c r="P738">
        <v>61</v>
      </c>
      <c r="Q738" s="6">
        <f>(SUM(Pcfu4[[#This Row],[R1]:[R3]]))/(Pcfu4[[#This Row],[No. Reps]]*0.025)*Pcfu4[[#This Row],[Best DF]]</f>
        <v>20799999999.999996</v>
      </c>
      <c r="R738" s="1">
        <f>_xlfn.STDEV.S(Pcfu4[[#This Row],[R1]:[R3]])/0.025*Pcfu4[[#This Row],[Best DF]]</f>
        <v>3274141108.7489796</v>
      </c>
      <c r="S738" s="6">
        <f>Pcfu4[[#This Row],[CFU/mL]]*Pcfu4[[#This Row],[mL]]/Pcfu4[[#This Row],[grams]]</f>
        <v>395199999999.99994</v>
      </c>
      <c r="T738" s="1">
        <f>Pcfu4[[#This Row],[SD CFU/mL]]*Pcfu4[[#This Row],[mL]]/Pcfu4[[#This Row],[grams]]</f>
        <v>62208681066.230614</v>
      </c>
      <c r="U738" s="7" t="e">
        <f>_xlfn.STDEV.S(Pcfu43[[#This Row],[R1]:[R3]])/AVERAGE(Pcfu43[[#This Row],[R1]:[R3]])</f>
        <v>#VALUE!</v>
      </c>
      <c r="V738" s="96"/>
      <c r="W738" s="7"/>
    </row>
    <row r="739" spans="1:23" x14ac:dyDescent="0.15">
      <c r="A739" t="s">
        <v>627</v>
      </c>
      <c r="D739" t="s">
        <v>86</v>
      </c>
      <c r="E739" s="3">
        <v>3</v>
      </c>
      <c r="G739">
        <v>0.3</v>
      </c>
      <c r="H739" s="5">
        <f>19*Pcfu4[[#This Row],[grams]]</f>
        <v>5.7</v>
      </c>
      <c r="I739" s="3" t="s">
        <v>170</v>
      </c>
      <c r="J739" s="59">
        <v>44999</v>
      </c>
      <c r="L739" s="59" t="e" cm="1">
        <f t="array" ref="L739">INDEX($J$4:J1829, MATCH(1,(A739=$A$4:A1827)*(C739=$C$4:C1827)*("Y"=$K$4:K1829),0))</f>
        <v>#N/A</v>
      </c>
      <c r="M739" s="1">
        <v>10000000</v>
      </c>
      <c r="N739">
        <v>54</v>
      </c>
      <c r="O739">
        <v>49</v>
      </c>
      <c r="P739">
        <v>53</v>
      </c>
      <c r="Q739" s="6">
        <f>(SUM(Pcfu4[[#This Row],[R1]:[R3]]))/(Pcfu4[[#This Row],[No. Reps]]*0.025)*Pcfu4[[#This Row],[Best DF]]</f>
        <v>20799999999.999996</v>
      </c>
      <c r="R739" s="1">
        <f>_xlfn.STDEV.S(Pcfu4[[#This Row],[R1]:[R3]])/0.025*Pcfu4[[#This Row],[Best DF]]</f>
        <v>1058300524.4258362</v>
      </c>
      <c r="S739" s="6">
        <f>Pcfu4[[#This Row],[CFU/mL]]*Pcfu4[[#This Row],[mL]]/Pcfu4[[#This Row],[grams]]</f>
        <v>395199999999.99994</v>
      </c>
      <c r="T739" s="1">
        <f>Pcfu4[[#This Row],[SD CFU/mL]]*Pcfu4[[#This Row],[mL]]/Pcfu4[[#This Row],[grams]]</f>
        <v>20107709964.090889</v>
      </c>
      <c r="U739" s="7" t="e">
        <f>_xlfn.STDEV.S(Pcfu43[[#This Row],[R1]:[R3]])/AVERAGE(Pcfu43[[#This Row],[R1]:[R3]])</f>
        <v>#VALUE!</v>
      </c>
      <c r="V739" s="96"/>
      <c r="W739" s="7"/>
    </row>
    <row r="740" spans="1:23" x14ac:dyDescent="0.15">
      <c r="A740" t="s">
        <v>624</v>
      </c>
      <c r="D740" t="s">
        <v>86</v>
      </c>
      <c r="E740" s="3">
        <v>3</v>
      </c>
      <c r="G740">
        <v>0.3</v>
      </c>
      <c r="H740" s="5">
        <f>19*Pcfu4[[#This Row],[grams]]</f>
        <v>5.7</v>
      </c>
      <c r="I740" s="3" t="s">
        <v>170</v>
      </c>
      <c r="J740" s="59">
        <v>44999</v>
      </c>
      <c r="L740" s="59" t="e" cm="1">
        <f t="array" ref="L740">INDEX($J$4:J1830, MATCH(1,(A740=$A$4:A1828)*(C740=$C$4:C1828)*("Y"=$K$4:K1830),0))</f>
        <v>#N/A</v>
      </c>
      <c r="M740" s="1">
        <v>10000000</v>
      </c>
      <c r="N740">
        <v>51</v>
      </c>
      <c r="O740">
        <v>53</v>
      </c>
      <c r="P740">
        <v>56</v>
      </c>
      <c r="Q740" s="6">
        <f>(SUM(Pcfu4[[#This Row],[R1]:[R3]]))/(Pcfu4[[#This Row],[No. Reps]]*0.025)*Pcfu4[[#This Row],[Best DF]]</f>
        <v>21333333333.333332</v>
      </c>
      <c r="R740" s="1">
        <f>_xlfn.STDEV.S(Pcfu4[[#This Row],[R1]:[R3]])/0.025*Pcfu4[[#This Row],[Best DF]]</f>
        <v>1006644591.3694332</v>
      </c>
      <c r="S740" s="6">
        <f>Pcfu4[[#This Row],[CFU/mL]]*Pcfu4[[#This Row],[mL]]/Pcfu4[[#This Row],[grams]]</f>
        <v>405333333333.33337</v>
      </c>
      <c r="T740" s="1">
        <f>Pcfu4[[#This Row],[SD CFU/mL]]*Pcfu4[[#This Row],[mL]]/Pcfu4[[#This Row],[grams]]</f>
        <v>19126247236.01923</v>
      </c>
      <c r="U740" s="7" t="e">
        <f>_xlfn.STDEV.S(Pcfu43[[#This Row],[R1]:[R3]])/AVERAGE(Pcfu43[[#This Row],[R1]:[R3]])</f>
        <v>#VALUE!</v>
      </c>
      <c r="V740" s="96"/>
      <c r="W740" s="7"/>
    </row>
    <row r="741" spans="1:23" x14ac:dyDescent="0.15">
      <c r="A741" t="s">
        <v>633</v>
      </c>
      <c r="D741"/>
      <c r="E741" s="3">
        <v>3</v>
      </c>
      <c r="G741">
        <v>0.3</v>
      </c>
      <c r="H741" s="5">
        <f>19*Pcfu4[[#This Row],[grams]]</f>
        <v>5.7</v>
      </c>
      <c r="I741" s="3" t="s">
        <v>98</v>
      </c>
      <c r="J741" s="59">
        <v>45005</v>
      </c>
      <c r="L741" s="59" t="e" cm="1">
        <f t="array" ref="L741">INDEX($J$4:J1831, MATCH(1,(A741=$A$4:A1829)*(C741=$C$4:C1829)*("Y"=$K$4:K1831),0))</f>
        <v>#N/A</v>
      </c>
      <c r="M741" s="1">
        <v>10000000</v>
      </c>
      <c r="N741">
        <v>42</v>
      </c>
      <c r="O741">
        <v>55</v>
      </c>
      <c r="P741">
        <v>62</v>
      </c>
      <c r="Q741" s="6">
        <f>(SUM(Pcfu4[[#This Row],[R1]:[R3]]))/(Pcfu4[[#This Row],[No. Reps]]*0.025)*Pcfu4[[#This Row],[Best DF]]</f>
        <v>21199999999.999996</v>
      </c>
      <c r="R741" s="1">
        <f>_xlfn.STDEV.S(Pcfu4[[#This Row],[R1]:[R3]])/0.025*Pcfu4[[#This Row],[Best DF]]</f>
        <v>4059556626.0368872</v>
      </c>
      <c r="S741" s="6">
        <f>Pcfu4[[#This Row],[CFU/mL]]*Pcfu4[[#This Row],[mL]]/Pcfu4[[#This Row],[grams]]</f>
        <v>402799999999.99994</v>
      </c>
      <c r="T741" s="1">
        <f>Pcfu4[[#This Row],[SD CFU/mL]]*Pcfu4[[#This Row],[mL]]/Pcfu4[[#This Row],[grams]]</f>
        <v>77131575894.700867</v>
      </c>
      <c r="U741" s="7" t="e">
        <f>_xlfn.STDEV.S(Pcfu43[[#This Row],[R1]:[R3]])/AVERAGE(Pcfu43[[#This Row],[R1]:[R3]])</f>
        <v>#VALUE!</v>
      </c>
      <c r="V741" s="96"/>
      <c r="W741" s="7"/>
    </row>
    <row r="742" spans="1:23" x14ac:dyDescent="0.15">
      <c r="A742" t="s">
        <v>634</v>
      </c>
      <c r="D742"/>
      <c r="E742" s="3">
        <v>3</v>
      </c>
      <c r="G742">
        <v>0.3</v>
      </c>
      <c r="H742" s="5">
        <f>19*Pcfu4[[#This Row],[grams]]</f>
        <v>5.7</v>
      </c>
      <c r="I742" s="3" t="s">
        <v>98</v>
      </c>
      <c r="J742" s="59">
        <v>45005</v>
      </c>
      <c r="L742" s="59" t="e" cm="1">
        <f t="array" ref="L742">INDEX($J$4:J1832, MATCH(1,(A742=$A$4:A1830)*(C742=$C$4:C1830)*("Y"=$K$4:K1832),0))</f>
        <v>#N/A</v>
      </c>
      <c r="M742" s="1">
        <v>10000000</v>
      </c>
      <c r="N742">
        <v>63</v>
      </c>
      <c r="O742">
        <v>60</v>
      </c>
      <c r="P742">
        <v>46</v>
      </c>
      <c r="Q742" s="6">
        <f>(SUM(Pcfu4[[#This Row],[R1]:[R3]]))/(Pcfu4[[#This Row],[No. Reps]]*0.025)*Pcfu4[[#This Row],[Best DF]]</f>
        <v>22533333333.333332</v>
      </c>
      <c r="R742" s="1">
        <f>_xlfn.STDEV.S(Pcfu4[[#This Row],[R1]:[R3]])/0.025*Pcfu4[[#This Row],[Best DF]]</f>
        <v>3629508690.3509798</v>
      </c>
      <c r="S742" s="6">
        <f>Pcfu4[[#This Row],[CFU/mL]]*Pcfu4[[#This Row],[mL]]/Pcfu4[[#This Row],[grams]]</f>
        <v>428133333333.33337</v>
      </c>
      <c r="T742" s="1">
        <f>Pcfu4[[#This Row],[SD CFU/mL]]*Pcfu4[[#This Row],[mL]]/Pcfu4[[#This Row],[grams]]</f>
        <v>68960665116.66861</v>
      </c>
      <c r="U742" s="7" t="e">
        <f>_xlfn.STDEV.S(Pcfu43[[#This Row],[R1]:[R3]])/AVERAGE(Pcfu43[[#This Row],[R1]:[R3]])</f>
        <v>#VALUE!</v>
      </c>
      <c r="V742" s="96"/>
      <c r="W742" s="7"/>
    </row>
    <row r="743" spans="1:23" x14ac:dyDescent="0.15">
      <c r="A743" t="s">
        <v>635</v>
      </c>
      <c r="D743"/>
      <c r="E743" s="3">
        <v>3</v>
      </c>
      <c r="G743">
        <v>0.3</v>
      </c>
      <c r="H743" s="5">
        <f>19*Pcfu4[[#This Row],[grams]]</f>
        <v>5.7</v>
      </c>
      <c r="I743" s="3" t="s">
        <v>98</v>
      </c>
      <c r="J743" s="59">
        <v>45005</v>
      </c>
      <c r="L743" s="59" t="e" cm="1">
        <f t="array" ref="L743">INDEX($J$4:J1833, MATCH(1,(A743=$A$4:A1831)*(C743=$C$4:C1831)*("Y"=$K$4:K1833),0))</f>
        <v>#N/A</v>
      </c>
      <c r="M743" s="1">
        <v>10000000</v>
      </c>
      <c r="N743">
        <v>66</v>
      </c>
      <c r="O743">
        <v>54</v>
      </c>
      <c r="P743">
        <v>60</v>
      </c>
      <c r="Q743" s="6">
        <f>(SUM(Pcfu4[[#This Row],[R1]:[R3]]))/(Pcfu4[[#This Row],[No. Reps]]*0.025)*Pcfu4[[#This Row],[Best DF]]</f>
        <v>23999999999.999996</v>
      </c>
      <c r="R743" s="1">
        <f>_xlfn.STDEV.S(Pcfu4[[#This Row],[R1]:[R3]])/0.025*Pcfu4[[#This Row],[Best DF]]</f>
        <v>2400000000</v>
      </c>
      <c r="S743" s="6">
        <f>Pcfu4[[#This Row],[CFU/mL]]*Pcfu4[[#This Row],[mL]]/Pcfu4[[#This Row],[grams]]</f>
        <v>455999999999.99994</v>
      </c>
      <c r="T743" s="1">
        <f>Pcfu4[[#This Row],[SD CFU/mL]]*Pcfu4[[#This Row],[mL]]/Pcfu4[[#This Row],[grams]]</f>
        <v>45600000000</v>
      </c>
      <c r="U743" s="7" t="e">
        <f>_xlfn.STDEV.S(Pcfu43[[#This Row],[R1]:[R3]])/AVERAGE(Pcfu43[[#This Row],[R1]:[R3]])</f>
        <v>#VALUE!</v>
      </c>
      <c r="V743" s="96"/>
      <c r="W743" s="7"/>
    </row>
    <row r="744" spans="1:23" x14ac:dyDescent="0.15">
      <c r="A744" t="s">
        <v>636</v>
      </c>
      <c r="B744" t="s">
        <v>637</v>
      </c>
      <c r="D744" t="s">
        <v>86</v>
      </c>
      <c r="E744" s="3">
        <v>3</v>
      </c>
      <c r="G744">
        <v>0.3</v>
      </c>
      <c r="H744" s="5">
        <f>19*Pcfu4[[#This Row],[grams]]</f>
        <v>5.7</v>
      </c>
      <c r="I744" s="3" t="s">
        <v>170</v>
      </c>
      <c r="J744" s="59">
        <v>45008</v>
      </c>
      <c r="L744" s="59" t="e" cm="1">
        <f t="array" ref="L744">INDEX($J$4:J1834, MATCH(1,(A744=$A$4:A1832)*(C744=$C$4:C1832)*("Y"=$K$4:K1834),0))</f>
        <v>#N/A</v>
      </c>
      <c r="M744" s="1">
        <v>10000000</v>
      </c>
      <c r="N744">
        <v>67</v>
      </c>
      <c r="O744">
        <v>64</v>
      </c>
      <c r="P744">
        <v>53</v>
      </c>
      <c r="Q744" s="6">
        <f>(SUM(Pcfu4[[#This Row],[R1]:[R3]]))/(Pcfu4[[#This Row],[No. Reps]]*0.025)*Pcfu4[[#This Row],[Best DF]]</f>
        <v>24533333333.333332</v>
      </c>
      <c r="R744" s="1">
        <f>_xlfn.STDEV.S(Pcfu4[[#This Row],[R1]:[R3]])/0.025*Pcfu4[[#This Row],[Best DF]]</f>
        <v>2948445918.3327971</v>
      </c>
      <c r="S744" s="6">
        <f>Pcfu4[[#This Row],[CFU/mL]]*Pcfu4[[#This Row],[mL]]/Pcfu4[[#This Row],[grams]]</f>
        <v>466133333333.33337</v>
      </c>
      <c r="T744" s="1">
        <f>Pcfu4[[#This Row],[SD CFU/mL]]*Pcfu4[[#This Row],[mL]]/Pcfu4[[#This Row],[grams]]</f>
        <v>56020472448.323151</v>
      </c>
      <c r="U744" s="7" t="e">
        <f>_xlfn.STDEV.S(Pcfu43[[#This Row],[R1]:[R3]])/AVERAGE(Pcfu43[[#This Row],[R1]:[R3]])</f>
        <v>#VALUE!</v>
      </c>
      <c r="V744" s="96"/>
      <c r="W744" s="7"/>
    </row>
    <row r="745" spans="1:23" x14ac:dyDescent="0.15">
      <c r="A745" t="s">
        <v>638</v>
      </c>
      <c r="B745" t="s">
        <v>637</v>
      </c>
      <c r="D745" t="s">
        <v>86</v>
      </c>
      <c r="E745" s="3">
        <v>3</v>
      </c>
      <c r="G745">
        <v>0.3</v>
      </c>
      <c r="H745" s="5">
        <f>19*Pcfu4[[#This Row],[grams]]</f>
        <v>5.7</v>
      </c>
      <c r="I745" s="3" t="s">
        <v>170</v>
      </c>
      <c r="J745" s="59">
        <v>45008</v>
      </c>
      <c r="L745" s="59" t="e" cm="1">
        <f t="array" ref="L745">INDEX($J$4:J1835, MATCH(1,(A745=$A$4:A1833)*(C745=$C$4:C1833)*("Y"=$K$4:K1835),0))</f>
        <v>#N/A</v>
      </c>
      <c r="M745" s="1">
        <v>10000000</v>
      </c>
      <c r="N745">
        <v>35</v>
      </c>
      <c r="O745">
        <v>47</v>
      </c>
      <c r="P745">
        <v>55</v>
      </c>
      <c r="Q745" s="6">
        <f>(SUM(Pcfu4[[#This Row],[R1]:[R3]]))/(Pcfu4[[#This Row],[No. Reps]]*0.025)*Pcfu4[[#This Row],[Best DF]]</f>
        <v>18266666666.666664</v>
      </c>
      <c r="R745" s="1">
        <f>_xlfn.STDEV.S(Pcfu4[[#This Row],[R1]:[R3]])/0.025*Pcfu4[[#This Row],[Best DF]]</f>
        <v>4026578365.4777355</v>
      </c>
      <c r="S745" s="6">
        <f>Pcfu4[[#This Row],[CFU/mL]]*Pcfu4[[#This Row],[mL]]/Pcfu4[[#This Row],[grams]]</f>
        <v>347066666666.66663</v>
      </c>
      <c r="T745" s="1">
        <f>Pcfu4[[#This Row],[SD CFU/mL]]*Pcfu4[[#This Row],[mL]]/Pcfu4[[#This Row],[grams]]</f>
        <v>76504988944.076981</v>
      </c>
      <c r="U745" s="7" t="e">
        <f>_xlfn.STDEV.S(Pcfu43[[#This Row],[R1]:[R3]])/AVERAGE(Pcfu43[[#This Row],[R1]:[R3]])</f>
        <v>#VALUE!</v>
      </c>
      <c r="V745" s="96"/>
      <c r="W745" s="7"/>
    </row>
    <row r="746" spans="1:23" x14ac:dyDescent="0.15">
      <c r="A746" t="s">
        <v>639</v>
      </c>
      <c r="B746" t="s">
        <v>637</v>
      </c>
      <c r="D746" t="s">
        <v>86</v>
      </c>
      <c r="E746" s="3">
        <v>3</v>
      </c>
      <c r="G746">
        <v>0.3</v>
      </c>
      <c r="H746" s="5">
        <f>19*Pcfu4[[#This Row],[grams]]</f>
        <v>5.7</v>
      </c>
      <c r="I746" s="3" t="s">
        <v>170</v>
      </c>
      <c r="J746" s="59">
        <v>45008</v>
      </c>
      <c r="L746" s="59" t="e" cm="1">
        <f t="array" ref="L746">INDEX($J$4:J1836, MATCH(1,(A746=$A$4:A1834)*(C746=$C$4:C1834)*("Y"=$K$4:K1836),0))</f>
        <v>#N/A</v>
      </c>
      <c r="M746" s="1">
        <v>10000000</v>
      </c>
      <c r="N746">
        <v>70</v>
      </c>
      <c r="O746">
        <v>63</v>
      </c>
      <c r="P746">
        <v>74</v>
      </c>
      <c r="Q746" s="6">
        <f>(SUM(Pcfu4[[#This Row],[R1]:[R3]]))/(Pcfu4[[#This Row],[No. Reps]]*0.025)*Pcfu4[[#This Row],[Best DF]]</f>
        <v>27599999999.999996</v>
      </c>
      <c r="R746" s="1">
        <f>_xlfn.STDEV.S(Pcfu4[[#This Row],[R1]:[R3]])/0.025*Pcfu4[[#This Row],[Best DF]]</f>
        <v>2227105745.1320086</v>
      </c>
      <c r="S746" s="6">
        <f>Pcfu4[[#This Row],[CFU/mL]]*Pcfu4[[#This Row],[mL]]/Pcfu4[[#This Row],[grams]]</f>
        <v>524399999999.99994</v>
      </c>
      <c r="T746" s="1">
        <f>Pcfu4[[#This Row],[SD CFU/mL]]*Pcfu4[[#This Row],[mL]]/Pcfu4[[#This Row],[grams]]</f>
        <v>42315009157.508163</v>
      </c>
      <c r="U746" s="7" t="e">
        <f>_xlfn.STDEV.S(Pcfu43[[#This Row],[R1]:[R3]])/AVERAGE(Pcfu43[[#This Row],[R1]:[R3]])</f>
        <v>#VALUE!</v>
      </c>
      <c r="V746" s="96"/>
      <c r="W746" s="7"/>
    </row>
    <row r="747" spans="1:23" x14ac:dyDescent="0.15">
      <c r="A747" t="s">
        <v>640</v>
      </c>
      <c r="B747" t="s">
        <v>637</v>
      </c>
      <c r="D747" t="s">
        <v>86</v>
      </c>
      <c r="E747" s="3">
        <v>3</v>
      </c>
      <c r="G747">
        <v>0.3</v>
      </c>
      <c r="H747" s="5">
        <f>19*Pcfu4[[#This Row],[grams]]</f>
        <v>5.7</v>
      </c>
      <c r="I747" s="3" t="s">
        <v>170</v>
      </c>
      <c r="J747" s="59">
        <v>45008</v>
      </c>
      <c r="L747" s="59" t="e" cm="1">
        <f t="array" ref="L747">INDEX($J$4:J1837, MATCH(1,(A747=$A$4:A1835)*(C747=$C$4:C1835)*("Y"=$K$4:K1837),0))</f>
        <v>#N/A</v>
      </c>
      <c r="M747" s="1">
        <v>10000000</v>
      </c>
      <c r="N747">
        <v>58</v>
      </c>
      <c r="O747">
        <v>40</v>
      </c>
      <c r="P747">
        <v>49</v>
      </c>
      <c r="Q747" s="6">
        <f>(SUM(Pcfu4[[#This Row],[R1]:[R3]]))/(Pcfu4[[#This Row],[No. Reps]]*0.025)*Pcfu4[[#This Row],[Best DF]]</f>
        <v>19599999999.999996</v>
      </c>
      <c r="R747" s="1">
        <f>_xlfn.STDEV.S(Pcfu4[[#This Row],[R1]:[R3]])/0.025*Pcfu4[[#This Row],[Best DF]]</f>
        <v>3600000000</v>
      </c>
      <c r="S747" s="6">
        <f>Pcfu4[[#This Row],[CFU/mL]]*Pcfu4[[#This Row],[mL]]/Pcfu4[[#This Row],[grams]]</f>
        <v>372399999999.99994</v>
      </c>
      <c r="T747" s="1">
        <f>Pcfu4[[#This Row],[SD CFU/mL]]*Pcfu4[[#This Row],[mL]]/Pcfu4[[#This Row],[grams]]</f>
        <v>68400000000</v>
      </c>
      <c r="U747" s="7" t="e">
        <f>_xlfn.STDEV.S(Pcfu43[[#This Row],[R1]:[R3]])/AVERAGE(Pcfu43[[#This Row],[R1]:[R3]])</f>
        <v>#VALUE!</v>
      </c>
      <c r="V747" s="96"/>
      <c r="W747" s="7"/>
    </row>
    <row r="748" spans="1:23" x14ac:dyDescent="0.15">
      <c r="A748" t="s">
        <v>641</v>
      </c>
      <c r="B748" t="s">
        <v>637</v>
      </c>
      <c r="D748" t="s">
        <v>86</v>
      </c>
      <c r="E748" s="3">
        <v>3</v>
      </c>
      <c r="G748">
        <v>0.3</v>
      </c>
      <c r="H748" s="5">
        <f>19*Pcfu4[[#This Row],[grams]]</f>
        <v>5.7</v>
      </c>
      <c r="I748" s="3" t="s">
        <v>170</v>
      </c>
      <c r="J748" s="59">
        <v>45008</v>
      </c>
      <c r="L748" s="59" t="e" cm="1">
        <f t="array" ref="L748">INDEX($J$4:J1838, MATCH(1,(A748=$A$4:A1836)*(C748=$C$4:C1836)*("Y"=$K$4:K1838),0))</f>
        <v>#N/A</v>
      </c>
      <c r="M748" s="1">
        <v>10000000</v>
      </c>
      <c r="N748">
        <v>73</v>
      </c>
      <c r="O748">
        <v>58</v>
      </c>
      <c r="P748">
        <v>65</v>
      </c>
      <c r="Q748" s="6">
        <f>(SUM(Pcfu4[[#This Row],[R1]:[R3]]))/(Pcfu4[[#This Row],[No. Reps]]*0.025)*Pcfu4[[#This Row],[Best DF]]</f>
        <v>26133333333.333332</v>
      </c>
      <c r="R748" s="1">
        <f>_xlfn.STDEV.S(Pcfu4[[#This Row],[R1]:[R3]])/0.025*Pcfu4[[#This Row],[Best DF]]</f>
        <v>3002221399.7860537</v>
      </c>
      <c r="S748" s="6">
        <f>Pcfu4[[#This Row],[CFU/mL]]*Pcfu4[[#This Row],[mL]]/Pcfu4[[#This Row],[grams]]</f>
        <v>496533333333.33337</v>
      </c>
      <c r="T748" s="1">
        <f>Pcfu4[[#This Row],[SD CFU/mL]]*Pcfu4[[#This Row],[mL]]/Pcfu4[[#This Row],[grams]]</f>
        <v>57042206595.93502</v>
      </c>
      <c r="U748" s="7" t="e">
        <f>_xlfn.STDEV.S(Pcfu43[[#This Row],[R1]:[R3]])/AVERAGE(Pcfu43[[#This Row],[R1]:[R3]])</f>
        <v>#VALUE!</v>
      </c>
      <c r="V748" s="96"/>
      <c r="W748" s="7"/>
    </row>
    <row r="749" spans="1:23" x14ac:dyDescent="0.15">
      <c r="A749" t="s">
        <v>642</v>
      </c>
      <c r="B749" t="s">
        <v>643</v>
      </c>
      <c r="D749" t="s">
        <v>86</v>
      </c>
      <c r="E749" s="3">
        <v>3</v>
      </c>
      <c r="G749">
        <v>0.3</v>
      </c>
      <c r="H749" s="5">
        <f>19*Pcfu4[[#This Row],[grams]]</f>
        <v>5.7</v>
      </c>
      <c r="I749" s="3" t="s">
        <v>170</v>
      </c>
      <c r="J749" s="59">
        <v>45008</v>
      </c>
      <c r="L749" s="59" t="e" cm="1">
        <f t="array" ref="L749">INDEX($J$4:J1839, MATCH(1,(A749=$A$4:A1837)*(C749=$C$4:C1837)*("Y"=$K$4:K1839),0))</f>
        <v>#N/A</v>
      </c>
      <c r="M749" s="1">
        <v>10000000</v>
      </c>
      <c r="N749">
        <v>87</v>
      </c>
      <c r="O749">
        <v>63</v>
      </c>
      <c r="P749">
        <v>72</v>
      </c>
      <c r="Q749" s="6">
        <f>(SUM(Pcfu4[[#This Row],[R1]:[R3]]))/(Pcfu4[[#This Row],[No. Reps]]*0.025)*Pcfu4[[#This Row],[Best DF]]</f>
        <v>29599999999.999996</v>
      </c>
      <c r="R749" s="1">
        <f>_xlfn.STDEV.S(Pcfu4[[#This Row],[R1]:[R3]])/0.025*Pcfu4[[#This Row],[Best DF]]</f>
        <v>4849742261.1928558</v>
      </c>
      <c r="S749" s="6">
        <f>Pcfu4[[#This Row],[CFU/mL]]*Pcfu4[[#This Row],[mL]]/Pcfu4[[#This Row],[grams]]</f>
        <v>562399999999.99988</v>
      </c>
      <c r="T749" s="1">
        <f>Pcfu4[[#This Row],[SD CFU/mL]]*Pcfu4[[#This Row],[mL]]/Pcfu4[[#This Row],[grams]]</f>
        <v>92145102962.664261</v>
      </c>
      <c r="U749" s="7" t="e">
        <f>_xlfn.STDEV.S(Pcfu43[[#This Row],[R1]:[R3]])/AVERAGE(Pcfu43[[#This Row],[R1]:[R3]])</f>
        <v>#VALUE!</v>
      </c>
      <c r="V749" s="96"/>
      <c r="W749" s="7"/>
    </row>
    <row r="750" spans="1:23" x14ac:dyDescent="0.15">
      <c r="A750" t="s">
        <v>644</v>
      </c>
      <c r="B750" t="s">
        <v>643</v>
      </c>
      <c r="D750" t="s">
        <v>86</v>
      </c>
      <c r="E750" s="3">
        <v>3</v>
      </c>
      <c r="G750">
        <v>0.3</v>
      </c>
      <c r="H750" s="5">
        <f>19*Pcfu4[[#This Row],[grams]]</f>
        <v>5.7</v>
      </c>
      <c r="I750" s="3" t="s">
        <v>170</v>
      </c>
      <c r="J750" s="59">
        <v>45008</v>
      </c>
      <c r="L750" s="59" t="e" cm="1">
        <f t="array" ref="L750">INDEX($J$4:J1840, MATCH(1,(A750=$A$4:A1838)*(C750=$C$4:C1838)*("Y"=$K$4:K1840),0))</f>
        <v>#N/A</v>
      </c>
      <c r="M750" s="1">
        <v>10000000</v>
      </c>
      <c r="N750">
        <v>59</v>
      </c>
      <c r="O750">
        <v>65</v>
      </c>
      <c r="P750">
        <v>66</v>
      </c>
      <c r="Q750" s="6">
        <f>(SUM(Pcfu4[[#This Row],[R1]:[R3]]))/(Pcfu4[[#This Row],[No. Reps]]*0.025)*Pcfu4[[#This Row],[Best DF]]</f>
        <v>25333333333.333332</v>
      </c>
      <c r="R750" s="1">
        <f>_xlfn.STDEV.S(Pcfu4[[#This Row],[R1]:[R3]])/0.025*Pcfu4[[#This Row],[Best DF]]</f>
        <v>1514375558.8800731</v>
      </c>
      <c r="S750" s="6">
        <f>Pcfu4[[#This Row],[CFU/mL]]*Pcfu4[[#This Row],[mL]]/Pcfu4[[#This Row],[grams]]</f>
        <v>481333333333.33337</v>
      </c>
      <c r="T750" s="1">
        <f>Pcfu4[[#This Row],[SD CFU/mL]]*Pcfu4[[#This Row],[mL]]/Pcfu4[[#This Row],[grams]]</f>
        <v>28773135618.72139</v>
      </c>
      <c r="U750" s="7" t="e">
        <f>_xlfn.STDEV.S(Pcfu43[[#This Row],[R1]:[R3]])/AVERAGE(Pcfu43[[#This Row],[R1]:[R3]])</f>
        <v>#VALUE!</v>
      </c>
      <c r="V750" s="96"/>
      <c r="W750" s="7"/>
    </row>
    <row r="751" spans="1:23" x14ac:dyDescent="0.15">
      <c r="A751" t="s">
        <v>645</v>
      </c>
      <c r="B751" t="s">
        <v>646</v>
      </c>
      <c r="D751" t="s">
        <v>86</v>
      </c>
      <c r="E751" s="3">
        <v>3</v>
      </c>
      <c r="G751">
        <v>0.3</v>
      </c>
      <c r="H751" s="5">
        <f>19*Pcfu4[[#This Row],[grams]]</f>
        <v>5.7</v>
      </c>
      <c r="I751" s="3" t="s">
        <v>170</v>
      </c>
      <c r="J751" s="59">
        <v>45008</v>
      </c>
      <c r="L751" s="59" t="e" cm="1">
        <f t="array" ref="L751">INDEX($J$4:J1841, MATCH(1,(A751=$A$4:A1839)*(C751=$C$4:C1839)*("Y"=$K$4:K1841),0))</f>
        <v>#N/A</v>
      </c>
      <c r="M751" s="1">
        <v>10000000</v>
      </c>
      <c r="N751">
        <v>68</v>
      </c>
      <c r="O751">
        <v>86</v>
      </c>
      <c r="P751">
        <v>77</v>
      </c>
      <c r="Q751" s="6">
        <f>(SUM(Pcfu4[[#This Row],[R1]:[R3]]))/(Pcfu4[[#This Row],[No. Reps]]*0.025)*Pcfu4[[#This Row],[Best DF]]</f>
        <v>30799999999.999996</v>
      </c>
      <c r="R751" s="1">
        <f>_xlfn.STDEV.S(Pcfu4[[#This Row],[R1]:[R3]])/0.025*Pcfu4[[#This Row],[Best DF]]</f>
        <v>3600000000</v>
      </c>
      <c r="S751" s="6">
        <f>Pcfu4[[#This Row],[CFU/mL]]*Pcfu4[[#This Row],[mL]]/Pcfu4[[#This Row],[grams]]</f>
        <v>585199999999.99988</v>
      </c>
      <c r="T751" s="1">
        <f>Pcfu4[[#This Row],[SD CFU/mL]]*Pcfu4[[#This Row],[mL]]/Pcfu4[[#This Row],[grams]]</f>
        <v>68400000000</v>
      </c>
      <c r="U751" s="7" t="e">
        <f>_xlfn.STDEV.S(Pcfu43[[#This Row],[R1]:[R3]])/AVERAGE(Pcfu43[[#This Row],[R1]:[R3]])</f>
        <v>#VALUE!</v>
      </c>
      <c r="V751" s="96"/>
      <c r="W751" s="7"/>
    </row>
    <row r="752" spans="1:23" x14ac:dyDescent="0.15">
      <c r="A752" t="s">
        <v>647</v>
      </c>
      <c r="B752" t="s">
        <v>648</v>
      </c>
      <c r="D752" t="s">
        <v>86</v>
      </c>
      <c r="E752" s="3">
        <v>2</v>
      </c>
      <c r="G752">
        <v>0.3</v>
      </c>
      <c r="H752" s="5">
        <f>19*Pcfu4[[#This Row],[grams]]</f>
        <v>5.7</v>
      </c>
      <c r="I752" s="3" t="s">
        <v>170</v>
      </c>
      <c r="J752" s="59">
        <v>45015</v>
      </c>
      <c r="L752" s="59" t="e" cm="1">
        <f t="array" ref="L752">INDEX($J$4:J1842, MATCH(1,(A752=$A$4:A1840)*(C752=$C$4:C1840)*("Y"=$K$4:K1842),0))</f>
        <v>#N/A</v>
      </c>
      <c r="M752" s="1">
        <v>10000000</v>
      </c>
      <c r="N752">
        <v>32</v>
      </c>
      <c r="O752">
        <v>37</v>
      </c>
      <c r="P752"/>
      <c r="Q752" s="6">
        <f>(SUM(Pcfu4[[#This Row],[R1]:[R3]]))/(Pcfu4[[#This Row],[No. Reps]]*0.025)*Pcfu4[[#This Row],[Best DF]]</f>
        <v>13800000000</v>
      </c>
      <c r="R752" s="1">
        <f>_xlfn.STDEV.S(Pcfu4[[#This Row],[R1]:[R3]])/0.025*Pcfu4[[#This Row],[Best DF]]</f>
        <v>1414213562.373095</v>
      </c>
      <c r="S752" s="6">
        <f>Pcfu4[[#This Row],[CFU/mL]]*Pcfu4[[#This Row],[mL]]/Pcfu4[[#This Row],[grams]]</f>
        <v>262200000000</v>
      </c>
      <c r="T752" s="1">
        <f>Pcfu4[[#This Row],[SD CFU/mL]]*Pcfu4[[#This Row],[mL]]/Pcfu4[[#This Row],[grams]]</f>
        <v>26870057685.088806</v>
      </c>
      <c r="U752" s="7" t="e">
        <f>_xlfn.STDEV.S(Pcfu43[[#This Row],[R1]:[R3]])/AVERAGE(Pcfu43[[#This Row],[R1]:[R3]])</f>
        <v>#VALUE!</v>
      </c>
      <c r="V752" s="96"/>
      <c r="W752" s="7"/>
    </row>
    <row r="753" spans="1:23" x14ac:dyDescent="0.15">
      <c r="A753" t="s">
        <v>649</v>
      </c>
      <c r="B753" t="s">
        <v>648</v>
      </c>
      <c r="D753" t="s">
        <v>86</v>
      </c>
      <c r="E753" s="3">
        <v>3</v>
      </c>
      <c r="G753">
        <v>0.3</v>
      </c>
      <c r="H753" s="5">
        <f>19*Pcfu4[[#This Row],[grams]]</f>
        <v>5.7</v>
      </c>
      <c r="I753" s="3" t="s">
        <v>170</v>
      </c>
      <c r="J753" s="59">
        <v>45015</v>
      </c>
      <c r="L753" s="59" t="e" cm="1">
        <f t="array" ref="L753">INDEX($J$4:J1843, MATCH(1,(A753=$A$4:A1841)*(C753=$C$4:C1841)*("Y"=$K$4:K1843),0))</f>
        <v>#N/A</v>
      </c>
      <c r="M753" s="1">
        <v>10000000</v>
      </c>
      <c r="N753">
        <v>44</v>
      </c>
      <c r="O753">
        <v>35</v>
      </c>
      <c r="P753">
        <v>40</v>
      </c>
      <c r="Q753" s="6">
        <f>(SUM(Pcfu4[[#This Row],[R1]:[R3]]))/(Pcfu4[[#This Row],[No. Reps]]*0.025)*Pcfu4[[#This Row],[Best DF]]</f>
        <v>15866666666.666666</v>
      </c>
      <c r="R753" s="1">
        <f>_xlfn.STDEV.S(Pcfu4[[#This Row],[R1]:[R3]])/0.025*Pcfu4[[#This Row],[Best DF]]</f>
        <v>1803699901.1291575</v>
      </c>
      <c r="S753" s="6">
        <f>Pcfu4[[#This Row],[CFU/mL]]*Pcfu4[[#This Row],[mL]]/Pcfu4[[#This Row],[grams]]</f>
        <v>301466666666.66669</v>
      </c>
      <c r="T753" s="1">
        <f>Pcfu4[[#This Row],[SD CFU/mL]]*Pcfu4[[#This Row],[mL]]/Pcfu4[[#This Row],[grams]]</f>
        <v>34270298121.453999</v>
      </c>
      <c r="U753" s="7" t="e">
        <f>_xlfn.STDEV.S(Pcfu43[[#This Row],[R1]:[R3]])/AVERAGE(Pcfu43[[#This Row],[R1]:[R3]])</f>
        <v>#VALUE!</v>
      </c>
      <c r="V753" s="96"/>
      <c r="W753" s="7"/>
    </row>
    <row r="754" spans="1:23" x14ac:dyDescent="0.15">
      <c r="A754" t="s">
        <v>650</v>
      </c>
      <c r="B754" t="s">
        <v>648</v>
      </c>
      <c r="D754" t="s">
        <v>86</v>
      </c>
      <c r="E754" s="3">
        <v>3</v>
      </c>
      <c r="G754">
        <v>0.3</v>
      </c>
      <c r="H754" s="5">
        <f>19*Pcfu4[[#This Row],[grams]]</f>
        <v>5.7</v>
      </c>
      <c r="I754" s="3" t="s">
        <v>170</v>
      </c>
      <c r="J754" s="59">
        <v>45015</v>
      </c>
      <c r="L754" s="59" t="e" cm="1">
        <f t="array" ref="L754">INDEX($J$4:J1844, MATCH(1,(A754=$A$4:A1842)*(C754=$C$4:C1842)*("Y"=$K$4:K1844),0))</f>
        <v>#N/A</v>
      </c>
      <c r="M754" s="1">
        <v>1000000</v>
      </c>
      <c r="N754">
        <v>233</v>
      </c>
      <c r="O754">
        <v>213</v>
      </c>
      <c r="P754">
        <v>204</v>
      </c>
      <c r="Q754" s="6">
        <f>(SUM(Pcfu4[[#This Row],[R1]:[R3]]))/(Pcfu4[[#This Row],[No. Reps]]*0.025)*Pcfu4[[#This Row],[Best DF]]</f>
        <v>8666666666.666666</v>
      </c>
      <c r="R754" s="1">
        <f>_xlfn.STDEV.S(Pcfu4[[#This Row],[R1]:[R3]])/0.025*Pcfu4[[#This Row],[Best DF]]</f>
        <v>593745175.41899514</v>
      </c>
      <c r="S754" s="6">
        <f>Pcfu4[[#This Row],[CFU/mL]]*Pcfu4[[#This Row],[mL]]/Pcfu4[[#This Row],[grams]]</f>
        <v>164666666666.66669</v>
      </c>
      <c r="T754" s="1">
        <f>Pcfu4[[#This Row],[SD CFU/mL]]*Pcfu4[[#This Row],[mL]]/Pcfu4[[#This Row],[grams]]</f>
        <v>11281158332.960909</v>
      </c>
      <c r="U754" s="7" t="e">
        <f>_xlfn.STDEV.S(Pcfu43[[#This Row],[R1]:[R3]])/AVERAGE(Pcfu43[[#This Row],[R1]:[R3]])</f>
        <v>#VALUE!</v>
      </c>
      <c r="V754" s="96"/>
      <c r="W754" s="7"/>
    </row>
    <row r="755" spans="1:23" x14ac:dyDescent="0.15">
      <c r="A755" t="s">
        <v>651</v>
      </c>
      <c r="B755" t="s">
        <v>648</v>
      </c>
      <c r="D755" t="s">
        <v>86</v>
      </c>
      <c r="E755" s="3">
        <v>3</v>
      </c>
      <c r="G755">
        <v>0.3</v>
      </c>
      <c r="H755" s="5">
        <f>19*Pcfu4[[#This Row],[grams]]</f>
        <v>5.7</v>
      </c>
      <c r="I755" s="3" t="s">
        <v>170</v>
      </c>
      <c r="J755" s="59">
        <v>45015</v>
      </c>
      <c r="L755" s="59" t="e" cm="1">
        <f t="array" ref="L755">INDEX($J$4:J1845, MATCH(1,(A755=$A$4:A1843)*(C755=$C$4:C1843)*("Y"=$K$4:K1845),0))</f>
        <v>#N/A</v>
      </c>
      <c r="M755" s="1">
        <v>10000000</v>
      </c>
      <c r="N755">
        <v>35</v>
      </c>
      <c r="O755">
        <v>30</v>
      </c>
      <c r="P755">
        <v>28</v>
      </c>
      <c r="Q755" s="6">
        <f>(SUM(Pcfu4[[#This Row],[R1]:[R3]]))/(Pcfu4[[#This Row],[No. Reps]]*0.025)*Pcfu4[[#This Row],[Best DF]]</f>
        <v>12399999999.999998</v>
      </c>
      <c r="R755" s="1">
        <f>_xlfn.STDEV.S(Pcfu4[[#This Row],[R1]:[R3]])/0.025*Pcfu4[[#This Row],[Best DF]]</f>
        <v>1442220510.1855958</v>
      </c>
      <c r="S755" s="6">
        <f>Pcfu4[[#This Row],[CFU/mL]]*Pcfu4[[#This Row],[mL]]/Pcfu4[[#This Row],[grams]]</f>
        <v>235599999999.99997</v>
      </c>
      <c r="T755" s="1">
        <f>Pcfu4[[#This Row],[SD CFU/mL]]*Pcfu4[[#This Row],[mL]]/Pcfu4[[#This Row],[grams]]</f>
        <v>27402189693.526321</v>
      </c>
      <c r="U755" s="7" t="e">
        <f>_xlfn.STDEV.S(Pcfu43[[#This Row],[R1]:[R3]])/AVERAGE(Pcfu43[[#This Row],[R1]:[R3]])</f>
        <v>#VALUE!</v>
      </c>
      <c r="V755" s="96"/>
      <c r="W755" s="7"/>
    </row>
    <row r="756" spans="1:23" x14ac:dyDescent="0.15">
      <c r="A756" t="s">
        <v>652</v>
      </c>
      <c r="D756" t="s">
        <v>86</v>
      </c>
      <c r="E756" s="3">
        <v>2</v>
      </c>
      <c r="G756">
        <v>0.3</v>
      </c>
      <c r="H756" s="5">
        <f>19*Pcfu4[[#This Row],[grams]]</f>
        <v>5.7</v>
      </c>
      <c r="I756" s="3" t="s">
        <v>170</v>
      </c>
      <c r="J756" s="59">
        <v>45020</v>
      </c>
      <c r="L756" s="59" t="e" cm="1">
        <f t="array" ref="L756">INDEX($J$4:J1846, MATCH(1,(A756=$A$4:A1844)*(C756=$C$4:C1844)*("Y"=$K$4:K1846),0))</f>
        <v>#N/A</v>
      </c>
      <c r="M756" s="1">
        <v>10000000</v>
      </c>
      <c r="N756">
        <v>42</v>
      </c>
      <c r="O756">
        <v>44</v>
      </c>
      <c r="P756"/>
      <c r="Q756" s="6">
        <f>(SUM(Pcfu4[[#This Row],[R1]:[R3]]))/(Pcfu4[[#This Row],[No. Reps]]*0.025)*Pcfu4[[#This Row],[Best DF]]</f>
        <v>17200000000</v>
      </c>
      <c r="R756" s="1">
        <f>_xlfn.STDEV.S(Pcfu4[[#This Row],[R1]:[R3]])/0.025*Pcfu4[[#This Row],[Best DF]]</f>
        <v>565685424.94923806</v>
      </c>
      <c r="S756" s="6">
        <f>Pcfu4[[#This Row],[CFU/mL]]*Pcfu4[[#This Row],[mL]]/Pcfu4[[#This Row],[grams]]</f>
        <v>326800000000</v>
      </c>
      <c r="T756" s="1">
        <f>Pcfu4[[#This Row],[SD CFU/mL]]*Pcfu4[[#This Row],[mL]]/Pcfu4[[#This Row],[grams]]</f>
        <v>10748023074.035524</v>
      </c>
      <c r="U756" s="7" t="e">
        <f>_xlfn.STDEV.S(Pcfu43[[#This Row],[R1]:[R3]])/AVERAGE(Pcfu43[[#This Row],[R1]:[R3]])</f>
        <v>#VALUE!</v>
      </c>
      <c r="V756" s="96"/>
      <c r="W756" s="7"/>
    </row>
    <row r="757" spans="1:23" x14ac:dyDescent="0.15">
      <c r="A757" t="s">
        <v>653</v>
      </c>
      <c r="D757" t="s">
        <v>86</v>
      </c>
      <c r="E757" s="3">
        <v>2</v>
      </c>
      <c r="G757">
        <v>0.3</v>
      </c>
      <c r="H757" s="5">
        <f>19*Pcfu4[[#This Row],[grams]]</f>
        <v>5.7</v>
      </c>
      <c r="I757" s="3" t="s">
        <v>170</v>
      </c>
      <c r="J757" s="59">
        <v>45020</v>
      </c>
      <c r="L757" s="59" t="e" cm="1">
        <f t="array" ref="L757">INDEX($J$4:J1847, MATCH(1,(A757=$A$4:A1845)*(C757=$C$4:C1845)*("Y"=$K$4:K1847),0))</f>
        <v>#N/A</v>
      </c>
      <c r="M757" s="1">
        <v>10000000</v>
      </c>
      <c r="N757">
        <v>65</v>
      </c>
      <c r="O757">
        <v>70</v>
      </c>
      <c r="P757"/>
      <c r="Q757" s="6">
        <f>(SUM(Pcfu4[[#This Row],[R1]:[R3]]))/(Pcfu4[[#This Row],[No. Reps]]*0.025)*Pcfu4[[#This Row],[Best DF]]</f>
        <v>27000000000</v>
      </c>
      <c r="R757" s="1">
        <f>_xlfn.STDEV.S(Pcfu4[[#This Row],[R1]:[R3]])/0.025*Pcfu4[[#This Row],[Best DF]]</f>
        <v>1414213562.373095</v>
      </c>
      <c r="S757" s="6">
        <f>Pcfu4[[#This Row],[CFU/mL]]*Pcfu4[[#This Row],[mL]]/Pcfu4[[#This Row],[grams]]</f>
        <v>513000000000</v>
      </c>
      <c r="T757" s="1">
        <f>Pcfu4[[#This Row],[SD CFU/mL]]*Pcfu4[[#This Row],[mL]]/Pcfu4[[#This Row],[grams]]</f>
        <v>26870057685.088806</v>
      </c>
      <c r="U757" s="7" t="e">
        <f>_xlfn.STDEV.S(Pcfu43[[#This Row],[R1]:[R3]])/AVERAGE(Pcfu43[[#This Row],[R1]:[R3]])</f>
        <v>#VALUE!</v>
      </c>
      <c r="V757" s="96"/>
      <c r="W757" s="7"/>
    </row>
    <row r="758" spans="1:23" x14ac:dyDescent="0.15">
      <c r="A758" t="s">
        <v>654</v>
      </c>
      <c r="B758" t="s">
        <v>328</v>
      </c>
      <c r="D758" t="s">
        <v>194</v>
      </c>
      <c r="E758" s="3">
        <v>2</v>
      </c>
      <c r="G758">
        <v>0.3</v>
      </c>
      <c r="H758" s="5">
        <f>19*Pcfu4[[#This Row],[grams]]</f>
        <v>5.7</v>
      </c>
      <c r="I758" s="3" t="s">
        <v>170</v>
      </c>
      <c r="J758" s="59">
        <v>45021</v>
      </c>
      <c r="L758" s="59" t="e" cm="1">
        <f t="array" ref="L758">INDEX($J$4:J1848, MATCH(1,(A758=$A$4:A1846)*(C758=$C$4:C1846)*("Y"=$K$4:K1848),0))</f>
        <v>#N/A</v>
      </c>
      <c r="M758" s="1">
        <v>100000</v>
      </c>
      <c r="N758">
        <v>144</v>
      </c>
      <c r="O758">
        <v>147</v>
      </c>
      <c r="P758"/>
      <c r="Q758" s="6">
        <f>(SUM(Pcfu4[[#This Row],[R1]:[R3]]))/(Pcfu4[[#This Row],[No. Reps]]*0.025)*Pcfu4[[#This Row],[Best DF]]</f>
        <v>582000000</v>
      </c>
      <c r="R758" s="1">
        <f>_xlfn.STDEV.S(Pcfu4[[#This Row],[R1]:[R3]])/0.025*Pcfu4[[#This Row],[Best DF]]</f>
        <v>8485281.3742385693</v>
      </c>
      <c r="S758" s="6">
        <f>Pcfu4[[#This Row],[CFU/mL]]*Pcfu4[[#This Row],[mL]]/Pcfu4[[#This Row],[grams]]</f>
        <v>11058000000</v>
      </c>
      <c r="T758" s="1">
        <f>Pcfu4[[#This Row],[SD CFU/mL]]*Pcfu4[[#This Row],[mL]]/Pcfu4[[#This Row],[grams]]</f>
        <v>161220346.11053285</v>
      </c>
      <c r="U758" s="7" t="e">
        <f>_xlfn.STDEV.S(Pcfu43[[#This Row],[R1]:[R3]])/AVERAGE(Pcfu43[[#This Row],[R1]:[R3]])</f>
        <v>#VALUE!</v>
      </c>
      <c r="V758" s="96"/>
      <c r="W758" s="7"/>
    </row>
    <row r="759" spans="1:23" x14ac:dyDescent="0.15">
      <c r="A759" t="s">
        <v>655</v>
      </c>
      <c r="B759" t="s">
        <v>328</v>
      </c>
      <c r="D759" t="s">
        <v>194</v>
      </c>
      <c r="E759" s="3">
        <v>2</v>
      </c>
      <c r="G759">
        <v>0.3</v>
      </c>
      <c r="H759" s="5">
        <f>19*Pcfu4[[#This Row],[grams]]</f>
        <v>5.7</v>
      </c>
      <c r="I759" s="3" t="s">
        <v>170</v>
      </c>
      <c r="J759" s="59">
        <v>45021</v>
      </c>
      <c r="L759" s="59" t="e" cm="1">
        <f t="array" ref="L759">INDEX($J$4:J1849, MATCH(1,(A759=$A$4:A1847)*(C759=$C$4:C1847)*("Y"=$K$4:K1849),0))</f>
        <v>#N/A</v>
      </c>
      <c r="M759" s="1">
        <v>100000</v>
      </c>
      <c r="N759">
        <v>268</v>
      </c>
      <c r="O759">
        <v>246</v>
      </c>
      <c r="P759"/>
      <c r="Q759" s="6">
        <f>(SUM(Pcfu4[[#This Row],[R1]:[R3]]))/(Pcfu4[[#This Row],[No. Reps]]*0.025)*Pcfu4[[#This Row],[Best DF]]</f>
        <v>1028000000</v>
      </c>
      <c r="R759" s="1">
        <f>_xlfn.STDEV.S(Pcfu4[[#This Row],[R1]:[R3]])/0.025*Pcfu4[[#This Row],[Best DF]]</f>
        <v>62225396.74441617</v>
      </c>
      <c r="S759" s="6">
        <f>Pcfu4[[#This Row],[CFU/mL]]*Pcfu4[[#This Row],[mL]]/Pcfu4[[#This Row],[grams]]</f>
        <v>19532000000</v>
      </c>
      <c r="T759" s="1">
        <f>Pcfu4[[#This Row],[SD CFU/mL]]*Pcfu4[[#This Row],[mL]]/Pcfu4[[#This Row],[grams]]</f>
        <v>1182282538.1439073</v>
      </c>
      <c r="U759" s="7" t="e">
        <f>_xlfn.STDEV.S(Pcfu43[[#This Row],[R1]:[R3]])/AVERAGE(Pcfu43[[#This Row],[R1]:[R3]])</f>
        <v>#VALUE!</v>
      </c>
      <c r="V759" s="96"/>
      <c r="W759" s="7"/>
    </row>
    <row r="760" spans="1:23" x14ac:dyDescent="0.15">
      <c r="A760" t="s">
        <v>656</v>
      </c>
      <c r="B760" t="s">
        <v>328</v>
      </c>
      <c r="D760" t="s">
        <v>194</v>
      </c>
      <c r="E760" s="3">
        <v>2</v>
      </c>
      <c r="G760">
        <v>0.3</v>
      </c>
      <c r="H760" s="5">
        <f>19*Pcfu4[[#This Row],[grams]]</f>
        <v>5.7</v>
      </c>
      <c r="I760" s="3" t="s">
        <v>170</v>
      </c>
      <c r="J760" s="59">
        <v>45021</v>
      </c>
      <c r="L760" s="59" t="e" cm="1">
        <f t="array" ref="L760">INDEX($J$4:J1850, MATCH(1,(A760=$A$4:A1848)*(C760=$C$4:C1848)*("Y"=$K$4:K1850),0))</f>
        <v>#N/A</v>
      </c>
      <c r="M760" s="1">
        <v>100000</v>
      </c>
      <c r="N760">
        <v>34</v>
      </c>
      <c r="O760">
        <v>30</v>
      </c>
      <c r="P760"/>
      <c r="Q760" s="6">
        <f>(SUM(Pcfu4[[#This Row],[R1]:[R3]]))/(Pcfu4[[#This Row],[No. Reps]]*0.025)*Pcfu4[[#This Row],[Best DF]]</f>
        <v>128000000</v>
      </c>
      <c r="R760" s="1">
        <f>_xlfn.STDEV.S(Pcfu4[[#This Row],[R1]:[R3]])/0.025*Pcfu4[[#This Row],[Best DF]]</f>
        <v>11313708.498984762</v>
      </c>
      <c r="S760" s="6">
        <f>Pcfu4[[#This Row],[CFU/mL]]*Pcfu4[[#This Row],[mL]]/Pcfu4[[#This Row],[grams]]</f>
        <v>2432000000</v>
      </c>
      <c r="T760" s="1">
        <f>Pcfu4[[#This Row],[SD CFU/mL]]*Pcfu4[[#This Row],[mL]]/Pcfu4[[#This Row],[grams]]</f>
        <v>214960461.48071048</v>
      </c>
      <c r="U760" s="7" t="e">
        <f>_xlfn.STDEV.S(Pcfu43[[#This Row],[R1]:[R3]])/AVERAGE(Pcfu43[[#This Row],[R1]:[R3]])</f>
        <v>#VALUE!</v>
      </c>
      <c r="V760" s="96"/>
      <c r="W760" s="7"/>
    </row>
    <row r="761" spans="1:23" x14ac:dyDescent="0.15">
      <c r="A761" t="s">
        <v>657</v>
      </c>
      <c r="B761" t="s">
        <v>328</v>
      </c>
      <c r="D761" t="s">
        <v>194</v>
      </c>
      <c r="E761" s="3">
        <v>2</v>
      </c>
      <c r="G761">
        <v>0.3</v>
      </c>
      <c r="H761" s="5">
        <f>19*Pcfu4[[#This Row],[grams]]</f>
        <v>5.7</v>
      </c>
      <c r="I761" s="3" t="s">
        <v>170</v>
      </c>
      <c r="J761" s="59">
        <v>45021</v>
      </c>
      <c r="K761" s="59" t="s">
        <v>206</v>
      </c>
      <c r="L761" s="59" cm="1">
        <f t="array" ref="L761">INDEX($J$4:J1851, MATCH(1,(A761=$A$4:A1849)*(C761=$C$4:C1849)*("Y"=$K$4:K1851),0))</f>
        <v>45021</v>
      </c>
      <c r="M761" s="1">
        <v>100000</v>
      </c>
      <c r="N761">
        <v>175</v>
      </c>
      <c r="O761">
        <v>156</v>
      </c>
      <c r="P761"/>
      <c r="Q761" s="6">
        <f>(SUM(Pcfu4[[#This Row],[R1]:[R3]]))/(Pcfu4[[#This Row],[No. Reps]]*0.025)*Pcfu4[[#This Row],[Best DF]]</f>
        <v>662000000</v>
      </c>
      <c r="R761" s="1">
        <f>_xlfn.STDEV.S(Pcfu4[[#This Row],[R1]:[R3]])/0.025*Pcfu4[[#This Row],[Best DF]]</f>
        <v>53740115.370177612</v>
      </c>
      <c r="S761" s="6">
        <f>Pcfu4[[#This Row],[CFU/mL]]*Pcfu4[[#This Row],[mL]]/Pcfu4[[#This Row],[grams]]</f>
        <v>12578000000</v>
      </c>
      <c r="T761" s="1">
        <f>Pcfu4[[#This Row],[SD CFU/mL]]*Pcfu4[[#This Row],[mL]]/Pcfu4[[#This Row],[grams]]</f>
        <v>1021062192.0333748</v>
      </c>
      <c r="U761" s="7" t="e">
        <f>_xlfn.STDEV.S(Pcfu43[[#This Row],[R1]:[R3]])/AVERAGE(Pcfu43[[#This Row],[R1]:[R3]])</f>
        <v>#VALUE!</v>
      </c>
      <c r="V761" s="96"/>
      <c r="W761" s="7"/>
    </row>
    <row r="762" spans="1:23" x14ac:dyDescent="0.15">
      <c r="A762" t="s">
        <v>658</v>
      </c>
      <c r="B762" t="s">
        <v>328</v>
      </c>
      <c r="D762" t="s">
        <v>194</v>
      </c>
      <c r="E762" s="3">
        <v>2</v>
      </c>
      <c r="G762">
        <v>0.3</v>
      </c>
      <c r="H762" s="5">
        <f>19*Pcfu4[[#This Row],[grams]]</f>
        <v>5.7</v>
      </c>
      <c r="I762" s="3" t="s">
        <v>170</v>
      </c>
      <c r="J762" s="59">
        <v>45021</v>
      </c>
      <c r="L762" s="59" t="e" cm="1">
        <f t="array" ref="L762">INDEX($J$4:J1852, MATCH(1,(A762=$A$4:A1850)*(C762=$C$4:C1850)*("Y"=$K$4:K1852),0))</f>
        <v>#N/A</v>
      </c>
      <c r="M762" s="1">
        <v>100000</v>
      </c>
      <c r="N762">
        <v>251</v>
      </c>
      <c r="O762">
        <v>265</v>
      </c>
      <c r="P762"/>
      <c r="Q762" s="6">
        <f>(SUM(Pcfu4[[#This Row],[R1]:[R3]]))/(Pcfu4[[#This Row],[No. Reps]]*0.025)*Pcfu4[[#This Row],[Best DF]]</f>
        <v>1032000000</v>
      </c>
      <c r="R762" s="1">
        <f>_xlfn.STDEV.S(Pcfu4[[#This Row],[R1]:[R3]])/0.025*Pcfu4[[#This Row],[Best DF]]</f>
        <v>39597979.746446654</v>
      </c>
      <c r="S762" s="6">
        <f>Pcfu4[[#This Row],[CFU/mL]]*Pcfu4[[#This Row],[mL]]/Pcfu4[[#This Row],[grams]]</f>
        <v>19608000000</v>
      </c>
      <c r="T762" s="1">
        <f>Pcfu4[[#This Row],[SD CFU/mL]]*Pcfu4[[#This Row],[mL]]/Pcfu4[[#This Row],[grams]]</f>
        <v>752361615.18248653</v>
      </c>
      <c r="U762" s="7" t="e">
        <f>_xlfn.STDEV.S(Pcfu43[[#This Row],[R1]:[R3]])/AVERAGE(Pcfu43[[#This Row],[R1]:[R3]])</f>
        <v>#VALUE!</v>
      </c>
      <c r="V762" s="96"/>
      <c r="W762" s="7"/>
    </row>
    <row r="763" spans="1:23" x14ac:dyDescent="0.15">
      <c r="A763" t="s">
        <v>659</v>
      </c>
      <c r="B763" t="s">
        <v>328</v>
      </c>
      <c r="D763" t="s">
        <v>194</v>
      </c>
      <c r="E763" s="3">
        <v>2</v>
      </c>
      <c r="G763">
        <v>0.3</v>
      </c>
      <c r="H763" s="5">
        <f>19*Pcfu4[[#This Row],[grams]]</f>
        <v>5.7</v>
      </c>
      <c r="I763" s="3" t="s">
        <v>170</v>
      </c>
      <c r="J763" s="59">
        <v>45021</v>
      </c>
      <c r="L763" s="59" t="e" cm="1">
        <f t="array" ref="L763">INDEX($J$4:J1853, MATCH(1,(A763=$A$4:A1851)*(C763=$C$4:C1851)*("Y"=$K$4:K1853),0))</f>
        <v>#N/A</v>
      </c>
      <c r="M763" s="1">
        <v>100000</v>
      </c>
      <c r="N763">
        <v>24</v>
      </c>
      <c r="O763">
        <v>22</v>
      </c>
      <c r="P763"/>
      <c r="Q763" s="6">
        <f>(SUM(Pcfu4[[#This Row],[R1]:[R3]]))/(Pcfu4[[#This Row],[No. Reps]]*0.025)*Pcfu4[[#This Row],[Best DF]]</f>
        <v>92000000</v>
      </c>
      <c r="R763" s="1">
        <f>_xlfn.STDEV.S(Pcfu4[[#This Row],[R1]:[R3]])/0.025*Pcfu4[[#This Row],[Best DF]]</f>
        <v>5656854.2494923808</v>
      </c>
      <c r="S763" s="6">
        <f>Pcfu4[[#This Row],[CFU/mL]]*Pcfu4[[#This Row],[mL]]/Pcfu4[[#This Row],[grams]]</f>
        <v>1748000000</v>
      </c>
      <c r="T763" s="1">
        <f>Pcfu4[[#This Row],[SD CFU/mL]]*Pcfu4[[#This Row],[mL]]/Pcfu4[[#This Row],[grams]]</f>
        <v>107480230.74035524</v>
      </c>
      <c r="U763" s="7" t="e">
        <f>_xlfn.STDEV.S(Pcfu43[[#This Row],[R1]:[R3]])/AVERAGE(Pcfu43[[#This Row],[R1]:[R3]])</f>
        <v>#VALUE!</v>
      </c>
      <c r="V763" s="96"/>
      <c r="W763" s="7"/>
    </row>
    <row r="764" spans="1:23" x14ac:dyDescent="0.15">
      <c r="A764" t="s">
        <v>660</v>
      </c>
      <c r="B764" t="s">
        <v>648</v>
      </c>
      <c r="D764" t="s">
        <v>86</v>
      </c>
      <c r="E764" s="3">
        <v>2</v>
      </c>
      <c r="G764">
        <v>0.3</v>
      </c>
      <c r="H764" s="5">
        <f>19*Pcfu4[[#This Row],[grams]]</f>
        <v>5.7</v>
      </c>
      <c r="I764" s="3" t="s">
        <v>170</v>
      </c>
      <c r="J764" s="59">
        <v>45021</v>
      </c>
      <c r="L764" s="59" t="e" cm="1">
        <f t="array" ref="L764">INDEX($J$4:J1854, MATCH(1,(A764=$A$4:A1852)*(C764=$C$4:C1852)*("Y"=$K$4:K1854),0))</f>
        <v>#N/A</v>
      </c>
      <c r="M764" s="1">
        <v>1000000</v>
      </c>
      <c r="N764">
        <v>194</v>
      </c>
      <c r="O764">
        <v>186</v>
      </c>
      <c r="P764"/>
      <c r="Q764" s="6">
        <f>(SUM(Pcfu4[[#This Row],[R1]:[R3]]))/(Pcfu4[[#This Row],[No. Reps]]*0.025)*Pcfu4[[#This Row],[Best DF]]</f>
        <v>7600000000</v>
      </c>
      <c r="R764" s="1">
        <f>_xlfn.STDEV.S(Pcfu4[[#This Row],[R1]:[R3]])/0.025*Pcfu4[[#This Row],[Best DF]]</f>
        <v>226274169.97969523</v>
      </c>
      <c r="S764" s="6">
        <f>Pcfu4[[#This Row],[CFU/mL]]*Pcfu4[[#This Row],[mL]]/Pcfu4[[#This Row],[grams]]</f>
        <v>144400000000</v>
      </c>
      <c r="T764" s="1">
        <f>Pcfu4[[#This Row],[SD CFU/mL]]*Pcfu4[[#This Row],[mL]]/Pcfu4[[#This Row],[grams]]</f>
        <v>4299209229.6142092</v>
      </c>
      <c r="U764" s="7" t="e">
        <f>_xlfn.STDEV.S(Pcfu43[[#This Row],[R1]:[R3]])/AVERAGE(Pcfu43[[#This Row],[R1]:[R3]])</f>
        <v>#VALUE!</v>
      </c>
      <c r="V764" s="96"/>
      <c r="W764" s="7"/>
    </row>
    <row r="765" spans="1:23" x14ac:dyDescent="0.15">
      <c r="A765" t="s">
        <v>661</v>
      </c>
      <c r="B765" t="s">
        <v>648</v>
      </c>
      <c r="D765" t="s">
        <v>86</v>
      </c>
      <c r="E765" s="3">
        <v>2</v>
      </c>
      <c r="G765">
        <v>0.3</v>
      </c>
      <c r="H765" s="5">
        <f>19*Pcfu4[[#This Row],[grams]]</f>
        <v>5.7</v>
      </c>
      <c r="I765" s="3" t="s">
        <v>170</v>
      </c>
      <c r="J765" s="59">
        <v>45021</v>
      </c>
      <c r="L765" s="59" t="e" cm="1">
        <f t="array" ref="L765">INDEX($J$4:J1855, MATCH(1,(A765=$A$4:A1853)*(C765=$C$4:C1853)*("Y"=$K$4:K1855),0))</f>
        <v>#N/A</v>
      </c>
      <c r="M765" s="1">
        <v>10000000</v>
      </c>
      <c r="N765">
        <v>38</v>
      </c>
      <c r="O765">
        <v>34</v>
      </c>
      <c r="P765"/>
      <c r="Q765" s="6">
        <f>(SUM(Pcfu4[[#This Row],[R1]:[R3]]))/(Pcfu4[[#This Row],[No. Reps]]*0.025)*Pcfu4[[#This Row],[Best DF]]</f>
        <v>14400000000</v>
      </c>
      <c r="R765" s="1">
        <f>_xlfn.STDEV.S(Pcfu4[[#This Row],[R1]:[R3]])/0.025*Pcfu4[[#This Row],[Best DF]]</f>
        <v>1131370849.8984761</v>
      </c>
      <c r="S765" s="6">
        <f>Pcfu4[[#This Row],[CFU/mL]]*Pcfu4[[#This Row],[mL]]/Pcfu4[[#This Row],[grams]]</f>
        <v>273600000000</v>
      </c>
      <c r="T765" s="1">
        <f>Pcfu4[[#This Row],[SD CFU/mL]]*Pcfu4[[#This Row],[mL]]/Pcfu4[[#This Row],[grams]]</f>
        <v>21496046148.071049</v>
      </c>
      <c r="U765" s="7" t="e">
        <f>_xlfn.STDEV.S(Pcfu43[[#This Row],[R1]:[R3]])/AVERAGE(Pcfu43[[#This Row],[R1]:[R3]])</f>
        <v>#VALUE!</v>
      </c>
      <c r="V765" s="96"/>
      <c r="W765" s="7"/>
    </row>
    <row r="766" spans="1:23" x14ac:dyDescent="0.15">
      <c r="A766" t="s">
        <v>662</v>
      </c>
      <c r="B766" t="s">
        <v>648</v>
      </c>
      <c r="D766" t="s">
        <v>86</v>
      </c>
      <c r="E766" s="3">
        <v>2</v>
      </c>
      <c r="G766">
        <v>0.3</v>
      </c>
      <c r="H766" s="5">
        <f>19*Pcfu4[[#This Row],[grams]]</f>
        <v>5.7</v>
      </c>
      <c r="I766" s="3" t="s">
        <v>170</v>
      </c>
      <c r="J766" s="59">
        <v>45021</v>
      </c>
      <c r="L766" s="59" t="e" cm="1">
        <f t="array" ref="L766">INDEX($J$4:J1856, MATCH(1,(A766=$A$4:A1854)*(C766=$C$4:C1854)*("Y"=$K$4:K1856),0))</f>
        <v>#N/A</v>
      </c>
      <c r="M766" s="1">
        <v>10000000</v>
      </c>
      <c r="N766">
        <v>36</v>
      </c>
      <c r="O766">
        <v>37</v>
      </c>
      <c r="P766"/>
      <c r="Q766" s="6">
        <f>(SUM(Pcfu4[[#This Row],[R1]:[R3]]))/(Pcfu4[[#This Row],[No. Reps]]*0.025)*Pcfu4[[#This Row],[Best DF]]</f>
        <v>14600000000</v>
      </c>
      <c r="R766" s="1">
        <f>_xlfn.STDEV.S(Pcfu4[[#This Row],[R1]:[R3]])/0.025*Pcfu4[[#This Row],[Best DF]]</f>
        <v>282842712.47461903</v>
      </c>
      <c r="S766" s="6">
        <f>Pcfu4[[#This Row],[CFU/mL]]*Pcfu4[[#This Row],[mL]]/Pcfu4[[#This Row],[grams]]</f>
        <v>277400000000</v>
      </c>
      <c r="T766" s="1">
        <f>Pcfu4[[#This Row],[SD CFU/mL]]*Pcfu4[[#This Row],[mL]]/Pcfu4[[#This Row],[grams]]</f>
        <v>5374011537.0177622</v>
      </c>
      <c r="U766" s="7" t="e">
        <f>_xlfn.STDEV.S(Pcfu43[[#This Row],[R1]:[R3]])/AVERAGE(Pcfu43[[#This Row],[R1]:[R3]])</f>
        <v>#VALUE!</v>
      </c>
      <c r="V766" s="96"/>
      <c r="W766" s="7"/>
    </row>
    <row r="767" spans="1:23" x14ac:dyDescent="0.15">
      <c r="A767" t="s">
        <v>663</v>
      </c>
      <c r="B767" t="s">
        <v>648</v>
      </c>
      <c r="D767" t="s">
        <v>86</v>
      </c>
      <c r="E767" s="3">
        <v>3</v>
      </c>
      <c r="G767">
        <v>0.3</v>
      </c>
      <c r="H767" s="5">
        <v>5.7</v>
      </c>
      <c r="I767" s="3" t="s">
        <v>170</v>
      </c>
      <c r="J767" s="59">
        <v>45022</v>
      </c>
      <c r="L767" s="59" t="e" cm="1">
        <f t="array" ref="L767">INDEX($J$4:J1857, MATCH(1,(A767=$A$4:A1855)*(C767=$C$4:C1855)*("Y"=$K$4:K1857),0))</f>
        <v>#N/A</v>
      </c>
      <c r="M767" s="1">
        <v>10000000</v>
      </c>
      <c r="N767">
        <v>43</v>
      </c>
      <c r="O767">
        <v>36</v>
      </c>
      <c r="P767">
        <v>40</v>
      </c>
      <c r="Q767" s="6">
        <f>(SUM(Pcfu4[[#This Row],[R1]:[R3]]))/(Pcfu4[[#This Row],[No. Reps]]*0.025)*Pcfu4[[#This Row],[Best DF]]</f>
        <v>15866666666.666666</v>
      </c>
      <c r="R767" s="1">
        <f>_xlfn.STDEV.S(Pcfu4[[#This Row],[R1]:[R3]])/0.025*Pcfu4[[#This Row],[Best DF]]</f>
        <v>1404753833.7136984</v>
      </c>
      <c r="S767" s="6">
        <f>Pcfu4[[#This Row],[CFU/mL]]*Pcfu4[[#This Row],[mL]]/Pcfu4[[#This Row],[grams]]</f>
        <v>301466666666.66669</v>
      </c>
      <c r="T767" s="1">
        <f>Pcfu4[[#This Row],[SD CFU/mL]]*Pcfu4[[#This Row],[mL]]/Pcfu4[[#This Row],[grams]]</f>
        <v>26690322840.560272</v>
      </c>
      <c r="U767" s="7" t="e">
        <f>_xlfn.STDEV.S(Pcfu43[[#This Row],[R1]:[R3]])/AVERAGE(Pcfu43[[#This Row],[R1]:[R3]])</f>
        <v>#VALUE!</v>
      </c>
      <c r="V767" s="96"/>
      <c r="W767" s="7"/>
    </row>
    <row r="768" spans="1:23" x14ac:dyDescent="0.15">
      <c r="A768" t="s">
        <v>664</v>
      </c>
      <c r="B768" t="s">
        <v>648</v>
      </c>
      <c r="D768" t="s">
        <v>86</v>
      </c>
      <c r="E768" s="3">
        <v>3</v>
      </c>
      <c r="G768">
        <v>0.3</v>
      </c>
      <c r="H768" s="5">
        <v>5.7</v>
      </c>
      <c r="I768" s="3" t="s">
        <v>170</v>
      </c>
      <c r="J768" s="59">
        <v>45022</v>
      </c>
      <c r="L768" s="59" t="e" cm="1">
        <f t="array" ref="L768">INDEX($J$4:J1858, MATCH(1,(A768=$A$4:A1856)*(C768=$C$4:C1856)*("Y"=$K$4:K1858),0))</f>
        <v>#N/A</v>
      </c>
      <c r="M768" s="1">
        <v>10000000</v>
      </c>
      <c r="N768">
        <v>40</v>
      </c>
      <c r="O768">
        <v>36</v>
      </c>
      <c r="P768">
        <v>36</v>
      </c>
      <c r="Q768" s="6">
        <f>(SUM(Pcfu4[[#This Row],[R1]:[R3]]))/(Pcfu4[[#This Row],[No. Reps]]*0.025)*Pcfu4[[#This Row],[Best DF]]</f>
        <v>14933333333.33333</v>
      </c>
      <c r="R768" s="1">
        <f>_xlfn.STDEV.S(Pcfu4[[#This Row],[R1]:[R3]])/0.025*Pcfu4[[#This Row],[Best DF]]</f>
        <v>923760430.70340121</v>
      </c>
      <c r="S768" s="6">
        <f>Pcfu4[[#This Row],[CFU/mL]]*Pcfu4[[#This Row],[mL]]/Pcfu4[[#This Row],[grams]]</f>
        <v>283733333333.33331</v>
      </c>
      <c r="T768" s="1">
        <f>Pcfu4[[#This Row],[SD CFU/mL]]*Pcfu4[[#This Row],[mL]]/Pcfu4[[#This Row],[grams]]</f>
        <v>17551448183.364624</v>
      </c>
      <c r="U768" s="7" t="e">
        <f>_xlfn.STDEV.S(Pcfu43[[#This Row],[R1]:[R3]])/AVERAGE(Pcfu43[[#This Row],[R1]:[R3]])</f>
        <v>#VALUE!</v>
      </c>
      <c r="V768" s="96"/>
      <c r="W768" s="7"/>
    </row>
    <row r="769" spans="1:24" x14ac:dyDescent="0.15">
      <c r="A769" t="s">
        <v>665</v>
      </c>
      <c r="B769" t="s">
        <v>648</v>
      </c>
      <c r="D769" t="s">
        <v>86</v>
      </c>
      <c r="E769" s="3">
        <v>3</v>
      </c>
      <c r="G769">
        <v>0.3</v>
      </c>
      <c r="H769" s="5">
        <v>5.7</v>
      </c>
      <c r="I769" s="3" t="s">
        <v>170</v>
      </c>
      <c r="J769" s="59">
        <v>45022</v>
      </c>
      <c r="L769" s="59" t="e" cm="1">
        <f t="array" ref="L769">INDEX($J$4:J1859, MATCH(1,(A769=$A$4:A1857)*(C769=$C$4:C1857)*("Y"=$K$4:K1859),0))</f>
        <v>#N/A</v>
      </c>
      <c r="M769" s="1">
        <v>10000000</v>
      </c>
      <c r="N769">
        <v>57</v>
      </c>
      <c r="O769">
        <v>40</v>
      </c>
      <c r="P769">
        <v>52</v>
      </c>
      <c r="Q769" s="6">
        <f>(SUM(Pcfu4[[#This Row],[R1]:[R3]]))/(Pcfu4[[#This Row],[No. Reps]]*0.025)*Pcfu4[[#This Row],[Best DF]]</f>
        <v>19866666666.666664</v>
      </c>
      <c r="R769" s="1">
        <f>_xlfn.STDEV.S(Pcfu4[[#This Row],[R1]:[R3]])/0.025*Pcfu4[[#This Row],[Best DF]]</f>
        <v>3494757979.2216449</v>
      </c>
      <c r="S769" s="6">
        <f>Pcfu4[[#This Row],[CFU/mL]]*Pcfu4[[#This Row],[mL]]/Pcfu4[[#This Row],[grams]]</f>
        <v>377466666666.66663</v>
      </c>
      <c r="T769" s="1">
        <f>Pcfu4[[#This Row],[SD CFU/mL]]*Pcfu4[[#This Row],[mL]]/Pcfu4[[#This Row],[grams]]</f>
        <v>66400401605.211258</v>
      </c>
      <c r="U769" s="7" t="e">
        <f>_xlfn.STDEV.S(Pcfu43[[#This Row],[R1]:[R3]])/AVERAGE(Pcfu43[[#This Row],[R1]:[R3]])</f>
        <v>#VALUE!</v>
      </c>
      <c r="V769" s="96"/>
      <c r="W769" s="7"/>
    </row>
    <row r="770" spans="1:24" x14ac:dyDescent="0.15">
      <c r="A770" t="s">
        <v>666</v>
      </c>
      <c r="B770" t="s">
        <v>648</v>
      </c>
      <c r="D770" t="s">
        <v>86</v>
      </c>
      <c r="E770" s="3">
        <v>3</v>
      </c>
      <c r="G770">
        <v>0.3</v>
      </c>
      <c r="H770" s="5">
        <v>5.7</v>
      </c>
      <c r="I770" s="3" t="s">
        <v>170</v>
      </c>
      <c r="J770" s="59">
        <v>45022</v>
      </c>
      <c r="L770" s="59" t="e" cm="1">
        <f t="array" ref="L770">INDEX($J$4:J1860, MATCH(1,(A770=$A$4:A1858)*(C770=$C$4:C1858)*("Y"=$K$4:K1860),0))</f>
        <v>#N/A</v>
      </c>
      <c r="M770" s="1">
        <v>1000000</v>
      </c>
      <c r="N770">
        <v>251</v>
      </c>
      <c r="O770">
        <v>252</v>
      </c>
      <c r="P770">
        <v>241</v>
      </c>
      <c r="Q770" s="6">
        <f>(SUM(Pcfu4[[#This Row],[R1]:[R3]]))/(Pcfu4[[#This Row],[No. Reps]]*0.025)*Pcfu4[[#This Row],[Best DF]]</f>
        <v>9919999999.9999981</v>
      </c>
      <c r="R770" s="1">
        <f>_xlfn.STDEV.S(Pcfu4[[#This Row],[R1]:[R3]])/0.025*Pcfu4[[#This Row],[Best DF]]</f>
        <v>243310501.21192876</v>
      </c>
      <c r="S770" s="6">
        <f>Pcfu4[[#This Row],[CFU/mL]]*Pcfu4[[#This Row],[mL]]/Pcfu4[[#This Row],[grams]]</f>
        <v>188479999999.99997</v>
      </c>
      <c r="T770" s="1">
        <f>Pcfu4[[#This Row],[SD CFU/mL]]*Pcfu4[[#This Row],[mL]]/Pcfu4[[#This Row],[grams]]</f>
        <v>4622899523.0266466</v>
      </c>
      <c r="U770" s="7" t="e">
        <f>_xlfn.STDEV.S(Pcfu43[[#This Row],[R1]:[R3]])/AVERAGE(Pcfu43[[#This Row],[R1]:[R3]])</f>
        <v>#VALUE!</v>
      </c>
      <c r="V770" s="96"/>
      <c r="W770" s="7"/>
    </row>
    <row r="771" spans="1:24" x14ac:dyDescent="0.15">
      <c r="A771" t="s">
        <v>667</v>
      </c>
      <c r="B771" t="s">
        <v>328</v>
      </c>
      <c r="D771" t="s">
        <v>37</v>
      </c>
      <c r="E771" s="3">
        <v>3</v>
      </c>
      <c r="G771">
        <v>0.3</v>
      </c>
      <c r="H771" s="5">
        <v>5.7</v>
      </c>
      <c r="I771" s="3" t="s">
        <v>170</v>
      </c>
      <c r="J771" s="59">
        <v>45023</v>
      </c>
      <c r="L771" s="59" t="e" cm="1">
        <f t="array" ref="L771">INDEX($J$4:J1861, MATCH(1,(A771=$A$4:A1859)*(C771=$C$4:C1859)*("Y"=$K$4:K1861),0))</f>
        <v>#N/A</v>
      </c>
      <c r="M771" s="1">
        <v>1000000</v>
      </c>
      <c r="N771">
        <v>61</v>
      </c>
      <c r="O771">
        <v>68</v>
      </c>
      <c r="P771"/>
      <c r="Q771" s="6">
        <f>(SUM(Pcfu4[[#This Row],[R1]:[R3]]))/(Pcfu4[[#This Row],[No. Reps]]*0.025)*Pcfu4[[#This Row],[Best DF]]</f>
        <v>1719999999.9999998</v>
      </c>
      <c r="R771" s="1">
        <f>_xlfn.STDEV.S(Pcfu4[[#This Row],[R1]:[R3]])/0.025*Pcfu4[[#This Row],[Best DF]]</f>
        <v>197989898.73223329</v>
      </c>
      <c r="S771" s="6">
        <f>Pcfu4[[#This Row],[CFU/mL]]*Pcfu4[[#This Row],[mL]]/Pcfu4[[#This Row],[grams]]</f>
        <v>32679999999.999996</v>
      </c>
      <c r="T771" s="1">
        <f>Pcfu4[[#This Row],[SD CFU/mL]]*Pcfu4[[#This Row],[mL]]/Pcfu4[[#This Row],[grams]]</f>
        <v>3761808075.9124327</v>
      </c>
      <c r="U771" s="7" t="e">
        <f>_xlfn.STDEV.S(Pcfu43[[#This Row],[R1]:[R3]])/AVERAGE(Pcfu43[[#This Row],[R1]:[R3]])</f>
        <v>#VALUE!</v>
      </c>
      <c r="V771" s="96"/>
      <c r="W771" s="7"/>
    </row>
    <row r="772" spans="1:24" x14ac:dyDescent="0.15">
      <c r="A772" t="s">
        <v>668</v>
      </c>
      <c r="B772" t="s">
        <v>328</v>
      </c>
      <c r="D772" t="s">
        <v>37</v>
      </c>
      <c r="E772" s="3">
        <v>3</v>
      </c>
      <c r="G772">
        <v>0.3</v>
      </c>
      <c r="H772" s="5">
        <v>5.7</v>
      </c>
      <c r="I772" s="3" t="s">
        <v>170</v>
      </c>
      <c r="J772" s="59">
        <v>45023</v>
      </c>
      <c r="L772" s="59" t="e" cm="1">
        <f t="array" ref="L772">INDEX($J$4:J1862, MATCH(1,(A772=$A$4:A1860)*(C772=$C$4:C1860)*("Y"=$K$4:K1862),0))</f>
        <v>#N/A</v>
      </c>
      <c r="M772" s="1">
        <v>100000</v>
      </c>
      <c r="N772">
        <v>146</v>
      </c>
      <c r="O772">
        <v>121</v>
      </c>
      <c r="P772"/>
      <c r="Q772" s="6">
        <f>(SUM(Pcfu4[[#This Row],[R1]:[R3]]))/(Pcfu4[[#This Row],[No. Reps]]*0.025)*Pcfu4[[#This Row],[Best DF]]</f>
        <v>355999999.99999994</v>
      </c>
      <c r="R772" s="1">
        <f>_xlfn.STDEV.S(Pcfu4[[#This Row],[R1]:[R3]])/0.025*Pcfu4[[#This Row],[Best DF]]</f>
        <v>70710678.118654758</v>
      </c>
      <c r="S772" s="6">
        <f>Pcfu4[[#This Row],[CFU/mL]]*Pcfu4[[#This Row],[mL]]/Pcfu4[[#This Row],[grams]]</f>
        <v>6763999999.999999</v>
      </c>
      <c r="T772" s="1">
        <f>Pcfu4[[#This Row],[SD CFU/mL]]*Pcfu4[[#This Row],[mL]]/Pcfu4[[#This Row],[grams]]</f>
        <v>1343502884.2544405</v>
      </c>
      <c r="U772" s="7" t="e">
        <f>_xlfn.STDEV.S(Pcfu43[[#This Row],[R1]:[R3]])/AVERAGE(Pcfu43[[#This Row],[R1]:[R3]])</f>
        <v>#VALUE!</v>
      </c>
      <c r="V772" s="96"/>
      <c r="W772" s="7"/>
    </row>
    <row r="773" spans="1:24" x14ac:dyDescent="0.15">
      <c r="A773" t="s">
        <v>592</v>
      </c>
      <c r="B773" t="s">
        <v>328</v>
      </c>
      <c r="D773" t="s">
        <v>37</v>
      </c>
      <c r="E773" s="3">
        <v>3</v>
      </c>
      <c r="G773">
        <v>0.3</v>
      </c>
      <c r="H773" s="5">
        <v>5.7</v>
      </c>
      <c r="I773" s="3" t="s">
        <v>170</v>
      </c>
      <c r="J773" s="59">
        <v>45023</v>
      </c>
      <c r="L773" s="59" t="e" cm="1">
        <f t="array" ref="L773">INDEX($J$4:J1863, MATCH(1,(A773=$A$4:A1861)*(C773=$C$4:C1861)*("Y"=$K$4:K1863),0))</f>
        <v>#N/A</v>
      </c>
      <c r="M773" s="1">
        <v>100000</v>
      </c>
      <c r="N773">
        <v>162</v>
      </c>
      <c r="O773">
        <v>140</v>
      </c>
      <c r="P773"/>
      <c r="Q773" s="6">
        <f>(SUM(Pcfu4[[#This Row],[R1]:[R3]]))/(Pcfu4[[#This Row],[No. Reps]]*0.025)*Pcfu4[[#This Row],[Best DF]]</f>
        <v>402666666.66666663</v>
      </c>
      <c r="R773" s="1">
        <f>_xlfn.STDEV.S(Pcfu4[[#This Row],[R1]:[R3]])/0.025*Pcfu4[[#This Row],[Best DF]]</f>
        <v>62225396.74441617</v>
      </c>
      <c r="S773" s="6">
        <f>Pcfu4[[#This Row],[CFU/mL]]*Pcfu4[[#This Row],[mL]]/Pcfu4[[#This Row],[grams]]</f>
        <v>7650666666.666667</v>
      </c>
      <c r="T773" s="1">
        <f>Pcfu4[[#This Row],[SD CFU/mL]]*Pcfu4[[#This Row],[mL]]/Pcfu4[[#This Row],[grams]]</f>
        <v>1182282538.1439073</v>
      </c>
      <c r="U773" s="7" t="e">
        <f>_xlfn.STDEV.S(Pcfu43[[#This Row],[R1]:[R3]])/AVERAGE(Pcfu43[[#This Row],[R1]:[R3]])</f>
        <v>#VALUE!</v>
      </c>
      <c r="V773" s="96"/>
      <c r="W773" s="7"/>
    </row>
    <row r="774" spans="1:24" x14ac:dyDescent="0.15">
      <c r="A774" t="s">
        <v>595</v>
      </c>
      <c r="B774" t="s">
        <v>328</v>
      </c>
      <c r="D774" t="s">
        <v>37</v>
      </c>
      <c r="E774" s="3">
        <v>3</v>
      </c>
      <c r="G774">
        <v>0.3</v>
      </c>
      <c r="H774" s="5">
        <v>5.7</v>
      </c>
      <c r="I774" s="3" t="s">
        <v>170</v>
      </c>
      <c r="J774" s="59">
        <v>45023</v>
      </c>
      <c r="L774" s="59" t="e" cm="1">
        <f t="array" ref="L774">INDEX($J$4:J1864, MATCH(1,(A774=$A$4:A1862)*(C774=$C$4:C1862)*("Y"=$K$4:K1864),0))</f>
        <v>#N/A</v>
      </c>
      <c r="M774" s="1">
        <v>100000</v>
      </c>
      <c r="N774">
        <v>43</v>
      </c>
      <c r="O774">
        <v>42</v>
      </c>
      <c r="P774"/>
      <c r="Q774" s="6">
        <f>(SUM(Pcfu4[[#This Row],[R1]:[R3]]))/(Pcfu4[[#This Row],[No. Reps]]*0.025)*Pcfu4[[#This Row],[Best DF]]</f>
        <v>113333333.33333333</v>
      </c>
      <c r="R774" s="1">
        <f>_xlfn.STDEV.S(Pcfu4[[#This Row],[R1]:[R3]])/0.025*Pcfu4[[#This Row],[Best DF]]</f>
        <v>2828427.1247461904</v>
      </c>
      <c r="S774" s="6">
        <f>Pcfu4[[#This Row],[CFU/mL]]*Pcfu4[[#This Row],[mL]]/Pcfu4[[#This Row],[grams]]</f>
        <v>2153333333.3333335</v>
      </c>
      <c r="T774" s="1">
        <f>Pcfu4[[#This Row],[SD CFU/mL]]*Pcfu4[[#This Row],[mL]]/Pcfu4[[#This Row],[grams]]</f>
        <v>53740115.370177619</v>
      </c>
      <c r="U774" s="7" t="e">
        <f>_xlfn.STDEV.S(Pcfu43[[#This Row],[R1]:[R3]])/AVERAGE(Pcfu43[[#This Row],[R1]:[R3]])</f>
        <v>#VALUE!</v>
      </c>
      <c r="V774" s="96"/>
      <c r="W774" s="7"/>
    </row>
    <row r="775" spans="1:24" x14ac:dyDescent="0.15">
      <c r="A775" t="s">
        <v>669</v>
      </c>
      <c r="B775" t="s">
        <v>328</v>
      </c>
      <c r="D775" t="s">
        <v>86</v>
      </c>
      <c r="E775" s="3">
        <v>3</v>
      </c>
      <c r="G775">
        <v>0.3</v>
      </c>
      <c r="H775" s="5">
        <v>5.7</v>
      </c>
      <c r="I775" s="3" t="s">
        <v>170</v>
      </c>
      <c r="J775" s="59">
        <v>45023</v>
      </c>
      <c r="L775" s="59" t="e" cm="1">
        <f t="array" ref="L775">INDEX($J$4:J1865, MATCH(1,(A775=$A$4:A1863)*(C775=$C$4:C1863)*("Y"=$K$4:K1865),0))</f>
        <v>#N/A</v>
      </c>
      <c r="M775" s="1">
        <v>1000000</v>
      </c>
      <c r="N775">
        <v>57</v>
      </c>
      <c r="O775">
        <v>61</v>
      </c>
      <c r="P775"/>
      <c r="Q775" s="6">
        <f>(SUM(Pcfu4[[#This Row],[R1]:[R3]]))/(Pcfu4[[#This Row],[No. Reps]]*0.025)*Pcfu4[[#This Row],[Best DF]]</f>
        <v>1573333333.333333</v>
      </c>
      <c r="R775" s="1">
        <f>_xlfn.STDEV.S(Pcfu4[[#This Row],[R1]:[R3]])/0.025*Pcfu4[[#This Row],[Best DF]]</f>
        <v>113137084.98984762</v>
      </c>
      <c r="S775" s="6">
        <f>Pcfu4[[#This Row],[CFU/mL]]*Pcfu4[[#This Row],[mL]]/Pcfu4[[#This Row],[grams]]</f>
        <v>29893333333.333328</v>
      </c>
      <c r="T775" s="1">
        <f>Pcfu4[[#This Row],[SD CFU/mL]]*Pcfu4[[#This Row],[mL]]/Pcfu4[[#This Row],[grams]]</f>
        <v>2149604614.8071046</v>
      </c>
      <c r="U775" s="7" t="e">
        <f>_xlfn.STDEV.S(Pcfu43[[#This Row],[R1]:[R3]])/AVERAGE(Pcfu43[[#This Row],[R1]:[R3]])</f>
        <v>#VALUE!</v>
      </c>
      <c r="V775" s="96">
        <v>0.29799999999999999</v>
      </c>
      <c r="W775" s="7"/>
    </row>
    <row r="776" spans="1:24" x14ac:dyDescent="0.15">
      <c r="A776" t="s">
        <v>670</v>
      </c>
      <c r="B776" t="s">
        <v>328</v>
      </c>
      <c r="D776" t="s">
        <v>86</v>
      </c>
      <c r="E776" s="3">
        <v>3</v>
      </c>
      <c r="G776">
        <v>0.3</v>
      </c>
      <c r="H776" s="5">
        <v>5.7</v>
      </c>
      <c r="I776" s="3" t="s">
        <v>170</v>
      </c>
      <c r="J776" s="59">
        <v>45023</v>
      </c>
      <c r="L776" s="59" t="e" cm="1">
        <f t="array" ref="L776">INDEX($J$4:J1866, MATCH(1,(A776=$A$4:A1864)*(C776=$C$4:C1864)*("Y"=$K$4:K1866),0))</f>
        <v>#N/A</v>
      </c>
      <c r="M776" s="1">
        <v>1000000</v>
      </c>
      <c r="N776">
        <v>79</v>
      </c>
      <c r="O776">
        <v>80</v>
      </c>
      <c r="P776"/>
      <c r="Q776" s="6">
        <f>(SUM(Pcfu4[[#This Row],[R1]:[R3]]))/(Pcfu4[[#This Row],[No. Reps]]*0.025)*Pcfu4[[#This Row],[Best DF]]</f>
        <v>2119999999.9999995</v>
      </c>
      <c r="R776" s="1">
        <f>_xlfn.STDEV.S(Pcfu4[[#This Row],[R1]:[R3]])/0.025*Pcfu4[[#This Row],[Best DF]]</f>
        <v>28284271.247461904</v>
      </c>
      <c r="S776" s="6">
        <f>Pcfu4[[#This Row],[CFU/mL]]*Pcfu4[[#This Row],[mL]]/Pcfu4[[#This Row],[grams]]</f>
        <v>40279999999.999992</v>
      </c>
      <c r="T776" s="1">
        <f>Pcfu4[[#This Row],[SD CFU/mL]]*Pcfu4[[#This Row],[mL]]/Pcfu4[[#This Row],[grams]]</f>
        <v>537401153.70177615</v>
      </c>
      <c r="U776" s="7" t="e">
        <f>_xlfn.STDEV.S(Pcfu43[[#This Row],[R1]:[R3]])/AVERAGE(Pcfu43[[#This Row],[R1]:[R3]])</f>
        <v>#VALUE!</v>
      </c>
      <c r="V776" s="96">
        <v>0.30099999999999999</v>
      </c>
      <c r="W776" s="7"/>
    </row>
    <row r="777" spans="1:24" x14ac:dyDescent="0.15">
      <c r="A777" t="s">
        <v>671</v>
      </c>
      <c r="B777" t="s">
        <v>648</v>
      </c>
      <c r="D777" t="s">
        <v>86</v>
      </c>
      <c r="E777" s="3">
        <v>2</v>
      </c>
      <c r="G777">
        <v>0.3</v>
      </c>
      <c r="H777" s="5">
        <v>5.7</v>
      </c>
      <c r="I777" s="3" t="s">
        <v>170</v>
      </c>
      <c r="J777" s="59">
        <v>45028</v>
      </c>
      <c r="L777" s="59" t="e" cm="1">
        <f t="array" ref="L777">INDEX($J$4:J1867, MATCH(1,(A777=$A$4:A1865)*(C777=$C$4:C1865)*("Y"=$K$4:K1867),0))</f>
        <v>#N/A</v>
      </c>
      <c r="M777" s="1">
        <v>10000000</v>
      </c>
      <c r="N777">
        <v>31</v>
      </c>
      <c r="O777">
        <v>35</v>
      </c>
      <c r="P777"/>
      <c r="Q777" s="6">
        <f>(SUM(Pcfu4[[#This Row],[R1]:[R3]]))/(Pcfu4[[#This Row],[No. Reps]]*0.025)*Pcfu4[[#This Row],[Best DF]]</f>
        <v>13200000000</v>
      </c>
      <c r="R777" s="1">
        <f>_xlfn.STDEV.S(Pcfu4[[#This Row],[R1]:[R3]])/0.025*Pcfu4[[#This Row],[Best DF]]</f>
        <v>1131370849.8984761</v>
      </c>
      <c r="S777" s="6">
        <f>Pcfu4[[#This Row],[CFU/mL]]*Pcfu4[[#This Row],[mL]]/Pcfu4[[#This Row],[grams]]</f>
        <v>250800000000</v>
      </c>
      <c r="T777" s="1">
        <f>Pcfu4[[#This Row],[SD CFU/mL]]*Pcfu4[[#This Row],[mL]]/Pcfu4[[#This Row],[grams]]</f>
        <v>21496046148.071049</v>
      </c>
      <c r="U777" s="7" t="e">
        <f>_xlfn.STDEV.S(Pcfu43[[#This Row],[R1]:[R3]])/AVERAGE(Pcfu43[[#This Row],[R1]:[R3]])</f>
        <v>#VALUE!</v>
      </c>
      <c r="V777" s="96"/>
      <c r="W777" s="7"/>
    </row>
    <row r="778" spans="1:24" x14ac:dyDescent="0.15">
      <c r="A778" t="s">
        <v>672</v>
      </c>
      <c r="B778" t="s">
        <v>648</v>
      </c>
      <c r="D778" t="s">
        <v>86</v>
      </c>
      <c r="E778" s="3">
        <v>2</v>
      </c>
      <c r="G778">
        <v>0.3</v>
      </c>
      <c r="H778" s="5">
        <v>5.7</v>
      </c>
      <c r="I778" s="3" t="s">
        <v>170</v>
      </c>
      <c r="J778" s="59">
        <v>45028</v>
      </c>
      <c r="L778" s="59" t="e" cm="1">
        <f t="array" ref="L778">INDEX($J$4:J1868, MATCH(1,(A778=$A$4:A1866)*(C778=$C$4:C1866)*("Y"=$K$4:K1868),0))</f>
        <v>#N/A</v>
      </c>
      <c r="M778" s="1">
        <v>10000000</v>
      </c>
      <c r="N778">
        <v>45</v>
      </c>
      <c r="O778">
        <v>46</v>
      </c>
      <c r="P778"/>
      <c r="Q778" s="6">
        <f>(SUM(Pcfu4[[#This Row],[R1]:[R3]]))/(Pcfu4[[#This Row],[No. Reps]]*0.025)*Pcfu4[[#This Row],[Best DF]]</f>
        <v>18200000000</v>
      </c>
      <c r="R778" s="1">
        <f>_xlfn.STDEV.S(Pcfu4[[#This Row],[R1]:[R3]])/0.025*Pcfu4[[#This Row],[Best DF]]</f>
        <v>282842712.47461903</v>
      </c>
      <c r="S778" s="6">
        <f>Pcfu4[[#This Row],[CFU/mL]]*Pcfu4[[#This Row],[mL]]/Pcfu4[[#This Row],[grams]]</f>
        <v>345800000000</v>
      </c>
      <c r="T778" s="1">
        <f>Pcfu4[[#This Row],[SD CFU/mL]]*Pcfu4[[#This Row],[mL]]/Pcfu4[[#This Row],[grams]]</f>
        <v>5374011537.0177622</v>
      </c>
      <c r="U778" s="7" t="e">
        <f>_xlfn.STDEV.S(Pcfu43[[#This Row],[R1]:[R3]])/AVERAGE(Pcfu43[[#This Row],[R1]:[R3]])</f>
        <v>#VALUE!</v>
      </c>
      <c r="V778" s="96"/>
      <c r="W778" s="7"/>
    </row>
    <row r="779" spans="1:24" x14ac:dyDescent="0.15">
      <c r="A779" t="s">
        <v>673</v>
      </c>
      <c r="B779" t="s">
        <v>648</v>
      </c>
      <c r="D779" t="s">
        <v>86</v>
      </c>
      <c r="E779" s="3">
        <v>2</v>
      </c>
      <c r="G779">
        <v>0.3</v>
      </c>
      <c r="H779" s="5">
        <v>5.7</v>
      </c>
      <c r="I779" s="3" t="s">
        <v>170</v>
      </c>
      <c r="J779" s="59">
        <v>45028</v>
      </c>
      <c r="L779" s="59" t="e" cm="1">
        <f t="array" ref="L779">INDEX($J$4:J1869, MATCH(1,(A779=$A$4:A1867)*(C779=$C$4:C1867)*("Y"=$K$4:K1869),0))</f>
        <v>#N/A</v>
      </c>
      <c r="M779" s="1">
        <v>10000000</v>
      </c>
      <c r="N779">
        <v>47</v>
      </c>
      <c r="O779">
        <v>32</v>
      </c>
      <c r="P779"/>
      <c r="Q779" s="6">
        <f>(SUM(Pcfu4[[#This Row],[R1]:[R3]]))/(Pcfu4[[#This Row],[No. Reps]]*0.025)*Pcfu4[[#This Row],[Best DF]]</f>
        <v>15800000000</v>
      </c>
      <c r="R779" s="1">
        <f>_xlfn.STDEV.S(Pcfu4[[#This Row],[R1]:[R3]])/0.025*Pcfu4[[#This Row],[Best DF]]</f>
        <v>4242640687.1192851</v>
      </c>
      <c r="S779" s="6">
        <f>Pcfu4[[#This Row],[CFU/mL]]*Pcfu4[[#This Row],[mL]]/Pcfu4[[#This Row],[grams]]</f>
        <v>300200000000</v>
      </c>
      <c r="T779" s="1">
        <f>Pcfu4[[#This Row],[SD CFU/mL]]*Pcfu4[[#This Row],[mL]]/Pcfu4[[#This Row],[grams]]</f>
        <v>80610173055.266418</v>
      </c>
      <c r="U779" s="7" t="e">
        <f>_xlfn.STDEV.S(Pcfu43[[#This Row],[R1]:[R3]])/AVERAGE(Pcfu43[[#This Row],[R1]:[R3]])</f>
        <v>#VALUE!</v>
      </c>
      <c r="V779" s="96"/>
      <c r="W779" s="7"/>
    </row>
    <row r="780" spans="1:24" x14ac:dyDescent="0.15">
      <c r="A780" t="s">
        <v>674</v>
      </c>
      <c r="B780" t="s">
        <v>648</v>
      </c>
      <c r="D780" t="s">
        <v>86</v>
      </c>
      <c r="E780" s="3">
        <v>2</v>
      </c>
      <c r="G780">
        <v>0.3</v>
      </c>
      <c r="H780" s="5">
        <v>5.7</v>
      </c>
      <c r="I780" s="3" t="s">
        <v>170</v>
      </c>
      <c r="J780" s="59">
        <v>45028</v>
      </c>
      <c r="L780" s="59" t="e" cm="1">
        <f t="array" ref="L780">INDEX($J$4:J1870, MATCH(1,(A780=$A$4:A1868)*(C780=$C$4:C1868)*("Y"=$K$4:K1870),0))</f>
        <v>#N/A</v>
      </c>
      <c r="M780" s="1">
        <v>10000000</v>
      </c>
      <c r="N780">
        <v>40</v>
      </c>
      <c r="O780">
        <v>49</v>
      </c>
      <c r="P780"/>
      <c r="Q780" s="6">
        <f>(SUM(Pcfu4[[#This Row],[R1]:[R3]]))/(Pcfu4[[#This Row],[No. Reps]]*0.025)*Pcfu4[[#This Row],[Best DF]]</f>
        <v>17800000000</v>
      </c>
      <c r="R780" s="1">
        <f>_xlfn.STDEV.S(Pcfu4[[#This Row],[R1]:[R3]])/0.025*Pcfu4[[#This Row],[Best DF]]</f>
        <v>2545584412.2715707</v>
      </c>
      <c r="S780" s="6">
        <f>Pcfu4[[#This Row],[CFU/mL]]*Pcfu4[[#This Row],[mL]]/Pcfu4[[#This Row],[grams]]</f>
        <v>338200000000</v>
      </c>
      <c r="T780" s="1">
        <f>Pcfu4[[#This Row],[SD CFU/mL]]*Pcfu4[[#This Row],[mL]]/Pcfu4[[#This Row],[grams]]</f>
        <v>48366103833.159851</v>
      </c>
      <c r="U780" s="7" t="e">
        <f>_xlfn.STDEV.S(Pcfu43[[#This Row],[R1]:[R3]])/AVERAGE(Pcfu43[[#This Row],[R1]:[R3]])</f>
        <v>#VALUE!</v>
      </c>
      <c r="V780" s="96"/>
      <c r="W780" s="7"/>
    </row>
    <row r="781" spans="1:24" x14ac:dyDescent="0.15">
      <c r="A781" t="s">
        <v>675</v>
      </c>
      <c r="B781" t="s">
        <v>648</v>
      </c>
      <c r="D781" t="s">
        <v>86</v>
      </c>
      <c r="E781" s="3">
        <v>2</v>
      </c>
      <c r="G781">
        <v>0.3</v>
      </c>
      <c r="H781" s="5">
        <v>5.7</v>
      </c>
      <c r="I781" s="3" t="s">
        <v>170</v>
      </c>
      <c r="J781" s="59">
        <v>45028</v>
      </c>
      <c r="L781" s="59" t="e" cm="1">
        <f t="array" ref="L781">INDEX($J$4:J1871, MATCH(1,(A781=$A$4:A1869)*(C781=$C$4:C1869)*("Y"=$K$4:K1871),0))</f>
        <v>#N/A</v>
      </c>
      <c r="M781" s="1">
        <v>10000000</v>
      </c>
      <c r="N781">
        <v>30</v>
      </c>
      <c r="O781">
        <v>31</v>
      </c>
      <c r="P781"/>
      <c r="Q781" s="6">
        <f>(SUM(Pcfu4[[#This Row],[R1]:[R3]]))/(Pcfu4[[#This Row],[No. Reps]]*0.025)*Pcfu4[[#This Row],[Best DF]]</f>
        <v>12200000000</v>
      </c>
      <c r="R781" s="1">
        <f>_xlfn.STDEV.S(Pcfu4[[#This Row],[R1]:[R3]])/0.025*Pcfu4[[#This Row],[Best DF]]</f>
        <v>282842712.47461903</v>
      </c>
      <c r="S781" s="6">
        <f>Pcfu4[[#This Row],[CFU/mL]]*Pcfu4[[#This Row],[mL]]/Pcfu4[[#This Row],[grams]]</f>
        <v>231800000000</v>
      </c>
      <c r="T781" s="1">
        <f>Pcfu4[[#This Row],[SD CFU/mL]]*Pcfu4[[#This Row],[mL]]/Pcfu4[[#This Row],[grams]]</f>
        <v>5374011537.0177622</v>
      </c>
      <c r="U781" s="7" t="e">
        <f>_xlfn.STDEV.S(Pcfu43[[#This Row],[R1]:[R3]])/AVERAGE(Pcfu43[[#This Row],[R1]:[R3]])</f>
        <v>#VALUE!</v>
      </c>
      <c r="V781" s="96"/>
      <c r="W781" s="7"/>
    </row>
    <row r="782" spans="1:24" x14ac:dyDescent="0.15">
      <c r="A782" t="s">
        <v>676</v>
      </c>
      <c r="B782" t="s">
        <v>648</v>
      </c>
      <c r="D782" t="s">
        <v>86</v>
      </c>
      <c r="E782" s="3">
        <v>2</v>
      </c>
      <c r="G782">
        <v>0.3</v>
      </c>
      <c r="H782" s="5">
        <v>5.7</v>
      </c>
      <c r="I782" s="3" t="s">
        <v>170</v>
      </c>
      <c r="J782" s="59">
        <v>45028</v>
      </c>
      <c r="L782" s="59" t="e" cm="1">
        <f t="array" ref="L782">INDEX($J$4:J1872, MATCH(1,(A782=$A$4:A1870)*(C782=$C$4:C1870)*("Y"=$K$4:K1872),0))</f>
        <v>#N/A</v>
      </c>
      <c r="M782" s="1">
        <v>10000000</v>
      </c>
      <c r="N782">
        <v>38</v>
      </c>
      <c r="O782">
        <v>43</v>
      </c>
      <c r="P782"/>
      <c r="Q782" s="6">
        <f>(SUM(Pcfu4[[#This Row],[R1]:[R3]]))/(Pcfu4[[#This Row],[No. Reps]]*0.025)*Pcfu4[[#This Row],[Best DF]]</f>
        <v>16200000000</v>
      </c>
      <c r="R782" s="1">
        <f>_xlfn.STDEV.S(Pcfu4[[#This Row],[R1]:[R3]])/0.025*Pcfu4[[#This Row],[Best DF]]</f>
        <v>1414213562.373095</v>
      </c>
      <c r="S782" s="6">
        <f>Pcfu4[[#This Row],[CFU/mL]]*Pcfu4[[#This Row],[mL]]/Pcfu4[[#This Row],[grams]]</f>
        <v>307800000000</v>
      </c>
      <c r="T782" s="1">
        <f>Pcfu4[[#This Row],[SD CFU/mL]]*Pcfu4[[#This Row],[mL]]/Pcfu4[[#This Row],[grams]]</f>
        <v>26870057685.088806</v>
      </c>
      <c r="U782" s="7" t="e">
        <f>_xlfn.STDEV.S(Pcfu43[[#This Row],[R1]:[R3]])/AVERAGE(Pcfu43[[#This Row],[R1]:[R3]])</f>
        <v>#VALUE!</v>
      </c>
      <c r="V782" s="96"/>
      <c r="W782" s="7"/>
    </row>
    <row r="783" spans="1:24" x14ac:dyDescent="0.15">
      <c r="A783" t="s">
        <v>677</v>
      </c>
      <c r="B783" t="s">
        <v>648</v>
      </c>
      <c r="D783" t="s">
        <v>86</v>
      </c>
      <c r="E783" s="3">
        <v>2</v>
      </c>
      <c r="G783">
        <v>0.3</v>
      </c>
      <c r="H783" s="5">
        <v>5.7</v>
      </c>
      <c r="I783" s="3" t="s">
        <v>170</v>
      </c>
      <c r="J783" s="59">
        <v>45028</v>
      </c>
      <c r="L783" s="59" t="e" cm="1">
        <f t="array" ref="L783">INDEX($J$4:J1873, MATCH(1,(A783=$A$4:A1871)*(C783=$C$4:C1871)*("Y"=$K$4:K1873),0))</f>
        <v>#N/A</v>
      </c>
      <c r="M783" s="1">
        <v>1000000</v>
      </c>
      <c r="N783">
        <v>138</v>
      </c>
      <c r="O783">
        <v>144</v>
      </c>
      <c r="P783"/>
      <c r="Q783" s="6">
        <f>(SUM(Pcfu4[[#This Row],[R1]:[R3]]))/(Pcfu4[[#This Row],[No. Reps]]*0.025)*Pcfu4[[#This Row],[Best DF]]</f>
        <v>5640000000</v>
      </c>
      <c r="R783" s="1">
        <f>_xlfn.STDEV.S(Pcfu4[[#This Row],[R1]:[R3]])/0.025*Pcfu4[[#This Row],[Best DF]]</f>
        <v>169705627.48477137</v>
      </c>
      <c r="S783" s="6">
        <f>Pcfu4[[#This Row],[CFU/mL]]*Pcfu4[[#This Row],[mL]]/Pcfu4[[#This Row],[grams]]</f>
        <v>107160000000</v>
      </c>
      <c r="T783" s="1">
        <f>Pcfu4[[#This Row],[SD CFU/mL]]*Pcfu4[[#This Row],[mL]]/Pcfu4[[#This Row],[grams]]</f>
        <v>3224406922.2106562</v>
      </c>
      <c r="U783" s="7" t="e">
        <f>_xlfn.STDEV.S(Pcfu43[[#This Row],[R1]:[R3]])/AVERAGE(Pcfu43[[#This Row],[R1]:[R3]])</f>
        <v>#VALUE!</v>
      </c>
      <c r="V783" s="96"/>
      <c r="W783" s="7"/>
    </row>
    <row r="784" spans="1:24" x14ac:dyDescent="0.15">
      <c r="A784" t="s">
        <v>650</v>
      </c>
      <c r="B784" t="s">
        <v>328</v>
      </c>
      <c r="D784" t="s">
        <v>26</v>
      </c>
      <c r="E784" s="3">
        <v>2</v>
      </c>
      <c r="G784">
        <v>0.3</v>
      </c>
      <c r="H784" s="5">
        <v>5.7</v>
      </c>
      <c r="I784" s="3" t="s">
        <v>170</v>
      </c>
      <c r="J784" s="59">
        <v>45030</v>
      </c>
      <c r="L784" s="59" t="e" cm="1">
        <f t="array" ref="L784">INDEX($J$4:J1874, MATCH(1,(A784=$A$4:A1872)*(C784=$C$4:C1872)*("Y"=$K$4:K1874),0))</f>
        <v>#N/A</v>
      </c>
      <c r="M784" s="1">
        <v>10000</v>
      </c>
      <c r="N784">
        <v>148</v>
      </c>
      <c r="O784">
        <v>154</v>
      </c>
      <c r="P784"/>
      <c r="Q784" s="6">
        <f>(SUM(Pcfu4[[#This Row],[R1]:[R3]]))/(Pcfu4[[#This Row],[No. Reps]]*0.025)*Pcfu4[[#This Row],[Best DF]]</f>
        <v>60400000</v>
      </c>
      <c r="R784" s="1">
        <f>_xlfn.STDEV.S(Pcfu4[[#This Row],[R1]:[R3]])/0.025*Pcfu4[[#This Row],[Best DF]]</f>
        <v>1697056.2748477138</v>
      </c>
      <c r="S784" s="6">
        <f>Pcfu4[[#This Row],[CFU/mL]]*Pcfu4[[#This Row],[mL]]/Pcfu4[[#This Row],[grams]]</f>
        <v>1147600000</v>
      </c>
      <c r="T784" s="1">
        <f>Pcfu4[[#This Row],[SD CFU/mL]]*Pcfu4[[#This Row],[mL]]/Pcfu4[[#This Row],[grams]]</f>
        <v>32244069.222106561</v>
      </c>
      <c r="U784" s="7" t="e">
        <f>_xlfn.STDEV.S(Pcfu43[[#This Row],[R1]:[R3]])/AVERAGE(Pcfu43[[#This Row],[R1]:[R3]])</f>
        <v>#VALUE!</v>
      </c>
      <c r="V784" s="96">
        <v>0.17799999999999999</v>
      </c>
      <c r="W784" s="7"/>
      <c r="X784" t="s">
        <v>678</v>
      </c>
    </row>
    <row r="785" spans="1:24" x14ac:dyDescent="0.15">
      <c r="A785" t="s">
        <v>657</v>
      </c>
      <c r="B785" t="s">
        <v>328</v>
      </c>
      <c r="D785" t="s">
        <v>26</v>
      </c>
      <c r="E785" s="3">
        <v>2</v>
      </c>
      <c r="G785">
        <v>0.3</v>
      </c>
      <c r="H785" s="5">
        <v>5.7</v>
      </c>
      <c r="I785" s="3" t="s">
        <v>170</v>
      </c>
      <c r="J785" s="59">
        <v>45030</v>
      </c>
      <c r="K785" s="59" t="s">
        <v>679</v>
      </c>
      <c r="L785" s="59" cm="1">
        <f t="array" ref="L785">INDEX($J$4:J1875, MATCH(1,(A785=$A$4:A1873)*(C785=$C$4:C1873)*("Y"=$K$4:K1875),0))</f>
        <v>45021</v>
      </c>
      <c r="M785" s="1">
        <v>10000</v>
      </c>
      <c r="N785">
        <v>240</v>
      </c>
      <c r="O785">
        <v>252</v>
      </c>
      <c r="P785"/>
      <c r="Q785" s="6">
        <f>(SUM(Pcfu4[[#This Row],[R1]:[R3]]))/(Pcfu4[[#This Row],[No. Reps]]*0.025)*Pcfu4[[#This Row],[Best DF]]</f>
        <v>98400000</v>
      </c>
      <c r="R785" s="1">
        <f>_xlfn.STDEV.S(Pcfu4[[#This Row],[R1]:[R3]])/0.025*Pcfu4[[#This Row],[Best DF]]</f>
        <v>3394112.5496954275</v>
      </c>
      <c r="S785" s="6">
        <f>Pcfu4[[#This Row],[CFU/mL]]*Pcfu4[[#This Row],[mL]]/Pcfu4[[#This Row],[grams]]</f>
        <v>1869600000</v>
      </c>
      <c r="T785" s="1">
        <f>Pcfu4[[#This Row],[SD CFU/mL]]*Pcfu4[[#This Row],[mL]]/Pcfu4[[#This Row],[grams]]</f>
        <v>64488138.444213122</v>
      </c>
      <c r="U785" s="7" t="e">
        <f>_xlfn.STDEV.S(Pcfu43[[#This Row],[R1]:[R3]])/AVERAGE(Pcfu43[[#This Row],[R1]:[R3]])</f>
        <v>#VALUE!</v>
      </c>
      <c r="V785" s="96">
        <v>0.17199999999999999</v>
      </c>
      <c r="W785" s="7"/>
      <c r="X785" t="s">
        <v>680</v>
      </c>
    </row>
    <row r="786" spans="1:24" x14ac:dyDescent="0.15">
      <c r="A786" t="s">
        <v>681</v>
      </c>
      <c r="B786" t="s">
        <v>328</v>
      </c>
      <c r="D786" t="s">
        <v>26</v>
      </c>
      <c r="E786" s="3">
        <v>2</v>
      </c>
      <c r="G786">
        <v>0.3</v>
      </c>
      <c r="H786" s="5">
        <v>5.7</v>
      </c>
      <c r="I786" s="3" t="s">
        <v>170</v>
      </c>
      <c r="J786" s="59">
        <v>45030</v>
      </c>
      <c r="L786" s="59" t="e" cm="1">
        <f t="array" ref="L786">INDEX($J$4:J1876, MATCH(1,(A786=$A$4:A1874)*(C786=$C$4:C1874)*("Y"=$K$4:K1876),0))</f>
        <v>#N/A</v>
      </c>
      <c r="M786" s="1">
        <v>10000</v>
      </c>
      <c r="N786">
        <v>33</v>
      </c>
      <c r="O786">
        <v>40</v>
      </c>
      <c r="P786"/>
      <c r="Q786" s="6">
        <f>(SUM(Pcfu4[[#This Row],[R1]:[R3]]))/(Pcfu4[[#This Row],[No. Reps]]*0.025)*Pcfu4[[#This Row],[Best DF]]</f>
        <v>14600000</v>
      </c>
      <c r="R786" s="1">
        <f>_xlfn.STDEV.S(Pcfu4[[#This Row],[R1]:[R3]])/0.025*Pcfu4[[#This Row],[Best DF]]</f>
        <v>1979898.9873223328</v>
      </c>
      <c r="S786" s="6">
        <f>Pcfu4[[#This Row],[CFU/mL]]*Pcfu4[[#This Row],[mL]]/Pcfu4[[#This Row],[grams]]</f>
        <v>277400000</v>
      </c>
      <c r="T786" s="1">
        <f>Pcfu4[[#This Row],[SD CFU/mL]]*Pcfu4[[#This Row],[mL]]/Pcfu4[[#This Row],[grams]]</f>
        <v>37618080.759124331</v>
      </c>
      <c r="U786" s="7" t="e">
        <f>_xlfn.STDEV.S(Pcfu43[[#This Row],[R1]:[R3]])/AVERAGE(Pcfu43[[#This Row],[R1]:[R3]])</f>
        <v>#VALUE!</v>
      </c>
      <c r="V786" s="96">
        <v>0.13500000000000001</v>
      </c>
      <c r="W786" s="7"/>
      <c r="X786" t="s">
        <v>682</v>
      </c>
    </row>
    <row r="787" spans="1:24" x14ac:dyDescent="0.15">
      <c r="A787" t="s">
        <v>683</v>
      </c>
      <c r="B787" t="s">
        <v>328</v>
      </c>
      <c r="D787" t="s">
        <v>26</v>
      </c>
      <c r="E787" s="3">
        <v>2</v>
      </c>
      <c r="G787">
        <v>0.3</v>
      </c>
      <c r="H787" s="5">
        <v>5.7</v>
      </c>
      <c r="I787" s="3" t="s">
        <v>170</v>
      </c>
      <c r="J787" s="59">
        <v>45030</v>
      </c>
      <c r="L787" s="59" t="e" cm="1">
        <f t="array" ref="L787">INDEX($J$4:J1877, MATCH(1,(A787=$A$4:A1875)*(C787=$C$4:C1875)*("Y"=$K$4:K1877),0))</f>
        <v>#N/A</v>
      </c>
      <c r="M787" s="1">
        <v>100000</v>
      </c>
      <c r="N787">
        <v>39</v>
      </c>
      <c r="O787">
        <v>32</v>
      </c>
      <c r="P787"/>
      <c r="Q787" s="6">
        <f>(SUM(Pcfu4[[#This Row],[R1]:[R3]]))/(Pcfu4[[#This Row],[No. Reps]]*0.025)*Pcfu4[[#This Row],[Best DF]]</f>
        <v>142000000</v>
      </c>
      <c r="R787" s="1">
        <f>_xlfn.STDEV.S(Pcfu4[[#This Row],[R1]:[R3]])/0.025*Pcfu4[[#This Row],[Best DF]]</f>
        <v>19798989.873223327</v>
      </c>
      <c r="S787" s="6">
        <f>Pcfu4[[#This Row],[CFU/mL]]*Pcfu4[[#This Row],[mL]]/Pcfu4[[#This Row],[grams]]</f>
        <v>2698000000</v>
      </c>
      <c r="T787" s="1">
        <f>Pcfu4[[#This Row],[SD CFU/mL]]*Pcfu4[[#This Row],[mL]]/Pcfu4[[#This Row],[grams]]</f>
        <v>376180807.59124327</v>
      </c>
      <c r="U787" s="7" t="e">
        <f>_xlfn.STDEV.S(Pcfu43[[#This Row],[R1]:[R3]])/AVERAGE(Pcfu43[[#This Row],[R1]:[R3]])</f>
        <v>#VALUE!</v>
      </c>
      <c r="V787" s="96">
        <v>0.16700000000000001</v>
      </c>
      <c r="W787" s="7"/>
      <c r="X787" t="s">
        <v>684</v>
      </c>
    </row>
    <row r="788" spans="1:24" x14ac:dyDescent="0.15">
      <c r="A788" t="s">
        <v>658</v>
      </c>
      <c r="B788" t="s">
        <v>328</v>
      </c>
      <c r="D788" t="s">
        <v>26</v>
      </c>
      <c r="E788" s="3">
        <v>2</v>
      </c>
      <c r="G788">
        <v>0.3</v>
      </c>
      <c r="H788" s="5">
        <v>5.7</v>
      </c>
      <c r="I788" s="3" t="s">
        <v>170</v>
      </c>
      <c r="J788" s="59">
        <v>45030</v>
      </c>
      <c r="L788" s="59" t="e" cm="1">
        <f t="array" ref="L788">INDEX($J$4:J1878, MATCH(1,(A788=$A$4:A1876)*(C788=$C$4:C1876)*("Y"=$K$4:K1878),0))</f>
        <v>#N/A</v>
      </c>
      <c r="M788" s="1">
        <v>100000</v>
      </c>
      <c r="N788">
        <v>42</v>
      </c>
      <c r="O788">
        <v>49</v>
      </c>
      <c r="P788"/>
      <c r="Q788" s="6">
        <f>(SUM(Pcfu4[[#This Row],[R1]:[R3]]))/(Pcfu4[[#This Row],[No. Reps]]*0.025)*Pcfu4[[#This Row],[Best DF]]</f>
        <v>182000000</v>
      </c>
      <c r="R788" s="1">
        <f>_xlfn.STDEV.S(Pcfu4[[#This Row],[R1]:[R3]])/0.025*Pcfu4[[#This Row],[Best DF]]</f>
        <v>19798989.873223327</v>
      </c>
      <c r="S788" s="6">
        <f>Pcfu4[[#This Row],[CFU/mL]]*Pcfu4[[#This Row],[mL]]/Pcfu4[[#This Row],[grams]]</f>
        <v>3458000000</v>
      </c>
      <c r="T788" s="1">
        <f>Pcfu4[[#This Row],[SD CFU/mL]]*Pcfu4[[#This Row],[mL]]/Pcfu4[[#This Row],[grams]]</f>
        <v>376180807.59124327</v>
      </c>
      <c r="U788" s="7" t="e">
        <f>_xlfn.STDEV.S(Pcfu43[[#This Row],[R1]:[R3]])/AVERAGE(Pcfu43[[#This Row],[R1]:[R3]])</f>
        <v>#VALUE!</v>
      </c>
      <c r="V788" s="96">
        <v>0.16</v>
      </c>
      <c r="W788" s="7"/>
      <c r="X788" s="61" t="s">
        <v>685</v>
      </c>
    </row>
    <row r="789" spans="1:24" x14ac:dyDescent="0.15">
      <c r="A789" t="s">
        <v>686</v>
      </c>
      <c r="B789" t="s">
        <v>328</v>
      </c>
      <c r="D789" t="s">
        <v>26</v>
      </c>
      <c r="E789" s="3">
        <v>2</v>
      </c>
      <c r="G789">
        <v>0.3</v>
      </c>
      <c r="H789" s="5">
        <v>5.7</v>
      </c>
      <c r="I789" s="3" t="s">
        <v>170</v>
      </c>
      <c r="J789" s="59">
        <v>45030</v>
      </c>
      <c r="L789" s="59" t="e" cm="1">
        <f t="array" ref="L789">INDEX($J$4:J1879, MATCH(1,(A789=$A$4:A1877)*(C789=$C$4:C1877)*("Y"=$K$4:K1879),0))</f>
        <v>#N/A</v>
      </c>
      <c r="M789" s="1">
        <v>100000</v>
      </c>
      <c r="N789">
        <v>54</v>
      </c>
      <c r="O789">
        <v>57</v>
      </c>
      <c r="P789"/>
      <c r="Q789" s="6">
        <f>(SUM(Pcfu4[[#This Row],[R1]:[R3]]))/(Pcfu4[[#This Row],[No. Reps]]*0.025)*Pcfu4[[#This Row],[Best DF]]</f>
        <v>222000000</v>
      </c>
      <c r="R789" s="1">
        <f>_xlfn.STDEV.S(Pcfu4[[#This Row],[R1]:[R3]])/0.025*Pcfu4[[#This Row],[Best DF]]</f>
        <v>8485281.3742385693</v>
      </c>
      <c r="S789" s="6">
        <f>Pcfu4[[#This Row],[CFU/mL]]*Pcfu4[[#This Row],[mL]]/Pcfu4[[#This Row],[grams]]</f>
        <v>4218000000</v>
      </c>
      <c r="T789" s="1">
        <f>Pcfu4[[#This Row],[SD CFU/mL]]*Pcfu4[[#This Row],[mL]]/Pcfu4[[#This Row],[grams]]</f>
        <v>161220346.11053285</v>
      </c>
      <c r="U789" s="7" t="e">
        <f>_xlfn.STDEV.S(Pcfu43[[#This Row],[R1]:[R3]])/AVERAGE(Pcfu43[[#This Row],[R1]:[R3]])</f>
        <v>#VALUE!</v>
      </c>
      <c r="V789" s="96">
        <v>0.14299999999999999</v>
      </c>
      <c r="W789" s="7"/>
      <c r="X789" t="s">
        <v>687</v>
      </c>
    </row>
    <row r="790" spans="1:24" x14ac:dyDescent="0.15">
      <c r="A790" t="s">
        <v>647</v>
      </c>
      <c r="B790" t="s">
        <v>328</v>
      </c>
      <c r="D790" t="s">
        <v>26</v>
      </c>
      <c r="E790" s="3">
        <v>2</v>
      </c>
      <c r="G790">
        <v>0.3</v>
      </c>
      <c r="H790" s="5">
        <v>5.7</v>
      </c>
      <c r="I790" s="3" t="s">
        <v>170</v>
      </c>
      <c r="J790" s="59">
        <v>45030</v>
      </c>
      <c r="L790" s="59" t="e" cm="1">
        <f t="array" ref="L790">INDEX($J$4:J1880, MATCH(1,(A790=$A$4:A1878)*(C790=$C$4:C1878)*("Y"=$K$4:K1880),0))</f>
        <v>#N/A</v>
      </c>
      <c r="M790" s="1">
        <v>10000</v>
      </c>
      <c r="N790">
        <v>31</v>
      </c>
      <c r="O790">
        <v>39</v>
      </c>
      <c r="P790"/>
      <c r="Q790" s="6">
        <f>(SUM(Pcfu4[[#This Row],[R1]:[R3]]))/(Pcfu4[[#This Row],[No. Reps]]*0.025)*Pcfu4[[#This Row],[Best DF]]</f>
        <v>14000000</v>
      </c>
      <c r="R790" s="1">
        <f>_xlfn.STDEV.S(Pcfu4[[#This Row],[R1]:[R3]])/0.025*Pcfu4[[#This Row],[Best DF]]</f>
        <v>2262741.6997969523</v>
      </c>
      <c r="S790" s="6">
        <f>Pcfu4[[#This Row],[CFU/mL]]*Pcfu4[[#This Row],[mL]]/Pcfu4[[#This Row],[grams]]</f>
        <v>266000000</v>
      </c>
      <c r="T790" s="1">
        <f>Pcfu4[[#This Row],[SD CFU/mL]]*Pcfu4[[#This Row],[mL]]/Pcfu4[[#This Row],[grams]]</f>
        <v>42992092.296142094</v>
      </c>
      <c r="U790" s="7" t="e">
        <f>_xlfn.STDEV.S(Pcfu43[[#This Row],[R1]:[R3]])/AVERAGE(Pcfu43[[#This Row],[R1]:[R3]])</f>
        <v>#VALUE!</v>
      </c>
      <c r="V790" s="96">
        <v>0.16800000000000001</v>
      </c>
      <c r="W790" s="7"/>
      <c r="X790" t="s">
        <v>456</v>
      </c>
    </row>
    <row r="791" spans="1:24" x14ac:dyDescent="0.15">
      <c r="A791" t="s">
        <v>659</v>
      </c>
      <c r="B791" t="s">
        <v>328</v>
      </c>
      <c r="D791" t="s">
        <v>26</v>
      </c>
      <c r="E791" s="3">
        <v>2</v>
      </c>
      <c r="G791">
        <v>0.3</v>
      </c>
      <c r="H791" s="5">
        <v>5.7</v>
      </c>
      <c r="I791" s="3" t="s">
        <v>170</v>
      </c>
      <c r="J791" s="59">
        <v>45030</v>
      </c>
      <c r="L791" s="59" t="e" cm="1">
        <f t="array" ref="L791">INDEX($J$4:J1881, MATCH(1,(A791=$A$4:A1879)*(C791=$C$4:C1879)*("Y"=$K$4:K1881),0))</f>
        <v>#N/A</v>
      </c>
      <c r="M791" s="1">
        <v>10000</v>
      </c>
      <c r="N791">
        <v>37</v>
      </c>
      <c r="O791">
        <v>41</v>
      </c>
      <c r="P791"/>
      <c r="Q791" s="6">
        <f>(SUM(Pcfu4[[#This Row],[R1]:[R3]]))/(Pcfu4[[#This Row],[No. Reps]]*0.025)*Pcfu4[[#This Row],[Best DF]]</f>
        <v>15600000</v>
      </c>
      <c r="R791" s="1">
        <f>_xlfn.STDEV.S(Pcfu4[[#This Row],[R1]:[R3]])/0.025*Pcfu4[[#This Row],[Best DF]]</f>
        <v>1131370.8498984762</v>
      </c>
      <c r="S791" s="6">
        <f>Pcfu4[[#This Row],[CFU/mL]]*Pcfu4[[#This Row],[mL]]/Pcfu4[[#This Row],[grams]]</f>
        <v>296400000</v>
      </c>
      <c r="T791" s="1">
        <f>Pcfu4[[#This Row],[SD CFU/mL]]*Pcfu4[[#This Row],[mL]]/Pcfu4[[#This Row],[grams]]</f>
        <v>21496046.148071047</v>
      </c>
      <c r="U791" s="7" t="e">
        <f>_xlfn.STDEV.S(Pcfu43[[#This Row],[R1]:[R3]])/AVERAGE(Pcfu43[[#This Row],[R1]:[R3]])</f>
        <v>#VALUE!</v>
      </c>
      <c r="V791" s="96">
        <v>0.14099999999999999</v>
      </c>
      <c r="W791" s="7"/>
      <c r="X791" t="s">
        <v>688</v>
      </c>
    </row>
    <row r="792" spans="1:24" x14ac:dyDescent="0.15">
      <c r="A792" t="s">
        <v>689</v>
      </c>
      <c r="B792" t="s">
        <v>328</v>
      </c>
      <c r="D792" t="s">
        <v>26</v>
      </c>
      <c r="E792" s="3">
        <v>2</v>
      </c>
      <c r="G792">
        <v>0.3</v>
      </c>
      <c r="H792" s="5">
        <v>5.7</v>
      </c>
      <c r="I792" s="3" t="s">
        <v>170</v>
      </c>
      <c r="J792" s="59">
        <v>45030</v>
      </c>
      <c r="L792" s="59" t="e" cm="1">
        <f t="array" ref="L792">INDEX($J$4:J1882, MATCH(1,(A792=$A$4:A1880)*(C792=$C$4:C1880)*("Y"=$K$4:K1882),0))</f>
        <v>#N/A</v>
      </c>
      <c r="M792" s="1">
        <v>10000</v>
      </c>
      <c r="N792">
        <v>43</v>
      </c>
      <c r="O792">
        <v>56</v>
      </c>
      <c r="P792"/>
      <c r="Q792" s="6">
        <f>(SUM(Pcfu4[[#This Row],[R1]:[R3]]))/(Pcfu4[[#This Row],[No. Reps]]*0.025)*Pcfu4[[#This Row],[Best DF]]</f>
        <v>19800000</v>
      </c>
      <c r="R792" s="1">
        <f>_xlfn.STDEV.S(Pcfu4[[#This Row],[R1]:[R3]])/0.025*Pcfu4[[#This Row],[Best DF]]</f>
        <v>3676955.2621700466</v>
      </c>
      <c r="S792" s="6">
        <f>Pcfu4[[#This Row],[CFU/mL]]*Pcfu4[[#This Row],[mL]]/Pcfu4[[#This Row],[grams]]</f>
        <v>376200000</v>
      </c>
      <c r="T792" s="1">
        <f>Pcfu4[[#This Row],[SD CFU/mL]]*Pcfu4[[#This Row],[mL]]/Pcfu4[[#This Row],[grams]]</f>
        <v>69862149.981230885</v>
      </c>
      <c r="U792" s="7" t="e">
        <f>_xlfn.STDEV.S(Pcfu43[[#This Row],[R1]:[R3]])/AVERAGE(Pcfu43[[#This Row],[R1]:[R3]])</f>
        <v>#VALUE!</v>
      </c>
      <c r="V792" s="96">
        <v>0.121</v>
      </c>
      <c r="W792" s="7"/>
      <c r="X792" t="s">
        <v>690</v>
      </c>
    </row>
    <row r="793" spans="1:24" x14ac:dyDescent="0.15">
      <c r="A793" t="s">
        <v>691</v>
      </c>
      <c r="B793" t="s">
        <v>648</v>
      </c>
      <c r="D793" t="s">
        <v>194</v>
      </c>
      <c r="E793" s="3">
        <v>2</v>
      </c>
      <c r="G793">
        <v>0.3</v>
      </c>
      <c r="H793" s="5">
        <v>5.7</v>
      </c>
      <c r="I793" s="3" t="s">
        <v>170</v>
      </c>
      <c r="J793" s="59">
        <v>45030</v>
      </c>
      <c r="L793" s="59" t="e" cm="1">
        <f t="array" ref="L793">INDEX($J$4:J1883, MATCH(1,(A793=$A$4:A1881)*(C793=$C$4:C1881)*("Y"=$K$4:K1883),0))</f>
        <v>#N/A</v>
      </c>
      <c r="M793" s="1">
        <v>10000000</v>
      </c>
      <c r="N793">
        <v>66</v>
      </c>
      <c r="O793">
        <v>71</v>
      </c>
      <c r="P793"/>
      <c r="Q793" s="6">
        <f>(SUM(Pcfu4[[#This Row],[R1]:[R3]]))/(Pcfu4[[#This Row],[No. Reps]]*0.025)*Pcfu4[[#This Row],[Best DF]]</f>
        <v>27400000000</v>
      </c>
      <c r="R793" s="1">
        <f>_xlfn.STDEV.S(Pcfu4[[#This Row],[R1]:[R3]])/0.025*Pcfu4[[#This Row],[Best DF]]</f>
        <v>1414213562.373095</v>
      </c>
      <c r="S793" s="6">
        <f>Pcfu4[[#This Row],[CFU/mL]]*Pcfu4[[#This Row],[mL]]/Pcfu4[[#This Row],[grams]]</f>
        <v>520600000000</v>
      </c>
      <c r="T793" s="1">
        <f>Pcfu4[[#This Row],[SD CFU/mL]]*Pcfu4[[#This Row],[mL]]/Pcfu4[[#This Row],[grams]]</f>
        <v>26870057685.088806</v>
      </c>
      <c r="U793" s="7" t="e">
        <f>_xlfn.STDEV.S(Pcfu43[[#This Row],[R1]:[R3]])/AVERAGE(Pcfu43[[#This Row],[R1]:[R3]])</f>
        <v>#VALUE!</v>
      </c>
      <c r="V793" s="96"/>
      <c r="W793" s="7"/>
    </row>
    <row r="794" spans="1:24" x14ac:dyDescent="0.15">
      <c r="A794" t="s">
        <v>692</v>
      </c>
      <c r="B794" t="s">
        <v>648</v>
      </c>
      <c r="D794" t="s">
        <v>194</v>
      </c>
      <c r="E794" s="3">
        <v>2</v>
      </c>
      <c r="G794">
        <v>0.3</v>
      </c>
      <c r="H794" s="5">
        <v>5.7</v>
      </c>
      <c r="I794" s="3" t="s">
        <v>170</v>
      </c>
      <c r="J794" s="59">
        <v>45030</v>
      </c>
      <c r="L794" s="59" t="e" cm="1">
        <f t="array" ref="L794">INDEX($J$4:J1884, MATCH(1,(A794=$A$4:A1882)*(C794=$C$4:C1882)*("Y"=$K$4:K1884),0))</f>
        <v>#N/A</v>
      </c>
      <c r="M794" s="1">
        <v>1000000</v>
      </c>
      <c r="N794">
        <v>84</v>
      </c>
      <c r="O794">
        <v>96</v>
      </c>
      <c r="P794"/>
      <c r="Q794" s="6">
        <f>(SUM(Pcfu4[[#This Row],[R1]:[R3]]))/(Pcfu4[[#This Row],[No. Reps]]*0.025)*Pcfu4[[#This Row],[Best DF]]</f>
        <v>3600000000</v>
      </c>
      <c r="R794" s="1">
        <f>_xlfn.STDEV.S(Pcfu4[[#This Row],[R1]:[R3]])/0.025*Pcfu4[[#This Row],[Best DF]]</f>
        <v>339411254.96954274</v>
      </c>
      <c r="S794" s="6">
        <f>Pcfu4[[#This Row],[CFU/mL]]*Pcfu4[[#This Row],[mL]]/Pcfu4[[#This Row],[grams]]</f>
        <v>68400000000</v>
      </c>
      <c r="T794" s="1">
        <f>Pcfu4[[#This Row],[SD CFU/mL]]*Pcfu4[[#This Row],[mL]]/Pcfu4[[#This Row],[grams]]</f>
        <v>6448813844.4213123</v>
      </c>
      <c r="U794" s="7" t="e">
        <f>_xlfn.STDEV.S(Pcfu43[[#This Row],[R1]:[R3]])/AVERAGE(Pcfu43[[#This Row],[R1]:[R3]])</f>
        <v>#VALUE!</v>
      </c>
      <c r="V794" s="96"/>
      <c r="W794" s="7"/>
    </row>
    <row r="795" spans="1:24" x14ac:dyDescent="0.15">
      <c r="A795" t="s">
        <v>693</v>
      </c>
      <c r="B795" t="s">
        <v>648</v>
      </c>
      <c r="D795" t="s">
        <v>86</v>
      </c>
      <c r="E795" s="3">
        <v>2</v>
      </c>
      <c r="G795">
        <v>0.3</v>
      </c>
      <c r="H795" s="5">
        <v>5.7</v>
      </c>
      <c r="I795" s="3" t="s">
        <v>170</v>
      </c>
      <c r="J795" s="59">
        <v>45030</v>
      </c>
      <c r="L795" s="59" t="e" cm="1">
        <f t="array" ref="L795">INDEX($J$4:J1885, MATCH(1,(A795=$A$4:A1883)*(C795=$C$4:C1883)*("Y"=$K$4:K1885),0))</f>
        <v>#N/A</v>
      </c>
      <c r="M795" s="1">
        <v>10000000</v>
      </c>
      <c r="N795">
        <v>52</v>
      </c>
      <c r="O795">
        <v>55</v>
      </c>
      <c r="P795"/>
      <c r="Q795" s="6">
        <f>(SUM(Pcfu4[[#This Row],[R1]:[R3]]))/(Pcfu4[[#This Row],[No. Reps]]*0.025)*Pcfu4[[#This Row],[Best DF]]</f>
        <v>21400000000</v>
      </c>
      <c r="R795" s="1">
        <f>_xlfn.STDEV.S(Pcfu4[[#This Row],[R1]:[R3]])/0.025*Pcfu4[[#This Row],[Best DF]]</f>
        <v>848528137.42385697</v>
      </c>
      <c r="S795" s="6">
        <f>Pcfu4[[#This Row],[CFU/mL]]*Pcfu4[[#This Row],[mL]]/Pcfu4[[#This Row],[grams]]</f>
        <v>406600000000</v>
      </c>
      <c r="T795" s="1">
        <f>Pcfu4[[#This Row],[SD CFU/mL]]*Pcfu4[[#This Row],[mL]]/Pcfu4[[#This Row],[grams]]</f>
        <v>16122034611.053284</v>
      </c>
      <c r="U795" s="7" t="e">
        <f>_xlfn.STDEV.S(Pcfu43[[#This Row],[R1]:[R3]])/AVERAGE(Pcfu43[[#This Row],[R1]:[R3]])</f>
        <v>#VALUE!</v>
      </c>
      <c r="V795" s="96"/>
      <c r="W795" s="7"/>
    </row>
    <row r="796" spans="1:24" x14ac:dyDescent="0.15">
      <c r="A796" t="s">
        <v>694</v>
      </c>
      <c r="B796" t="s">
        <v>648</v>
      </c>
      <c r="D796" t="s">
        <v>86</v>
      </c>
      <c r="E796" s="3">
        <v>2</v>
      </c>
      <c r="G796">
        <v>0.3</v>
      </c>
      <c r="H796" s="5">
        <v>5.7</v>
      </c>
      <c r="I796" s="3" t="s">
        <v>170</v>
      </c>
      <c r="J796" s="59">
        <v>45030</v>
      </c>
      <c r="L796" s="59" t="e" cm="1">
        <f t="array" ref="L796">INDEX($J$4:J1886, MATCH(1,(A796=$A$4:A1884)*(C796=$C$4:C1884)*("Y"=$K$4:K1886),0))</f>
        <v>#N/A</v>
      </c>
      <c r="M796" s="1">
        <v>10000000</v>
      </c>
      <c r="N796">
        <v>34</v>
      </c>
      <c r="O796">
        <v>31</v>
      </c>
      <c r="P796"/>
      <c r="Q796" s="6">
        <f>(SUM(Pcfu4[[#This Row],[R1]:[R3]]))/(Pcfu4[[#This Row],[No. Reps]]*0.025)*Pcfu4[[#This Row],[Best DF]]</f>
        <v>13000000000</v>
      </c>
      <c r="R796" s="1">
        <f>_xlfn.STDEV.S(Pcfu4[[#This Row],[R1]:[R3]])/0.025*Pcfu4[[#This Row],[Best DF]]</f>
        <v>848528137.42385697</v>
      </c>
      <c r="S796" s="6">
        <f>Pcfu4[[#This Row],[CFU/mL]]*Pcfu4[[#This Row],[mL]]/Pcfu4[[#This Row],[grams]]</f>
        <v>247000000000</v>
      </c>
      <c r="T796" s="1">
        <f>Pcfu4[[#This Row],[SD CFU/mL]]*Pcfu4[[#This Row],[mL]]/Pcfu4[[#This Row],[grams]]</f>
        <v>16122034611.053284</v>
      </c>
      <c r="U796" s="7" t="e">
        <f>_xlfn.STDEV.S(Pcfu43[[#This Row],[R1]:[R3]])/AVERAGE(Pcfu43[[#This Row],[R1]:[R3]])</f>
        <v>#VALUE!</v>
      </c>
      <c r="V796" s="96"/>
      <c r="W796" s="7"/>
    </row>
    <row r="797" spans="1:24" x14ac:dyDescent="0.15">
      <c r="A797" t="s">
        <v>695</v>
      </c>
      <c r="B797" t="s">
        <v>648</v>
      </c>
      <c r="D797" t="s">
        <v>86</v>
      </c>
      <c r="E797" s="3">
        <v>2</v>
      </c>
      <c r="G797">
        <v>0.3</v>
      </c>
      <c r="H797" s="5">
        <v>5.7</v>
      </c>
      <c r="I797" s="3" t="s">
        <v>170</v>
      </c>
      <c r="J797" s="59">
        <v>45030</v>
      </c>
      <c r="L797" s="59" t="e" cm="1">
        <f t="array" ref="L797">INDEX($J$4:J1887, MATCH(1,(A797=$A$4:A1885)*(C797=$C$4:C1885)*("Y"=$K$4:K1887),0))</f>
        <v>#N/A</v>
      </c>
      <c r="M797" s="1">
        <v>1000000</v>
      </c>
      <c r="N797">
        <v>259</v>
      </c>
      <c r="O797">
        <v>273</v>
      </c>
      <c r="P797"/>
      <c r="Q797" s="6">
        <f>(SUM(Pcfu4[[#This Row],[R1]:[R3]]))/(Pcfu4[[#This Row],[No. Reps]]*0.025)*Pcfu4[[#This Row],[Best DF]]</f>
        <v>10640000000</v>
      </c>
      <c r="R797" s="1">
        <f>_xlfn.STDEV.S(Pcfu4[[#This Row],[R1]:[R3]])/0.025*Pcfu4[[#This Row],[Best DF]]</f>
        <v>395979797.46446657</v>
      </c>
      <c r="S797" s="6">
        <f>Pcfu4[[#This Row],[CFU/mL]]*Pcfu4[[#This Row],[mL]]/Pcfu4[[#This Row],[grams]]</f>
        <v>202160000000</v>
      </c>
      <c r="T797" s="1">
        <f>Pcfu4[[#This Row],[SD CFU/mL]]*Pcfu4[[#This Row],[mL]]/Pcfu4[[#This Row],[grams]]</f>
        <v>7523616151.8248653</v>
      </c>
      <c r="U797" s="7" t="e">
        <f>_xlfn.STDEV.S(Pcfu43[[#This Row],[R1]:[R3]])/AVERAGE(Pcfu43[[#This Row],[R1]:[R3]])</f>
        <v>#VALUE!</v>
      </c>
      <c r="V797" s="96"/>
      <c r="W797" s="7"/>
    </row>
    <row r="798" spans="1:24" x14ac:dyDescent="0.15">
      <c r="A798" t="s">
        <v>696</v>
      </c>
      <c r="B798" t="s">
        <v>648</v>
      </c>
      <c r="D798" t="s">
        <v>86</v>
      </c>
      <c r="E798" s="3">
        <v>2</v>
      </c>
      <c r="G798">
        <v>0.3</v>
      </c>
      <c r="H798" s="5">
        <v>5.7</v>
      </c>
      <c r="I798" s="3" t="s">
        <v>170</v>
      </c>
      <c r="J798" s="59">
        <v>45030</v>
      </c>
      <c r="L798" s="59" t="e" cm="1">
        <f t="array" ref="L798">INDEX($J$4:J1888, MATCH(1,(A798=$A$4:A1886)*(C798=$C$4:C1886)*("Y"=$K$4:K1888),0))</f>
        <v>#N/A</v>
      </c>
      <c r="M798" s="1">
        <v>1000000</v>
      </c>
      <c r="N798">
        <v>197</v>
      </c>
      <c r="O798">
        <v>207</v>
      </c>
      <c r="P798"/>
      <c r="Q798" s="6">
        <f>(SUM(Pcfu4[[#This Row],[R1]:[R3]]))/(Pcfu4[[#This Row],[No. Reps]]*0.025)*Pcfu4[[#This Row],[Best DF]]</f>
        <v>8080000000</v>
      </c>
      <c r="R798" s="1">
        <f>_xlfn.STDEV.S(Pcfu4[[#This Row],[R1]:[R3]])/0.025*Pcfu4[[#This Row],[Best DF]]</f>
        <v>282842712.47461903</v>
      </c>
      <c r="S798" s="6">
        <f>Pcfu4[[#This Row],[CFU/mL]]*Pcfu4[[#This Row],[mL]]/Pcfu4[[#This Row],[grams]]</f>
        <v>153520000000</v>
      </c>
      <c r="T798" s="1">
        <f>Pcfu4[[#This Row],[SD CFU/mL]]*Pcfu4[[#This Row],[mL]]/Pcfu4[[#This Row],[grams]]</f>
        <v>5374011537.0177622</v>
      </c>
      <c r="U798" s="7" t="e">
        <f>_xlfn.STDEV.S(Pcfu43[[#This Row],[R1]:[R3]])/AVERAGE(Pcfu43[[#This Row],[R1]:[R3]])</f>
        <v>#VALUE!</v>
      </c>
      <c r="V798" s="96"/>
      <c r="W798" s="7"/>
    </row>
    <row r="799" spans="1:24" x14ac:dyDescent="0.15">
      <c r="A799" t="s">
        <v>697</v>
      </c>
      <c r="B799" t="s">
        <v>648</v>
      </c>
      <c r="D799" t="s">
        <v>86</v>
      </c>
      <c r="E799" s="3">
        <v>2</v>
      </c>
      <c r="G799">
        <v>0.3</v>
      </c>
      <c r="H799" s="5">
        <v>5.7</v>
      </c>
      <c r="I799" s="3" t="s">
        <v>170</v>
      </c>
      <c r="J799" s="59">
        <v>45034</v>
      </c>
      <c r="L799" s="59" t="e" cm="1">
        <f t="array" ref="L799">INDEX($J$4:J1889, MATCH(1,(A799=$A$4:A1887)*(C799=$C$4:C1887)*("Y"=$K$4:K1889),0))</f>
        <v>#N/A</v>
      </c>
      <c r="M799" s="1">
        <v>10000000</v>
      </c>
      <c r="N799">
        <v>58</v>
      </c>
      <c r="O799">
        <v>65</v>
      </c>
      <c r="P799"/>
      <c r="Q799" s="6">
        <f>(SUM(Pcfu4[[#This Row],[R1]:[R3]]))/(Pcfu4[[#This Row],[No. Reps]]*0.025)*Pcfu4[[#This Row],[Best DF]]</f>
        <v>24600000000</v>
      </c>
      <c r="R799" s="1">
        <f>_xlfn.STDEV.S(Pcfu4[[#This Row],[R1]:[R3]])/0.025*Pcfu4[[#This Row],[Best DF]]</f>
        <v>1979898987.3223329</v>
      </c>
      <c r="S799" s="6">
        <f>Pcfu4[[#This Row],[CFU/mL]]*Pcfu4[[#This Row],[mL]]/Pcfu4[[#This Row],[grams]]</f>
        <v>467400000000</v>
      </c>
      <c r="T799" s="1">
        <f>Pcfu4[[#This Row],[SD CFU/mL]]*Pcfu4[[#This Row],[mL]]/Pcfu4[[#This Row],[grams]]</f>
        <v>37618080759.124329</v>
      </c>
      <c r="U799" s="7" t="e">
        <f>_xlfn.STDEV.S(Pcfu43[[#This Row],[R1]:[R3]])/AVERAGE(Pcfu43[[#This Row],[R1]:[R3]])</f>
        <v>#VALUE!</v>
      </c>
      <c r="V799" s="96"/>
      <c r="W799" s="7"/>
    </row>
    <row r="800" spans="1:24" x14ac:dyDescent="0.15">
      <c r="A800" t="s">
        <v>698</v>
      </c>
      <c r="B800" t="s">
        <v>648</v>
      </c>
      <c r="D800" t="s">
        <v>86</v>
      </c>
      <c r="E800" s="3">
        <v>2</v>
      </c>
      <c r="G800">
        <v>0.3</v>
      </c>
      <c r="H800" s="5">
        <v>5.7</v>
      </c>
      <c r="I800" s="3" t="s">
        <v>170</v>
      </c>
      <c r="J800" s="59">
        <v>45034</v>
      </c>
      <c r="L800" s="59" t="e" cm="1">
        <f t="array" ref="L800">INDEX($J$4:J1890, MATCH(1,(A800=$A$4:A1888)*(C800=$C$4:C1888)*("Y"=$K$4:K1890),0))</f>
        <v>#N/A</v>
      </c>
      <c r="M800" s="1">
        <v>10000000</v>
      </c>
      <c r="N800">
        <v>76</v>
      </c>
      <c r="O800">
        <v>73</v>
      </c>
      <c r="P800"/>
      <c r="Q800" s="6">
        <f>(SUM(Pcfu4[[#This Row],[R1]:[R3]]))/(Pcfu4[[#This Row],[No. Reps]]*0.025)*Pcfu4[[#This Row],[Best DF]]</f>
        <v>29800000000</v>
      </c>
      <c r="R800" s="1">
        <f>_xlfn.STDEV.S(Pcfu4[[#This Row],[R1]:[R3]])/0.025*Pcfu4[[#This Row],[Best DF]]</f>
        <v>848528137.42385697</v>
      </c>
      <c r="S800" s="6">
        <f>Pcfu4[[#This Row],[CFU/mL]]*Pcfu4[[#This Row],[mL]]/Pcfu4[[#This Row],[grams]]</f>
        <v>566200000000</v>
      </c>
      <c r="T800" s="1">
        <f>Pcfu4[[#This Row],[SD CFU/mL]]*Pcfu4[[#This Row],[mL]]/Pcfu4[[#This Row],[grams]]</f>
        <v>16122034611.053284</v>
      </c>
      <c r="U800" s="7" t="e">
        <f>_xlfn.STDEV.S(Pcfu43[[#This Row],[R1]:[R3]])/AVERAGE(Pcfu43[[#This Row],[R1]:[R3]])</f>
        <v>#VALUE!</v>
      </c>
      <c r="V800" s="96"/>
      <c r="W800" s="7"/>
    </row>
    <row r="801" spans="1:23" x14ac:dyDescent="0.15">
      <c r="A801" t="s">
        <v>699</v>
      </c>
      <c r="B801" t="s">
        <v>648</v>
      </c>
      <c r="D801" t="s">
        <v>86</v>
      </c>
      <c r="E801" s="3">
        <v>2</v>
      </c>
      <c r="G801">
        <v>0.3</v>
      </c>
      <c r="H801" s="5">
        <v>5.7</v>
      </c>
      <c r="I801" s="3" t="s">
        <v>170</v>
      </c>
      <c r="J801" s="59">
        <v>45034</v>
      </c>
      <c r="L801" s="59" t="e" cm="1">
        <f t="array" ref="L801">INDEX($J$4:J1891, MATCH(1,(A801=$A$4:A1889)*(C801=$C$4:C1889)*("Y"=$K$4:K1891),0))</f>
        <v>#N/A</v>
      </c>
      <c r="M801" s="1">
        <v>10000000</v>
      </c>
      <c r="N801">
        <v>64</v>
      </c>
      <c r="O801">
        <v>60</v>
      </c>
      <c r="P801"/>
      <c r="Q801" s="6">
        <f>(SUM(Pcfu4[[#This Row],[R1]:[R3]]))/(Pcfu4[[#This Row],[No. Reps]]*0.025)*Pcfu4[[#This Row],[Best DF]]</f>
        <v>24800000000</v>
      </c>
      <c r="R801" s="1">
        <f>_xlfn.STDEV.S(Pcfu4[[#This Row],[R1]:[R3]])/0.025*Pcfu4[[#This Row],[Best DF]]</f>
        <v>1131370849.8984761</v>
      </c>
      <c r="S801" s="6">
        <f>Pcfu4[[#This Row],[CFU/mL]]*Pcfu4[[#This Row],[mL]]/Pcfu4[[#This Row],[grams]]</f>
        <v>471200000000</v>
      </c>
      <c r="T801" s="1">
        <f>Pcfu4[[#This Row],[SD CFU/mL]]*Pcfu4[[#This Row],[mL]]/Pcfu4[[#This Row],[grams]]</f>
        <v>21496046148.071049</v>
      </c>
      <c r="U801" s="7" t="e">
        <f>_xlfn.STDEV.S(Pcfu43[[#This Row],[R1]:[R3]])/AVERAGE(Pcfu43[[#This Row],[R1]:[R3]])</f>
        <v>#VALUE!</v>
      </c>
      <c r="V801" s="96"/>
      <c r="W801" s="7"/>
    </row>
    <row r="802" spans="1:23" x14ac:dyDescent="0.15">
      <c r="A802" t="s">
        <v>700</v>
      </c>
      <c r="B802" t="s">
        <v>648</v>
      </c>
      <c r="D802" t="s">
        <v>86</v>
      </c>
      <c r="E802" s="3">
        <v>2</v>
      </c>
      <c r="G802">
        <v>0.3</v>
      </c>
      <c r="H802" s="5">
        <v>5.7</v>
      </c>
      <c r="I802" s="3" t="s">
        <v>170</v>
      </c>
      <c r="J802" s="59">
        <v>45034</v>
      </c>
      <c r="L802" s="59" t="e" cm="1">
        <f t="array" ref="L802">INDEX($J$4:J1892, MATCH(1,(A802=$A$4:A1890)*(C802=$C$4:C1890)*("Y"=$K$4:K1892),0))</f>
        <v>#N/A</v>
      </c>
      <c r="M802" s="1">
        <v>10000000</v>
      </c>
      <c r="N802">
        <v>70</v>
      </c>
      <c r="O802">
        <v>71</v>
      </c>
      <c r="P802"/>
      <c r="Q802" s="6">
        <f>(SUM(Pcfu4[[#This Row],[R1]:[R3]]))/(Pcfu4[[#This Row],[No. Reps]]*0.025)*Pcfu4[[#This Row],[Best DF]]</f>
        <v>28200000000</v>
      </c>
      <c r="R802" s="1">
        <f>_xlfn.STDEV.S(Pcfu4[[#This Row],[R1]:[R3]])/0.025*Pcfu4[[#This Row],[Best DF]]</f>
        <v>282842712.47461903</v>
      </c>
      <c r="S802" s="6">
        <f>Pcfu4[[#This Row],[CFU/mL]]*Pcfu4[[#This Row],[mL]]/Pcfu4[[#This Row],[grams]]</f>
        <v>535800000000</v>
      </c>
      <c r="T802" s="1">
        <f>Pcfu4[[#This Row],[SD CFU/mL]]*Pcfu4[[#This Row],[mL]]/Pcfu4[[#This Row],[grams]]</f>
        <v>5374011537.0177622</v>
      </c>
      <c r="U802" s="7" t="e">
        <f>_xlfn.STDEV.S(Pcfu43[[#This Row],[R1]:[R3]])/AVERAGE(Pcfu43[[#This Row],[R1]:[R3]])</f>
        <v>#VALUE!</v>
      </c>
      <c r="V802" s="96"/>
      <c r="W802" s="7"/>
    </row>
    <row r="803" spans="1:23" x14ac:dyDescent="0.15">
      <c r="A803" t="s">
        <v>701</v>
      </c>
      <c r="B803" t="s">
        <v>648</v>
      </c>
      <c r="D803" t="s">
        <v>86</v>
      </c>
      <c r="E803" s="3">
        <v>2</v>
      </c>
      <c r="G803">
        <v>0.3</v>
      </c>
      <c r="H803" s="5">
        <v>5.7</v>
      </c>
      <c r="I803" s="3" t="s">
        <v>170</v>
      </c>
      <c r="J803" s="59">
        <v>45034</v>
      </c>
      <c r="L803" s="59" t="e" cm="1">
        <f t="array" ref="L803">INDEX($J$4:J1893, MATCH(1,(A803=$A$4:A1891)*(C803=$C$4:C1891)*("Y"=$K$4:K1893),0))</f>
        <v>#N/A</v>
      </c>
      <c r="M803" s="1">
        <v>10000000</v>
      </c>
      <c r="N803">
        <v>44</v>
      </c>
      <c r="O803">
        <v>45</v>
      </c>
      <c r="P803"/>
      <c r="Q803" s="6">
        <f>(SUM(Pcfu4[[#This Row],[R1]:[R3]]))/(Pcfu4[[#This Row],[No. Reps]]*0.025)*Pcfu4[[#This Row],[Best DF]]</f>
        <v>17800000000</v>
      </c>
      <c r="R803" s="1">
        <f>_xlfn.STDEV.S(Pcfu4[[#This Row],[R1]:[R3]])/0.025*Pcfu4[[#This Row],[Best DF]]</f>
        <v>282842712.47461903</v>
      </c>
      <c r="S803" s="6">
        <f>Pcfu4[[#This Row],[CFU/mL]]*Pcfu4[[#This Row],[mL]]/Pcfu4[[#This Row],[grams]]</f>
        <v>338200000000</v>
      </c>
      <c r="T803" s="1">
        <f>Pcfu4[[#This Row],[SD CFU/mL]]*Pcfu4[[#This Row],[mL]]/Pcfu4[[#This Row],[grams]]</f>
        <v>5374011537.0177622</v>
      </c>
      <c r="U803" s="7" t="e">
        <f>_xlfn.STDEV.S(Pcfu43[[#This Row],[R1]:[R3]])/AVERAGE(Pcfu43[[#This Row],[R1]:[R3]])</f>
        <v>#VALUE!</v>
      </c>
      <c r="V803" s="96"/>
      <c r="W803" s="7"/>
    </row>
    <row r="804" spans="1:23" x14ac:dyDescent="0.15">
      <c r="A804" t="s">
        <v>702</v>
      </c>
      <c r="B804" t="s">
        <v>648</v>
      </c>
      <c r="D804" t="s">
        <v>86</v>
      </c>
      <c r="E804" s="3">
        <v>2</v>
      </c>
      <c r="G804">
        <v>0.3</v>
      </c>
      <c r="H804" s="5">
        <v>5.7</v>
      </c>
      <c r="I804" s="3" t="s">
        <v>170</v>
      </c>
      <c r="J804" s="59">
        <v>45034</v>
      </c>
      <c r="L804" s="59" t="e" cm="1">
        <f t="array" ref="L804">INDEX($J$4:J1894, MATCH(1,(A804=$A$4:A1892)*(C804=$C$4:C1892)*("Y"=$K$4:K1894),0))</f>
        <v>#N/A</v>
      </c>
      <c r="M804" s="1">
        <v>10000000</v>
      </c>
      <c r="N804">
        <v>71</v>
      </c>
      <c r="O804">
        <v>76</v>
      </c>
      <c r="P804"/>
      <c r="Q804" s="6">
        <f>(SUM(Pcfu4[[#This Row],[R1]:[R3]]))/(Pcfu4[[#This Row],[No. Reps]]*0.025)*Pcfu4[[#This Row],[Best DF]]</f>
        <v>29400000000</v>
      </c>
      <c r="R804" s="1">
        <f>_xlfn.STDEV.S(Pcfu4[[#This Row],[R1]:[R3]])/0.025*Pcfu4[[#This Row],[Best DF]]</f>
        <v>1414213562.373095</v>
      </c>
      <c r="S804" s="6">
        <f>Pcfu4[[#This Row],[CFU/mL]]*Pcfu4[[#This Row],[mL]]/Pcfu4[[#This Row],[grams]]</f>
        <v>558600000000</v>
      </c>
      <c r="T804" s="1">
        <f>Pcfu4[[#This Row],[SD CFU/mL]]*Pcfu4[[#This Row],[mL]]/Pcfu4[[#This Row],[grams]]</f>
        <v>26870057685.088806</v>
      </c>
      <c r="U804" s="7" t="e">
        <f>_xlfn.STDEV.S(Pcfu43[[#This Row],[R1]:[R3]])/AVERAGE(Pcfu43[[#This Row],[R1]:[R3]])</f>
        <v>#VALUE!</v>
      </c>
      <c r="V804" s="96"/>
      <c r="W804" s="7"/>
    </row>
    <row r="805" spans="1:23" x14ac:dyDescent="0.15">
      <c r="A805" t="s">
        <v>703</v>
      </c>
      <c r="D805" t="s">
        <v>194</v>
      </c>
      <c r="E805" s="3">
        <v>3</v>
      </c>
      <c r="G805">
        <v>0.3</v>
      </c>
      <c r="H805" s="5">
        <v>5.7</v>
      </c>
      <c r="I805" s="3" t="s">
        <v>170</v>
      </c>
      <c r="J805" s="59">
        <v>45034</v>
      </c>
      <c r="L805" s="59" t="e" cm="1">
        <f t="array" ref="L805">INDEX($J$4:J1895, MATCH(1,(A805=$A$4:A1893)*(C805=$C$4:C1893)*("Y"=$K$4:K1895),0))</f>
        <v>#N/A</v>
      </c>
      <c r="M805" s="1">
        <v>1000000</v>
      </c>
      <c r="N805">
        <v>208</v>
      </c>
      <c r="O805">
        <v>210</v>
      </c>
      <c r="P805">
        <v>212</v>
      </c>
      <c r="Q805" s="6">
        <f>(SUM(Pcfu4[[#This Row],[R1]:[R3]]))/(Pcfu4[[#This Row],[No. Reps]]*0.025)*Pcfu4[[#This Row],[Best DF]]</f>
        <v>8399999999.9999981</v>
      </c>
      <c r="R805" s="1">
        <f>_xlfn.STDEV.S(Pcfu4[[#This Row],[R1]:[R3]])/0.025*Pcfu4[[#This Row],[Best DF]]</f>
        <v>80000000</v>
      </c>
      <c r="S805" s="6">
        <f>Pcfu4[[#This Row],[CFU/mL]]*Pcfu4[[#This Row],[mL]]/Pcfu4[[#This Row],[grams]]</f>
        <v>159599999999.99997</v>
      </c>
      <c r="T805" s="1">
        <f>Pcfu4[[#This Row],[SD CFU/mL]]*Pcfu4[[#This Row],[mL]]/Pcfu4[[#This Row],[grams]]</f>
        <v>1520000000</v>
      </c>
      <c r="U805" s="7" t="e">
        <f>_xlfn.STDEV.S(Pcfu43[[#This Row],[R1]:[R3]])/AVERAGE(Pcfu43[[#This Row],[R1]:[R3]])</f>
        <v>#VALUE!</v>
      </c>
      <c r="V805" s="96"/>
      <c r="W805" s="7"/>
    </row>
    <row r="806" spans="1:23" x14ac:dyDescent="0.15">
      <c r="A806" t="s">
        <v>704</v>
      </c>
      <c r="D806" t="s">
        <v>194</v>
      </c>
      <c r="E806" s="3">
        <v>3</v>
      </c>
      <c r="G806">
        <v>0.3</v>
      </c>
      <c r="H806" s="5">
        <v>5.7</v>
      </c>
      <c r="I806" s="3" t="s">
        <v>170</v>
      </c>
      <c r="J806" s="59">
        <v>45034</v>
      </c>
      <c r="L806" s="59" t="e" cm="1">
        <f t="array" ref="L806">INDEX($J$4:J1896, MATCH(1,(A806=$A$4:A1894)*(C806=$C$4:C1894)*("Y"=$K$4:K1896),0))</f>
        <v>#N/A</v>
      </c>
      <c r="M806" s="1">
        <v>1000000</v>
      </c>
      <c r="N806">
        <v>254</v>
      </c>
      <c r="O806">
        <v>227</v>
      </c>
      <c r="P806">
        <v>224</v>
      </c>
      <c r="Q806" s="6">
        <f>(SUM(Pcfu4[[#This Row],[R1]:[R3]]))/(Pcfu4[[#This Row],[No. Reps]]*0.025)*Pcfu4[[#This Row],[Best DF]]</f>
        <v>9399999999.9999981</v>
      </c>
      <c r="R806" s="1">
        <f>_xlfn.STDEV.S(Pcfu4[[#This Row],[R1]:[R3]])/0.025*Pcfu4[[#This Row],[Best DF]]</f>
        <v>660908465.67433214</v>
      </c>
      <c r="S806" s="6">
        <f>Pcfu4[[#This Row],[CFU/mL]]*Pcfu4[[#This Row],[mL]]/Pcfu4[[#This Row],[grams]]</f>
        <v>178599999999.99997</v>
      </c>
      <c r="T806" s="1">
        <f>Pcfu4[[#This Row],[SD CFU/mL]]*Pcfu4[[#This Row],[mL]]/Pcfu4[[#This Row],[grams]]</f>
        <v>12557260847.812311</v>
      </c>
      <c r="U806" s="7" t="e">
        <f>_xlfn.STDEV.S(Pcfu43[[#This Row],[R1]:[R3]])/AVERAGE(Pcfu43[[#This Row],[R1]:[R3]])</f>
        <v>#VALUE!</v>
      </c>
      <c r="V806" s="96"/>
      <c r="W806" s="7"/>
    </row>
    <row r="807" spans="1:23" x14ac:dyDescent="0.15">
      <c r="A807" t="s">
        <v>705</v>
      </c>
      <c r="D807" t="s">
        <v>194</v>
      </c>
      <c r="E807" s="3">
        <v>3</v>
      </c>
      <c r="G807">
        <v>0.3</v>
      </c>
      <c r="H807" s="5">
        <v>5.7</v>
      </c>
      <c r="I807" s="3" t="s">
        <v>170</v>
      </c>
      <c r="J807" s="59">
        <v>45034</v>
      </c>
      <c r="L807" s="59" t="e" cm="1">
        <f t="array" ref="L807">INDEX($J$4:J1897, MATCH(1,(A807=$A$4:A1895)*(C807=$C$4:C1895)*("Y"=$K$4:K1897),0))</f>
        <v>#N/A</v>
      </c>
      <c r="M807" s="1">
        <v>1000000</v>
      </c>
      <c r="N807">
        <v>150</v>
      </c>
      <c r="O807">
        <v>142</v>
      </c>
      <c r="P807">
        <v>168</v>
      </c>
      <c r="Q807" s="6">
        <f>(SUM(Pcfu4[[#This Row],[R1]:[R3]]))/(Pcfu4[[#This Row],[No. Reps]]*0.025)*Pcfu4[[#This Row],[Best DF]]</f>
        <v>6133333333.3333321</v>
      </c>
      <c r="R807" s="1">
        <f>_xlfn.STDEV.S(Pcfu4[[#This Row],[R1]:[R3]])/0.025*Pcfu4[[#This Row],[Best DF]]</f>
        <v>532666249.47835135</v>
      </c>
      <c r="S807" s="6">
        <f>Pcfu4[[#This Row],[CFU/mL]]*Pcfu4[[#This Row],[mL]]/Pcfu4[[#This Row],[grams]]</f>
        <v>116533333333.33331</v>
      </c>
      <c r="T807" s="1">
        <f>Pcfu4[[#This Row],[SD CFU/mL]]*Pcfu4[[#This Row],[mL]]/Pcfu4[[#This Row],[grams]]</f>
        <v>10120658740.088676</v>
      </c>
      <c r="U807" s="7" t="e">
        <f>_xlfn.STDEV.S(Pcfu43[[#This Row],[R1]:[R3]])/AVERAGE(Pcfu43[[#This Row],[R1]:[R3]])</f>
        <v>#VALUE!</v>
      </c>
      <c r="V807" s="96"/>
      <c r="W807" s="7"/>
    </row>
    <row r="808" spans="1:23" x14ac:dyDescent="0.15">
      <c r="A808" t="s">
        <v>706</v>
      </c>
      <c r="D808" t="s">
        <v>194</v>
      </c>
      <c r="E808" s="3">
        <v>3</v>
      </c>
      <c r="G808">
        <v>0.3</v>
      </c>
      <c r="H808" s="5">
        <v>5.7</v>
      </c>
      <c r="I808" s="3" t="s">
        <v>170</v>
      </c>
      <c r="J808" s="59">
        <v>45034</v>
      </c>
      <c r="L808" s="59" t="e" cm="1">
        <f t="array" ref="L808">INDEX($J$4:J1898, MATCH(1,(A808=$A$4:A1896)*(C808=$C$4:C1896)*("Y"=$K$4:K1898),0))</f>
        <v>#N/A</v>
      </c>
      <c r="M808" s="1">
        <v>1000000</v>
      </c>
      <c r="N808">
        <v>131</v>
      </c>
      <c r="O808">
        <v>154</v>
      </c>
      <c r="P808">
        <v>130</v>
      </c>
      <c r="Q808" s="6">
        <f>(SUM(Pcfu4[[#This Row],[R1]:[R3]]))/(Pcfu4[[#This Row],[No. Reps]]*0.025)*Pcfu4[[#This Row],[Best DF]]</f>
        <v>5533333333.3333321</v>
      </c>
      <c r="R808" s="1">
        <f>_xlfn.STDEV.S(Pcfu4[[#This Row],[R1]:[R3]])/0.025*Pcfu4[[#This Row],[Best DF]]</f>
        <v>543077649.45110142</v>
      </c>
      <c r="S808" s="6">
        <f>Pcfu4[[#This Row],[CFU/mL]]*Pcfu4[[#This Row],[mL]]/Pcfu4[[#This Row],[grams]]</f>
        <v>105133333333.33331</v>
      </c>
      <c r="T808" s="1">
        <f>Pcfu4[[#This Row],[SD CFU/mL]]*Pcfu4[[#This Row],[mL]]/Pcfu4[[#This Row],[grams]]</f>
        <v>10318475339.570929</v>
      </c>
      <c r="U808" s="7" t="e">
        <f>_xlfn.STDEV.S(Pcfu43[[#This Row],[R1]:[R3]])/AVERAGE(Pcfu43[[#This Row],[R1]:[R3]])</f>
        <v>#VALUE!</v>
      </c>
      <c r="V808" s="96"/>
      <c r="W808" s="7"/>
    </row>
    <row r="809" spans="1:23" x14ac:dyDescent="0.15">
      <c r="A809" t="s">
        <v>707</v>
      </c>
      <c r="B809" t="s">
        <v>648</v>
      </c>
      <c r="D809" t="s">
        <v>86</v>
      </c>
      <c r="E809" s="3">
        <v>2</v>
      </c>
      <c r="G809">
        <v>0.3</v>
      </c>
      <c r="H809" s="5">
        <v>5.7</v>
      </c>
      <c r="I809" s="3" t="s">
        <v>170</v>
      </c>
      <c r="J809" s="59">
        <v>45036</v>
      </c>
      <c r="L809" s="59" t="e" cm="1">
        <f t="array" ref="L809">INDEX($J$4:J1899, MATCH(1,(A809=$A$4:A1897)*(C809=$C$4:C1897)*("Y"=$K$4:K1899),0))</f>
        <v>#N/A</v>
      </c>
      <c r="M809" s="1">
        <v>10000000</v>
      </c>
      <c r="N809">
        <v>76</v>
      </c>
      <c r="O809">
        <v>69</v>
      </c>
      <c r="P809"/>
      <c r="Q809" s="6">
        <f>(SUM(Pcfu4[[#This Row],[R1]:[R3]]))/(Pcfu4[[#This Row],[No. Reps]]*0.025)*Pcfu4[[#This Row],[Best DF]]</f>
        <v>29000000000</v>
      </c>
      <c r="R809" s="1">
        <f>_xlfn.STDEV.S(Pcfu4[[#This Row],[R1]:[R3]])/0.025*Pcfu4[[#This Row],[Best DF]]</f>
        <v>1979898987.3223329</v>
      </c>
      <c r="S809" s="6">
        <f>Pcfu4[[#This Row],[CFU/mL]]*Pcfu4[[#This Row],[mL]]/Pcfu4[[#This Row],[grams]]</f>
        <v>551000000000</v>
      </c>
      <c r="T809" s="1">
        <f>Pcfu4[[#This Row],[SD CFU/mL]]*Pcfu4[[#This Row],[mL]]/Pcfu4[[#This Row],[grams]]</f>
        <v>37618080759.124329</v>
      </c>
      <c r="U809" s="7" t="e">
        <f>_xlfn.STDEV.S(Pcfu43[[#This Row],[R1]:[R3]])/AVERAGE(Pcfu43[[#This Row],[R1]:[R3]])</f>
        <v>#VALUE!</v>
      </c>
      <c r="V809" s="96"/>
      <c r="W809" s="7"/>
    </row>
    <row r="810" spans="1:23" x14ac:dyDescent="0.15">
      <c r="A810" t="s">
        <v>708</v>
      </c>
      <c r="B810" t="s">
        <v>648</v>
      </c>
      <c r="D810" t="s">
        <v>86</v>
      </c>
      <c r="E810" s="3">
        <v>2</v>
      </c>
      <c r="G810">
        <v>0.3</v>
      </c>
      <c r="H810" s="5">
        <v>5.7</v>
      </c>
      <c r="I810" s="3" t="s">
        <v>170</v>
      </c>
      <c r="J810" s="59">
        <v>45036</v>
      </c>
      <c r="L810" s="59" t="e" cm="1">
        <f t="array" ref="L810">INDEX($J$4:J1900, MATCH(1,(A810=$A$4:A1898)*(C810=$C$4:C1898)*("Y"=$K$4:K1900),0))</f>
        <v>#N/A</v>
      </c>
      <c r="M810" s="1">
        <v>10000000</v>
      </c>
      <c r="N810">
        <v>57</v>
      </c>
      <c r="O810">
        <v>60</v>
      </c>
      <c r="P810"/>
      <c r="Q810" s="6">
        <f>(SUM(Pcfu4[[#This Row],[R1]:[R3]]))/(Pcfu4[[#This Row],[No. Reps]]*0.025)*Pcfu4[[#This Row],[Best DF]]</f>
        <v>23400000000</v>
      </c>
      <c r="R810" s="1">
        <f>_xlfn.STDEV.S(Pcfu4[[#This Row],[R1]:[R3]])/0.025*Pcfu4[[#This Row],[Best DF]]</f>
        <v>848528137.42385697</v>
      </c>
      <c r="S810" s="6">
        <f>Pcfu4[[#This Row],[CFU/mL]]*Pcfu4[[#This Row],[mL]]/Pcfu4[[#This Row],[grams]]</f>
        <v>444600000000</v>
      </c>
      <c r="T810" s="1">
        <f>Pcfu4[[#This Row],[SD CFU/mL]]*Pcfu4[[#This Row],[mL]]/Pcfu4[[#This Row],[grams]]</f>
        <v>16122034611.053284</v>
      </c>
      <c r="U810" s="7" t="e">
        <f>_xlfn.STDEV.S(Pcfu43[[#This Row],[R1]:[R3]])/AVERAGE(Pcfu43[[#This Row],[R1]:[R3]])</f>
        <v>#VALUE!</v>
      </c>
      <c r="V810" s="96"/>
      <c r="W810" s="7"/>
    </row>
    <row r="811" spans="1:23" x14ac:dyDescent="0.15">
      <c r="A811" t="s">
        <v>709</v>
      </c>
      <c r="B811" t="s">
        <v>648</v>
      </c>
      <c r="D811" t="s">
        <v>86</v>
      </c>
      <c r="E811" s="3">
        <v>2</v>
      </c>
      <c r="G811">
        <v>0.3</v>
      </c>
      <c r="H811" s="5">
        <v>5.7</v>
      </c>
      <c r="I811" s="3" t="s">
        <v>170</v>
      </c>
      <c r="J811" s="59">
        <v>45036</v>
      </c>
      <c r="L811" s="59" t="e" cm="1">
        <f t="array" ref="L811">INDEX($J$4:J1901, MATCH(1,(A811=$A$4:A1899)*(C811=$C$4:C1899)*("Y"=$K$4:K1901),0))</f>
        <v>#N/A</v>
      </c>
      <c r="M811" s="1">
        <v>10000000</v>
      </c>
      <c r="N811">
        <v>48</v>
      </c>
      <c r="O811">
        <v>52</v>
      </c>
      <c r="P811"/>
      <c r="Q811" s="6">
        <f>(SUM(Pcfu4[[#This Row],[R1]:[R3]]))/(Pcfu4[[#This Row],[No. Reps]]*0.025)*Pcfu4[[#This Row],[Best DF]]</f>
        <v>20000000000</v>
      </c>
      <c r="R811" s="1">
        <f>_xlfn.STDEV.S(Pcfu4[[#This Row],[R1]:[R3]])/0.025*Pcfu4[[#This Row],[Best DF]]</f>
        <v>1131370849.8984761</v>
      </c>
      <c r="S811" s="6">
        <f>Pcfu4[[#This Row],[CFU/mL]]*Pcfu4[[#This Row],[mL]]/Pcfu4[[#This Row],[grams]]</f>
        <v>380000000000</v>
      </c>
      <c r="T811" s="1">
        <f>Pcfu4[[#This Row],[SD CFU/mL]]*Pcfu4[[#This Row],[mL]]/Pcfu4[[#This Row],[grams]]</f>
        <v>21496046148.071049</v>
      </c>
      <c r="U811" s="7" t="e">
        <f>_xlfn.STDEV.S(Pcfu43[[#This Row],[R1]:[R3]])/AVERAGE(Pcfu43[[#This Row],[R1]:[R3]])</f>
        <v>#VALUE!</v>
      </c>
      <c r="V811" s="96"/>
      <c r="W811" s="7"/>
    </row>
    <row r="812" spans="1:23" x14ac:dyDescent="0.15">
      <c r="A812" t="s">
        <v>710</v>
      </c>
      <c r="B812" t="s">
        <v>648</v>
      </c>
      <c r="D812" t="s">
        <v>86</v>
      </c>
      <c r="E812" s="3">
        <v>2</v>
      </c>
      <c r="G812">
        <v>0.3</v>
      </c>
      <c r="H812" s="5">
        <v>5.7</v>
      </c>
      <c r="I812" s="3" t="s">
        <v>170</v>
      </c>
      <c r="J812" s="59">
        <v>45036</v>
      </c>
      <c r="L812" s="59" t="e" cm="1">
        <f t="array" ref="L812">INDEX($J$4:J1902, MATCH(1,(A812=$A$4:A1900)*(C812=$C$4:C1900)*("Y"=$K$4:K1902),0))</f>
        <v>#N/A</v>
      </c>
      <c r="M812" s="1">
        <v>10000000</v>
      </c>
      <c r="N812">
        <v>44</v>
      </c>
      <c r="O812">
        <v>48</v>
      </c>
      <c r="P812"/>
      <c r="Q812" s="6">
        <f>(SUM(Pcfu4[[#This Row],[R1]:[R3]]))/(Pcfu4[[#This Row],[No. Reps]]*0.025)*Pcfu4[[#This Row],[Best DF]]</f>
        <v>18400000000</v>
      </c>
      <c r="R812" s="1">
        <f>_xlfn.STDEV.S(Pcfu4[[#This Row],[R1]:[R3]])/0.025*Pcfu4[[#This Row],[Best DF]]</f>
        <v>1131370849.8984761</v>
      </c>
      <c r="S812" s="6">
        <f>Pcfu4[[#This Row],[CFU/mL]]*Pcfu4[[#This Row],[mL]]/Pcfu4[[#This Row],[grams]]</f>
        <v>349600000000</v>
      </c>
      <c r="T812" s="1">
        <f>Pcfu4[[#This Row],[SD CFU/mL]]*Pcfu4[[#This Row],[mL]]/Pcfu4[[#This Row],[grams]]</f>
        <v>21496046148.071049</v>
      </c>
      <c r="U812" s="7" t="e">
        <f>_xlfn.STDEV.S(Pcfu43[[#This Row],[R1]:[R3]])/AVERAGE(Pcfu43[[#This Row],[R1]:[R3]])</f>
        <v>#VALUE!</v>
      </c>
      <c r="V812" s="96"/>
      <c r="W812" s="7"/>
    </row>
    <row r="813" spans="1:23" x14ac:dyDescent="0.15">
      <c r="A813" t="s">
        <v>711</v>
      </c>
      <c r="B813" t="s">
        <v>648</v>
      </c>
      <c r="D813" t="s">
        <v>86</v>
      </c>
      <c r="E813" s="3">
        <v>2</v>
      </c>
      <c r="G813">
        <v>0.3</v>
      </c>
      <c r="H813" s="5">
        <v>5.7</v>
      </c>
      <c r="I813" s="3" t="s">
        <v>170</v>
      </c>
      <c r="J813" s="59">
        <v>45036</v>
      </c>
      <c r="L813" s="59" t="e" cm="1">
        <f t="array" ref="L813">INDEX($J$4:J1903, MATCH(1,(A813=$A$4:A1901)*(C813=$C$4:C1901)*("Y"=$K$4:K1903),0))</f>
        <v>#N/A</v>
      </c>
      <c r="M813" s="1">
        <v>10000000</v>
      </c>
      <c r="N813">
        <v>66</v>
      </c>
      <c r="O813">
        <v>78</v>
      </c>
      <c r="P813"/>
      <c r="Q813" s="6">
        <f>(SUM(Pcfu4[[#This Row],[R1]:[R3]]))/(Pcfu4[[#This Row],[No. Reps]]*0.025)*Pcfu4[[#This Row],[Best DF]]</f>
        <v>28800000000</v>
      </c>
      <c r="R813" s="1">
        <f>_xlfn.STDEV.S(Pcfu4[[#This Row],[R1]:[R3]])/0.025*Pcfu4[[#This Row],[Best DF]]</f>
        <v>3394112549.6954279</v>
      </c>
      <c r="S813" s="6">
        <f>Pcfu4[[#This Row],[CFU/mL]]*Pcfu4[[#This Row],[mL]]/Pcfu4[[#This Row],[grams]]</f>
        <v>547200000000</v>
      </c>
      <c r="T813" s="1">
        <f>Pcfu4[[#This Row],[SD CFU/mL]]*Pcfu4[[#This Row],[mL]]/Pcfu4[[#This Row],[grams]]</f>
        <v>64488138444.213135</v>
      </c>
      <c r="U813" s="7" t="e">
        <f>_xlfn.STDEV.S(Pcfu43[[#This Row],[R1]:[R3]])/AVERAGE(Pcfu43[[#This Row],[R1]:[R3]])</f>
        <v>#VALUE!</v>
      </c>
      <c r="V813" s="96"/>
      <c r="W813" s="7"/>
    </row>
    <row r="814" spans="1:23" x14ac:dyDescent="0.15">
      <c r="A814" t="s">
        <v>712</v>
      </c>
      <c r="B814" t="s">
        <v>648</v>
      </c>
      <c r="D814" t="s">
        <v>86</v>
      </c>
      <c r="E814" s="3">
        <v>2</v>
      </c>
      <c r="G814">
        <v>0.3</v>
      </c>
      <c r="H814" s="5">
        <v>5.7</v>
      </c>
      <c r="I814" s="3" t="s">
        <v>170</v>
      </c>
      <c r="J814" s="59">
        <v>45036</v>
      </c>
      <c r="L814" s="59" t="e" cm="1">
        <f t="array" ref="L814">INDEX($J$4:J1904, MATCH(1,(A814=$A$4:A1902)*(C814=$C$4:C1902)*("Y"=$K$4:K1904),0))</f>
        <v>#N/A</v>
      </c>
      <c r="M814" s="1">
        <v>10000000</v>
      </c>
      <c r="N814">
        <v>42</v>
      </c>
      <c r="O814">
        <v>41</v>
      </c>
      <c r="P814"/>
      <c r="Q814" s="6">
        <f>(SUM(Pcfu4[[#This Row],[R1]:[R3]]))/(Pcfu4[[#This Row],[No. Reps]]*0.025)*Pcfu4[[#This Row],[Best DF]]</f>
        <v>16600000000</v>
      </c>
      <c r="R814" s="1">
        <f>_xlfn.STDEV.S(Pcfu4[[#This Row],[R1]:[R3]])/0.025*Pcfu4[[#This Row],[Best DF]]</f>
        <v>282842712.47461903</v>
      </c>
      <c r="S814" s="6">
        <f>Pcfu4[[#This Row],[CFU/mL]]*Pcfu4[[#This Row],[mL]]/Pcfu4[[#This Row],[grams]]</f>
        <v>315400000000</v>
      </c>
      <c r="T814" s="1">
        <f>Pcfu4[[#This Row],[SD CFU/mL]]*Pcfu4[[#This Row],[mL]]/Pcfu4[[#This Row],[grams]]</f>
        <v>5374011537.0177622</v>
      </c>
      <c r="U814" s="7" t="e">
        <f>_xlfn.STDEV.S(Pcfu43[[#This Row],[R1]:[R3]])/AVERAGE(Pcfu43[[#This Row],[R1]:[R3]])</f>
        <v>#VALUE!</v>
      </c>
      <c r="V814" s="96"/>
      <c r="W814" s="7"/>
    </row>
    <row r="815" spans="1:23" x14ac:dyDescent="0.15">
      <c r="A815" t="s">
        <v>713</v>
      </c>
      <c r="B815" t="s">
        <v>648</v>
      </c>
      <c r="D815" t="s">
        <v>86</v>
      </c>
      <c r="E815" s="3">
        <v>2</v>
      </c>
      <c r="G815">
        <v>0.3</v>
      </c>
      <c r="H815" s="5">
        <v>5.7</v>
      </c>
      <c r="I815" s="3" t="s">
        <v>170</v>
      </c>
      <c r="J815" s="59">
        <v>45040</v>
      </c>
      <c r="L815" s="59" t="e" cm="1">
        <f t="array" ref="L815">INDEX($J$4:J1905, MATCH(1,(A815=$A$4:A1903)*(C815=$C$4:C1903)*("Y"=$K$4:K1905),0))</f>
        <v>#N/A</v>
      </c>
      <c r="M815" s="1">
        <v>10000000</v>
      </c>
      <c r="N815">
        <v>49</v>
      </c>
      <c r="O815">
        <v>43</v>
      </c>
      <c r="P815"/>
      <c r="Q815" s="6">
        <f>(SUM(Pcfu4[[#This Row],[R1]:[R3]]))/(Pcfu4[[#This Row],[No. Reps]]*0.025)*Pcfu4[[#This Row],[Best DF]]</f>
        <v>18400000000</v>
      </c>
      <c r="R815" s="1">
        <f>_xlfn.STDEV.S(Pcfu4[[#This Row],[R1]:[R3]])/0.025*Pcfu4[[#This Row],[Best DF]]</f>
        <v>1697056274.8477139</v>
      </c>
      <c r="S815" s="6">
        <f>Pcfu4[[#This Row],[CFU/mL]]*Pcfu4[[#This Row],[mL]]/Pcfu4[[#This Row],[grams]]</f>
        <v>349600000000</v>
      </c>
      <c r="T815" s="1">
        <f>Pcfu4[[#This Row],[SD CFU/mL]]*Pcfu4[[#This Row],[mL]]/Pcfu4[[#This Row],[grams]]</f>
        <v>32244069222.106567</v>
      </c>
      <c r="U815" s="7" t="e">
        <f>_xlfn.STDEV.S(Pcfu43[[#This Row],[R1]:[R3]])/AVERAGE(Pcfu43[[#This Row],[R1]:[R3]])</f>
        <v>#VALUE!</v>
      </c>
      <c r="V815" s="96"/>
      <c r="W815" s="7"/>
    </row>
    <row r="816" spans="1:23" x14ac:dyDescent="0.15">
      <c r="A816" t="s">
        <v>714</v>
      </c>
      <c r="B816" t="s">
        <v>648</v>
      </c>
      <c r="D816" t="s">
        <v>86</v>
      </c>
      <c r="E816" s="3">
        <v>2</v>
      </c>
      <c r="G816">
        <v>0.3</v>
      </c>
      <c r="H816" s="5">
        <v>5.7</v>
      </c>
      <c r="I816" s="3" t="s">
        <v>170</v>
      </c>
      <c r="J816" s="59">
        <v>45040</v>
      </c>
      <c r="L816" s="59" t="e" cm="1">
        <f t="array" ref="L816">INDEX($J$4:J1906, MATCH(1,(A816=$A$4:A1904)*(C816=$C$4:C1904)*("Y"=$K$4:K1906),0))</f>
        <v>#N/A</v>
      </c>
      <c r="M816" s="1">
        <v>10000000</v>
      </c>
      <c r="N816">
        <v>36</v>
      </c>
      <c r="O816">
        <v>35</v>
      </c>
      <c r="P816"/>
      <c r="Q816" s="6">
        <f>(SUM(Pcfu4[[#This Row],[R1]:[R3]]))/(Pcfu4[[#This Row],[No. Reps]]*0.025)*Pcfu4[[#This Row],[Best DF]]</f>
        <v>14200000000</v>
      </c>
      <c r="R816" s="1">
        <f>_xlfn.STDEV.S(Pcfu4[[#This Row],[R1]:[R3]])/0.025*Pcfu4[[#This Row],[Best DF]]</f>
        <v>282842712.47461903</v>
      </c>
      <c r="S816" s="6">
        <f>Pcfu4[[#This Row],[CFU/mL]]*Pcfu4[[#This Row],[mL]]/Pcfu4[[#This Row],[grams]]</f>
        <v>269800000000</v>
      </c>
      <c r="T816" s="1">
        <f>Pcfu4[[#This Row],[SD CFU/mL]]*Pcfu4[[#This Row],[mL]]/Pcfu4[[#This Row],[grams]]</f>
        <v>5374011537.0177622</v>
      </c>
      <c r="U816" s="7" t="e">
        <f>_xlfn.STDEV.S(Pcfu43[[#This Row],[R1]:[R3]])/AVERAGE(Pcfu43[[#This Row],[R1]:[R3]])</f>
        <v>#VALUE!</v>
      </c>
      <c r="V816" s="96"/>
      <c r="W816" s="7"/>
    </row>
    <row r="817" spans="1:23" x14ac:dyDescent="0.15">
      <c r="A817" t="s">
        <v>715</v>
      </c>
      <c r="B817" t="s">
        <v>648</v>
      </c>
      <c r="D817" t="s">
        <v>86</v>
      </c>
      <c r="E817" s="3">
        <v>2</v>
      </c>
      <c r="G817">
        <v>0.3</v>
      </c>
      <c r="H817" s="5">
        <v>5.7</v>
      </c>
      <c r="I817" s="3" t="s">
        <v>170</v>
      </c>
      <c r="J817" s="59">
        <v>45040</v>
      </c>
      <c r="L817" s="59" t="e" cm="1">
        <f t="array" ref="L817">INDEX($J$4:J1907, MATCH(1,(A817=$A$4:A1905)*(C817=$C$4:C1905)*("Y"=$K$4:K1907),0))</f>
        <v>#N/A</v>
      </c>
      <c r="M817" s="1">
        <v>10000000</v>
      </c>
      <c r="N817">
        <v>40</v>
      </c>
      <c r="O817">
        <v>38</v>
      </c>
      <c r="Q817" s="6">
        <f>(SUM(Pcfu4[[#This Row],[R1]:[R3]]))/(Pcfu4[[#This Row],[No. Reps]]*0.025)*Pcfu4[[#This Row],[Best DF]]</f>
        <v>15600000000</v>
      </c>
      <c r="R817" s="1">
        <f>_xlfn.STDEV.S(Pcfu4[[#This Row],[R1]:[R3]])/0.025*Pcfu4[[#This Row],[Best DF]]</f>
        <v>565685424.94923806</v>
      </c>
      <c r="S817" s="6">
        <f>Pcfu4[[#This Row],[CFU/mL]]*Pcfu4[[#This Row],[mL]]/Pcfu4[[#This Row],[grams]]</f>
        <v>296400000000</v>
      </c>
      <c r="T817" s="1">
        <f>Pcfu4[[#This Row],[SD CFU/mL]]*Pcfu4[[#This Row],[mL]]/Pcfu4[[#This Row],[grams]]</f>
        <v>10748023074.035524</v>
      </c>
      <c r="U817" s="7" t="e">
        <f>_xlfn.STDEV.S(Pcfu43[[#This Row],[R1]:[R3]])/AVERAGE(Pcfu43[[#This Row],[R1]:[R3]])</f>
        <v>#VALUE!</v>
      </c>
      <c r="V817" s="96"/>
      <c r="W817" s="7"/>
    </row>
    <row r="818" spans="1:23" x14ac:dyDescent="0.15">
      <c r="A818" t="s">
        <v>716</v>
      </c>
      <c r="B818" t="s">
        <v>648</v>
      </c>
      <c r="D818" t="s">
        <v>86</v>
      </c>
      <c r="E818" s="3">
        <v>2</v>
      </c>
      <c r="G818">
        <v>0.3</v>
      </c>
      <c r="H818" s="5">
        <v>5.7</v>
      </c>
      <c r="I818" s="3" t="s">
        <v>170</v>
      </c>
      <c r="J818" s="59">
        <v>45041</v>
      </c>
      <c r="L818" s="59" t="e" cm="1">
        <f t="array" ref="L818">INDEX($J$4:J1908, MATCH(1,(A818=$A$4:A1906)*(C818=$C$4:C1906)*("Y"=$K$4:K1908),0))</f>
        <v>#N/A</v>
      </c>
      <c r="M818" s="1">
        <v>10000000</v>
      </c>
      <c r="N818">
        <v>42</v>
      </c>
      <c r="O818">
        <v>49</v>
      </c>
      <c r="Q818" s="6">
        <f>(SUM(Pcfu4[[#This Row],[R1]:[R3]]))/(Pcfu4[[#This Row],[No. Reps]]*0.025)*Pcfu4[[#This Row],[Best DF]]</f>
        <v>18200000000</v>
      </c>
      <c r="R818" s="1">
        <f>_xlfn.STDEV.S(Pcfu4[[#This Row],[R1]:[R3]])/0.025*Pcfu4[[#This Row],[Best DF]]</f>
        <v>1979898987.3223329</v>
      </c>
      <c r="S818" s="6">
        <f>Pcfu4[[#This Row],[CFU/mL]]*Pcfu4[[#This Row],[mL]]/Pcfu4[[#This Row],[grams]]</f>
        <v>345800000000</v>
      </c>
      <c r="T818" s="1">
        <f>Pcfu4[[#This Row],[SD CFU/mL]]*Pcfu4[[#This Row],[mL]]/Pcfu4[[#This Row],[grams]]</f>
        <v>37618080759.124329</v>
      </c>
      <c r="U818" s="7" t="e">
        <f>_xlfn.STDEV.S(Pcfu43[[#This Row],[R1]:[R3]])/AVERAGE(Pcfu43[[#This Row],[R1]:[R3]])</f>
        <v>#VALUE!</v>
      </c>
      <c r="V818" s="96"/>
      <c r="W818" s="7"/>
    </row>
    <row r="819" spans="1:23" x14ac:dyDescent="0.15">
      <c r="A819" t="s">
        <v>717</v>
      </c>
      <c r="B819" t="s">
        <v>648</v>
      </c>
      <c r="D819" t="s">
        <v>86</v>
      </c>
      <c r="E819" s="3">
        <v>2</v>
      </c>
      <c r="G819">
        <v>0.3</v>
      </c>
      <c r="H819" s="5">
        <v>5.7</v>
      </c>
      <c r="I819" s="3" t="s">
        <v>170</v>
      </c>
      <c r="J819" s="59">
        <v>45041</v>
      </c>
      <c r="L819" s="59" t="e" cm="1">
        <f t="array" ref="L819">INDEX($J$4:J1909, MATCH(1,(A819=$A$4:A1907)*(C819=$C$4:C1907)*("Y"=$K$4:K1909),0))</f>
        <v>#N/A</v>
      </c>
      <c r="M819" s="1">
        <v>10000000</v>
      </c>
      <c r="N819">
        <v>36</v>
      </c>
      <c r="O819">
        <v>40</v>
      </c>
      <c r="Q819" s="6">
        <f>(SUM(Pcfu4[[#This Row],[R1]:[R3]]))/(Pcfu4[[#This Row],[No. Reps]]*0.025)*Pcfu4[[#This Row],[Best DF]]</f>
        <v>15200000000</v>
      </c>
      <c r="R819" s="1">
        <f>_xlfn.STDEV.S(Pcfu4[[#This Row],[R1]:[R3]])/0.025*Pcfu4[[#This Row],[Best DF]]</f>
        <v>1131370849.8984761</v>
      </c>
      <c r="S819" s="6">
        <f>Pcfu4[[#This Row],[CFU/mL]]*Pcfu4[[#This Row],[mL]]/Pcfu4[[#This Row],[grams]]</f>
        <v>288800000000</v>
      </c>
      <c r="T819" s="1">
        <f>Pcfu4[[#This Row],[SD CFU/mL]]*Pcfu4[[#This Row],[mL]]/Pcfu4[[#This Row],[grams]]</f>
        <v>21496046148.071049</v>
      </c>
      <c r="U819" s="7" t="e">
        <f>_xlfn.STDEV.S(Pcfu43[[#This Row],[R1]:[R3]])/AVERAGE(Pcfu43[[#This Row],[R1]:[R3]])</f>
        <v>#VALUE!</v>
      </c>
      <c r="V819" s="96"/>
      <c r="W819" s="7"/>
    </row>
    <row r="820" spans="1:23" x14ac:dyDescent="0.15">
      <c r="A820" t="s">
        <v>718</v>
      </c>
      <c r="B820" t="s">
        <v>648</v>
      </c>
      <c r="D820" t="s">
        <v>86</v>
      </c>
      <c r="E820" s="3">
        <v>2</v>
      </c>
      <c r="G820">
        <v>0.3</v>
      </c>
      <c r="H820" s="5">
        <v>5.7</v>
      </c>
      <c r="I820" s="3" t="s">
        <v>170</v>
      </c>
      <c r="J820" s="59">
        <v>45041</v>
      </c>
      <c r="L820" s="59" t="e" cm="1">
        <f t="array" ref="L820">INDEX($J$4:J1910, MATCH(1,(A820=$A$4:A1908)*(C820=$C$4:C1908)*("Y"=$K$4:K1910),0))</f>
        <v>#N/A</v>
      </c>
      <c r="M820" s="1">
        <v>10000000</v>
      </c>
      <c r="N820">
        <v>58</v>
      </c>
      <c r="O820">
        <v>66</v>
      </c>
      <c r="Q820" s="6">
        <f>(SUM(Pcfu4[[#This Row],[R1]:[R3]]))/(Pcfu4[[#This Row],[No. Reps]]*0.025)*Pcfu4[[#This Row],[Best DF]]</f>
        <v>24800000000</v>
      </c>
      <c r="R820" s="1">
        <f>_xlfn.STDEV.S(Pcfu4[[#This Row],[R1]:[R3]])/0.025*Pcfu4[[#This Row],[Best DF]]</f>
        <v>2262741699.7969522</v>
      </c>
      <c r="S820" s="6">
        <f>Pcfu4[[#This Row],[CFU/mL]]*Pcfu4[[#This Row],[mL]]/Pcfu4[[#This Row],[grams]]</f>
        <v>471200000000</v>
      </c>
      <c r="T820" s="1">
        <f>Pcfu4[[#This Row],[SD CFU/mL]]*Pcfu4[[#This Row],[mL]]/Pcfu4[[#This Row],[grams]]</f>
        <v>42992092296.142097</v>
      </c>
      <c r="U820" s="7" t="e">
        <f>_xlfn.STDEV.S(Pcfu43[[#This Row],[R1]:[R3]])/AVERAGE(Pcfu43[[#This Row],[R1]:[R3]])</f>
        <v>#VALUE!</v>
      </c>
      <c r="V820" s="96"/>
      <c r="W820" s="7"/>
    </row>
    <row r="821" spans="1:23" x14ac:dyDescent="0.15">
      <c r="A821" t="s">
        <v>719</v>
      </c>
      <c r="B821" t="s">
        <v>648</v>
      </c>
      <c r="D821" t="s">
        <v>86</v>
      </c>
      <c r="E821" s="3">
        <v>2</v>
      </c>
      <c r="G821">
        <v>0.3</v>
      </c>
      <c r="H821" s="5">
        <v>5.7</v>
      </c>
      <c r="I821" s="3" t="s">
        <v>170</v>
      </c>
      <c r="J821" s="59">
        <v>45041</v>
      </c>
      <c r="L821" s="59" t="e" cm="1">
        <f t="array" ref="L821">INDEX($J$4:J1911, MATCH(1,(A821=$A$4:A1909)*(C821=$C$4:C1909)*("Y"=$K$4:K1911),0))</f>
        <v>#N/A</v>
      </c>
      <c r="M821" s="1">
        <v>10000000</v>
      </c>
      <c r="N821">
        <v>63</v>
      </c>
      <c r="O821">
        <v>70</v>
      </c>
      <c r="Q821" s="6">
        <f>(SUM(Pcfu4[[#This Row],[R1]:[R3]]))/(Pcfu4[[#This Row],[No. Reps]]*0.025)*Pcfu4[[#This Row],[Best DF]]</f>
        <v>26600000000</v>
      </c>
      <c r="R821" s="1">
        <f>_xlfn.STDEV.S(Pcfu4[[#This Row],[R1]:[R3]])/0.025*Pcfu4[[#This Row],[Best DF]]</f>
        <v>1979898987.3223329</v>
      </c>
      <c r="S821" s="6">
        <f>Pcfu4[[#This Row],[CFU/mL]]*Pcfu4[[#This Row],[mL]]/Pcfu4[[#This Row],[grams]]</f>
        <v>505400000000</v>
      </c>
      <c r="T821" s="1">
        <f>Pcfu4[[#This Row],[SD CFU/mL]]*Pcfu4[[#This Row],[mL]]/Pcfu4[[#This Row],[grams]]</f>
        <v>37618080759.124329</v>
      </c>
      <c r="U821" s="7" t="e">
        <f>_xlfn.STDEV.S(Pcfu43[[#This Row],[R1]:[R3]])/AVERAGE(Pcfu43[[#This Row],[R1]:[R3]])</f>
        <v>#VALUE!</v>
      </c>
      <c r="V821" s="96"/>
      <c r="W821" s="7"/>
    </row>
    <row r="822" spans="1:23" x14ac:dyDescent="0.15">
      <c r="A822" t="s">
        <v>720</v>
      </c>
      <c r="B822" t="s">
        <v>721</v>
      </c>
      <c r="D822" s="66" t="s">
        <v>86</v>
      </c>
      <c r="E822" s="3">
        <v>3</v>
      </c>
      <c r="G822">
        <v>0.3</v>
      </c>
      <c r="H822" s="5">
        <v>5.7</v>
      </c>
      <c r="I822" s="3" t="s">
        <v>170</v>
      </c>
      <c r="J822" s="59">
        <v>45042</v>
      </c>
      <c r="L822" s="59" t="e" cm="1">
        <f t="array" ref="L822">INDEX($J$4:J1912, MATCH(1,(A822=$A$4:A1910)*(C822=$C$4:C1910)*("Y"=$K$4:K1912),0))</f>
        <v>#N/A</v>
      </c>
      <c r="M822" s="1">
        <v>10000000</v>
      </c>
      <c r="N822">
        <v>50</v>
      </c>
      <c r="O822">
        <v>59</v>
      </c>
      <c r="P822">
        <v>60</v>
      </c>
      <c r="Q822" s="6">
        <f>(SUM(Pcfu4[[#This Row],[R1]:[R3]]))/(Pcfu4[[#This Row],[No. Reps]]*0.025)*Pcfu4[[#This Row],[Best DF]]</f>
        <v>22533333333.333332</v>
      </c>
      <c r="R822" s="1">
        <f>_xlfn.STDEV.S(Pcfu4[[#This Row],[R1]:[R3]])/0.025*Pcfu4[[#This Row],[Best DF]]</f>
        <v>2203028218.9144406</v>
      </c>
      <c r="S822" s="6">
        <f>Pcfu4[[#This Row],[CFU/mL]]*Pcfu4[[#This Row],[mL]]/Pcfu4[[#This Row],[grams]]</f>
        <v>428133333333.33337</v>
      </c>
      <c r="T822" s="1">
        <f>Pcfu4[[#This Row],[SD CFU/mL]]*Pcfu4[[#This Row],[mL]]/Pcfu4[[#This Row],[grams]]</f>
        <v>41857536159.374374</v>
      </c>
      <c r="U822" s="7" t="e">
        <f>_xlfn.STDEV.S(Pcfu43[[#This Row],[R1]:[R3]])/AVERAGE(Pcfu43[[#This Row],[R1]:[R3]])</f>
        <v>#VALUE!</v>
      </c>
      <c r="V822" s="96"/>
      <c r="W822" s="7"/>
    </row>
    <row r="823" spans="1:23" x14ac:dyDescent="0.15">
      <c r="A823" t="s">
        <v>722</v>
      </c>
      <c r="C823" t="s">
        <v>723</v>
      </c>
      <c r="D823" s="66" t="s">
        <v>243</v>
      </c>
      <c r="E823" s="3">
        <v>3</v>
      </c>
      <c r="G823">
        <v>0.3</v>
      </c>
      <c r="H823" s="5">
        <v>5.7</v>
      </c>
      <c r="I823" s="3" t="s">
        <v>170</v>
      </c>
      <c r="J823" s="59">
        <v>45056</v>
      </c>
      <c r="L823" s="59" t="e" cm="1">
        <f t="array" ref="L823">INDEX($J$4:J1913, MATCH(1,(A823=$A$4:A1911)*(C823=$C$4:C1911)*("Y"=$K$4:K1913),0))</f>
        <v>#N/A</v>
      </c>
      <c r="M823" s="1">
        <v>100</v>
      </c>
      <c r="N823">
        <v>152</v>
      </c>
      <c r="O823">
        <v>78</v>
      </c>
      <c r="P823">
        <v>120</v>
      </c>
      <c r="Q823" s="6">
        <f>(SUM(Pcfu4[[#This Row],[R1]:[R3]]))/(Pcfu4[[#This Row],[No. Reps]]*0.025)*Pcfu4[[#This Row],[Best DF]]</f>
        <v>466666.66666666663</v>
      </c>
      <c r="R823" s="1">
        <f>_xlfn.STDEV.S(Pcfu4[[#This Row],[R1]:[R3]])/0.025*Pcfu4[[#This Row],[Best DF]]</f>
        <v>148449.76703697891</v>
      </c>
      <c r="S823" s="6">
        <f>Pcfu4[[#This Row],[CFU/mL]]*Pcfu4[[#This Row],[mL]]/Pcfu4[[#This Row],[grams]]</f>
        <v>8866666.6666666679</v>
      </c>
      <c r="T823" s="1">
        <f>Pcfu4[[#This Row],[SD CFU/mL]]*Pcfu4[[#This Row],[mL]]/Pcfu4[[#This Row],[grams]]</f>
        <v>2820545.5737025994</v>
      </c>
      <c r="U823" s="7" t="e">
        <f>_xlfn.STDEV.S(Pcfu43[[#This Row],[R1]:[R3]])/AVERAGE(Pcfu43[[#This Row],[R1]:[R3]])</f>
        <v>#VALUE!</v>
      </c>
      <c r="V823" s="96"/>
      <c r="W823" s="7"/>
    </row>
    <row r="824" spans="1:23" x14ac:dyDescent="0.15">
      <c r="A824" t="s">
        <v>722</v>
      </c>
      <c r="C824" t="s">
        <v>723</v>
      </c>
      <c r="D824" s="66" t="s">
        <v>243</v>
      </c>
      <c r="E824" s="3">
        <v>3</v>
      </c>
      <c r="G824">
        <v>0.3</v>
      </c>
      <c r="H824" s="5">
        <v>5.7</v>
      </c>
      <c r="I824" s="3" t="s">
        <v>98</v>
      </c>
      <c r="J824" s="59">
        <v>45056</v>
      </c>
      <c r="L824" s="59" t="e" cm="1">
        <f t="array" ref="L824">INDEX($J$4:J1914, MATCH(1,(A824=$A$4:A1912)*(C824=$C$4:C1912)*("Y"=$K$4:K1914),0))</f>
        <v>#N/A</v>
      </c>
      <c r="M824" s="1">
        <v>100</v>
      </c>
      <c r="N824">
        <v>136</v>
      </c>
      <c r="O824">
        <v>62</v>
      </c>
      <c r="P824">
        <v>120</v>
      </c>
      <c r="Q824" s="6">
        <f>(SUM(Pcfu4[[#This Row],[R1]:[R3]]))/(Pcfu4[[#This Row],[No. Reps]]*0.025)*Pcfu4[[#This Row],[Best DF]]</f>
        <v>423999.99999999988</v>
      </c>
      <c r="R824" s="1">
        <f>_xlfn.STDEV.S(Pcfu4[[#This Row],[R1]:[R3]])/0.025*Pcfu4[[#This Row],[Best DF]]</f>
        <v>155743.37867145427</v>
      </c>
      <c r="S824" s="6">
        <f>Pcfu4[[#This Row],[CFU/mL]]*Pcfu4[[#This Row],[mL]]/Pcfu4[[#This Row],[grams]]</f>
        <v>8055999.9999999991</v>
      </c>
      <c r="T824" s="1">
        <f>Pcfu4[[#This Row],[SD CFU/mL]]*Pcfu4[[#This Row],[mL]]/Pcfu4[[#This Row],[grams]]</f>
        <v>2959124.194757631</v>
      </c>
      <c r="U824" s="7" t="e">
        <f>_xlfn.STDEV.S(Pcfu43[[#This Row],[R1]:[R3]])/AVERAGE(Pcfu43[[#This Row],[R1]:[R3]])</f>
        <v>#VALUE!</v>
      </c>
      <c r="V824" s="96"/>
      <c r="W824" s="7"/>
    </row>
    <row r="825" spans="1:23" x14ac:dyDescent="0.15">
      <c r="A825" t="s">
        <v>724</v>
      </c>
      <c r="C825" t="s">
        <v>723</v>
      </c>
      <c r="D825" s="66" t="s">
        <v>243</v>
      </c>
      <c r="E825" s="3">
        <v>3</v>
      </c>
      <c r="G825">
        <v>0.3</v>
      </c>
      <c r="H825" s="5">
        <v>5.7</v>
      </c>
      <c r="I825" s="3" t="s">
        <v>170</v>
      </c>
      <c r="J825" s="59">
        <v>45056</v>
      </c>
      <c r="L825" s="59" t="e" cm="1">
        <f t="array" ref="L825">INDEX($J$4:J1915, MATCH(1,(A825=$A$4:A1913)*(C825=$C$4:C1913)*("Y"=$K$4:K1915),0))</f>
        <v>#N/A</v>
      </c>
      <c r="M825" s="1">
        <v>100</v>
      </c>
      <c r="N825">
        <v>36</v>
      </c>
      <c r="O825">
        <v>43</v>
      </c>
      <c r="P825">
        <v>28</v>
      </c>
      <c r="Q825" s="6">
        <f>(SUM(Pcfu4[[#This Row],[R1]:[R3]]))/(Pcfu4[[#This Row],[No. Reps]]*0.025)*Pcfu4[[#This Row],[Best DF]]</f>
        <v>142666.66666666666</v>
      </c>
      <c r="R825" s="1">
        <f>_xlfn.STDEV.S(Pcfu4[[#This Row],[R1]:[R3]])/0.025*Pcfu4[[#This Row],[Best DF]]</f>
        <v>30022.213997860519</v>
      </c>
      <c r="S825" s="6">
        <f>Pcfu4[[#This Row],[CFU/mL]]*Pcfu4[[#This Row],[mL]]/Pcfu4[[#This Row],[grams]]</f>
        <v>2710666.666666667</v>
      </c>
      <c r="T825" s="1">
        <f>Pcfu4[[#This Row],[SD CFU/mL]]*Pcfu4[[#This Row],[mL]]/Pcfu4[[#This Row],[grams]]</f>
        <v>570422.06595934986</v>
      </c>
      <c r="U825" s="7" t="e">
        <f>_xlfn.STDEV.S(Pcfu43[[#This Row],[R1]:[R3]])/AVERAGE(Pcfu43[[#This Row],[R1]:[R3]])</f>
        <v>#VALUE!</v>
      </c>
      <c r="V825" s="96"/>
      <c r="W825" s="7"/>
    </row>
    <row r="826" spans="1:23" x14ac:dyDescent="0.15">
      <c r="A826" t="s">
        <v>724</v>
      </c>
      <c r="C826" t="s">
        <v>723</v>
      </c>
      <c r="D826" s="66" t="s">
        <v>243</v>
      </c>
      <c r="E826" s="3">
        <v>3</v>
      </c>
      <c r="G826">
        <v>0.3</v>
      </c>
      <c r="H826" s="5">
        <v>5.7</v>
      </c>
      <c r="I826" s="3" t="s">
        <v>98</v>
      </c>
      <c r="J826" s="59">
        <v>45056</v>
      </c>
      <c r="L826" s="59" t="e" cm="1">
        <f t="array" ref="L826">INDEX($J$4:J1916, MATCH(1,(A826=$A$4:A1914)*(C826=$C$4:C1914)*("Y"=$K$4:K1916),0))</f>
        <v>#N/A</v>
      </c>
      <c r="M826" s="1">
        <v>100</v>
      </c>
      <c r="N826">
        <v>43</v>
      </c>
      <c r="O826">
        <v>40</v>
      </c>
      <c r="P826">
        <v>38</v>
      </c>
      <c r="Q826" s="6">
        <f>(SUM(Pcfu4[[#This Row],[R1]:[R3]]))/(Pcfu4[[#This Row],[No. Reps]]*0.025)*Pcfu4[[#This Row],[Best DF]]</f>
        <v>161333.33333333331</v>
      </c>
      <c r="R826" s="1">
        <f>_xlfn.STDEV.S(Pcfu4[[#This Row],[R1]:[R3]])/0.025*Pcfu4[[#This Row],[Best DF]]</f>
        <v>10066.445913694331</v>
      </c>
      <c r="S826" s="6">
        <f>Pcfu4[[#This Row],[CFU/mL]]*Pcfu4[[#This Row],[mL]]/Pcfu4[[#This Row],[grams]]</f>
        <v>3065333.333333333</v>
      </c>
      <c r="T826" s="1">
        <f>Pcfu4[[#This Row],[SD CFU/mL]]*Pcfu4[[#This Row],[mL]]/Pcfu4[[#This Row],[grams]]</f>
        <v>191262.4723601923</v>
      </c>
      <c r="U826" s="7" t="e">
        <f>_xlfn.STDEV.S(Pcfu43[[#This Row],[R1]:[R3]])/AVERAGE(Pcfu43[[#This Row],[R1]:[R3]])</f>
        <v>#VALUE!</v>
      </c>
      <c r="V826" s="96"/>
      <c r="W826" s="7"/>
    </row>
    <row r="827" spans="1:23" x14ac:dyDescent="0.15">
      <c r="A827" t="s">
        <v>725</v>
      </c>
      <c r="C827" t="s">
        <v>723</v>
      </c>
      <c r="D827" s="66" t="s">
        <v>246</v>
      </c>
      <c r="E827" s="3">
        <v>3</v>
      </c>
      <c r="G827">
        <v>0.3</v>
      </c>
      <c r="H827" s="5">
        <v>5.7</v>
      </c>
      <c r="I827" s="3" t="s">
        <v>170</v>
      </c>
      <c r="J827" s="59">
        <v>45056</v>
      </c>
      <c r="L827" s="59" t="e" cm="1">
        <f t="array" ref="L827">INDEX($J$4:J1917, MATCH(1,(A827=$A$4:A1915)*(C827=$C$4:C1915)*("Y"=$K$4:K1917),0))</f>
        <v>#N/A</v>
      </c>
      <c r="M827" s="1">
        <v>100</v>
      </c>
      <c r="N827">
        <v>261</v>
      </c>
      <c r="O827">
        <v>235</v>
      </c>
      <c r="P827">
        <v>153</v>
      </c>
      <c r="Q827" s="6">
        <f>(SUM(Pcfu4[[#This Row],[R1]:[R3]]))/(Pcfu4[[#This Row],[No. Reps]]*0.025)*Pcfu4[[#This Row],[Best DF]]</f>
        <v>865333.33333333326</v>
      </c>
      <c r="R827" s="1">
        <f>_xlfn.STDEV.S(Pcfu4[[#This Row],[R1]:[R3]])/0.025*Pcfu4[[#This Row],[Best DF]]</f>
        <v>225471.35812189814</v>
      </c>
      <c r="S827" s="6">
        <f>Pcfu4[[#This Row],[CFU/mL]]*Pcfu4[[#This Row],[mL]]/Pcfu4[[#This Row],[grams]]</f>
        <v>16441333.333333334</v>
      </c>
      <c r="T827" s="1">
        <f>Pcfu4[[#This Row],[SD CFU/mL]]*Pcfu4[[#This Row],[mL]]/Pcfu4[[#This Row],[grams]]</f>
        <v>4283955.8043160653</v>
      </c>
      <c r="U827" s="7" t="e">
        <f>_xlfn.STDEV.S(Pcfu43[[#This Row],[R1]:[R3]])/AVERAGE(Pcfu43[[#This Row],[R1]:[R3]])</f>
        <v>#VALUE!</v>
      </c>
      <c r="V827" s="96"/>
      <c r="W827" s="7"/>
    </row>
    <row r="828" spans="1:23" x14ac:dyDescent="0.15">
      <c r="A828" t="s">
        <v>725</v>
      </c>
      <c r="C828" t="s">
        <v>723</v>
      </c>
      <c r="D828" s="66" t="s">
        <v>246</v>
      </c>
      <c r="E828" s="3">
        <v>3</v>
      </c>
      <c r="G828">
        <v>0.3</v>
      </c>
      <c r="H828" s="5">
        <v>5.7</v>
      </c>
      <c r="I828" s="3" t="s">
        <v>98</v>
      </c>
      <c r="J828" s="59">
        <v>45056</v>
      </c>
      <c r="L828" s="59" t="e" cm="1">
        <f t="array" ref="L828">INDEX($J$4:J1918, MATCH(1,(A828=$A$4:A1916)*(C828=$C$4:C1916)*("Y"=$K$4:K1918),0))</f>
        <v>#N/A</v>
      </c>
      <c r="M828" s="1">
        <v>100</v>
      </c>
      <c r="N828">
        <v>225</v>
      </c>
      <c r="O828">
        <v>258</v>
      </c>
      <c r="P828">
        <v>149</v>
      </c>
      <c r="Q828" s="6">
        <f>(SUM(Pcfu4[[#This Row],[R1]:[R3]]))/(Pcfu4[[#This Row],[No. Reps]]*0.025)*Pcfu4[[#This Row],[Best DF]]</f>
        <v>842666.66666666663</v>
      </c>
      <c r="R828" s="1">
        <f>_xlfn.STDEV.S(Pcfu4[[#This Row],[R1]:[R3]])/0.025*Pcfu4[[#This Row],[Best DF]]</f>
        <v>223582.94508600884</v>
      </c>
      <c r="S828" s="6">
        <f>Pcfu4[[#This Row],[CFU/mL]]*Pcfu4[[#This Row],[mL]]/Pcfu4[[#This Row],[grams]]</f>
        <v>16010666.666666668</v>
      </c>
      <c r="T828" s="1">
        <f>Pcfu4[[#This Row],[SD CFU/mL]]*Pcfu4[[#This Row],[mL]]/Pcfu4[[#This Row],[grams]]</f>
        <v>4248075.9566341685</v>
      </c>
      <c r="U828" s="7" t="e">
        <f>_xlfn.STDEV.S(Pcfu43[[#This Row],[R1]:[R3]])/AVERAGE(Pcfu43[[#This Row],[R1]:[R3]])</f>
        <v>#VALUE!</v>
      </c>
      <c r="V828" s="96"/>
      <c r="W828" s="7"/>
    </row>
    <row r="829" spans="1:23" x14ac:dyDescent="0.15">
      <c r="A829" t="s">
        <v>726</v>
      </c>
      <c r="B829" t="s">
        <v>727</v>
      </c>
      <c r="D829" t="s">
        <v>86</v>
      </c>
      <c r="E829" s="3">
        <v>3</v>
      </c>
      <c r="G829">
        <v>0.30930000000000002</v>
      </c>
      <c r="H829" s="5">
        <v>5.97</v>
      </c>
      <c r="I829" s="3" t="s">
        <v>28</v>
      </c>
      <c r="J829" s="59">
        <v>45061</v>
      </c>
      <c r="L829" s="59" t="e" cm="1">
        <f t="array" ref="L829">INDEX($J$4:J1919, MATCH(1,(A829=$A$4:A1917)*(C829=$C$4:C1917)*("Y"=$K$4:K1919),0))</f>
        <v>#N/A</v>
      </c>
      <c r="M829" s="1">
        <v>1000000</v>
      </c>
      <c r="N829">
        <v>269</v>
      </c>
      <c r="O829">
        <v>222</v>
      </c>
      <c r="P829">
        <v>242</v>
      </c>
      <c r="Q829" s="6">
        <f>(SUM(Pcfu4[[#This Row],[R1]:[R3]]))/(Pcfu4[[#This Row],[No. Reps]]*0.025)*Pcfu4[[#This Row],[Best DF]]</f>
        <v>9773333333.3333321</v>
      </c>
      <c r="R829" s="1">
        <f>_xlfn.STDEV.S(Pcfu4[[#This Row],[R1]:[R3]])/0.025*Pcfu4[[#This Row],[Best DF]]</f>
        <v>943468777.08450592</v>
      </c>
      <c r="S829" s="6">
        <f>Pcfu4[[#This Row],[CFU/mL]]*Pcfu4[[#This Row],[mL]]/Pcfu4[[#This Row],[grams]]</f>
        <v>188641448431.94305</v>
      </c>
      <c r="T829" s="1">
        <f>Pcfu4[[#This Row],[SD CFU/mL]]*Pcfu4[[#This Row],[mL]]/Pcfu4[[#This Row],[grams]]</f>
        <v>18210503068.847397</v>
      </c>
      <c r="U829" s="7" t="e">
        <f>_xlfn.STDEV.S(Pcfu43[[#This Row],[R1]:[R3]])/AVERAGE(Pcfu43[[#This Row],[R1]:[R3]])</f>
        <v>#VALUE!</v>
      </c>
      <c r="V829" s="96"/>
      <c r="W829" s="7"/>
    </row>
    <row r="830" spans="1:23" x14ac:dyDescent="0.15">
      <c r="A830" t="s">
        <v>728</v>
      </c>
      <c r="B830" t="s">
        <v>729</v>
      </c>
      <c r="D830" t="s">
        <v>86</v>
      </c>
      <c r="E830" s="3">
        <v>3</v>
      </c>
      <c r="G830">
        <v>0.31019999999999998</v>
      </c>
      <c r="H830" s="5">
        <v>5.97</v>
      </c>
      <c r="I830" s="3" t="s">
        <v>28</v>
      </c>
      <c r="J830" s="59">
        <v>45061</v>
      </c>
      <c r="L830" s="59" t="e" cm="1">
        <f t="array" ref="L830">INDEX($J$4:J1920, MATCH(1,(A830=$A$4:A1918)*(C830=$C$4:C1918)*("Y"=$K$4:K1920),0))</f>
        <v>#N/A</v>
      </c>
      <c r="M830" s="1">
        <v>10000000</v>
      </c>
      <c r="N830">
        <v>102</v>
      </c>
      <c r="O830">
        <v>81</v>
      </c>
      <c r="P830">
        <v>85</v>
      </c>
      <c r="Q830" s="6">
        <f>(SUM(Pcfu4[[#This Row],[R1]:[R3]]))/(Pcfu4[[#This Row],[No. Reps]]*0.025)*Pcfu4[[#This Row],[Best DF]]</f>
        <v>35733333333.333328</v>
      </c>
      <c r="R830" s="1">
        <f>_xlfn.STDEV.S(Pcfu4[[#This Row],[R1]:[R3]])/0.025*Pcfu4[[#This Row],[Best DF]]</f>
        <v>4460194315.6474056</v>
      </c>
      <c r="S830" s="6">
        <f>Pcfu4[[#This Row],[CFU/mL]]*Pcfu4[[#This Row],[mL]]/Pcfu4[[#This Row],[grams]]</f>
        <v>687711154094.13281</v>
      </c>
      <c r="T830" s="1">
        <f>Pcfu4[[#This Row],[SD CFU/mL]]*Pcfu4[[#This Row],[mL]]/Pcfu4[[#This Row],[grams]]</f>
        <v>85839329672.517776</v>
      </c>
      <c r="U830" s="7" t="e">
        <f>_xlfn.STDEV.S(Pcfu43[[#This Row],[R1]:[R3]])/AVERAGE(Pcfu43[[#This Row],[R1]:[R3]])</f>
        <v>#VALUE!</v>
      </c>
      <c r="V830" s="96"/>
      <c r="W830" s="7"/>
    </row>
    <row r="831" spans="1:23" x14ac:dyDescent="0.15">
      <c r="A831" t="s">
        <v>726</v>
      </c>
      <c r="C831" t="s">
        <v>608</v>
      </c>
      <c r="D831" s="66" t="s">
        <v>312</v>
      </c>
      <c r="E831" s="3">
        <v>3</v>
      </c>
      <c r="F831" t="s">
        <v>730</v>
      </c>
      <c r="G831">
        <v>0.3</v>
      </c>
      <c r="H831" s="5">
        <v>5.7</v>
      </c>
      <c r="I831" s="3" t="s">
        <v>170</v>
      </c>
      <c r="J831" s="59">
        <v>45063</v>
      </c>
      <c r="L831" s="59" t="e" cm="1">
        <f t="array" ref="L831">INDEX($J$4:J1921, MATCH(1,(A831=$A$4:A1919)*(C831=$C$4:C1919)*("Y"=$K$4:K1921),0))</f>
        <v>#N/A</v>
      </c>
      <c r="M831" s="1">
        <v>10</v>
      </c>
      <c r="N831">
        <v>217</v>
      </c>
      <c r="O831">
        <v>200</v>
      </c>
      <c r="P831">
        <v>58</v>
      </c>
      <c r="Q831" s="6">
        <f>(SUM(Pcfu4[[#This Row],[R1]:[R3]]))/(Pcfu4[[#This Row],[No. Reps]]*0.025)*Pcfu4[[#This Row],[Best DF]]</f>
        <v>63333.333333333321</v>
      </c>
      <c r="R831" s="1">
        <f>_xlfn.STDEV.S(Pcfu4[[#This Row],[R1]:[R3]])/0.025*Pcfu4[[#This Row],[Best DF]]</f>
        <v>34922.390143478631</v>
      </c>
      <c r="S831" s="6">
        <f>Pcfu4[[#This Row],[CFU/mL]]*Pcfu4[[#This Row],[mL]]/Pcfu4[[#This Row],[grams]]</f>
        <v>1203333.3333333333</v>
      </c>
      <c r="T831" s="1">
        <f>Pcfu4[[#This Row],[SD CFU/mL]]*Pcfu4[[#This Row],[mL]]/Pcfu4[[#This Row],[grams]]</f>
        <v>663525.41272609401</v>
      </c>
      <c r="U831" s="7" t="e">
        <f>_xlfn.STDEV.S(Pcfu43[[#This Row],[R1]:[R3]])/AVERAGE(Pcfu43[[#This Row],[R1]:[R3]])</f>
        <v>#VALUE!</v>
      </c>
      <c r="V831" s="96"/>
      <c r="W831" s="7"/>
    </row>
    <row r="832" spans="1:23" x14ac:dyDescent="0.15">
      <c r="A832" t="s">
        <v>728</v>
      </c>
      <c r="C832" t="s">
        <v>608</v>
      </c>
      <c r="D832" s="66" t="s">
        <v>312</v>
      </c>
      <c r="E832" s="3">
        <v>3</v>
      </c>
      <c r="F832" t="s">
        <v>730</v>
      </c>
      <c r="G832">
        <v>0.3</v>
      </c>
      <c r="H832" s="5">
        <v>5.7</v>
      </c>
      <c r="I832" s="3" t="s">
        <v>170</v>
      </c>
      <c r="J832" s="59">
        <v>45063</v>
      </c>
      <c r="L832" s="59" t="e" cm="1">
        <f t="array" ref="L832">INDEX($J$4:J1922, MATCH(1,(A832=$A$4:A1920)*(C832=$C$4:C1920)*("Y"=$K$4:K1922),0))</f>
        <v>#N/A</v>
      </c>
      <c r="M832" s="1">
        <v>1000</v>
      </c>
      <c r="N832">
        <v>56</v>
      </c>
      <c r="O832">
        <v>65</v>
      </c>
      <c r="P832">
        <v>214</v>
      </c>
      <c r="Q832" s="6">
        <f>(SUM(Pcfu4[[#This Row],[R1]:[R3]]))/(Pcfu4[[#This Row],[No. Reps]]*0.025)*Pcfu4[[#This Row],[Best DF]]</f>
        <v>4466666.666666666</v>
      </c>
      <c r="R832" s="1">
        <f>_xlfn.STDEV.S(Pcfu4[[#This Row],[R1]:[R3]])/0.025*Pcfu4[[#This Row],[Best DF]]</f>
        <v>3549497.6170344632</v>
      </c>
      <c r="S832" s="6">
        <f>Pcfu4[[#This Row],[CFU/mL]]*Pcfu4[[#This Row],[mL]]/Pcfu4[[#This Row],[grams]]</f>
        <v>84866666.666666657</v>
      </c>
      <c r="T832" s="1">
        <f>Pcfu4[[#This Row],[SD CFU/mL]]*Pcfu4[[#This Row],[mL]]/Pcfu4[[#This Row],[grams]]</f>
        <v>67440454.723654807</v>
      </c>
      <c r="U832" s="7" t="e">
        <f>_xlfn.STDEV.S(Pcfu43[[#This Row],[R1]:[R3]])/AVERAGE(Pcfu43[[#This Row],[R1]:[R3]])</f>
        <v>#VALUE!</v>
      </c>
      <c r="V832" s="96"/>
      <c r="W832" s="7"/>
    </row>
    <row r="833" spans="1:23" x14ac:dyDescent="0.15">
      <c r="A833" t="s">
        <v>731</v>
      </c>
      <c r="C833" t="s">
        <v>608</v>
      </c>
      <c r="D833" s="66" t="s">
        <v>253</v>
      </c>
      <c r="E833" s="3">
        <v>1</v>
      </c>
      <c r="F833" t="s">
        <v>732</v>
      </c>
      <c r="G833">
        <v>0.3</v>
      </c>
      <c r="H833" s="5">
        <v>5.7</v>
      </c>
      <c r="I833" s="3" t="s">
        <v>170</v>
      </c>
      <c r="J833" s="59">
        <v>45065</v>
      </c>
      <c r="L833" s="59" t="e" cm="1">
        <f t="array" ref="L833">INDEX($J$4:J1923, MATCH(1,(A833=$A$4:A1921)*(C833=$C$4:C1921)*("Y"=$K$4:K1923),0))</f>
        <v>#N/A</v>
      </c>
      <c r="M833" s="1">
        <v>10</v>
      </c>
      <c r="N833">
        <v>35</v>
      </c>
      <c r="Q833" s="6">
        <f>(SUM(Pcfu4[[#This Row],[R1]:[R3]]))/(Pcfu4[[#This Row],[No. Reps]]*0.025)*Pcfu4[[#This Row],[Best DF]]</f>
        <v>14000</v>
      </c>
      <c r="R833" s="1" t="e">
        <f>_xlfn.STDEV.S(Pcfu4[[#This Row],[R1]:[R3]])/0.025*Pcfu4[[#This Row],[Best DF]]</f>
        <v>#DIV/0!</v>
      </c>
      <c r="S833" s="6">
        <f>Pcfu4[[#This Row],[CFU/mL]]*Pcfu4[[#This Row],[mL]]/Pcfu4[[#This Row],[grams]]</f>
        <v>266000</v>
      </c>
      <c r="T833" s="1" t="e">
        <f>Pcfu4[[#This Row],[SD CFU/mL]]*Pcfu4[[#This Row],[mL]]/Pcfu4[[#This Row],[grams]]</f>
        <v>#DIV/0!</v>
      </c>
      <c r="U833" s="7" t="e">
        <f>_xlfn.STDEV.S(Pcfu43[[#This Row],[R1]:[R3]])/AVERAGE(Pcfu43[[#This Row],[R1]:[R3]])</f>
        <v>#VALUE!</v>
      </c>
      <c r="V833" s="96"/>
      <c r="W833" s="7"/>
    </row>
    <row r="834" spans="1:23" x14ac:dyDescent="0.15">
      <c r="A834" t="s">
        <v>733</v>
      </c>
      <c r="C834" t="s">
        <v>723</v>
      </c>
      <c r="D834" s="66" t="s">
        <v>253</v>
      </c>
      <c r="E834" s="3">
        <v>3</v>
      </c>
      <c r="F834" t="s">
        <v>732</v>
      </c>
      <c r="G834">
        <v>0.3</v>
      </c>
      <c r="H834" s="5">
        <v>5.7</v>
      </c>
      <c r="I834" s="3" t="s">
        <v>170</v>
      </c>
      <c r="J834" s="59">
        <v>45065</v>
      </c>
      <c r="L834" s="59" t="e" cm="1">
        <f t="array" ref="L834">INDEX($J$4:J1924, MATCH(1,(A834=$A$4:A1922)*(C834=$C$4:C1922)*("Y"=$K$4:K1924),0))</f>
        <v>#N/A</v>
      </c>
      <c r="M834" s="1">
        <v>1</v>
      </c>
      <c r="N834">
        <v>13</v>
      </c>
      <c r="O834">
        <v>19</v>
      </c>
      <c r="P834">
        <v>4</v>
      </c>
      <c r="Q834" s="6">
        <f>(SUM(Pcfu4[[#This Row],[R1]:[R3]]))/(Pcfu4[[#This Row],[No. Reps]]*0.025)*Pcfu4[[#This Row],[Best DF]]</f>
        <v>479.99999999999994</v>
      </c>
      <c r="R834" s="1">
        <f>_xlfn.STDEV.S(Pcfu4[[#This Row],[R1]:[R3]])/0.025*Pcfu4[[#This Row],[Best DF]]</f>
        <v>301.99337741082996</v>
      </c>
      <c r="S834" s="6">
        <f>Pcfu4[[#This Row],[CFU/mL]]*Pcfu4[[#This Row],[mL]]/Pcfu4[[#This Row],[grams]]</f>
        <v>9119.9999999999982</v>
      </c>
      <c r="T834" s="1">
        <f>Pcfu4[[#This Row],[SD CFU/mL]]*Pcfu4[[#This Row],[mL]]/Pcfu4[[#This Row],[grams]]</f>
        <v>5737.8741708057696</v>
      </c>
      <c r="U834" s="7" t="e">
        <f>_xlfn.STDEV.S(Pcfu43[[#This Row],[R1]:[R3]])/AVERAGE(Pcfu43[[#This Row],[R1]:[R3]])</f>
        <v>#VALUE!</v>
      </c>
      <c r="V834" s="96"/>
      <c r="W834" s="7"/>
    </row>
    <row r="835" spans="1:23" x14ac:dyDescent="0.15">
      <c r="A835" t="s">
        <v>734</v>
      </c>
      <c r="C835" t="s">
        <v>723</v>
      </c>
      <c r="D835" s="66" t="s">
        <v>253</v>
      </c>
      <c r="E835" s="3">
        <v>3</v>
      </c>
      <c r="F835" t="s">
        <v>732</v>
      </c>
      <c r="G835">
        <v>0.3</v>
      </c>
      <c r="H835" s="5">
        <v>5.7</v>
      </c>
      <c r="I835" s="3" t="s">
        <v>170</v>
      </c>
      <c r="J835" s="59">
        <v>45065</v>
      </c>
      <c r="L835" s="59" t="e" cm="1">
        <f t="array" ref="L835">INDEX($J$4:J1925, MATCH(1,(A835=$A$4:A1923)*(C835=$C$4:C1923)*("Y"=$K$4:K1925),0))</f>
        <v>#N/A</v>
      </c>
      <c r="M835" s="1">
        <v>10</v>
      </c>
      <c r="N835">
        <v>34</v>
      </c>
      <c r="O835">
        <v>49</v>
      </c>
      <c r="P835">
        <v>86</v>
      </c>
      <c r="Q835" s="6">
        <f>(SUM(Pcfu4[[#This Row],[R1]:[R3]]))/(Pcfu4[[#This Row],[No. Reps]]*0.025)*Pcfu4[[#This Row],[Best DF]]</f>
        <v>22533.333333333328</v>
      </c>
      <c r="R835" s="1">
        <f>_xlfn.STDEV.S(Pcfu4[[#This Row],[R1]:[R3]])/0.025*Pcfu4[[#This Row],[Best DF]]</f>
        <v>10705.761688611103</v>
      </c>
      <c r="S835" s="6">
        <f>Pcfu4[[#This Row],[CFU/mL]]*Pcfu4[[#This Row],[mL]]/Pcfu4[[#This Row],[grams]]</f>
        <v>428133.33333333326</v>
      </c>
      <c r="T835" s="1">
        <f>Pcfu4[[#This Row],[SD CFU/mL]]*Pcfu4[[#This Row],[mL]]/Pcfu4[[#This Row],[grams]]</f>
        <v>203409.47208361098</v>
      </c>
      <c r="U835" s="7" t="e">
        <f>_xlfn.STDEV.S(Pcfu43[[#This Row],[R1]:[R3]])/AVERAGE(Pcfu43[[#This Row],[R1]:[R3]])</f>
        <v>#VALUE!</v>
      </c>
      <c r="V835" s="96"/>
      <c r="W835" s="7"/>
    </row>
    <row r="836" spans="1:23" x14ac:dyDescent="0.15">
      <c r="A836" t="s">
        <v>735</v>
      </c>
      <c r="C836" t="s">
        <v>723</v>
      </c>
      <c r="D836" s="66" t="s">
        <v>253</v>
      </c>
      <c r="E836" s="3">
        <v>3</v>
      </c>
      <c r="F836" t="s">
        <v>732</v>
      </c>
      <c r="G836">
        <v>0.3</v>
      </c>
      <c r="H836" s="5">
        <v>5.7</v>
      </c>
      <c r="I836" s="3" t="s">
        <v>170</v>
      </c>
      <c r="J836" s="59">
        <v>45065</v>
      </c>
      <c r="L836" s="59" t="e" cm="1">
        <f t="array" ref="L836">INDEX($J$4:J1926, MATCH(1,(A836=$A$4:A1924)*(C836=$C$4:C1924)*("Y"=$K$4:K1926),0))</f>
        <v>#N/A</v>
      </c>
      <c r="M836" s="1">
        <v>10</v>
      </c>
      <c r="N836">
        <v>63</v>
      </c>
      <c r="O836">
        <v>33</v>
      </c>
      <c r="P836">
        <v>47</v>
      </c>
      <c r="Q836" s="6">
        <f>(SUM(Pcfu4[[#This Row],[R1]:[R3]]))/(Pcfu4[[#This Row],[No. Reps]]*0.025)*Pcfu4[[#This Row],[Best DF]]</f>
        <v>19066.666666666664</v>
      </c>
      <c r="R836" s="1">
        <f>_xlfn.STDEV.S(Pcfu4[[#This Row],[R1]:[R3]])/0.025*Pcfu4[[#This Row],[Best DF]]</f>
        <v>6004.4427995721089</v>
      </c>
      <c r="S836" s="6">
        <f>Pcfu4[[#This Row],[CFU/mL]]*Pcfu4[[#This Row],[mL]]/Pcfu4[[#This Row],[grams]]</f>
        <v>362266.66666666663</v>
      </c>
      <c r="T836" s="1">
        <f>Pcfu4[[#This Row],[SD CFU/mL]]*Pcfu4[[#This Row],[mL]]/Pcfu4[[#This Row],[grams]]</f>
        <v>114084.41319187007</v>
      </c>
      <c r="U836" s="7" t="e">
        <f>_xlfn.STDEV.S(Pcfu43[[#This Row],[R1]:[R3]])/AVERAGE(Pcfu43[[#This Row],[R1]:[R3]])</f>
        <v>#VALUE!</v>
      </c>
      <c r="V836" s="96"/>
      <c r="W836" s="7"/>
    </row>
    <row r="837" spans="1:23" x14ac:dyDescent="0.15">
      <c r="A837" t="s">
        <v>671</v>
      </c>
      <c r="C837" t="s">
        <v>723</v>
      </c>
      <c r="D837" s="66" t="s">
        <v>253</v>
      </c>
      <c r="E837" s="3">
        <v>3</v>
      </c>
      <c r="F837" t="s">
        <v>736</v>
      </c>
      <c r="G837">
        <v>0.3</v>
      </c>
      <c r="H837" s="5">
        <v>5.7</v>
      </c>
      <c r="I837" s="3" t="s">
        <v>170</v>
      </c>
      <c r="J837" s="59">
        <v>45065</v>
      </c>
      <c r="L837" s="59" t="e" cm="1">
        <f t="array" ref="L837">INDEX($J$4:J1927, MATCH(1,(A837=$A$4:A1925)*(C837=$C$4:C1925)*("Y"=$K$4:K1927),0))</f>
        <v>#N/A</v>
      </c>
      <c r="M837" s="1">
        <v>1</v>
      </c>
      <c r="N837">
        <v>43</v>
      </c>
      <c r="O837">
        <v>98</v>
      </c>
      <c r="P837">
        <v>132</v>
      </c>
      <c r="Q837" s="6">
        <f>(SUM(Pcfu4[[#This Row],[R1]:[R3]]))/(Pcfu4[[#This Row],[No. Reps]]*0.025)*Pcfu4[[#This Row],[Best DF]]</f>
        <v>3639.9999999999995</v>
      </c>
      <c r="R837" s="1">
        <f>_xlfn.STDEV.S(Pcfu4[[#This Row],[R1]:[R3]])/0.025*Pcfu4[[#This Row],[Best DF]]</f>
        <v>1796.4409258308494</v>
      </c>
      <c r="S837" s="6">
        <f>Pcfu4[[#This Row],[CFU/mL]]*Pcfu4[[#This Row],[mL]]/Pcfu4[[#This Row],[grams]]</f>
        <v>69159.999999999985</v>
      </c>
      <c r="T837" s="1">
        <f>Pcfu4[[#This Row],[SD CFU/mL]]*Pcfu4[[#This Row],[mL]]/Pcfu4[[#This Row],[grams]]</f>
        <v>34132.377590786142</v>
      </c>
      <c r="U837" s="7" t="e">
        <f>_xlfn.STDEV.S(Pcfu43[[#This Row],[R1]:[R3]])/AVERAGE(Pcfu43[[#This Row],[R1]:[R3]])</f>
        <v>#VALUE!</v>
      </c>
      <c r="V837" s="96"/>
      <c r="W837" s="7"/>
    </row>
    <row r="838" spans="1:23" x14ac:dyDescent="0.15">
      <c r="A838" t="s">
        <v>737</v>
      </c>
      <c r="C838" t="s">
        <v>723</v>
      </c>
      <c r="D838" s="66" t="s">
        <v>253</v>
      </c>
      <c r="E838" s="3">
        <v>3</v>
      </c>
      <c r="F838" t="s">
        <v>736</v>
      </c>
      <c r="G838">
        <v>0.3</v>
      </c>
      <c r="H838" s="5">
        <v>5.7</v>
      </c>
      <c r="I838" s="3" t="s">
        <v>170</v>
      </c>
      <c r="J838" s="59">
        <v>45065</v>
      </c>
      <c r="L838" s="59" t="e" cm="1">
        <f t="array" ref="L838">INDEX($J$4:J1928, MATCH(1,(A838=$A$4:A1926)*(C838=$C$4:C1926)*("Y"=$K$4:K1928),0))</f>
        <v>#N/A</v>
      </c>
      <c r="M838" s="1">
        <v>10</v>
      </c>
      <c r="N838">
        <v>32</v>
      </c>
      <c r="O838">
        <v>67</v>
      </c>
      <c r="P838">
        <v>79</v>
      </c>
      <c r="Q838" s="6">
        <f>(SUM(Pcfu4[[#This Row],[R1]:[R3]]))/(Pcfu4[[#This Row],[No. Reps]]*0.025)*Pcfu4[[#This Row],[Best DF]]</f>
        <v>23733.333333333328</v>
      </c>
      <c r="R838" s="1">
        <f>_xlfn.STDEV.S(Pcfu4[[#This Row],[R1]:[R3]])/0.025*Pcfu4[[#This Row],[Best DF]]</f>
        <v>9767.9748839425902</v>
      </c>
      <c r="S838" s="6">
        <f>Pcfu4[[#This Row],[CFU/mL]]*Pcfu4[[#This Row],[mL]]/Pcfu4[[#This Row],[grams]]</f>
        <v>450933.33333333326</v>
      </c>
      <c r="T838" s="1">
        <f>Pcfu4[[#This Row],[SD CFU/mL]]*Pcfu4[[#This Row],[mL]]/Pcfu4[[#This Row],[grams]]</f>
        <v>185591.52279490922</v>
      </c>
      <c r="U838" s="7" t="e">
        <f>_xlfn.STDEV.S(Pcfu43[[#This Row],[R1]:[R3]])/AVERAGE(Pcfu43[[#This Row],[R1]:[R3]])</f>
        <v>#VALUE!</v>
      </c>
      <c r="V838" s="96"/>
      <c r="W838" s="7"/>
    </row>
    <row r="839" spans="1:23" x14ac:dyDescent="0.15">
      <c r="A839" t="s">
        <v>738</v>
      </c>
      <c r="C839" t="s">
        <v>723</v>
      </c>
      <c r="D839" s="66" t="s">
        <v>253</v>
      </c>
      <c r="E839" s="3">
        <v>3</v>
      </c>
      <c r="F839" t="s">
        <v>736</v>
      </c>
      <c r="G839">
        <v>0.3</v>
      </c>
      <c r="H839" s="5">
        <v>5.7</v>
      </c>
      <c r="I839" s="3" t="s">
        <v>170</v>
      </c>
      <c r="J839" s="59">
        <v>45065</v>
      </c>
      <c r="L839" s="59" t="e" cm="1">
        <f t="array" ref="L839">INDEX($J$4:J1929, MATCH(1,(A839=$A$4:A1927)*(C839=$C$4:C1927)*("Y"=$K$4:K1929),0))</f>
        <v>#N/A</v>
      </c>
      <c r="M839" s="1">
        <v>10</v>
      </c>
      <c r="N839">
        <v>61</v>
      </c>
      <c r="O839">
        <v>47</v>
      </c>
      <c r="P839">
        <v>51</v>
      </c>
      <c r="Q839" s="6">
        <f>(SUM(Pcfu4[[#This Row],[R1]:[R3]]))/(Pcfu4[[#This Row],[No. Reps]]*0.025)*Pcfu4[[#This Row],[Best DF]]</f>
        <v>21199.999999999996</v>
      </c>
      <c r="R839" s="1">
        <f>_xlfn.STDEV.S(Pcfu4[[#This Row],[R1]:[R3]])/0.025*Pcfu4[[#This Row],[Best DF]]</f>
        <v>2884.4410203711914</v>
      </c>
      <c r="S839" s="6">
        <f>Pcfu4[[#This Row],[CFU/mL]]*Pcfu4[[#This Row],[mL]]/Pcfu4[[#This Row],[grams]]</f>
        <v>402799.99999999994</v>
      </c>
      <c r="T839" s="1">
        <f>Pcfu4[[#This Row],[SD CFU/mL]]*Pcfu4[[#This Row],[mL]]/Pcfu4[[#This Row],[grams]]</f>
        <v>54804.379387052642</v>
      </c>
      <c r="U839" s="7" t="e">
        <f>_xlfn.STDEV.S(Pcfu43[[#This Row],[R1]:[R3]])/AVERAGE(Pcfu43[[#This Row],[R1]:[R3]])</f>
        <v>#VALUE!</v>
      </c>
      <c r="V839" s="96"/>
      <c r="W839" s="7"/>
    </row>
    <row r="840" spans="1:23" x14ac:dyDescent="0.15">
      <c r="A840" t="s">
        <v>672</v>
      </c>
      <c r="C840" t="s">
        <v>723</v>
      </c>
      <c r="D840" s="66" t="s">
        <v>253</v>
      </c>
      <c r="E840" s="3">
        <v>3</v>
      </c>
      <c r="F840" t="s">
        <v>736</v>
      </c>
      <c r="G840">
        <v>0.3</v>
      </c>
      <c r="H840" s="5">
        <v>5.7</v>
      </c>
      <c r="I840" s="3" t="s">
        <v>170</v>
      </c>
      <c r="J840" s="59">
        <v>45065</v>
      </c>
      <c r="L840" s="59" t="e" cm="1">
        <f t="array" ref="L840">INDEX($J$4:J1930, MATCH(1,(A840=$A$4:A1928)*(C840=$C$4:C1928)*("Y"=$K$4:K1930),0))</f>
        <v>#N/A</v>
      </c>
      <c r="M840" s="1">
        <v>1</v>
      </c>
      <c r="N840">
        <v>80</v>
      </c>
      <c r="O840">
        <v>150</v>
      </c>
      <c r="P840">
        <v>84</v>
      </c>
      <c r="Q840" s="6">
        <f>(SUM(Pcfu4[[#This Row],[R1]:[R3]]))/(Pcfu4[[#This Row],[No. Reps]]*0.025)*Pcfu4[[#This Row],[Best DF]]</f>
        <v>4186.6666666666661</v>
      </c>
      <c r="R840" s="1">
        <f>_xlfn.STDEV.S(Pcfu4[[#This Row],[R1]:[R3]])/0.025*Pcfu4[[#This Row],[Best DF]]</f>
        <v>1572.4291186992598</v>
      </c>
      <c r="S840" s="6">
        <f>Pcfu4[[#This Row],[CFU/mL]]*Pcfu4[[#This Row],[mL]]/Pcfu4[[#This Row],[grams]]</f>
        <v>79546.666666666657</v>
      </c>
      <c r="T840" s="1">
        <f>Pcfu4[[#This Row],[SD CFU/mL]]*Pcfu4[[#This Row],[mL]]/Pcfu4[[#This Row],[grams]]</f>
        <v>29876.153255285935</v>
      </c>
      <c r="U840" s="7" t="e">
        <f>_xlfn.STDEV.S(Pcfu43[[#This Row],[R1]:[R3]])/AVERAGE(Pcfu43[[#This Row],[R1]:[R3]])</f>
        <v>#VALUE!</v>
      </c>
      <c r="V840" s="96"/>
      <c r="W840" s="7"/>
    </row>
    <row r="841" spans="1:23" x14ac:dyDescent="0.15">
      <c r="A841" t="s">
        <v>739</v>
      </c>
      <c r="C841" t="s">
        <v>723</v>
      </c>
      <c r="D841" s="66" t="s">
        <v>253</v>
      </c>
      <c r="E841" s="3">
        <v>3</v>
      </c>
      <c r="F841" t="s">
        <v>736</v>
      </c>
      <c r="G841">
        <v>0.3</v>
      </c>
      <c r="H841" s="5">
        <v>5.7</v>
      </c>
      <c r="I841" s="3" t="s">
        <v>170</v>
      </c>
      <c r="J841" s="59">
        <v>45065</v>
      </c>
      <c r="L841" s="59" t="e" cm="1">
        <f t="array" ref="L841">INDEX($J$4:J1931, MATCH(1,(A841=$A$4:A1929)*(C841=$C$4:C1929)*("Y"=$K$4:K1931),0))</f>
        <v>#N/A</v>
      </c>
      <c r="M841" s="1">
        <v>10</v>
      </c>
      <c r="N841">
        <v>32</v>
      </c>
      <c r="O841">
        <v>40</v>
      </c>
      <c r="P841">
        <v>81</v>
      </c>
      <c r="Q841" s="6">
        <f>(SUM(Pcfu4[[#This Row],[R1]:[R3]]))/(Pcfu4[[#This Row],[No. Reps]]*0.025)*Pcfu4[[#This Row],[Best DF]]</f>
        <v>20399.999999999996</v>
      </c>
      <c r="R841" s="1">
        <f>_xlfn.STDEV.S(Pcfu4[[#This Row],[R1]:[R3]])/0.025*Pcfu4[[#This Row],[Best DF]]</f>
        <v>10514.751542475931</v>
      </c>
      <c r="S841" s="6">
        <f>Pcfu4[[#This Row],[CFU/mL]]*Pcfu4[[#This Row],[mL]]/Pcfu4[[#This Row],[grams]]</f>
        <v>387599.99999999994</v>
      </c>
      <c r="T841" s="1">
        <f>Pcfu4[[#This Row],[SD CFU/mL]]*Pcfu4[[#This Row],[mL]]/Pcfu4[[#This Row],[grams]]</f>
        <v>199780.27930704271</v>
      </c>
      <c r="U841" s="7" t="e">
        <f>_xlfn.STDEV.S(Pcfu43[[#This Row],[R1]:[R3]])/AVERAGE(Pcfu43[[#This Row],[R1]:[R3]])</f>
        <v>#VALUE!</v>
      </c>
      <c r="V841" s="96"/>
      <c r="W841" s="7"/>
    </row>
    <row r="842" spans="1:23" x14ac:dyDescent="0.15">
      <c r="A842" t="s">
        <v>740</v>
      </c>
      <c r="C842" t="s">
        <v>723</v>
      </c>
      <c r="D842" s="66" t="s">
        <v>253</v>
      </c>
      <c r="E842" s="3">
        <v>3</v>
      </c>
      <c r="F842" t="s">
        <v>741</v>
      </c>
      <c r="G842">
        <v>0.3</v>
      </c>
      <c r="H842" s="5">
        <v>5.7</v>
      </c>
      <c r="I842" s="3" t="s">
        <v>170</v>
      </c>
      <c r="J842" s="59">
        <v>45065</v>
      </c>
      <c r="L842" s="59" t="e" cm="1">
        <f t="array" ref="L842">INDEX($J$4:J1932, MATCH(1,(A842=$A$4:A1930)*(C842=$C$4:C1930)*("Y"=$K$4:K1932),0))</f>
        <v>#N/A</v>
      </c>
      <c r="M842" s="1">
        <v>1</v>
      </c>
      <c r="N842">
        <v>207</v>
      </c>
      <c r="O842">
        <v>50</v>
      </c>
      <c r="P842">
        <v>96</v>
      </c>
      <c r="Q842" s="6">
        <f>(SUM(Pcfu4[[#This Row],[R1]:[R3]]))/(Pcfu4[[#This Row],[No. Reps]]*0.025)*Pcfu4[[#This Row],[Best DF]]</f>
        <v>4706.6666666666661</v>
      </c>
      <c r="R842" s="1">
        <f>_xlfn.STDEV.S(Pcfu4[[#This Row],[R1]:[R3]])/0.025*Pcfu4[[#This Row],[Best DF]]</f>
        <v>3228.4568036963619</v>
      </c>
      <c r="S842" s="6">
        <f>Pcfu4[[#This Row],[CFU/mL]]*Pcfu4[[#This Row],[mL]]/Pcfu4[[#This Row],[grams]]</f>
        <v>89426.666666666657</v>
      </c>
      <c r="T842" s="1">
        <f>Pcfu4[[#This Row],[SD CFU/mL]]*Pcfu4[[#This Row],[mL]]/Pcfu4[[#This Row],[grams]]</f>
        <v>61340.679270230881</v>
      </c>
      <c r="U842" s="7" t="e">
        <f>_xlfn.STDEV.S(Pcfu43[[#This Row],[R1]:[R3]])/AVERAGE(Pcfu43[[#This Row],[R1]:[R3]])</f>
        <v>#VALUE!</v>
      </c>
      <c r="V842" s="96"/>
      <c r="W842" s="7"/>
    </row>
    <row r="843" spans="1:23" x14ac:dyDescent="0.15">
      <c r="A843" t="s">
        <v>742</v>
      </c>
      <c r="C843" t="s">
        <v>723</v>
      </c>
      <c r="D843" s="66" t="s">
        <v>253</v>
      </c>
      <c r="E843" s="3">
        <v>3</v>
      </c>
      <c r="F843" t="s">
        <v>741</v>
      </c>
      <c r="G843">
        <v>0.3</v>
      </c>
      <c r="H843" s="5">
        <v>5.7</v>
      </c>
      <c r="I843" s="3" t="s">
        <v>170</v>
      </c>
      <c r="J843" s="59">
        <v>45065</v>
      </c>
      <c r="L843" s="59" t="e" cm="1">
        <f t="array" ref="L843">INDEX($J$4:J1933, MATCH(1,(A843=$A$4:A1931)*(C843=$C$4:C1931)*("Y"=$K$4:K1933),0))</f>
        <v>#N/A</v>
      </c>
      <c r="M843" s="1">
        <v>1</v>
      </c>
      <c r="N843">
        <v>77</v>
      </c>
      <c r="O843">
        <v>156</v>
      </c>
      <c r="P843">
        <v>73</v>
      </c>
      <c r="Q843" s="6">
        <f>(SUM(Pcfu4[[#This Row],[R1]:[R3]]))/(Pcfu4[[#This Row],[No. Reps]]*0.025)*Pcfu4[[#This Row],[Best DF]]</f>
        <v>4079.9999999999995</v>
      </c>
      <c r="R843" s="1">
        <f>_xlfn.STDEV.S(Pcfu4[[#This Row],[R1]:[R3]])/0.025*Pcfu4[[#This Row],[Best DF]]</f>
        <v>1872.324758154952</v>
      </c>
      <c r="S843" s="6">
        <f>Pcfu4[[#This Row],[CFU/mL]]*Pcfu4[[#This Row],[mL]]/Pcfu4[[#This Row],[grams]]</f>
        <v>77519.999999999985</v>
      </c>
      <c r="T843" s="1">
        <f>Pcfu4[[#This Row],[SD CFU/mL]]*Pcfu4[[#This Row],[mL]]/Pcfu4[[#This Row],[grams]]</f>
        <v>35574.170404944089</v>
      </c>
      <c r="U843" s="7" t="e">
        <f>_xlfn.STDEV.S(Pcfu43[[#This Row],[R1]:[R3]])/AVERAGE(Pcfu43[[#This Row],[R1]:[R3]])</f>
        <v>#VALUE!</v>
      </c>
      <c r="V843" s="96"/>
      <c r="W843" s="7"/>
    </row>
    <row r="844" spans="1:23" x14ac:dyDescent="0.15">
      <c r="A844" t="s">
        <v>743</v>
      </c>
      <c r="C844" t="s">
        <v>723</v>
      </c>
      <c r="D844" s="66" t="s">
        <v>243</v>
      </c>
      <c r="E844" s="3">
        <v>3</v>
      </c>
      <c r="F844" t="s">
        <v>736</v>
      </c>
      <c r="G844">
        <v>0.3</v>
      </c>
      <c r="H844" s="5">
        <v>5.7</v>
      </c>
      <c r="I844" s="3" t="s">
        <v>170</v>
      </c>
      <c r="J844" s="59">
        <v>45065</v>
      </c>
      <c r="L844" s="59" t="e" cm="1">
        <f t="array" ref="L844">INDEX($J$4:J1934, MATCH(1,(A844=$A$4:A1932)*(C844=$C$4:C1932)*("Y"=$K$4:K1934),0))</f>
        <v>#N/A</v>
      </c>
      <c r="M844" s="1">
        <v>10</v>
      </c>
      <c r="N844">
        <v>54</v>
      </c>
      <c r="O844">
        <v>32</v>
      </c>
      <c r="P844">
        <v>10</v>
      </c>
      <c r="Q844" s="6">
        <f>(SUM(Pcfu4[[#This Row],[R1]:[R3]]))/(Pcfu4[[#This Row],[No. Reps]]*0.025)*Pcfu4[[#This Row],[Best DF]]</f>
        <v>12799.999999999998</v>
      </c>
      <c r="R844" s="1">
        <f>_xlfn.STDEV.S(Pcfu4[[#This Row],[R1]:[R3]])/0.025*Pcfu4[[#This Row],[Best DF]]</f>
        <v>8800</v>
      </c>
      <c r="S844" s="6">
        <f>Pcfu4[[#This Row],[CFU/mL]]*Pcfu4[[#This Row],[mL]]/Pcfu4[[#This Row],[grams]]</f>
        <v>243199.99999999997</v>
      </c>
      <c r="T844" s="1">
        <f>Pcfu4[[#This Row],[SD CFU/mL]]*Pcfu4[[#This Row],[mL]]/Pcfu4[[#This Row],[grams]]</f>
        <v>167200</v>
      </c>
      <c r="U844" s="7" t="e">
        <f>_xlfn.STDEV.S(Pcfu43[[#This Row],[R1]:[R3]])/AVERAGE(Pcfu43[[#This Row],[R1]:[R3]])</f>
        <v>#VALUE!</v>
      </c>
      <c r="V844" s="96"/>
      <c r="W844" s="7"/>
    </row>
    <row r="845" spans="1:23" x14ac:dyDescent="0.15">
      <c r="A845" t="s">
        <v>724</v>
      </c>
      <c r="C845" t="s">
        <v>723</v>
      </c>
      <c r="D845" s="66" t="s">
        <v>243</v>
      </c>
      <c r="E845" s="3">
        <v>3</v>
      </c>
      <c r="F845" t="s">
        <v>744</v>
      </c>
      <c r="G845">
        <v>0.3</v>
      </c>
      <c r="H845" s="5">
        <v>5.7</v>
      </c>
      <c r="I845" s="3" t="s">
        <v>170</v>
      </c>
      <c r="J845" s="59">
        <v>45065</v>
      </c>
      <c r="L845" s="59" t="e" cm="1">
        <f t="array" ref="L845">INDEX($J$4:J1935, MATCH(1,(A845=$A$4:A1933)*(C845=$C$4:C1933)*("Y"=$K$4:K1935),0))</f>
        <v>#N/A</v>
      </c>
      <c r="M845" s="1">
        <v>10</v>
      </c>
      <c r="N845">
        <v>14</v>
      </c>
      <c r="O845">
        <v>6</v>
      </c>
      <c r="P845">
        <v>10</v>
      </c>
      <c r="Q845" s="6">
        <f>(SUM(Pcfu4[[#This Row],[R1]:[R3]]))/(Pcfu4[[#This Row],[No. Reps]]*0.025)*Pcfu4[[#This Row],[Best DF]]</f>
        <v>3999.9999999999995</v>
      </c>
      <c r="R845" s="1">
        <f>_xlfn.STDEV.S(Pcfu4[[#This Row],[R1]:[R3]])/0.025*Pcfu4[[#This Row],[Best DF]]</f>
        <v>1600</v>
      </c>
      <c r="S845" s="6">
        <f>Pcfu4[[#This Row],[CFU/mL]]*Pcfu4[[#This Row],[mL]]/Pcfu4[[#This Row],[grams]]</f>
        <v>75999.999999999985</v>
      </c>
      <c r="T845" s="1">
        <f>Pcfu4[[#This Row],[SD CFU/mL]]*Pcfu4[[#This Row],[mL]]/Pcfu4[[#This Row],[grams]]</f>
        <v>30400</v>
      </c>
      <c r="U845" s="7" t="e">
        <f>_xlfn.STDEV.S(Pcfu43[[#This Row],[R1]:[R3]])/AVERAGE(Pcfu43[[#This Row],[R1]:[R3]])</f>
        <v>#VALUE!</v>
      </c>
      <c r="V845" s="96"/>
      <c r="W845" s="7"/>
    </row>
    <row r="846" spans="1:23" x14ac:dyDescent="0.15">
      <c r="A846" t="s">
        <v>745</v>
      </c>
      <c r="C846" t="s">
        <v>723</v>
      </c>
      <c r="D846" s="66" t="s">
        <v>243</v>
      </c>
      <c r="E846" s="3">
        <v>3</v>
      </c>
      <c r="F846" t="s">
        <v>744</v>
      </c>
      <c r="G846">
        <v>0.3</v>
      </c>
      <c r="H846" s="5">
        <v>5.7</v>
      </c>
      <c r="I846" s="3" t="s">
        <v>170</v>
      </c>
      <c r="J846" s="59">
        <v>45065</v>
      </c>
      <c r="L846" s="59" t="e" cm="1">
        <f t="array" ref="L846">INDEX($J$4:J1936, MATCH(1,(A846=$A$4:A1934)*(C846=$C$4:C1934)*("Y"=$K$4:K1936),0))</f>
        <v>#N/A</v>
      </c>
      <c r="M846" s="1">
        <v>10</v>
      </c>
      <c r="N846">
        <v>0</v>
      </c>
      <c r="O846">
        <v>0</v>
      </c>
      <c r="P846">
        <v>1</v>
      </c>
      <c r="Q846" s="6">
        <f>(SUM(Pcfu4[[#This Row],[R1]:[R3]]))/(Pcfu4[[#This Row],[No. Reps]]*0.025)*Pcfu4[[#This Row],[Best DF]]</f>
        <v>133.33333333333331</v>
      </c>
      <c r="R846" s="1">
        <f>_xlfn.STDEV.S(Pcfu4[[#This Row],[R1]:[R3]])/0.025*Pcfu4[[#This Row],[Best DF]]</f>
        <v>230.94010767585033</v>
      </c>
      <c r="S846" s="6">
        <f>Pcfu4[[#This Row],[CFU/mL]]*Pcfu4[[#This Row],[mL]]/Pcfu4[[#This Row],[grams]]</f>
        <v>2533.333333333333</v>
      </c>
      <c r="T846" s="1">
        <f>Pcfu4[[#This Row],[SD CFU/mL]]*Pcfu4[[#This Row],[mL]]/Pcfu4[[#This Row],[grams]]</f>
        <v>4387.862045841156</v>
      </c>
      <c r="U846" s="7" t="e">
        <f>_xlfn.STDEV.S(Pcfu43[[#This Row],[R1]:[R3]])/AVERAGE(Pcfu43[[#This Row],[R1]:[R3]])</f>
        <v>#VALUE!</v>
      </c>
      <c r="V846" s="96"/>
      <c r="W846" s="7"/>
    </row>
    <row r="847" spans="1:23" x14ac:dyDescent="0.15">
      <c r="A847" t="s">
        <v>746</v>
      </c>
      <c r="C847" t="s">
        <v>723</v>
      </c>
      <c r="D847" s="66" t="s">
        <v>243</v>
      </c>
      <c r="E847" s="3">
        <v>3</v>
      </c>
      <c r="F847" t="s">
        <v>744</v>
      </c>
      <c r="G847">
        <v>0.3</v>
      </c>
      <c r="H847" s="5">
        <v>5.7</v>
      </c>
      <c r="I847" s="3" t="s">
        <v>170</v>
      </c>
      <c r="J847" s="59">
        <v>45065</v>
      </c>
      <c r="L847" s="59" t="e" cm="1">
        <f t="array" ref="L847">INDEX($J$4:J1937, MATCH(1,(A847=$A$4:A1935)*(C847=$C$4:C1935)*("Y"=$K$4:K1937),0))</f>
        <v>#N/A</v>
      </c>
      <c r="M847" s="1">
        <v>10</v>
      </c>
      <c r="N847">
        <v>42</v>
      </c>
      <c r="O847">
        <v>11</v>
      </c>
      <c r="P847">
        <v>21</v>
      </c>
      <c r="Q847" s="6">
        <f>(SUM(Pcfu4[[#This Row],[R1]:[R3]]))/(Pcfu4[[#This Row],[No. Reps]]*0.025)*Pcfu4[[#This Row],[Best DF]]</f>
        <v>9866.6666666666642</v>
      </c>
      <c r="R847" s="1">
        <f>_xlfn.STDEV.S(Pcfu4[[#This Row],[R1]:[R3]])/0.025*Pcfu4[[#This Row],[Best DF]]</f>
        <v>6328.7702860297686</v>
      </c>
      <c r="S847" s="6">
        <f>Pcfu4[[#This Row],[CFU/mL]]*Pcfu4[[#This Row],[mL]]/Pcfu4[[#This Row],[grams]]</f>
        <v>187466.66666666663</v>
      </c>
      <c r="T847" s="1">
        <f>Pcfu4[[#This Row],[SD CFU/mL]]*Pcfu4[[#This Row],[mL]]/Pcfu4[[#This Row],[grams]]</f>
        <v>120246.63543456561</v>
      </c>
      <c r="U847" s="7" t="e">
        <f>_xlfn.STDEV.S(Pcfu43[[#This Row],[R1]:[R3]])/AVERAGE(Pcfu43[[#This Row],[R1]:[R3]])</f>
        <v>#VALUE!</v>
      </c>
      <c r="V847" s="96"/>
      <c r="W847" s="7"/>
    </row>
    <row r="848" spans="1:23" x14ac:dyDescent="0.15">
      <c r="A848" t="s">
        <v>747</v>
      </c>
      <c r="C848" t="s">
        <v>723</v>
      </c>
      <c r="D848" s="66" t="s">
        <v>243</v>
      </c>
      <c r="E848" s="3">
        <v>3</v>
      </c>
      <c r="F848" t="s">
        <v>741</v>
      </c>
      <c r="G848">
        <v>0.3</v>
      </c>
      <c r="H848" s="5">
        <v>5.7</v>
      </c>
      <c r="I848" s="3" t="s">
        <v>170</v>
      </c>
      <c r="J848" s="59">
        <v>45065</v>
      </c>
      <c r="L848" s="59" t="e" cm="1">
        <f t="array" ref="L848">INDEX($J$4:J1938, MATCH(1,(A848=$A$4:A1936)*(C848=$C$4:C1936)*("Y"=$K$4:K1938),0))</f>
        <v>#N/A</v>
      </c>
      <c r="M848" s="1">
        <v>10</v>
      </c>
      <c r="N848">
        <v>109</v>
      </c>
      <c r="O848">
        <v>99</v>
      </c>
      <c r="P848">
        <v>138</v>
      </c>
      <c r="Q848" s="6">
        <f>(SUM(Pcfu4[[#This Row],[R1]:[R3]]))/(Pcfu4[[#This Row],[No. Reps]]*0.025)*Pcfu4[[#This Row],[Best DF]]</f>
        <v>46133.333333333328</v>
      </c>
      <c r="R848" s="1">
        <f>_xlfn.STDEV.S(Pcfu4[[#This Row],[R1]:[R3]])/0.025*Pcfu4[[#This Row],[Best DF]]</f>
        <v>8102.6744555938531</v>
      </c>
      <c r="S848" s="6">
        <f>Pcfu4[[#This Row],[CFU/mL]]*Pcfu4[[#This Row],[mL]]/Pcfu4[[#This Row],[grams]]</f>
        <v>876533.33333333337</v>
      </c>
      <c r="T848" s="1">
        <f>Pcfu4[[#This Row],[SD CFU/mL]]*Pcfu4[[#This Row],[mL]]/Pcfu4[[#This Row],[grams]]</f>
        <v>153950.81465628321</v>
      </c>
      <c r="U848" s="7" t="e">
        <f>_xlfn.STDEV.S(Pcfu43[[#This Row],[R1]:[R3]])/AVERAGE(Pcfu43[[#This Row],[R1]:[R3]])</f>
        <v>#VALUE!</v>
      </c>
      <c r="V848" s="96"/>
      <c r="W848" s="7"/>
    </row>
    <row r="849" spans="1:24" x14ac:dyDescent="0.15">
      <c r="A849" t="s">
        <v>748</v>
      </c>
      <c r="C849" t="s">
        <v>723</v>
      </c>
      <c r="D849" s="66" t="s">
        <v>243</v>
      </c>
      <c r="E849" s="3">
        <v>3</v>
      </c>
      <c r="F849" t="s">
        <v>741</v>
      </c>
      <c r="G849">
        <v>0.3</v>
      </c>
      <c r="H849" s="5">
        <v>5.7</v>
      </c>
      <c r="I849" s="3" t="s">
        <v>170</v>
      </c>
      <c r="J849" s="59">
        <v>45065</v>
      </c>
      <c r="L849" s="59" t="e" cm="1">
        <f t="array" ref="L849">INDEX($J$4:J1939, MATCH(1,(A849=$A$4:A1937)*(C849=$C$4:C1937)*("Y"=$K$4:K1939),0))</f>
        <v>#N/A</v>
      </c>
      <c r="M849" s="1">
        <v>10</v>
      </c>
      <c r="N849">
        <v>23</v>
      </c>
      <c r="O849">
        <v>4</v>
      </c>
      <c r="P849">
        <v>3</v>
      </c>
      <c r="Q849" s="6">
        <f>(SUM(Pcfu4[[#This Row],[R1]:[R3]]))/(Pcfu4[[#This Row],[No. Reps]]*0.025)*Pcfu4[[#This Row],[Best DF]]</f>
        <v>3999.9999999999995</v>
      </c>
      <c r="R849" s="1">
        <f>_xlfn.STDEV.S(Pcfu4[[#This Row],[R1]:[R3]])/0.025*Pcfu4[[#This Row],[Best DF]]</f>
        <v>4507.7710678338572</v>
      </c>
      <c r="S849" s="6">
        <f>Pcfu4[[#This Row],[CFU/mL]]*Pcfu4[[#This Row],[mL]]/Pcfu4[[#This Row],[grams]]</f>
        <v>75999.999999999985</v>
      </c>
      <c r="T849" s="1">
        <f>Pcfu4[[#This Row],[SD CFU/mL]]*Pcfu4[[#This Row],[mL]]/Pcfu4[[#This Row],[grams]]</f>
        <v>85647.650288843288</v>
      </c>
      <c r="U849" s="7" t="e">
        <f>_xlfn.STDEV.S(Pcfu43[[#This Row],[R1]:[R3]])/AVERAGE(Pcfu43[[#This Row],[R1]:[R3]])</f>
        <v>#VALUE!</v>
      </c>
      <c r="V849" s="96"/>
      <c r="W849" s="7"/>
    </row>
    <row r="850" spans="1:24" x14ac:dyDescent="0.15">
      <c r="A850" t="s">
        <v>749</v>
      </c>
      <c r="C850" t="s">
        <v>723</v>
      </c>
      <c r="D850" s="66" t="s">
        <v>243</v>
      </c>
      <c r="E850" s="3">
        <v>3</v>
      </c>
      <c r="F850" t="s">
        <v>741</v>
      </c>
      <c r="G850">
        <v>0.3</v>
      </c>
      <c r="H850" s="5">
        <v>5.7</v>
      </c>
      <c r="I850" s="3" t="s">
        <v>170</v>
      </c>
      <c r="J850" s="59">
        <v>45065</v>
      </c>
      <c r="L850" s="59" t="e" cm="1">
        <f t="array" ref="L850">INDEX($J$4:J1940, MATCH(1,(A850=$A$4:A1938)*(C850=$C$4:C1938)*("Y"=$K$4:K1940),0))</f>
        <v>#N/A</v>
      </c>
      <c r="M850" s="1">
        <v>10</v>
      </c>
      <c r="N850">
        <v>4</v>
      </c>
      <c r="O850">
        <v>2</v>
      </c>
      <c r="P850">
        <v>4</v>
      </c>
      <c r="Q850" s="6">
        <f>(SUM(Pcfu4[[#This Row],[R1]:[R3]]))/(Pcfu4[[#This Row],[No. Reps]]*0.025)*Pcfu4[[#This Row],[Best DF]]</f>
        <v>1333.333333333333</v>
      </c>
      <c r="R850" s="1">
        <f>_xlfn.STDEV.S(Pcfu4[[#This Row],[R1]:[R3]])/0.025*Pcfu4[[#This Row],[Best DF]]</f>
        <v>461.88021535170037</v>
      </c>
      <c r="S850" s="6">
        <f>Pcfu4[[#This Row],[CFU/mL]]*Pcfu4[[#This Row],[mL]]/Pcfu4[[#This Row],[grams]]</f>
        <v>25333.333333333328</v>
      </c>
      <c r="T850" s="1">
        <f>Pcfu4[[#This Row],[SD CFU/mL]]*Pcfu4[[#This Row],[mL]]/Pcfu4[[#This Row],[grams]]</f>
        <v>8775.7240916823084</v>
      </c>
      <c r="U850" s="7" t="e">
        <f>_xlfn.STDEV.S(Pcfu43[[#This Row],[R1]:[R3]])/AVERAGE(Pcfu43[[#This Row],[R1]:[R3]])</f>
        <v>#VALUE!</v>
      </c>
      <c r="V850" s="96"/>
      <c r="W850" s="7"/>
    </row>
    <row r="851" spans="1:24" x14ac:dyDescent="0.15">
      <c r="A851" t="s">
        <v>750</v>
      </c>
      <c r="C851" t="s">
        <v>723</v>
      </c>
      <c r="D851" s="66" t="s">
        <v>243</v>
      </c>
      <c r="E851" s="3">
        <v>3</v>
      </c>
      <c r="F851" t="s">
        <v>741</v>
      </c>
      <c r="G851">
        <v>0.3</v>
      </c>
      <c r="H851" s="5">
        <v>5.7</v>
      </c>
      <c r="I851" s="3" t="s">
        <v>170</v>
      </c>
      <c r="J851" s="59">
        <v>45065</v>
      </c>
      <c r="L851" s="59" t="e" cm="1">
        <f t="array" ref="L851">INDEX($J$4:J1941, MATCH(1,(A851=$A$4:A1939)*(C851=$C$4:C1939)*("Y"=$K$4:K1941),0))</f>
        <v>#N/A</v>
      </c>
      <c r="M851" s="1">
        <v>10</v>
      </c>
      <c r="N851">
        <v>13</v>
      </c>
      <c r="O851">
        <v>9</v>
      </c>
      <c r="P851">
        <v>6</v>
      </c>
      <c r="Q851" s="6">
        <f>(SUM(Pcfu4[[#This Row],[R1]:[R3]]))/(Pcfu4[[#This Row],[No. Reps]]*0.025)*Pcfu4[[#This Row],[Best DF]]</f>
        <v>3733.3333333333326</v>
      </c>
      <c r="R851" s="1">
        <f>_xlfn.STDEV.S(Pcfu4[[#This Row],[R1]:[R3]])/0.025*Pcfu4[[#This Row],[Best DF]]</f>
        <v>1404.7538337136989</v>
      </c>
      <c r="S851" s="6">
        <f>Pcfu4[[#This Row],[CFU/mL]]*Pcfu4[[#This Row],[mL]]/Pcfu4[[#This Row],[grams]]</f>
        <v>70933.333333333328</v>
      </c>
      <c r="T851" s="1">
        <f>Pcfu4[[#This Row],[SD CFU/mL]]*Pcfu4[[#This Row],[mL]]/Pcfu4[[#This Row],[grams]]</f>
        <v>26690.322840560282</v>
      </c>
      <c r="U851" s="7" t="e">
        <f>_xlfn.STDEV.S(Pcfu43[[#This Row],[R1]:[R3]])/AVERAGE(Pcfu43[[#This Row],[R1]:[R3]])</f>
        <v>#VALUE!</v>
      </c>
      <c r="V851" s="96"/>
      <c r="W851" s="7"/>
    </row>
    <row r="852" spans="1:24" x14ac:dyDescent="0.15">
      <c r="A852" t="s">
        <v>745</v>
      </c>
      <c r="C852" t="s">
        <v>723</v>
      </c>
      <c r="D852" s="66" t="s">
        <v>243</v>
      </c>
      <c r="E852" s="3">
        <v>3</v>
      </c>
      <c r="G852">
        <v>0.3</v>
      </c>
      <c r="H852" s="5">
        <v>5.7</v>
      </c>
      <c r="I852" s="3" t="s">
        <v>170</v>
      </c>
      <c r="J852" s="59">
        <v>45065</v>
      </c>
      <c r="L852" s="59" t="e" cm="1">
        <f t="array" ref="L852">INDEX($J$4:J1942, MATCH(1,(A852=$A$4:A1940)*(C852=$C$4:C1940)*("Y"=$K$4:K1942),0))</f>
        <v>#N/A</v>
      </c>
      <c r="M852" s="1">
        <v>10</v>
      </c>
      <c r="N852">
        <v>78</v>
      </c>
      <c r="O852">
        <v>50</v>
      </c>
      <c r="P852">
        <v>35</v>
      </c>
      <c r="Q852" s="6">
        <f>(SUM(Pcfu4[[#This Row],[R1]:[R3]]))/(Pcfu4[[#This Row],[No. Reps]]*0.025)*Pcfu4[[#This Row],[Best DF]]</f>
        <v>21733.333333333328</v>
      </c>
      <c r="R852" s="1">
        <f>_xlfn.STDEV.S(Pcfu4[[#This Row],[R1]:[R3]])/0.025*Pcfu4[[#This Row],[Best DF]]</f>
        <v>8730.0248185977835</v>
      </c>
      <c r="S852" s="6">
        <f>Pcfu4[[#This Row],[CFU/mL]]*Pcfu4[[#This Row],[mL]]/Pcfu4[[#This Row],[grams]]</f>
        <v>412933.33333333326</v>
      </c>
      <c r="T852" s="1">
        <f>Pcfu4[[#This Row],[SD CFU/mL]]*Pcfu4[[#This Row],[mL]]/Pcfu4[[#This Row],[grams]]</f>
        <v>165870.4715533579</v>
      </c>
      <c r="U852" s="7" t="e">
        <f>_xlfn.STDEV.S(Pcfu43[[#This Row],[R1]:[R3]])/AVERAGE(Pcfu43[[#This Row],[R1]:[R3]])</f>
        <v>#VALUE!</v>
      </c>
      <c r="V852" s="96"/>
      <c r="W852" s="7"/>
      <c r="X852" t="s">
        <v>751</v>
      </c>
    </row>
    <row r="853" spans="1:24" x14ac:dyDescent="0.15">
      <c r="A853" t="s">
        <v>746</v>
      </c>
      <c r="C853" t="s">
        <v>723</v>
      </c>
      <c r="D853" s="66" t="s">
        <v>243</v>
      </c>
      <c r="E853" s="3">
        <v>3</v>
      </c>
      <c r="G853">
        <v>0.3</v>
      </c>
      <c r="H853" s="5">
        <v>5.7</v>
      </c>
      <c r="I853" s="3" t="s">
        <v>170</v>
      </c>
      <c r="J853" s="59">
        <v>45065</v>
      </c>
      <c r="L853" s="59" t="e" cm="1">
        <f t="array" ref="L853">INDEX($J$4:J1943, MATCH(1,(A853=$A$4:A1941)*(C853=$C$4:C1941)*("Y"=$K$4:K1943),0))</f>
        <v>#N/A</v>
      </c>
      <c r="M853" s="1">
        <v>10</v>
      </c>
      <c r="P853"/>
      <c r="Q853" s="6">
        <f>(SUM(Pcfu4[[#This Row],[R1]:[R3]]))/(Pcfu4[[#This Row],[No. Reps]]*0.025)*Pcfu4[[#This Row],[Best DF]]</f>
        <v>0</v>
      </c>
      <c r="R853" s="1" t="e">
        <f>_xlfn.STDEV.S(Pcfu4[[#This Row],[R1]:[R3]])/0.025*Pcfu4[[#This Row],[Best DF]]</f>
        <v>#DIV/0!</v>
      </c>
      <c r="S853" s="6">
        <f>Pcfu4[[#This Row],[CFU/mL]]*Pcfu4[[#This Row],[mL]]/Pcfu4[[#This Row],[grams]]</f>
        <v>0</v>
      </c>
      <c r="T853" s="1" t="e">
        <f>Pcfu4[[#This Row],[SD CFU/mL]]*Pcfu4[[#This Row],[mL]]/Pcfu4[[#This Row],[grams]]</f>
        <v>#DIV/0!</v>
      </c>
      <c r="U853" s="7" t="e">
        <f>_xlfn.STDEV.S(Pcfu43[[#This Row],[R1]:[R3]])/AVERAGE(Pcfu43[[#This Row],[R1]:[R3]])</f>
        <v>#VALUE!</v>
      </c>
      <c r="V853" s="96"/>
      <c r="W853" s="7"/>
      <c r="X853" t="s">
        <v>751</v>
      </c>
    </row>
    <row r="854" spans="1:24" x14ac:dyDescent="0.15">
      <c r="A854" t="s">
        <v>747</v>
      </c>
      <c r="C854" t="s">
        <v>723</v>
      </c>
      <c r="D854" s="66" t="s">
        <v>243</v>
      </c>
      <c r="E854" s="3">
        <v>3</v>
      </c>
      <c r="G854">
        <v>0.3</v>
      </c>
      <c r="H854" s="5">
        <v>5.7</v>
      </c>
      <c r="I854" s="3" t="s">
        <v>170</v>
      </c>
      <c r="J854" s="59">
        <v>45065</v>
      </c>
      <c r="L854" s="59" t="e" cm="1">
        <f t="array" ref="L854">INDEX($J$4:J1944, MATCH(1,(A854=$A$4:A1942)*(C854=$C$4:C1942)*("Y"=$K$4:K1944),0))</f>
        <v>#N/A</v>
      </c>
      <c r="M854" s="1">
        <v>10</v>
      </c>
      <c r="N854">
        <v>33</v>
      </c>
      <c r="O854">
        <v>124</v>
      </c>
      <c r="P854">
        <v>32</v>
      </c>
      <c r="Q854" s="6">
        <f>(SUM(Pcfu4[[#This Row],[R1]:[R3]]))/(Pcfu4[[#This Row],[No. Reps]]*0.025)*Pcfu4[[#This Row],[Best DF]]</f>
        <v>25199.999999999996</v>
      </c>
      <c r="R854" s="1">
        <f>_xlfn.STDEV.S(Pcfu4[[#This Row],[R1]:[R3]])/0.025*Pcfu4[[#This Row],[Best DF]]</f>
        <v>21131.966306995666</v>
      </c>
      <c r="S854" s="6">
        <f>Pcfu4[[#This Row],[CFU/mL]]*Pcfu4[[#This Row],[mL]]/Pcfu4[[#This Row],[grams]]</f>
        <v>478799.99999999994</v>
      </c>
      <c r="T854" s="1">
        <f>Pcfu4[[#This Row],[SD CFU/mL]]*Pcfu4[[#This Row],[mL]]/Pcfu4[[#This Row],[grams]]</f>
        <v>401507.35983291769</v>
      </c>
      <c r="U854" s="7" t="e">
        <f>_xlfn.STDEV.S(Pcfu43[[#This Row],[R1]:[R3]])/AVERAGE(Pcfu43[[#This Row],[R1]:[R3]])</f>
        <v>#VALUE!</v>
      </c>
      <c r="V854" s="96"/>
      <c r="W854" s="7"/>
      <c r="X854" t="s">
        <v>751</v>
      </c>
    </row>
    <row r="855" spans="1:24" x14ac:dyDescent="0.15">
      <c r="A855" t="s">
        <v>731</v>
      </c>
      <c r="C855" t="s">
        <v>614</v>
      </c>
      <c r="D855" s="66" t="s">
        <v>253</v>
      </c>
      <c r="E855" s="3">
        <v>1</v>
      </c>
      <c r="F855" t="s">
        <v>732</v>
      </c>
      <c r="G855">
        <v>0.3</v>
      </c>
      <c r="H855" s="5">
        <v>5.7</v>
      </c>
      <c r="I855" s="3" t="s">
        <v>170</v>
      </c>
      <c r="J855" s="59">
        <v>45065</v>
      </c>
      <c r="L855" s="59" t="e" cm="1">
        <f t="array" ref="L855">INDEX($J$4:J1945, MATCH(1,(A855=$A$4:A1943)*(C855=$C$4:C1943)*("Y"=$K$4:K1945),0))</f>
        <v>#N/A</v>
      </c>
      <c r="M855" s="1">
        <v>1</v>
      </c>
      <c r="N855">
        <v>149</v>
      </c>
      <c r="Q855" s="6">
        <f>(SUM(Pcfu4[[#This Row],[R1]:[R3]]))/(Pcfu4[[#This Row],[No. Reps]]*0.025)*Pcfu4[[#This Row],[Best DF]]</f>
        <v>5960</v>
      </c>
      <c r="R855" s="1" t="e">
        <f>_xlfn.STDEV.S(Pcfu4[[#This Row],[R1]:[R3]])/0.025*Pcfu4[[#This Row],[Best DF]]</f>
        <v>#DIV/0!</v>
      </c>
      <c r="S855" s="6">
        <f>Pcfu4[[#This Row],[CFU/mL]]*Pcfu4[[#This Row],[mL]]/Pcfu4[[#This Row],[grams]]</f>
        <v>113240</v>
      </c>
      <c r="T855" s="1" t="e">
        <f>Pcfu4[[#This Row],[SD CFU/mL]]*Pcfu4[[#This Row],[mL]]/Pcfu4[[#This Row],[grams]]</f>
        <v>#DIV/0!</v>
      </c>
      <c r="U855" s="7" t="e">
        <f>_xlfn.STDEV.S(Pcfu43[[#This Row],[R1]:[R3]])/AVERAGE(Pcfu43[[#This Row],[R1]:[R3]])</f>
        <v>#VALUE!</v>
      </c>
      <c r="V855" s="96"/>
      <c r="W855" s="7"/>
    </row>
    <row r="856" spans="1:24" x14ac:dyDescent="0.15">
      <c r="A856" t="s">
        <v>731</v>
      </c>
      <c r="C856" t="s">
        <v>615</v>
      </c>
      <c r="D856" s="66" t="s">
        <v>253</v>
      </c>
      <c r="E856" s="3">
        <v>1</v>
      </c>
      <c r="F856" t="s">
        <v>732</v>
      </c>
      <c r="G856">
        <v>0.3</v>
      </c>
      <c r="H856" s="5">
        <v>5.7</v>
      </c>
      <c r="I856" s="3" t="s">
        <v>170</v>
      </c>
      <c r="J856" s="59">
        <v>45065</v>
      </c>
      <c r="L856" s="59" t="e" cm="1">
        <f t="array" ref="L856">INDEX($J$4:J1946, MATCH(1,(A856=$A$4:A1944)*(C856=$C$4:C1944)*("Y"=$K$4:K1946),0))</f>
        <v>#N/A</v>
      </c>
      <c r="M856" s="1">
        <v>1</v>
      </c>
      <c r="N856">
        <v>93</v>
      </c>
      <c r="Q856" s="6">
        <f>(SUM(Pcfu4[[#This Row],[R1]:[R3]]))/(Pcfu4[[#This Row],[No. Reps]]*0.025)*Pcfu4[[#This Row],[Best DF]]</f>
        <v>3720</v>
      </c>
      <c r="R856" s="1" t="e">
        <f>_xlfn.STDEV.S(Pcfu4[[#This Row],[R1]:[R3]])/0.025*Pcfu4[[#This Row],[Best DF]]</f>
        <v>#DIV/0!</v>
      </c>
      <c r="S856" s="6">
        <f>Pcfu4[[#This Row],[CFU/mL]]*Pcfu4[[#This Row],[mL]]/Pcfu4[[#This Row],[grams]]</f>
        <v>70680</v>
      </c>
      <c r="T856" s="1" t="e">
        <f>Pcfu4[[#This Row],[SD CFU/mL]]*Pcfu4[[#This Row],[mL]]/Pcfu4[[#This Row],[grams]]</f>
        <v>#DIV/0!</v>
      </c>
      <c r="U856" s="7" t="e">
        <f>_xlfn.STDEV.S(Pcfu43[[#This Row],[R1]:[R3]])/AVERAGE(Pcfu43[[#This Row],[R1]:[R3]])</f>
        <v>#VALUE!</v>
      </c>
      <c r="V856" s="96"/>
      <c r="W856" s="7"/>
    </row>
    <row r="857" spans="1:24" x14ac:dyDescent="0.15">
      <c r="A857" t="s">
        <v>731</v>
      </c>
      <c r="C857" t="s">
        <v>723</v>
      </c>
      <c r="D857" s="66" t="s">
        <v>253</v>
      </c>
      <c r="E857" s="3">
        <v>3</v>
      </c>
      <c r="F857" t="s">
        <v>732</v>
      </c>
      <c r="G857">
        <v>0.3</v>
      </c>
      <c r="H857" s="5">
        <v>5.7</v>
      </c>
      <c r="I857" s="3" t="s">
        <v>170</v>
      </c>
      <c r="J857" s="59">
        <v>45069</v>
      </c>
      <c r="L857" s="59" t="e" cm="1">
        <f t="array" ref="L857">INDEX($J$4:J1947, MATCH(1,(A857=$A$4:A1945)*(C857=$C$4:C1945)*("Y"=$K$4:K1947),0))</f>
        <v>#N/A</v>
      </c>
      <c r="M857" s="1">
        <v>1</v>
      </c>
      <c r="N857">
        <v>36</v>
      </c>
      <c r="O857">
        <v>31</v>
      </c>
      <c r="P857">
        <v>22</v>
      </c>
      <c r="Q857" s="6">
        <f>(SUM(Pcfu4[[#This Row],[R1]:[R3]]))/(Pcfu4[[#This Row],[No. Reps]]*0.025)*Pcfu4[[#This Row],[Best DF]]</f>
        <v>1186.6666666666665</v>
      </c>
      <c r="R857" s="1">
        <f>_xlfn.STDEV.S(Pcfu4[[#This Row],[R1]:[R3]])/0.025*Pcfu4[[#This Row],[Best DF]]</f>
        <v>283.78395538390328</v>
      </c>
      <c r="S857" s="6">
        <f>Pcfu4[[#This Row],[CFU/mL]]*Pcfu4[[#This Row],[mL]]/Pcfu4[[#This Row],[grams]]</f>
        <v>22546.666666666664</v>
      </c>
      <c r="T857" s="1">
        <f>Pcfu4[[#This Row],[SD CFU/mL]]*Pcfu4[[#This Row],[mL]]/Pcfu4[[#This Row],[grams]]</f>
        <v>5391.8951522941634</v>
      </c>
      <c r="U857" s="7" t="e">
        <f>_xlfn.STDEV.S(Pcfu43[[#This Row],[R1]:[R3]])/AVERAGE(Pcfu43[[#This Row],[R1]:[R3]])</f>
        <v>#VALUE!</v>
      </c>
      <c r="V857" s="96"/>
      <c r="W857" s="7"/>
    </row>
    <row r="858" spans="1:24" x14ac:dyDescent="0.15">
      <c r="A858" t="s">
        <v>733</v>
      </c>
      <c r="C858" t="s">
        <v>723</v>
      </c>
      <c r="D858" s="66" t="s">
        <v>253</v>
      </c>
      <c r="E858" s="3">
        <v>3</v>
      </c>
      <c r="F858" t="s">
        <v>732</v>
      </c>
      <c r="G858">
        <v>0.3</v>
      </c>
      <c r="H858" s="5">
        <v>5.7</v>
      </c>
      <c r="I858" s="3" t="s">
        <v>170</v>
      </c>
      <c r="J858" s="59">
        <v>45069</v>
      </c>
      <c r="L858" s="59" t="e" cm="1">
        <f t="array" ref="L858">INDEX($J$4:J1948, MATCH(1,(A858=$A$4:A1946)*(C858=$C$4:C1946)*("Y"=$K$4:K1948),0))</f>
        <v>#N/A</v>
      </c>
      <c r="M858" s="1">
        <v>1</v>
      </c>
      <c r="N858">
        <v>7</v>
      </c>
      <c r="O858">
        <v>0</v>
      </c>
      <c r="P858">
        <v>1</v>
      </c>
      <c r="Q858" s="6">
        <f>(SUM(Pcfu4[[#This Row],[R1]:[R3]]))/(Pcfu4[[#This Row],[No. Reps]]*0.025)*Pcfu4[[#This Row],[Best DF]]</f>
        <v>106.66666666666666</v>
      </c>
      <c r="R858" s="1">
        <f>_xlfn.STDEV.S(Pcfu4[[#This Row],[R1]:[R3]])/0.025*Pcfu4[[#This Row],[Best DF]]</f>
        <v>151.4375558880073</v>
      </c>
      <c r="S858" s="6">
        <f>Pcfu4[[#This Row],[CFU/mL]]*Pcfu4[[#This Row],[mL]]/Pcfu4[[#This Row],[grams]]</f>
        <v>2026.6666666666667</v>
      </c>
      <c r="T858" s="1">
        <f>Pcfu4[[#This Row],[SD CFU/mL]]*Pcfu4[[#This Row],[mL]]/Pcfu4[[#This Row],[grams]]</f>
        <v>2877.313561872139</v>
      </c>
      <c r="U858" s="7" t="e">
        <f>_xlfn.STDEV.S(Pcfu43[[#This Row],[R1]:[R3]])/AVERAGE(Pcfu43[[#This Row],[R1]:[R3]])</f>
        <v>#VALUE!</v>
      </c>
      <c r="V858" s="96"/>
      <c r="W858" s="7"/>
    </row>
    <row r="859" spans="1:24" x14ac:dyDescent="0.15">
      <c r="A859" t="s">
        <v>752</v>
      </c>
      <c r="C859" t="s">
        <v>723</v>
      </c>
      <c r="D859" s="66" t="s">
        <v>253</v>
      </c>
      <c r="E859" s="3">
        <v>3</v>
      </c>
      <c r="F859" t="s">
        <v>732</v>
      </c>
      <c r="G859">
        <v>0.3</v>
      </c>
      <c r="H859" s="5">
        <v>5.7</v>
      </c>
      <c r="I859" s="3" t="s">
        <v>170</v>
      </c>
      <c r="J859" s="59">
        <v>45069</v>
      </c>
      <c r="L859" s="59" t="e" cm="1">
        <f t="array" ref="L859">INDEX($J$4:J1949, MATCH(1,(A859=$A$4:A1947)*(C859=$C$4:C1947)*("Y"=$K$4:K1949),0))</f>
        <v>#N/A</v>
      </c>
      <c r="M859" s="1">
        <v>1</v>
      </c>
      <c r="N859">
        <v>128</v>
      </c>
      <c r="O859">
        <v>179</v>
      </c>
      <c r="P859">
        <v>61</v>
      </c>
      <c r="Q859" s="6">
        <f>(SUM(Pcfu4[[#This Row],[R1]:[R3]]))/(Pcfu4[[#This Row],[No. Reps]]*0.025)*Pcfu4[[#This Row],[Best DF]]</f>
        <v>4906.6666666666661</v>
      </c>
      <c r="R859" s="1">
        <f>_xlfn.STDEV.S(Pcfu4[[#This Row],[R1]:[R3]])/0.025*Pcfu4[[#This Row],[Best DF]]</f>
        <v>2367.2205924529576</v>
      </c>
      <c r="S859" s="6">
        <f>Pcfu4[[#This Row],[CFU/mL]]*Pcfu4[[#This Row],[mL]]/Pcfu4[[#This Row],[grams]]</f>
        <v>93226.666666666657</v>
      </c>
      <c r="T859" s="1">
        <f>Pcfu4[[#This Row],[SD CFU/mL]]*Pcfu4[[#This Row],[mL]]/Pcfu4[[#This Row],[grams]]</f>
        <v>44977.191256606195</v>
      </c>
      <c r="U859" s="7" t="e">
        <f>_xlfn.STDEV.S(Pcfu43[[#This Row],[R1]:[R3]])/AVERAGE(Pcfu43[[#This Row],[R1]:[R3]])</f>
        <v>#VALUE!</v>
      </c>
      <c r="V859" s="96"/>
      <c r="W859" s="7"/>
    </row>
    <row r="860" spans="1:24" x14ac:dyDescent="0.15">
      <c r="A860" t="s">
        <v>753</v>
      </c>
      <c r="C860" t="s">
        <v>723</v>
      </c>
      <c r="D860" s="66" t="s">
        <v>253</v>
      </c>
      <c r="E860" s="3">
        <v>3</v>
      </c>
      <c r="F860" t="s">
        <v>732</v>
      </c>
      <c r="G860">
        <v>0.3</v>
      </c>
      <c r="H860" s="5">
        <v>5.7</v>
      </c>
      <c r="I860" s="3" t="s">
        <v>170</v>
      </c>
      <c r="J860" s="59">
        <v>45069</v>
      </c>
      <c r="L860" s="59" t="e" cm="1">
        <f t="array" ref="L860">INDEX($J$4:J1950, MATCH(1,(A860=$A$4:A1948)*(C860=$C$4:C1948)*("Y"=$K$4:K1950),0))</f>
        <v>#N/A</v>
      </c>
      <c r="M860" s="1">
        <v>1</v>
      </c>
      <c r="N860">
        <v>84</v>
      </c>
      <c r="O860">
        <v>94</v>
      </c>
      <c r="P860">
        <v>57</v>
      </c>
      <c r="Q860" s="6">
        <f>(SUM(Pcfu4[[#This Row],[R1]:[R3]]))/(Pcfu4[[#This Row],[No. Reps]]*0.025)*Pcfu4[[#This Row],[Best DF]]</f>
        <v>3133.333333333333</v>
      </c>
      <c r="R860" s="1">
        <f>_xlfn.STDEV.S(Pcfu4[[#This Row],[R1]:[R3]])/0.025*Pcfu4[[#This Row],[Best DF]]</f>
        <v>765.59345173096551</v>
      </c>
      <c r="S860" s="6">
        <f>Pcfu4[[#This Row],[CFU/mL]]*Pcfu4[[#This Row],[mL]]/Pcfu4[[#This Row],[grams]]</f>
        <v>59533.333333333336</v>
      </c>
      <c r="T860" s="1">
        <f>Pcfu4[[#This Row],[SD CFU/mL]]*Pcfu4[[#This Row],[mL]]/Pcfu4[[#This Row],[grams]]</f>
        <v>14546.275582888346</v>
      </c>
      <c r="U860" s="7" t="e">
        <f>_xlfn.STDEV.S(Pcfu43[[#This Row],[R1]:[R3]])/AVERAGE(Pcfu43[[#This Row],[R1]:[R3]])</f>
        <v>#VALUE!</v>
      </c>
      <c r="V860" s="96"/>
      <c r="W860" s="7"/>
    </row>
    <row r="861" spans="1:24" x14ac:dyDescent="0.15">
      <c r="A861" t="s">
        <v>752</v>
      </c>
      <c r="C861" t="s">
        <v>723</v>
      </c>
      <c r="D861" s="66" t="s">
        <v>253</v>
      </c>
      <c r="E861" s="3">
        <v>3</v>
      </c>
      <c r="F861" t="s">
        <v>754</v>
      </c>
      <c r="G861">
        <v>0.3</v>
      </c>
      <c r="H861" s="5">
        <v>5.7</v>
      </c>
      <c r="I861" s="3" t="s">
        <v>170</v>
      </c>
      <c r="J861" s="59">
        <v>45069</v>
      </c>
      <c r="L861" s="59" t="e" cm="1">
        <f t="array" ref="L861">INDEX($J$4:J1951, MATCH(1,(A861=$A$4:A1949)*(C861=$C$4:C1949)*("Y"=$K$4:K1951),0))</f>
        <v>#N/A</v>
      </c>
      <c r="M861" s="1">
        <v>10</v>
      </c>
      <c r="N861">
        <v>32</v>
      </c>
      <c r="O861">
        <v>26</v>
      </c>
      <c r="P861">
        <v>29</v>
      </c>
      <c r="Q861" s="6">
        <f>(SUM(Pcfu4[[#This Row],[R1]:[R3]]))/(Pcfu4[[#This Row],[No. Reps]]*0.025)*Pcfu4[[#This Row],[Best DF]]</f>
        <v>11599.999999999998</v>
      </c>
      <c r="R861" s="1">
        <f>_xlfn.STDEV.S(Pcfu4[[#This Row],[R1]:[R3]])/0.025*Pcfu4[[#This Row],[Best DF]]</f>
        <v>1200</v>
      </c>
      <c r="S861" s="6">
        <f>Pcfu4[[#This Row],[CFU/mL]]*Pcfu4[[#This Row],[mL]]/Pcfu4[[#This Row],[grams]]</f>
        <v>220399.99999999997</v>
      </c>
      <c r="T861" s="1">
        <f>Pcfu4[[#This Row],[SD CFU/mL]]*Pcfu4[[#This Row],[mL]]/Pcfu4[[#This Row],[grams]]</f>
        <v>22800</v>
      </c>
      <c r="U861" s="7" t="e">
        <f>_xlfn.STDEV.S(Pcfu43[[#This Row],[R1]:[R3]])/AVERAGE(Pcfu43[[#This Row],[R1]:[R3]])</f>
        <v>#VALUE!</v>
      </c>
      <c r="V861" s="96"/>
      <c r="W861" s="7"/>
    </row>
    <row r="862" spans="1:24" x14ac:dyDescent="0.15">
      <c r="A862" t="s">
        <v>753</v>
      </c>
      <c r="C862" t="s">
        <v>723</v>
      </c>
      <c r="D862" s="66" t="s">
        <v>253</v>
      </c>
      <c r="E862" s="3">
        <v>3</v>
      </c>
      <c r="F862" t="s">
        <v>754</v>
      </c>
      <c r="G862">
        <v>0.3</v>
      </c>
      <c r="H862" s="5">
        <v>5.7</v>
      </c>
      <c r="I862" s="3" t="s">
        <v>170</v>
      </c>
      <c r="J862" s="59">
        <v>45069</v>
      </c>
      <c r="L862" s="59" t="e" cm="1">
        <f t="array" ref="L862">INDEX($J$4:J1952, MATCH(1,(A862=$A$4:A1950)*(C862=$C$4:C1950)*("Y"=$K$4:K1952),0))</f>
        <v>#N/A</v>
      </c>
      <c r="M862" s="1">
        <v>1</v>
      </c>
      <c r="N862">
        <v>167</v>
      </c>
      <c r="O862">
        <v>48</v>
      </c>
      <c r="P862">
        <v>232</v>
      </c>
      <c r="Q862" s="6">
        <f>(SUM(Pcfu4[[#This Row],[R1]:[R3]]))/(Pcfu4[[#This Row],[No. Reps]]*0.025)*Pcfu4[[#This Row],[Best DF]]</f>
        <v>5959.9999999999991</v>
      </c>
      <c r="R862" s="1">
        <f>_xlfn.STDEV.S(Pcfu4[[#This Row],[R1]:[R3]])/0.025*Pcfu4[[#This Row],[Best DF]]</f>
        <v>3732.45227698895</v>
      </c>
      <c r="S862" s="6">
        <f>Pcfu4[[#This Row],[CFU/mL]]*Pcfu4[[#This Row],[mL]]/Pcfu4[[#This Row],[grams]]</f>
        <v>113239.99999999999</v>
      </c>
      <c r="T862" s="1">
        <f>Pcfu4[[#This Row],[SD CFU/mL]]*Pcfu4[[#This Row],[mL]]/Pcfu4[[#This Row],[grams]]</f>
        <v>70916.593262790047</v>
      </c>
      <c r="U862" s="7" t="e">
        <f>_xlfn.STDEV.S(Pcfu43[[#This Row],[R1]:[R3]])/AVERAGE(Pcfu43[[#This Row],[R1]:[R3]])</f>
        <v>#VALUE!</v>
      </c>
      <c r="V862" s="96"/>
      <c r="W862" s="7"/>
    </row>
    <row r="863" spans="1:24" x14ac:dyDescent="0.15">
      <c r="A863" t="s">
        <v>755</v>
      </c>
      <c r="B863" t="s">
        <v>727</v>
      </c>
      <c r="D863" t="s">
        <v>86</v>
      </c>
      <c r="E863" s="3">
        <v>3</v>
      </c>
      <c r="G863">
        <v>0.3034</v>
      </c>
      <c r="H863" s="5">
        <v>5.65</v>
      </c>
      <c r="I863" s="3" t="s">
        <v>28</v>
      </c>
      <c r="J863" s="59">
        <v>45071</v>
      </c>
      <c r="L863" s="59" t="e" cm="1">
        <f t="array" ref="L863">INDEX($J$4:J1953, MATCH(1,(A863=$A$4:A1951)*(C863=$C$4:C1951)*("Y"=$K$4:K1953),0))</f>
        <v>#N/A</v>
      </c>
      <c r="M863" s="1">
        <v>10000000</v>
      </c>
      <c r="N863">
        <v>59</v>
      </c>
      <c r="O863">
        <v>46</v>
      </c>
      <c r="P863">
        <v>62</v>
      </c>
      <c r="Q863" s="6">
        <f>(SUM(Pcfu4[[#This Row],[R1]:[R3]]))/(Pcfu4[[#This Row],[No. Reps]]*0.025)*Pcfu4[[#This Row],[Best DF]]</f>
        <v>22266666666.666664</v>
      </c>
      <c r="R863" s="1">
        <f>_xlfn.STDEV.S(Pcfu4[[#This Row],[R1]:[R3]])/0.025*Pcfu4[[#This Row],[Best DF]]</f>
        <v>3401960219.2461452</v>
      </c>
      <c r="S863" s="6">
        <f>Pcfu4[[#This Row],[CFU/mL]]*Pcfu4[[#This Row],[mL]]/Pcfu4[[#This Row],[grams]]</f>
        <v>414656119534.16827</v>
      </c>
      <c r="T863" s="1">
        <f>Pcfu4[[#This Row],[SD CFU/mL]]*Pcfu4[[#This Row],[mL]]/Pcfu4[[#This Row],[grams]]</f>
        <v>63352258532.434814</v>
      </c>
      <c r="U863" s="7" t="e">
        <f>_xlfn.STDEV.S(Pcfu43[[#This Row],[R1]:[R3]])/AVERAGE(Pcfu43[[#This Row],[R1]:[R3]])</f>
        <v>#VALUE!</v>
      </c>
      <c r="V863" s="96"/>
      <c r="W863" s="7"/>
      <c r="X863" t="s">
        <v>756</v>
      </c>
    </row>
    <row r="864" spans="1:24" x14ac:dyDescent="0.15">
      <c r="A864" t="s">
        <v>757</v>
      </c>
      <c r="B864" t="s">
        <v>729</v>
      </c>
      <c r="D864" t="s">
        <v>86</v>
      </c>
      <c r="E864" s="3">
        <v>3</v>
      </c>
      <c r="G864">
        <v>0.29089999999999999</v>
      </c>
      <c r="H864" s="5">
        <v>5.65</v>
      </c>
      <c r="I864" s="3" t="s">
        <v>28</v>
      </c>
      <c r="J864" s="59">
        <v>45071</v>
      </c>
      <c r="L864" s="59" t="e" cm="1">
        <f t="array" ref="L864">INDEX($J$4:J1954, MATCH(1,(A864=$A$4:A1952)*(C864=$C$4:C1952)*("Y"=$K$4:K1954),0))</f>
        <v>#N/A</v>
      </c>
      <c r="M864" s="1">
        <v>10000000</v>
      </c>
      <c r="N864">
        <v>109</v>
      </c>
      <c r="O864">
        <v>100</v>
      </c>
      <c r="P864">
        <v>107</v>
      </c>
      <c r="Q864" s="6">
        <f>(SUM(Pcfu4[[#This Row],[R1]:[R3]]))/(Pcfu4[[#This Row],[No. Reps]]*0.025)*Pcfu4[[#This Row],[Best DF]]</f>
        <v>42133333333.333328</v>
      </c>
      <c r="R864" s="1">
        <f>_xlfn.STDEV.S(Pcfu4[[#This Row],[R1]:[R3]])/0.025*Pcfu4[[#This Row],[Best DF]]</f>
        <v>1890326250.5010431</v>
      </c>
      <c r="S864" s="6">
        <f>Pcfu4[[#This Row],[CFU/mL]]*Pcfu4[[#This Row],[mL]]/Pcfu4[[#This Row],[grams]]</f>
        <v>818333906267.90417</v>
      </c>
      <c r="T864" s="1">
        <f>Pcfu4[[#This Row],[SD CFU/mL]]*Pcfu4[[#This Row],[mL]]/Pcfu4[[#This Row],[grams]]</f>
        <v>36714827484.808853</v>
      </c>
      <c r="U864" s="7" t="e">
        <f>_xlfn.STDEV.S(Pcfu43[[#This Row],[R1]:[R3]])/AVERAGE(Pcfu43[[#This Row],[R1]:[R3]])</f>
        <v>#VALUE!</v>
      </c>
      <c r="V864" s="96"/>
      <c r="W864" s="7"/>
      <c r="X864" t="s">
        <v>756</v>
      </c>
    </row>
    <row r="865" spans="1:24" x14ac:dyDescent="0.15">
      <c r="A865" t="s">
        <v>731</v>
      </c>
      <c r="C865" t="s">
        <v>723</v>
      </c>
      <c r="D865" s="66">
        <v>0</v>
      </c>
      <c r="E865" s="3">
        <v>3</v>
      </c>
      <c r="F865" t="s">
        <v>732</v>
      </c>
      <c r="G865">
        <v>0.3</v>
      </c>
      <c r="H865" s="5">
        <f>19*Pcfu4[[#This Row],[grams]]</f>
        <v>5.7</v>
      </c>
      <c r="I865" s="3" t="s">
        <v>170</v>
      </c>
      <c r="J865" s="59">
        <v>45076</v>
      </c>
      <c r="L865" s="59" t="e" cm="1">
        <f t="array" ref="L865">INDEX($J$4:J1955, MATCH(1,(A865=$A$4:A1953)*(C865=$C$4:C1953)*("Y"=$K$4:K1955),0))</f>
        <v>#N/A</v>
      </c>
      <c r="M865" s="1">
        <v>1</v>
      </c>
      <c r="N865">
        <v>83</v>
      </c>
      <c r="O865">
        <v>110</v>
      </c>
      <c r="P865">
        <v>74</v>
      </c>
      <c r="Q865" s="6">
        <f>(SUM(Pcfu4[[#This Row],[R1]:[R3]]))/(Pcfu4[[#This Row],[No. Reps]]*0.025)*Pcfu4[[#This Row],[Best DF]]</f>
        <v>3559.9999999999995</v>
      </c>
      <c r="R865" s="1">
        <f>_xlfn.STDEV.S(Pcfu4[[#This Row],[R1]:[R3]])/0.025*Pcfu4[[#This Row],[Best DF]]</f>
        <v>749.39975980780764</v>
      </c>
      <c r="S865" s="6">
        <f>Pcfu4[[#This Row],[CFU/mL]]*Pcfu4[[#This Row],[mL]]/Pcfu4[[#This Row],[grams]]</f>
        <v>67639.999999999985</v>
      </c>
      <c r="T865" s="1">
        <f>Pcfu4[[#This Row],[SD CFU/mL]]*Pcfu4[[#This Row],[mL]]/Pcfu4[[#This Row],[grams]]</f>
        <v>14238.595436348345</v>
      </c>
      <c r="U865" s="7" t="e">
        <f>_xlfn.STDEV.S(Pcfu43[[#This Row],[R1]:[R3]])/AVERAGE(Pcfu43[[#This Row],[R1]:[R3]])</f>
        <v>#VALUE!</v>
      </c>
      <c r="V865" s="96"/>
      <c r="W865" s="7"/>
    </row>
    <row r="866" spans="1:24" x14ac:dyDescent="0.15">
      <c r="A866" t="s">
        <v>733</v>
      </c>
      <c r="C866" t="s">
        <v>723</v>
      </c>
      <c r="D866" s="66">
        <v>0</v>
      </c>
      <c r="E866" s="3">
        <v>3</v>
      </c>
      <c r="F866" t="s">
        <v>732</v>
      </c>
      <c r="G866">
        <v>0.3</v>
      </c>
      <c r="H866" s="5">
        <f>19*Pcfu4[[#This Row],[grams]]</f>
        <v>5.7</v>
      </c>
      <c r="I866" s="3" t="s">
        <v>170</v>
      </c>
      <c r="J866" s="59">
        <v>45076</v>
      </c>
      <c r="L866" s="59" t="e" cm="1">
        <f t="array" ref="L866">INDEX($J$4:J1956, MATCH(1,(A866=$A$4:A1954)*(C866=$C$4:C1954)*("Y"=$K$4:K1956),0))</f>
        <v>#N/A</v>
      </c>
      <c r="M866" s="1">
        <v>1</v>
      </c>
      <c r="N866">
        <v>16</v>
      </c>
      <c r="O866">
        <v>36</v>
      </c>
      <c r="P866">
        <v>0</v>
      </c>
      <c r="Q866" s="6">
        <f>(SUM(Pcfu4[[#This Row],[R1]:[R3]]))/(Pcfu4[[#This Row],[No. Reps]]*0.025)*Pcfu4[[#This Row],[Best DF]]</f>
        <v>693.33333333333326</v>
      </c>
      <c r="R866" s="1">
        <f>_xlfn.STDEV.S(Pcfu4[[#This Row],[R1]:[R3]])/0.025*Pcfu4[[#This Row],[Best DF]]</f>
        <v>721.47996045166303</v>
      </c>
      <c r="S866" s="6">
        <f>Pcfu4[[#This Row],[CFU/mL]]*Pcfu4[[#This Row],[mL]]/Pcfu4[[#This Row],[grams]]</f>
        <v>13173.333333333332</v>
      </c>
      <c r="T866" s="1">
        <f>Pcfu4[[#This Row],[SD CFU/mL]]*Pcfu4[[#This Row],[mL]]/Pcfu4[[#This Row],[grams]]</f>
        <v>13708.119248581597</v>
      </c>
      <c r="U866" s="7" t="e">
        <f>_xlfn.STDEV.S(Pcfu43[[#This Row],[R1]:[R3]])/AVERAGE(Pcfu43[[#This Row],[R1]:[R3]])</f>
        <v>#VALUE!</v>
      </c>
      <c r="V866" s="96"/>
      <c r="W866" s="7"/>
    </row>
    <row r="867" spans="1:24" x14ac:dyDescent="0.15">
      <c r="A867" t="s">
        <v>752</v>
      </c>
      <c r="C867" t="s">
        <v>723</v>
      </c>
      <c r="D867" s="66">
        <v>0</v>
      </c>
      <c r="E867" s="3">
        <v>3</v>
      </c>
      <c r="F867" t="s">
        <v>732</v>
      </c>
      <c r="G867">
        <v>0.3</v>
      </c>
      <c r="H867" s="5">
        <f>19*Pcfu4[[#This Row],[grams]]</f>
        <v>5.7</v>
      </c>
      <c r="I867" s="3" t="s">
        <v>170</v>
      </c>
      <c r="J867" s="59">
        <v>45076</v>
      </c>
      <c r="L867" s="59" t="e" cm="1">
        <f t="array" ref="L867">INDEX($J$4:J1957, MATCH(1,(A867=$A$4:A1955)*(C867=$C$4:C1955)*("Y"=$K$4:K1957),0))</f>
        <v>#N/A</v>
      </c>
      <c r="M867" s="1">
        <v>1</v>
      </c>
      <c r="N867">
        <v>181</v>
      </c>
      <c r="O867">
        <v>361</v>
      </c>
      <c r="P867">
        <v>303</v>
      </c>
      <c r="Q867" s="6">
        <f>(SUM(Pcfu4[[#This Row],[R1]:[R3]]))/(Pcfu4[[#This Row],[No. Reps]]*0.025)*Pcfu4[[#This Row],[Best DF]]</f>
        <v>11266.666666666664</v>
      </c>
      <c r="R867" s="1">
        <f>_xlfn.STDEV.S(Pcfu4[[#This Row],[R1]:[R3]])/0.025*Pcfu4[[#This Row],[Best DF]]</f>
        <v>3675.0691603469618</v>
      </c>
      <c r="S867" s="6">
        <f>Pcfu4[[#This Row],[CFU/mL]]*Pcfu4[[#This Row],[mL]]/Pcfu4[[#This Row],[grams]]</f>
        <v>214066.66666666663</v>
      </c>
      <c r="T867" s="1">
        <f>Pcfu4[[#This Row],[SD CFU/mL]]*Pcfu4[[#This Row],[mL]]/Pcfu4[[#This Row],[grams]]</f>
        <v>69826.314046592292</v>
      </c>
      <c r="U867" s="7" t="e">
        <f>_xlfn.STDEV.S(Pcfu43[[#This Row],[R1]:[R3]])/AVERAGE(Pcfu43[[#This Row],[R1]:[R3]])</f>
        <v>#VALUE!</v>
      </c>
      <c r="V867" s="96"/>
      <c r="W867" s="7"/>
    </row>
    <row r="868" spans="1:24" x14ac:dyDescent="0.15">
      <c r="A868" t="s">
        <v>753</v>
      </c>
      <c r="C868" t="s">
        <v>723</v>
      </c>
      <c r="D868" s="66">
        <v>0</v>
      </c>
      <c r="E868" s="3">
        <v>3</v>
      </c>
      <c r="F868" t="s">
        <v>732</v>
      </c>
      <c r="G868">
        <v>0.3</v>
      </c>
      <c r="H868" s="5">
        <f>19*Pcfu4[[#This Row],[grams]]</f>
        <v>5.7</v>
      </c>
      <c r="I868" s="3" t="s">
        <v>170</v>
      </c>
      <c r="J868" s="59">
        <v>45076</v>
      </c>
      <c r="L868" s="59" t="e" cm="1">
        <f t="array" ref="L868">INDEX($J$4:J1958, MATCH(1,(A868=$A$4:A1956)*(C868=$C$4:C1956)*("Y"=$K$4:K1958),0))</f>
        <v>#N/A</v>
      </c>
      <c r="M868" s="1">
        <v>1</v>
      </c>
      <c r="N868">
        <v>92</v>
      </c>
      <c r="O868">
        <v>235</v>
      </c>
      <c r="P868">
        <v>135</v>
      </c>
      <c r="Q868" s="6">
        <f>(SUM(Pcfu4[[#This Row],[R1]:[R3]]))/(Pcfu4[[#This Row],[No. Reps]]*0.025)*Pcfu4[[#This Row],[Best DF]]</f>
        <v>6159.9999999999991</v>
      </c>
      <c r="R868" s="1">
        <f>_xlfn.STDEV.S(Pcfu4[[#This Row],[R1]:[R3]])/0.025*Pcfu4[[#This Row],[Best DF]]</f>
        <v>2934.7572301640216</v>
      </c>
      <c r="S868" s="6">
        <f>Pcfu4[[#This Row],[CFU/mL]]*Pcfu4[[#This Row],[mL]]/Pcfu4[[#This Row],[grams]]</f>
        <v>117039.99999999999</v>
      </c>
      <c r="T868" s="1">
        <f>Pcfu4[[#This Row],[SD CFU/mL]]*Pcfu4[[#This Row],[mL]]/Pcfu4[[#This Row],[grams]]</f>
        <v>55760.38737311642</v>
      </c>
      <c r="U868" s="7" t="e">
        <f>_xlfn.STDEV.S(Pcfu43[[#This Row],[R1]:[R3]])/AVERAGE(Pcfu43[[#This Row],[R1]:[R3]])</f>
        <v>#VALUE!</v>
      </c>
      <c r="V868" s="96"/>
      <c r="W868" s="7"/>
    </row>
    <row r="869" spans="1:24" x14ac:dyDescent="0.15">
      <c r="A869" t="s">
        <v>40</v>
      </c>
      <c r="B869" t="s">
        <v>75</v>
      </c>
      <c r="D869" t="s">
        <v>37</v>
      </c>
      <c r="E869" s="3">
        <v>3</v>
      </c>
      <c r="G869">
        <v>0.3</v>
      </c>
      <c r="H869" s="5">
        <f>19*Pcfu4[[#This Row],[grams]]</f>
        <v>5.7</v>
      </c>
      <c r="I869" s="3" t="s">
        <v>170</v>
      </c>
      <c r="J869" s="59" t="s">
        <v>758</v>
      </c>
      <c r="L869" s="59" t="e" cm="1">
        <f t="array" ref="L869">INDEX($J$4:J1959, MATCH(1,(A869=$A$4:A1957)*(C869=$C$4:C1957)*("Y"=$K$4:K1959),0))</f>
        <v>#N/A</v>
      </c>
      <c r="M869" s="1">
        <v>100000</v>
      </c>
      <c r="N869">
        <v>121</v>
      </c>
      <c r="O869">
        <v>144</v>
      </c>
      <c r="P869">
        <v>129</v>
      </c>
      <c r="Q869" s="6">
        <f>(SUM(Pcfu4[[#This Row],[R1]:[R3]]))/(Pcfu4[[#This Row],[No. Reps]]*0.025)*Pcfu4[[#This Row],[Best DF]]</f>
        <v>525333333.33333319</v>
      </c>
      <c r="R869" s="1">
        <f>_xlfn.STDEV.S(Pcfu4[[#This Row],[R1]:[R3]])/0.025*Pcfu4[[#This Row],[Best DF]]</f>
        <v>46704746.368365318</v>
      </c>
      <c r="S869" s="6">
        <f>Pcfu4[[#This Row],[CFU/mL]]*Pcfu4[[#This Row],[mL]]/Pcfu4[[#This Row],[grams]]</f>
        <v>9981333333.3333321</v>
      </c>
      <c r="T869" s="1">
        <f>Pcfu4[[#This Row],[SD CFU/mL]]*Pcfu4[[#This Row],[mL]]/Pcfu4[[#This Row],[grams]]</f>
        <v>887390180.99894106</v>
      </c>
      <c r="U869" s="7" t="e">
        <f>_xlfn.STDEV.S(Pcfu43[[#This Row],[R1]:[R3]])/AVERAGE(Pcfu43[[#This Row],[R1]:[R3]])</f>
        <v>#VALUE!</v>
      </c>
      <c r="V869" s="96"/>
      <c r="W869" s="7"/>
    </row>
    <row r="870" spans="1:24" x14ac:dyDescent="0.15">
      <c r="A870" t="s">
        <v>671</v>
      </c>
      <c r="C870" t="s">
        <v>723</v>
      </c>
      <c r="D870" s="84" t="s">
        <v>253</v>
      </c>
      <c r="E870" s="3">
        <v>3</v>
      </c>
      <c r="F870" t="s">
        <v>736</v>
      </c>
      <c r="G870">
        <v>0.3</v>
      </c>
      <c r="H870" s="5">
        <f>19*Pcfu4[[#This Row],[grams]]</f>
        <v>5.7</v>
      </c>
      <c r="I870" s="3" t="s">
        <v>170</v>
      </c>
      <c r="J870" s="59">
        <v>45078</v>
      </c>
      <c r="L870" s="59" t="e" cm="1">
        <f t="array" ref="L870">INDEX($J$4:J1960, MATCH(1,(A870=$A$4:A1958)*(C870=$C$4:C1958)*("Y"=$K$4:K1960),0))</f>
        <v>#N/A</v>
      </c>
      <c r="M870" s="1">
        <v>1</v>
      </c>
      <c r="N870">
        <v>46</v>
      </c>
      <c r="O870">
        <v>127</v>
      </c>
      <c r="P870">
        <v>49</v>
      </c>
      <c r="Q870" s="6">
        <f>(SUM(Pcfu4[[#This Row],[R1]:[R3]]))/(Pcfu4[[#This Row],[No. Reps]]*0.025)*Pcfu4[[#This Row],[Best DF]]</f>
        <v>2959.9999999999995</v>
      </c>
      <c r="R870" s="1">
        <f>_xlfn.STDEV.S(Pcfu4[[#This Row],[R1]:[R3]])/0.025*Pcfu4[[#This Row],[Best DF]]</f>
        <v>1836.9540005128056</v>
      </c>
      <c r="S870" s="6">
        <f>Pcfu4[[#This Row],[CFU/mL]]*Pcfu4[[#This Row],[mL]]/Pcfu4[[#This Row],[grams]]</f>
        <v>56239.999999999993</v>
      </c>
      <c r="T870" s="1">
        <f>Pcfu4[[#This Row],[SD CFU/mL]]*Pcfu4[[#This Row],[mL]]/Pcfu4[[#This Row],[grams]]</f>
        <v>34902.126009743311</v>
      </c>
      <c r="U870" s="7" t="e">
        <f>_xlfn.STDEV.S(Pcfu43[[#This Row],[R1]:[R3]])/AVERAGE(Pcfu43[[#This Row],[R1]:[R3]])</f>
        <v>#VALUE!</v>
      </c>
      <c r="V870" s="96"/>
      <c r="W870" s="7"/>
    </row>
    <row r="871" spans="1:24" x14ac:dyDescent="0.15">
      <c r="A871" t="s">
        <v>737</v>
      </c>
      <c r="C871" t="s">
        <v>723</v>
      </c>
      <c r="D871" s="84" t="s">
        <v>253</v>
      </c>
      <c r="E871" s="3">
        <v>3</v>
      </c>
      <c r="F871" t="s">
        <v>736</v>
      </c>
      <c r="G871">
        <v>0.3</v>
      </c>
      <c r="H871" s="5">
        <f>19*Pcfu4[[#This Row],[grams]]</f>
        <v>5.7</v>
      </c>
      <c r="I871" s="3" t="s">
        <v>170</v>
      </c>
      <c r="J871" s="59">
        <v>45078</v>
      </c>
      <c r="L871" s="59" t="e" cm="1">
        <f t="array" ref="L871">INDEX($J$4:J1961, MATCH(1,(A871=$A$4:A1959)*(C871=$C$4:C1959)*("Y"=$K$4:K1961),0))</f>
        <v>#N/A</v>
      </c>
      <c r="M871" s="1">
        <v>10</v>
      </c>
      <c r="N871">
        <v>51</v>
      </c>
      <c r="O871">
        <v>111</v>
      </c>
      <c r="P871">
        <v>31</v>
      </c>
      <c r="Q871" s="6">
        <f>(SUM(Pcfu4[[#This Row],[R1]:[R3]]))/(Pcfu4[[#This Row],[No. Reps]]*0.025)*Pcfu4[[#This Row],[Best DF]]</f>
        <v>25733.333333333328</v>
      </c>
      <c r="R871" s="1">
        <f>_xlfn.STDEV.S(Pcfu4[[#This Row],[R1]:[R3]])/0.025*Pcfu4[[#This Row],[Best DF]]</f>
        <v>16653.327995729058</v>
      </c>
      <c r="S871" s="6">
        <f>Pcfu4[[#This Row],[CFU/mL]]*Pcfu4[[#This Row],[mL]]/Pcfu4[[#This Row],[grams]]</f>
        <v>488933.33333333326</v>
      </c>
      <c r="T871" s="1">
        <f>Pcfu4[[#This Row],[SD CFU/mL]]*Pcfu4[[#This Row],[mL]]/Pcfu4[[#This Row],[grams]]</f>
        <v>316413.23191885214</v>
      </c>
      <c r="U871" s="7" t="e">
        <f>_xlfn.STDEV.S(Pcfu43[[#This Row],[R1]:[R3]])/AVERAGE(Pcfu43[[#This Row],[R1]:[R3]])</f>
        <v>#VALUE!</v>
      </c>
      <c r="V871" s="96"/>
      <c r="W871" s="7"/>
    </row>
    <row r="872" spans="1:24" x14ac:dyDescent="0.15">
      <c r="A872" t="s">
        <v>738</v>
      </c>
      <c r="C872" t="s">
        <v>759</v>
      </c>
      <c r="D872" s="84" t="s">
        <v>253</v>
      </c>
      <c r="E872" s="3">
        <v>3</v>
      </c>
      <c r="F872" t="s">
        <v>736</v>
      </c>
      <c r="G872">
        <v>0.3</v>
      </c>
      <c r="H872" s="5">
        <f>19*Pcfu4[[#This Row],[grams]]</f>
        <v>5.7</v>
      </c>
      <c r="I872" s="3" t="s">
        <v>170</v>
      </c>
      <c r="J872" s="59">
        <v>45078</v>
      </c>
      <c r="L872" s="59" t="e" cm="1">
        <f t="array" ref="L872">INDEX($J$4:J1962, MATCH(1,(A872=$A$4:A1960)*(C872=$C$4:C1960)*("Y"=$K$4:K1962),0))</f>
        <v>#N/A</v>
      </c>
      <c r="M872" s="1">
        <v>1</v>
      </c>
      <c r="N872">
        <v>510</v>
      </c>
      <c r="O872">
        <v>520</v>
      </c>
      <c r="P872">
        <v>84</v>
      </c>
      <c r="Q872" s="6">
        <f>(SUM(Pcfu4[[#This Row],[R1]:[R3]]))/(Pcfu4[[#This Row],[No. Reps]]*0.025)*Pcfu4[[#This Row],[Best DF]]</f>
        <v>14853.33333333333</v>
      </c>
      <c r="R872" s="1">
        <f>_xlfn.STDEV.S(Pcfu4[[#This Row],[R1]:[R3]])/0.025*Pcfu4[[#This Row],[Best DF]]</f>
        <v>9955.5277777390256</v>
      </c>
      <c r="S872" s="6">
        <f>Pcfu4[[#This Row],[CFU/mL]]*Pcfu4[[#This Row],[mL]]/Pcfu4[[#This Row],[grams]]</f>
        <v>282213.33333333331</v>
      </c>
      <c r="T872" s="1">
        <f>Pcfu4[[#This Row],[SD CFU/mL]]*Pcfu4[[#This Row],[mL]]/Pcfu4[[#This Row],[grams]]</f>
        <v>189155.02777704151</v>
      </c>
      <c r="U872" s="7" t="e">
        <f>_xlfn.STDEV.S(Pcfu43[[#This Row],[R1]:[R3]])/AVERAGE(Pcfu43[[#This Row],[R1]:[R3]])</f>
        <v>#VALUE!</v>
      </c>
      <c r="V872" s="96"/>
      <c r="W872" s="7"/>
      <c r="X872" t="s">
        <v>760</v>
      </c>
    </row>
    <row r="873" spans="1:24" x14ac:dyDescent="0.15">
      <c r="A873" t="s">
        <v>672</v>
      </c>
      <c r="C873" t="s">
        <v>723</v>
      </c>
      <c r="D873" s="84" t="s">
        <v>253</v>
      </c>
      <c r="E873" s="3">
        <v>3</v>
      </c>
      <c r="F873" t="s">
        <v>736</v>
      </c>
      <c r="G873">
        <v>0.3</v>
      </c>
      <c r="H873" s="5">
        <f>19*Pcfu4[[#This Row],[grams]]</f>
        <v>5.7</v>
      </c>
      <c r="I873" s="3" t="s">
        <v>170</v>
      </c>
      <c r="J873" s="59">
        <v>45078</v>
      </c>
      <c r="L873" s="59" t="e" cm="1">
        <f t="array" ref="L873">INDEX($J$4:J1963, MATCH(1,(A873=$A$4:A1961)*(C873=$C$4:C1961)*("Y"=$K$4:K1963),0))</f>
        <v>#N/A</v>
      </c>
      <c r="M873" s="1">
        <v>1</v>
      </c>
      <c r="N873">
        <v>227</v>
      </c>
      <c r="O873">
        <v>177</v>
      </c>
      <c r="P873">
        <v>87</v>
      </c>
      <c r="Q873" s="6">
        <f>(SUM(Pcfu4[[#This Row],[R1]:[R3]]))/(Pcfu4[[#This Row],[No. Reps]]*0.025)*Pcfu4[[#This Row],[Best DF]]</f>
        <v>6546.6666666666661</v>
      </c>
      <c r="R873" s="1">
        <f>_xlfn.STDEV.S(Pcfu4[[#This Row],[R1]:[R3]])/0.025*Pcfu4[[#This Row],[Best DF]]</f>
        <v>2837.8395538390355</v>
      </c>
      <c r="S873" s="6">
        <f>Pcfu4[[#This Row],[CFU/mL]]*Pcfu4[[#This Row],[mL]]/Pcfu4[[#This Row],[grams]]</f>
        <v>124386.66666666667</v>
      </c>
      <c r="T873" s="1">
        <f>Pcfu4[[#This Row],[SD CFU/mL]]*Pcfu4[[#This Row],[mL]]/Pcfu4[[#This Row],[grams]]</f>
        <v>53918.951522941672</v>
      </c>
      <c r="U873" s="7" t="e">
        <f>_xlfn.STDEV.S(Pcfu43[[#This Row],[R1]:[R3]])/AVERAGE(Pcfu43[[#This Row],[R1]:[R3]])</f>
        <v>#VALUE!</v>
      </c>
      <c r="V873" s="96"/>
      <c r="W873" s="7"/>
    </row>
    <row r="874" spans="1:24" x14ac:dyDescent="0.15">
      <c r="A874" t="s">
        <v>743</v>
      </c>
      <c r="C874" t="s">
        <v>723</v>
      </c>
      <c r="D874" s="84" t="s">
        <v>253</v>
      </c>
      <c r="E874" s="3">
        <v>3</v>
      </c>
      <c r="F874" t="s">
        <v>736</v>
      </c>
      <c r="G874">
        <v>0.3</v>
      </c>
      <c r="H874" s="5">
        <f>19*Pcfu4[[#This Row],[grams]]</f>
        <v>5.7</v>
      </c>
      <c r="I874" s="3" t="s">
        <v>170</v>
      </c>
      <c r="J874" s="59">
        <v>45078</v>
      </c>
      <c r="L874" s="59" t="e" cm="1">
        <f t="array" ref="L874">INDEX($J$4:J1964, MATCH(1,(A874=$A$4:A1962)*(C874=$C$4:C1962)*("Y"=$K$4:K1964),0))</f>
        <v>#N/A</v>
      </c>
      <c r="M874" s="1">
        <v>10</v>
      </c>
      <c r="N874">
        <v>46</v>
      </c>
      <c r="O874">
        <v>50</v>
      </c>
      <c r="P874">
        <v>71</v>
      </c>
      <c r="Q874" s="6">
        <f>(SUM(Pcfu4[[#This Row],[R1]:[R3]]))/(Pcfu4[[#This Row],[No. Reps]]*0.025)*Pcfu4[[#This Row],[Best DF]]</f>
        <v>22266.666666666664</v>
      </c>
      <c r="R874" s="1">
        <f>_xlfn.STDEV.S(Pcfu4[[#This Row],[R1]:[R3]])/0.025*Pcfu4[[#This Row],[Best DF]]</f>
        <v>5371.5298875956441</v>
      </c>
      <c r="S874" s="6">
        <f>Pcfu4[[#This Row],[CFU/mL]]*Pcfu4[[#This Row],[mL]]/Pcfu4[[#This Row],[grams]]</f>
        <v>423066.66666666663</v>
      </c>
      <c r="T874" s="1">
        <f>Pcfu4[[#This Row],[SD CFU/mL]]*Pcfu4[[#This Row],[mL]]/Pcfu4[[#This Row],[grams]]</f>
        <v>102059.06786431724</v>
      </c>
      <c r="U874" s="7" t="e">
        <f>_xlfn.STDEV.S(Pcfu43[[#This Row],[R1]:[R3]])/AVERAGE(Pcfu43[[#This Row],[R1]:[R3]])</f>
        <v>#VALUE!</v>
      </c>
      <c r="V874" s="96"/>
      <c r="W874" s="7"/>
    </row>
    <row r="875" spans="1:24" x14ac:dyDescent="0.15">
      <c r="A875" t="s">
        <v>739</v>
      </c>
      <c r="C875" t="s">
        <v>723</v>
      </c>
      <c r="D875" s="84" t="s">
        <v>253</v>
      </c>
      <c r="E875" s="3">
        <v>3</v>
      </c>
      <c r="F875" t="s">
        <v>736</v>
      </c>
      <c r="G875">
        <v>0.3</v>
      </c>
      <c r="H875" s="5">
        <f>19*Pcfu4[[#This Row],[grams]]</f>
        <v>5.7</v>
      </c>
      <c r="I875" s="3" t="s">
        <v>170</v>
      </c>
      <c r="J875" s="59">
        <v>45078</v>
      </c>
      <c r="L875" s="59" t="e" cm="1">
        <f t="array" ref="L875">INDEX($J$4:J1965, MATCH(1,(A875=$A$4:A1963)*(C875=$C$4:C1963)*("Y"=$K$4:K1965),0))</f>
        <v>#N/A</v>
      </c>
      <c r="M875" s="1">
        <v>1</v>
      </c>
      <c r="N875">
        <v>157</v>
      </c>
      <c r="O875">
        <v>380</v>
      </c>
      <c r="P875">
        <v>610</v>
      </c>
      <c r="Q875" s="6">
        <f>(SUM(Pcfu4[[#This Row],[R1]:[R3]]))/(Pcfu4[[#This Row],[No. Reps]]*0.025)*Pcfu4[[#This Row],[Best DF]]</f>
        <v>15293.33333333333</v>
      </c>
      <c r="R875" s="1">
        <f>_xlfn.STDEV.S(Pcfu4[[#This Row],[R1]:[R3]])/0.025*Pcfu4[[#This Row],[Best DF]]</f>
        <v>9060.3605520604615</v>
      </c>
      <c r="S875" s="6">
        <f>Pcfu4[[#This Row],[CFU/mL]]*Pcfu4[[#This Row],[mL]]/Pcfu4[[#This Row],[grams]]</f>
        <v>290573.33333333331</v>
      </c>
      <c r="T875" s="1">
        <f>Pcfu4[[#This Row],[SD CFU/mL]]*Pcfu4[[#This Row],[mL]]/Pcfu4[[#This Row],[grams]]</f>
        <v>172146.85048914878</v>
      </c>
      <c r="U875" s="7" t="e">
        <f>_xlfn.STDEV.S(Pcfu43[[#This Row],[R1]:[R3]])/AVERAGE(Pcfu43[[#This Row],[R1]:[R3]])</f>
        <v>#VALUE!</v>
      </c>
      <c r="V875" s="96"/>
      <c r="W875" s="7"/>
      <c r="X875" t="s">
        <v>761</v>
      </c>
    </row>
    <row r="876" spans="1:24" x14ac:dyDescent="0.15">
      <c r="A876" t="s">
        <v>752</v>
      </c>
      <c r="C876" t="s">
        <v>723</v>
      </c>
      <c r="D876" s="66" t="s">
        <v>253</v>
      </c>
      <c r="E876" s="3">
        <v>3</v>
      </c>
      <c r="F876" t="s">
        <v>754</v>
      </c>
      <c r="G876">
        <v>0.3</v>
      </c>
      <c r="H876" s="83">
        <v>5.7</v>
      </c>
      <c r="I876" s="3" t="s">
        <v>170</v>
      </c>
      <c r="J876" s="59">
        <v>45078</v>
      </c>
      <c r="L876" s="59" t="e" cm="1">
        <f t="array" ref="L876">INDEX($J$4:J1966, MATCH(1,(A876=$A$4:A1964)*(C876=$C$4:C1964)*("Y"=$K$4:K1966),0))</f>
        <v>#N/A</v>
      </c>
      <c r="M876" s="1">
        <v>1</v>
      </c>
      <c r="N876">
        <v>145</v>
      </c>
      <c r="O876">
        <v>273</v>
      </c>
      <c r="P876">
        <v>77</v>
      </c>
      <c r="Q876" s="6">
        <f>(SUM(Pcfu4[[#This Row],[R1]:[R3]]))/(Pcfu4[[#This Row],[No. Reps]]*0.025)*Pcfu4[[#This Row],[Best DF]]</f>
        <v>6599.9999999999991</v>
      </c>
      <c r="R876" s="1">
        <f>_xlfn.STDEV.S(Pcfu4[[#This Row],[R1]:[R3]])/0.025*Pcfu4[[#This Row],[Best DF]]</f>
        <v>3980.7536974799132</v>
      </c>
      <c r="S876" s="6">
        <f>Pcfu4[[#This Row],[CFU/mL]]*Pcfu4[[#This Row],[mL]]/Pcfu4[[#This Row],[grams]]</f>
        <v>125399.99999999999</v>
      </c>
      <c r="T876" s="1">
        <f>Pcfu4[[#This Row],[SD CFU/mL]]*Pcfu4[[#This Row],[mL]]/Pcfu4[[#This Row],[grams]]</f>
        <v>75634.320252118356</v>
      </c>
      <c r="U876" s="7" t="e">
        <f>_xlfn.STDEV.S(Pcfu43[[#This Row],[R1]:[R3]])/AVERAGE(Pcfu43[[#This Row],[R1]:[R3]])</f>
        <v>#VALUE!</v>
      </c>
      <c r="V876" s="96"/>
      <c r="W876" s="7"/>
    </row>
    <row r="877" spans="1:24" x14ac:dyDescent="0.15">
      <c r="A877" t="s">
        <v>753</v>
      </c>
      <c r="C877" t="s">
        <v>723</v>
      </c>
      <c r="D877" s="66" t="s">
        <v>253</v>
      </c>
      <c r="E877" s="3">
        <v>3</v>
      </c>
      <c r="F877" t="s">
        <v>754</v>
      </c>
      <c r="G877">
        <v>0.3</v>
      </c>
      <c r="H877" s="83">
        <v>5.7</v>
      </c>
      <c r="I877" s="3" t="s">
        <v>170</v>
      </c>
      <c r="J877" s="59">
        <v>45078</v>
      </c>
      <c r="L877" s="59" t="e" cm="1">
        <f t="array" ref="L877">INDEX($J$4:J1967, MATCH(1,(A877=$A$4:A1965)*(C877=$C$4:C1965)*("Y"=$K$4:K1967),0))</f>
        <v>#N/A</v>
      </c>
      <c r="M877" s="1">
        <v>1</v>
      </c>
      <c r="N877">
        <v>310</v>
      </c>
      <c r="O877">
        <v>115</v>
      </c>
      <c r="P877">
        <v>410</v>
      </c>
      <c r="Q877" s="6">
        <f>(SUM(Pcfu4[[#This Row],[R1]:[R3]]))/(Pcfu4[[#This Row],[No. Reps]]*0.025)*Pcfu4[[#This Row],[Best DF]]</f>
        <v>11133.333333333332</v>
      </c>
      <c r="R877" s="1">
        <f>_xlfn.STDEV.S(Pcfu4[[#This Row],[R1]:[R3]])/0.025*Pcfu4[[#This Row],[Best DF]]</f>
        <v>6001.1110082494997</v>
      </c>
      <c r="S877" s="6">
        <f>Pcfu4[[#This Row],[CFU/mL]]*Pcfu4[[#This Row],[mL]]/Pcfu4[[#This Row],[grams]]</f>
        <v>211533.33333333331</v>
      </c>
      <c r="T877" s="1">
        <f>Pcfu4[[#This Row],[SD CFU/mL]]*Pcfu4[[#This Row],[mL]]/Pcfu4[[#This Row],[grams]]</f>
        <v>114021.10915674049</v>
      </c>
      <c r="U877" s="7" t="e">
        <f>_xlfn.STDEV.S(Pcfu43[[#This Row],[R1]:[R3]])/AVERAGE(Pcfu43[[#This Row],[R1]:[R3]])</f>
        <v>#VALUE!</v>
      </c>
      <c r="V877" s="96"/>
      <c r="W877" s="7"/>
      <c r="X877" t="s">
        <v>762</v>
      </c>
    </row>
    <row r="878" spans="1:24" x14ac:dyDescent="0.15">
      <c r="A878" t="s">
        <v>763</v>
      </c>
      <c r="C878" t="s">
        <v>723</v>
      </c>
      <c r="D878" s="66">
        <v>0</v>
      </c>
      <c r="E878" s="3">
        <v>3</v>
      </c>
      <c r="F878" t="s">
        <v>754</v>
      </c>
      <c r="G878">
        <v>0.3</v>
      </c>
      <c r="H878" s="83">
        <f>19*Pcfu4[[#This Row],[grams]]</f>
        <v>5.7</v>
      </c>
      <c r="I878" s="3" t="s">
        <v>170</v>
      </c>
      <c r="J878" s="59">
        <v>45078</v>
      </c>
      <c r="L878" s="59" t="e" cm="1">
        <f t="array" ref="L878">INDEX($J$4:J1968, MATCH(1,(A878=$A$4:A1966)*(C878=$C$4:C1966)*("Y"=$K$4:K1968),0))</f>
        <v>#N/A</v>
      </c>
      <c r="M878" s="1">
        <v>1</v>
      </c>
      <c r="N878">
        <v>6</v>
      </c>
      <c r="O878">
        <v>1</v>
      </c>
      <c r="P878">
        <v>10</v>
      </c>
      <c r="Q878" s="6">
        <f>(SUM(Pcfu4[[#This Row],[R1]:[R3]]))/(Pcfu4[[#This Row],[No. Reps]]*0.025)*Pcfu4[[#This Row],[Best DF]]</f>
        <v>226.66666666666663</v>
      </c>
      <c r="R878" s="1">
        <f>_xlfn.STDEV.S(Pcfu4[[#This Row],[R1]:[R3]])/0.025*Pcfu4[[#This Row],[Best DF]]</f>
        <v>180.36999011291576</v>
      </c>
      <c r="S878" s="6">
        <f>Pcfu4[[#This Row],[CFU/mL]]*Pcfu4[[#This Row],[mL]]/Pcfu4[[#This Row],[grams]]</f>
        <v>4306.6666666666661</v>
      </c>
      <c r="T878" s="1">
        <f>Pcfu4[[#This Row],[SD CFU/mL]]*Pcfu4[[#This Row],[mL]]/Pcfu4[[#This Row],[grams]]</f>
        <v>3427.0298121453993</v>
      </c>
      <c r="U878" s="7" t="e">
        <f>_xlfn.STDEV.S(Pcfu43[[#This Row],[R1]:[R3]])/AVERAGE(Pcfu43[[#This Row],[R1]:[R3]])</f>
        <v>#VALUE!</v>
      </c>
      <c r="V878" s="96"/>
      <c r="W878" s="7"/>
      <c r="X878" t="s">
        <v>764</v>
      </c>
    </row>
    <row r="879" spans="1:24" x14ac:dyDescent="0.15">
      <c r="A879" t="s">
        <v>765</v>
      </c>
      <c r="C879" t="s">
        <v>723</v>
      </c>
      <c r="D879" s="66">
        <v>0</v>
      </c>
      <c r="E879" s="3">
        <v>3</v>
      </c>
      <c r="F879" t="s">
        <v>754</v>
      </c>
      <c r="G879">
        <v>0.3</v>
      </c>
      <c r="H879" s="83">
        <f>19*Pcfu4[[#This Row],[grams]]</f>
        <v>5.7</v>
      </c>
      <c r="I879" s="3" t="s">
        <v>170</v>
      </c>
      <c r="J879" s="59">
        <v>45078</v>
      </c>
      <c r="L879" s="59" t="e" cm="1">
        <f t="array" ref="L879">INDEX($J$4:J1969, MATCH(1,(A879=$A$4:A1967)*(C879=$C$4:C1967)*("Y"=$K$4:K1969),0))</f>
        <v>#N/A</v>
      </c>
      <c r="M879" s="1">
        <v>1</v>
      </c>
      <c r="N879">
        <v>2</v>
      </c>
      <c r="O879">
        <v>2</v>
      </c>
      <c r="P879">
        <v>15</v>
      </c>
      <c r="Q879" s="6">
        <f>(SUM(Pcfu4[[#This Row],[R1]:[R3]]))/(Pcfu4[[#This Row],[No. Reps]]*0.025)*Pcfu4[[#This Row],[Best DF]]</f>
        <v>253.33333333333329</v>
      </c>
      <c r="R879" s="1">
        <f>_xlfn.STDEV.S(Pcfu4[[#This Row],[R1]:[R3]])/0.025*Pcfu4[[#This Row],[Best DF]]</f>
        <v>300.22213997860536</v>
      </c>
      <c r="S879" s="6">
        <f>Pcfu4[[#This Row],[CFU/mL]]*Pcfu4[[#This Row],[mL]]/Pcfu4[[#This Row],[grams]]</f>
        <v>4813.333333333333</v>
      </c>
      <c r="T879" s="1">
        <f>Pcfu4[[#This Row],[SD CFU/mL]]*Pcfu4[[#This Row],[mL]]/Pcfu4[[#This Row],[grams]]</f>
        <v>5704.2206595935022</v>
      </c>
      <c r="U879" s="7" t="e">
        <f>_xlfn.STDEV.S(Pcfu43[[#This Row],[R1]:[R3]])/AVERAGE(Pcfu43[[#This Row],[R1]:[R3]])</f>
        <v>#VALUE!</v>
      </c>
      <c r="V879" s="96"/>
      <c r="W879" s="7"/>
      <c r="X879" t="s">
        <v>764</v>
      </c>
    </row>
    <row r="880" spans="1:24" x14ac:dyDescent="0.15">
      <c r="A880" t="s">
        <v>766</v>
      </c>
      <c r="C880" t="s">
        <v>723</v>
      </c>
      <c r="D880" s="66">
        <v>0</v>
      </c>
      <c r="E880" s="3">
        <v>3</v>
      </c>
      <c r="F880" t="s">
        <v>754</v>
      </c>
      <c r="G880">
        <v>0.3</v>
      </c>
      <c r="H880" s="83">
        <f>19*Pcfu4[[#This Row],[grams]]</f>
        <v>5.7</v>
      </c>
      <c r="I880" s="3" t="s">
        <v>170</v>
      </c>
      <c r="J880" s="59">
        <v>45078</v>
      </c>
      <c r="L880" s="59" t="e" cm="1">
        <f t="array" ref="L880">INDEX($J$4:J1970, MATCH(1,(A880=$A$4:A1968)*(C880=$C$4:C1968)*("Y"=$K$4:K1970),0))</f>
        <v>#N/A</v>
      </c>
      <c r="M880" s="1">
        <v>1</v>
      </c>
      <c r="N880">
        <v>18</v>
      </c>
      <c r="O880">
        <v>1</v>
      </c>
      <c r="P880">
        <v>1</v>
      </c>
      <c r="Q880" s="6">
        <f>(SUM(Pcfu4[[#This Row],[R1]:[R3]]))/(Pcfu4[[#This Row],[No. Reps]]*0.025)*Pcfu4[[#This Row],[Best DF]]</f>
        <v>266.66666666666663</v>
      </c>
      <c r="R880" s="1">
        <f>_xlfn.STDEV.S(Pcfu4[[#This Row],[R1]:[R3]])/0.025*Pcfu4[[#This Row],[Best DF]]</f>
        <v>392.59818304894549</v>
      </c>
      <c r="S880" s="6">
        <f>Pcfu4[[#This Row],[CFU/mL]]*Pcfu4[[#This Row],[mL]]/Pcfu4[[#This Row],[grams]]</f>
        <v>5066.6666666666661</v>
      </c>
      <c r="T880" s="1">
        <f>Pcfu4[[#This Row],[SD CFU/mL]]*Pcfu4[[#This Row],[mL]]/Pcfu4[[#This Row],[grams]]</f>
        <v>7459.3654779299641</v>
      </c>
      <c r="U880" s="7" t="e">
        <f>_xlfn.STDEV.S(Pcfu43[[#This Row],[R1]:[R3]])/AVERAGE(Pcfu43[[#This Row],[R1]:[R3]])</f>
        <v>#VALUE!</v>
      </c>
      <c r="V880" s="96"/>
      <c r="W880" s="7"/>
      <c r="X880" t="s">
        <v>764</v>
      </c>
    </row>
    <row r="881" spans="1:24" x14ac:dyDescent="0.15">
      <c r="A881" t="s">
        <v>767</v>
      </c>
      <c r="C881" t="s">
        <v>723</v>
      </c>
      <c r="D881" s="66">
        <v>0</v>
      </c>
      <c r="E881" s="3">
        <v>3</v>
      </c>
      <c r="F881" t="s">
        <v>754</v>
      </c>
      <c r="G881">
        <v>0.3</v>
      </c>
      <c r="H881" s="83">
        <f>19*Pcfu4[[#This Row],[grams]]</f>
        <v>5.7</v>
      </c>
      <c r="I881" s="3" t="s">
        <v>170</v>
      </c>
      <c r="J881" s="59">
        <v>45078</v>
      </c>
      <c r="L881" s="59" t="e" cm="1">
        <f t="array" ref="L881">INDEX($J$4:J1971, MATCH(1,(A881=$A$4:A1969)*(C881=$C$4:C1969)*("Y"=$K$4:K1971),0))</f>
        <v>#N/A</v>
      </c>
      <c r="M881" s="1">
        <v>1</v>
      </c>
      <c r="N881">
        <v>0</v>
      </c>
      <c r="O881">
        <v>0</v>
      </c>
      <c r="P881">
        <v>0</v>
      </c>
      <c r="Q881" s="6">
        <f>(SUM(Pcfu4[[#This Row],[R1]:[R3]]))/(Pcfu4[[#This Row],[No. Reps]]*0.025)*Pcfu4[[#This Row],[Best DF]]</f>
        <v>0</v>
      </c>
      <c r="R881" s="1">
        <f>_xlfn.STDEV.S(Pcfu4[[#This Row],[R1]:[R3]])/0.025*Pcfu4[[#This Row],[Best DF]]</f>
        <v>0</v>
      </c>
      <c r="S881" s="6">
        <f>Pcfu4[[#This Row],[CFU/mL]]*Pcfu4[[#This Row],[mL]]/Pcfu4[[#This Row],[grams]]</f>
        <v>0</v>
      </c>
      <c r="T881" s="1">
        <f>Pcfu4[[#This Row],[SD CFU/mL]]*Pcfu4[[#This Row],[mL]]/Pcfu4[[#This Row],[grams]]</f>
        <v>0</v>
      </c>
      <c r="U881" s="7" t="e">
        <f>_xlfn.STDEV.S(Pcfu43[[#This Row],[R1]:[R3]])/AVERAGE(Pcfu43[[#This Row],[R1]:[R3]])</f>
        <v>#VALUE!</v>
      </c>
      <c r="V881" s="96"/>
      <c r="W881" s="7"/>
      <c r="X881" t="s">
        <v>764</v>
      </c>
    </row>
    <row r="882" spans="1:24" x14ac:dyDescent="0.15">
      <c r="A882" t="s">
        <v>763</v>
      </c>
      <c r="C882" t="s">
        <v>723</v>
      </c>
      <c r="D882" s="66">
        <v>0</v>
      </c>
      <c r="E882" s="3">
        <v>3</v>
      </c>
      <c r="F882" t="s">
        <v>754</v>
      </c>
      <c r="G882">
        <v>0.3</v>
      </c>
      <c r="H882" s="83">
        <f>19*Pcfu4[[#This Row],[grams]]</f>
        <v>5.7</v>
      </c>
      <c r="I882" s="3" t="s">
        <v>170</v>
      </c>
      <c r="J882" s="59">
        <v>45079</v>
      </c>
      <c r="L882" s="59" t="e" cm="1">
        <f t="array" ref="L882">INDEX($J$4:J1972, MATCH(1,(A882=$A$4:A1970)*(C882=$C$4:C1970)*("Y"=$K$4:K1972),0))</f>
        <v>#N/A</v>
      </c>
      <c r="M882" s="1">
        <v>1</v>
      </c>
      <c r="N882">
        <v>1</v>
      </c>
      <c r="O882">
        <v>2</v>
      </c>
      <c r="P882">
        <v>2</v>
      </c>
      <c r="Q882" s="6">
        <f>(SUM(Pcfu4[[#This Row],[R1]:[R3]]))/(Pcfu4[[#This Row],[No. Reps]]*0.025)*Pcfu4[[#This Row],[Best DF]]</f>
        <v>66.666666666666657</v>
      </c>
      <c r="R882" s="1">
        <f>_xlfn.STDEV.S(Pcfu4[[#This Row],[R1]:[R3]])/0.025*Pcfu4[[#This Row],[Best DF]]</f>
        <v>23.094010767585019</v>
      </c>
      <c r="S882" s="6">
        <f>Pcfu4[[#This Row],[CFU/mL]]*Pcfu4[[#This Row],[mL]]/Pcfu4[[#This Row],[grams]]</f>
        <v>1266.6666666666665</v>
      </c>
      <c r="T882" s="1">
        <f>Pcfu4[[#This Row],[SD CFU/mL]]*Pcfu4[[#This Row],[mL]]/Pcfu4[[#This Row],[grams]]</f>
        <v>438.78620458411541</v>
      </c>
      <c r="U882" s="7" t="e">
        <f>_xlfn.STDEV.S(Pcfu43[[#This Row],[R1]:[R3]])/AVERAGE(Pcfu43[[#This Row],[R1]:[R3]])</f>
        <v>#VALUE!</v>
      </c>
      <c r="V882" s="96"/>
      <c r="W882" s="7"/>
    </row>
    <row r="883" spans="1:24" x14ac:dyDescent="0.15">
      <c r="A883" t="s">
        <v>765</v>
      </c>
      <c r="C883" t="s">
        <v>723</v>
      </c>
      <c r="D883" s="66">
        <v>0</v>
      </c>
      <c r="E883" s="3">
        <v>3</v>
      </c>
      <c r="F883" t="s">
        <v>754</v>
      </c>
      <c r="G883">
        <v>0.3</v>
      </c>
      <c r="H883" s="83">
        <f>19*Pcfu4[[#This Row],[grams]]</f>
        <v>5.7</v>
      </c>
      <c r="I883" s="3" t="s">
        <v>170</v>
      </c>
      <c r="J883" s="59">
        <v>45079</v>
      </c>
      <c r="L883" s="59" t="e" cm="1">
        <f t="array" ref="L883">INDEX($J$4:J1973, MATCH(1,(A883=$A$4:A1971)*(C883=$C$4:C1971)*("Y"=$K$4:K1973),0))</f>
        <v>#N/A</v>
      </c>
      <c r="M883" s="1">
        <v>1</v>
      </c>
      <c r="N883">
        <v>0</v>
      </c>
      <c r="O883">
        <v>1</v>
      </c>
      <c r="P883">
        <v>0</v>
      </c>
      <c r="Q883" s="6">
        <f>(SUM(Pcfu4[[#This Row],[R1]:[R3]]))/(Pcfu4[[#This Row],[No. Reps]]*0.025)*Pcfu4[[#This Row],[Best DF]]</f>
        <v>13.333333333333332</v>
      </c>
      <c r="R883" s="1">
        <f>_xlfn.STDEV.S(Pcfu4[[#This Row],[R1]:[R3]])/0.025*Pcfu4[[#This Row],[Best DF]]</f>
        <v>23.094010767585033</v>
      </c>
      <c r="S883" s="6">
        <f>Pcfu4[[#This Row],[CFU/mL]]*Pcfu4[[#This Row],[mL]]/Pcfu4[[#This Row],[grams]]</f>
        <v>253.33333333333334</v>
      </c>
      <c r="T883" s="1">
        <f>Pcfu4[[#This Row],[SD CFU/mL]]*Pcfu4[[#This Row],[mL]]/Pcfu4[[#This Row],[grams]]</f>
        <v>438.78620458411569</v>
      </c>
      <c r="U883" s="7" t="e">
        <f>_xlfn.STDEV.S(Pcfu43[[#This Row],[R1]:[R3]])/AVERAGE(Pcfu43[[#This Row],[R1]:[R3]])</f>
        <v>#VALUE!</v>
      </c>
      <c r="V883" s="96"/>
      <c r="W883" s="7"/>
    </row>
    <row r="884" spans="1:24" x14ac:dyDescent="0.15">
      <c r="A884" t="s">
        <v>766</v>
      </c>
      <c r="C884" t="s">
        <v>723</v>
      </c>
      <c r="D884" s="66">
        <v>0</v>
      </c>
      <c r="E884" s="3">
        <v>3</v>
      </c>
      <c r="F884" t="s">
        <v>754</v>
      </c>
      <c r="G884">
        <v>0.3</v>
      </c>
      <c r="H884" s="83">
        <f>19*Pcfu4[[#This Row],[grams]]</f>
        <v>5.7</v>
      </c>
      <c r="I884" s="3" t="s">
        <v>170</v>
      </c>
      <c r="J884" s="59">
        <v>45079</v>
      </c>
      <c r="L884" s="59" t="e" cm="1">
        <f t="array" ref="L884">INDEX($J$4:J1974, MATCH(1,(A884=$A$4:A1972)*(C884=$C$4:C1972)*("Y"=$K$4:K1974),0))</f>
        <v>#N/A</v>
      </c>
      <c r="M884" s="1">
        <v>1</v>
      </c>
      <c r="N884">
        <v>16</v>
      </c>
      <c r="O884">
        <v>0</v>
      </c>
      <c r="P884">
        <v>0</v>
      </c>
      <c r="Q884" s="6">
        <f>(SUM(Pcfu4[[#This Row],[R1]:[R3]]))/(Pcfu4[[#This Row],[No. Reps]]*0.025)*Pcfu4[[#This Row],[Best DF]]</f>
        <v>213.33333333333331</v>
      </c>
      <c r="R884" s="1">
        <f>_xlfn.STDEV.S(Pcfu4[[#This Row],[R1]:[R3]])/0.025*Pcfu4[[#This Row],[Best DF]]</f>
        <v>369.50417228136052</v>
      </c>
      <c r="S884" s="6">
        <f>Pcfu4[[#This Row],[CFU/mL]]*Pcfu4[[#This Row],[mL]]/Pcfu4[[#This Row],[grams]]</f>
        <v>4053.3333333333335</v>
      </c>
      <c r="T884" s="1">
        <f>Pcfu4[[#This Row],[SD CFU/mL]]*Pcfu4[[#This Row],[mL]]/Pcfu4[[#This Row],[grams]]</f>
        <v>7020.5792733458511</v>
      </c>
      <c r="U884" s="7" t="e">
        <f>_xlfn.STDEV.S(Pcfu43[[#This Row],[R1]:[R3]])/AVERAGE(Pcfu43[[#This Row],[R1]:[R3]])</f>
        <v>#VALUE!</v>
      </c>
      <c r="V884" s="96"/>
      <c r="W884" s="7"/>
    </row>
    <row r="885" spans="1:24" x14ac:dyDescent="0.15">
      <c r="A885" t="s">
        <v>767</v>
      </c>
      <c r="C885" t="s">
        <v>723</v>
      </c>
      <c r="D885" s="66">
        <v>0</v>
      </c>
      <c r="E885" s="3">
        <v>3</v>
      </c>
      <c r="F885" t="s">
        <v>754</v>
      </c>
      <c r="G885">
        <v>0.3</v>
      </c>
      <c r="H885" s="83">
        <f>19*Pcfu4[[#This Row],[grams]]</f>
        <v>5.7</v>
      </c>
      <c r="I885" s="3" t="s">
        <v>170</v>
      </c>
      <c r="J885" s="59">
        <v>45079</v>
      </c>
      <c r="L885" s="59" t="e" cm="1">
        <f t="array" ref="L885">INDEX($J$4:J1975, MATCH(1,(A885=$A$4:A1973)*(C885=$C$4:C1973)*("Y"=$K$4:K1975),0))</f>
        <v>#N/A</v>
      </c>
      <c r="M885" s="1">
        <v>1</v>
      </c>
      <c r="N885">
        <v>0</v>
      </c>
      <c r="O885">
        <v>0</v>
      </c>
      <c r="P885">
        <v>0</v>
      </c>
      <c r="Q885" s="6">
        <f>(SUM(Pcfu4[[#This Row],[R1]:[R3]]))/(Pcfu4[[#This Row],[No. Reps]]*0.025)*Pcfu4[[#This Row],[Best DF]]</f>
        <v>0</v>
      </c>
      <c r="R885" s="1">
        <f>_xlfn.STDEV.S(Pcfu4[[#This Row],[R1]:[R3]])/0.025*Pcfu4[[#This Row],[Best DF]]</f>
        <v>0</v>
      </c>
      <c r="S885" s="6">
        <f>Pcfu4[[#This Row],[CFU/mL]]*Pcfu4[[#This Row],[mL]]/Pcfu4[[#This Row],[grams]]</f>
        <v>0</v>
      </c>
      <c r="T885" s="1">
        <f>Pcfu4[[#This Row],[SD CFU/mL]]*Pcfu4[[#This Row],[mL]]/Pcfu4[[#This Row],[grams]]</f>
        <v>0</v>
      </c>
      <c r="U885" s="7" t="e">
        <f>_xlfn.STDEV.S(Pcfu43[[#This Row],[R1]:[R3]])/AVERAGE(Pcfu43[[#This Row],[R1]:[R3]])</f>
        <v>#VALUE!</v>
      </c>
      <c r="V885" s="96"/>
      <c r="W885" s="7"/>
    </row>
    <row r="886" spans="1:24" x14ac:dyDescent="0.15">
      <c r="A886" t="s">
        <v>768</v>
      </c>
      <c r="B886" t="s">
        <v>769</v>
      </c>
      <c r="D886" s="66" t="s">
        <v>86</v>
      </c>
      <c r="E886" s="3">
        <v>3</v>
      </c>
      <c r="G886">
        <v>0.3</v>
      </c>
      <c r="H886" s="83">
        <f>19*Pcfu4[[#This Row],[grams]]</f>
        <v>5.7</v>
      </c>
      <c r="I886" s="3" t="s">
        <v>170</v>
      </c>
      <c r="J886" s="59">
        <v>45083</v>
      </c>
      <c r="L886" s="59" t="e" cm="1">
        <f t="array" ref="L886">INDEX($J$4:J1976, MATCH(1,(A886=$A$4:A1974)*(C886=$C$4:C1974)*("Y"=$K$4:K1976),0))</f>
        <v>#N/A</v>
      </c>
      <c r="M886" s="1">
        <v>1000000</v>
      </c>
      <c r="N886">
        <v>223</v>
      </c>
      <c r="O886">
        <v>248</v>
      </c>
      <c r="P886">
        <v>230</v>
      </c>
      <c r="Q886" s="6">
        <f>(SUM(Pcfu4[[#This Row],[R1]:[R3]]))/(Pcfu4[[#This Row],[No. Reps]]*0.025)*Pcfu4[[#This Row],[Best DF]]</f>
        <v>9346666666.666666</v>
      </c>
      <c r="R886" s="1">
        <f>_xlfn.STDEV.S(Pcfu4[[#This Row],[R1]:[R3]])/0.025*Pcfu4[[#This Row],[Best DF]]</f>
        <v>515881123.25741613</v>
      </c>
      <c r="S886" s="6">
        <f>Pcfu4[[#This Row],[CFU/mL]]*Pcfu4[[#This Row],[mL]]/Pcfu4[[#This Row],[grams]]</f>
        <v>177586666666.66669</v>
      </c>
      <c r="T886" s="1">
        <f>Pcfu4[[#This Row],[SD CFU/mL]]*Pcfu4[[#This Row],[mL]]/Pcfu4[[#This Row],[grams]]</f>
        <v>9801741341.8909073</v>
      </c>
      <c r="U886" s="7" t="e">
        <f>_xlfn.STDEV.S(Pcfu43[[#This Row],[R1]:[R3]])/AVERAGE(Pcfu43[[#This Row],[R1]:[R3]])</f>
        <v>#VALUE!</v>
      </c>
      <c r="V886" s="96"/>
      <c r="W886" s="7"/>
    </row>
    <row r="887" spans="1:24" x14ac:dyDescent="0.15">
      <c r="A887" t="s">
        <v>770</v>
      </c>
      <c r="B887" t="s">
        <v>769</v>
      </c>
      <c r="D887" s="66" t="s">
        <v>86</v>
      </c>
      <c r="E887" s="3">
        <v>3</v>
      </c>
      <c r="G887">
        <v>0.3</v>
      </c>
      <c r="H887" s="83">
        <f>19*Pcfu4[[#This Row],[grams]]</f>
        <v>5.7</v>
      </c>
      <c r="I887" s="3" t="s">
        <v>170</v>
      </c>
      <c r="J887" s="59">
        <v>45083</v>
      </c>
      <c r="L887" s="59" t="e" cm="1">
        <f t="array" ref="L887">INDEX($J$4:J1977, MATCH(1,(A887=$A$4:A1975)*(C887=$C$4:C1975)*("Y"=$K$4:K1977),0))</f>
        <v>#N/A</v>
      </c>
      <c r="M887" s="1">
        <v>10000000</v>
      </c>
      <c r="N887">
        <v>33</v>
      </c>
      <c r="O887">
        <v>30</v>
      </c>
      <c r="P887">
        <v>32</v>
      </c>
      <c r="Q887" s="6">
        <f>(SUM(Pcfu4[[#This Row],[R1]:[R3]]))/(Pcfu4[[#This Row],[No. Reps]]*0.025)*Pcfu4[[#This Row],[Best DF]]</f>
        <v>12666666666.666666</v>
      </c>
      <c r="R887" s="1">
        <f>_xlfn.STDEV.S(Pcfu4[[#This Row],[R1]:[R3]])/0.025*Pcfu4[[#This Row],[Best DF]]</f>
        <v>611010092.66077864</v>
      </c>
      <c r="S887" s="6">
        <f>Pcfu4[[#This Row],[CFU/mL]]*Pcfu4[[#This Row],[mL]]/Pcfu4[[#This Row],[grams]]</f>
        <v>240666666666.66669</v>
      </c>
      <c r="T887" s="1">
        <f>Pcfu4[[#This Row],[SD CFU/mL]]*Pcfu4[[#This Row],[mL]]/Pcfu4[[#This Row],[grams]]</f>
        <v>11609191760.554796</v>
      </c>
      <c r="U887" s="7" t="e">
        <f>_xlfn.STDEV.S(Pcfu43[[#This Row],[R1]:[R3]])/AVERAGE(Pcfu43[[#This Row],[R1]:[R3]])</f>
        <v>#VALUE!</v>
      </c>
      <c r="V887" s="96"/>
      <c r="W887" s="7"/>
    </row>
    <row r="888" spans="1:24" x14ac:dyDescent="0.15">
      <c r="A888" t="s">
        <v>771</v>
      </c>
      <c r="B888" t="s">
        <v>769</v>
      </c>
      <c r="D888" s="66" t="s">
        <v>86</v>
      </c>
      <c r="E888" s="3">
        <v>3</v>
      </c>
      <c r="G888">
        <v>0.3</v>
      </c>
      <c r="H888" s="83">
        <f>19*Pcfu4[[#This Row],[grams]]</f>
        <v>5.7</v>
      </c>
      <c r="I888" s="3" t="s">
        <v>170</v>
      </c>
      <c r="J888" s="59">
        <v>45083</v>
      </c>
      <c r="L888" s="59" t="e" cm="1">
        <f t="array" ref="L888">INDEX($J$4:J1978, MATCH(1,(A888=$A$4:A1976)*(C888=$C$4:C1976)*("Y"=$K$4:K1978),0))</f>
        <v>#N/A</v>
      </c>
      <c r="M888" s="1">
        <v>10000000</v>
      </c>
      <c r="N888">
        <v>41</v>
      </c>
      <c r="O888">
        <v>38</v>
      </c>
      <c r="P888">
        <v>44</v>
      </c>
      <c r="Q888" s="6">
        <f>(SUM(Pcfu4[[#This Row],[R1]:[R3]]))/(Pcfu4[[#This Row],[No. Reps]]*0.025)*Pcfu4[[#This Row],[Best DF]]</f>
        <v>16399999999.999998</v>
      </c>
      <c r="R888" s="1">
        <f>_xlfn.STDEV.S(Pcfu4[[#This Row],[R1]:[R3]])/0.025*Pcfu4[[#This Row],[Best DF]]</f>
        <v>1200000000</v>
      </c>
      <c r="S888" s="6">
        <f>Pcfu4[[#This Row],[CFU/mL]]*Pcfu4[[#This Row],[mL]]/Pcfu4[[#This Row],[grams]]</f>
        <v>311599999999.99994</v>
      </c>
      <c r="T888" s="1">
        <f>Pcfu4[[#This Row],[SD CFU/mL]]*Pcfu4[[#This Row],[mL]]/Pcfu4[[#This Row],[grams]]</f>
        <v>22800000000</v>
      </c>
      <c r="U888" s="7" t="e">
        <f>_xlfn.STDEV.S(Pcfu43[[#This Row],[R1]:[R3]])/AVERAGE(Pcfu43[[#This Row],[R1]:[R3]])</f>
        <v>#VALUE!</v>
      </c>
      <c r="V888" s="96"/>
      <c r="W888" s="7"/>
    </row>
    <row r="889" spans="1:24" x14ac:dyDescent="0.15">
      <c r="A889" t="s">
        <v>772</v>
      </c>
      <c r="B889" t="s">
        <v>769</v>
      </c>
      <c r="D889" s="66" t="s">
        <v>86</v>
      </c>
      <c r="E889" s="3">
        <v>3</v>
      </c>
      <c r="G889">
        <v>0.3</v>
      </c>
      <c r="H889" s="83">
        <f>19*Pcfu4[[#This Row],[grams]]</f>
        <v>5.7</v>
      </c>
      <c r="I889" s="3" t="s">
        <v>170</v>
      </c>
      <c r="J889" s="59">
        <v>45083</v>
      </c>
      <c r="L889" s="59" t="e" cm="1">
        <f t="array" ref="L889">INDEX($J$4:J1979, MATCH(1,(A889=$A$4:A1977)*(C889=$C$4:C1977)*("Y"=$K$4:K1979),0))</f>
        <v>#N/A</v>
      </c>
      <c r="M889" s="1">
        <v>10000000</v>
      </c>
      <c r="N889">
        <v>34</v>
      </c>
      <c r="O889">
        <v>40</v>
      </c>
      <c r="P889">
        <v>37</v>
      </c>
      <c r="Q889" s="6">
        <f>(SUM(Pcfu4[[#This Row],[R1]:[R3]]))/(Pcfu4[[#This Row],[No. Reps]]*0.025)*Pcfu4[[#This Row],[Best DF]]</f>
        <v>14799999999.999998</v>
      </c>
      <c r="R889" s="1">
        <f>_xlfn.STDEV.S(Pcfu4[[#This Row],[R1]:[R3]])/0.025*Pcfu4[[#This Row],[Best DF]]</f>
        <v>1200000000</v>
      </c>
      <c r="S889" s="6">
        <f>Pcfu4[[#This Row],[CFU/mL]]*Pcfu4[[#This Row],[mL]]/Pcfu4[[#This Row],[grams]]</f>
        <v>281199999999.99994</v>
      </c>
      <c r="T889" s="1">
        <f>Pcfu4[[#This Row],[SD CFU/mL]]*Pcfu4[[#This Row],[mL]]/Pcfu4[[#This Row],[grams]]</f>
        <v>22800000000</v>
      </c>
      <c r="U889" s="7" t="e">
        <f>_xlfn.STDEV.S(Pcfu43[[#This Row],[R1]:[R3]])/AVERAGE(Pcfu43[[#This Row],[R1]:[R3]])</f>
        <v>#VALUE!</v>
      </c>
      <c r="V889" s="96"/>
      <c r="W889" s="7"/>
    </row>
    <row r="890" spans="1:24" x14ac:dyDescent="0.15">
      <c r="A890" t="s">
        <v>664</v>
      </c>
      <c r="C890" t="s">
        <v>723</v>
      </c>
      <c r="D890" s="66" t="s">
        <v>253</v>
      </c>
      <c r="E890" s="3">
        <v>3</v>
      </c>
      <c r="F890" t="s">
        <v>679</v>
      </c>
      <c r="H890" s="83"/>
      <c r="I890" s="3" t="s">
        <v>170</v>
      </c>
      <c r="J890" s="59">
        <v>45083</v>
      </c>
      <c r="L890" s="59" t="e" cm="1">
        <f t="array" ref="L890">INDEX($J$4:J1980, MATCH(1,(A890=$A$4:A1978)*(C890=$C$4:C1978)*("Y"=$K$4:K1980),0))</f>
        <v>#N/A</v>
      </c>
      <c r="M890" s="1">
        <v>1</v>
      </c>
      <c r="N890">
        <v>49</v>
      </c>
      <c r="O890">
        <v>26</v>
      </c>
      <c r="P890">
        <v>57</v>
      </c>
      <c r="Q890" s="6">
        <f>(SUM(Pcfu4[[#This Row],[R1]:[R3]]))/(Pcfu4[[#This Row],[No. Reps]]*0.025)*Pcfu4[[#This Row],[Best DF]]</f>
        <v>1759.9999999999998</v>
      </c>
      <c r="R890" s="1">
        <f>_xlfn.STDEV.S(Pcfu4[[#This Row],[R1]:[R3]])/0.025*Pcfu4[[#This Row],[Best DF]]</f>
        <v>643.73907757724317</v>
      </c>
      <c r="S890" s="6" t="e">
        <f>Pcfu4[[#This Row],[CFU/mL]]*Pcfu4[[#This Row],[mL]]/Pcfu4[[#This Row],[grams]]</f>
        <v>#DIV/0!</v>
      </c>
      <c r="T890" s="1" t="e">
        <f>Pcfu4[[#This Row],[SD CFU/mL]]*Pcfu4[[#This Row],[mL]]/Pcfu4[[#This Row],[grams]]</f>
        <v>#DIV/0!</v>
      </c>
      <c r="U890" s="7" t="e">
        <f>_xlfn.STDEV.S(Pcfu43[[#This Row],[R1]:[R3]])/AVERAGE(Pcfu43[[#This Row],[R1]:[R3]])</f>
        <v>#VALUE!</v>
      </c>
      <c r="V890" s="96"/>
      <c r="W890" s="7"/>
    </row>
    <row r="891" spans="1:24" x14ac:dyDescent="0.15">
      <c r="A891" t="s">
        <v>773</v>
      </c>
      <c r="C891" t="s">
        <v>723</v>
      </c>
      <c r="D891" s="66" t="s">
        <v>253</v>
      </c>
      <c r="E891" s="3">
        <v>3</v>
      </c>
      <c r="F891" t="s">
        <v>679</v>
      </c>
      <c r="H891" s="83"/>
      <c r="I891" s="3" t="s">
        <v>170</v>
      </c>
      <c r="J891" s="59">
        <v>45083</v>
      </c>
      <c r="L891" s="59" t="e" cm="1">
        <f t="array" ref="L891">INDEX($J$4:J1981, MATCH(1,(A891=$A$4:A1979)*(C891=$C$4:C1979)*("Y"=$K$4:K1981),0))</f>
        <v>#N/A</v>
      </c>
      <c r="M891" s="1">
        <v>1</v>
      </c>
      <c r="N891">
        <v>173</v>
      </c>
      <c r="O891">
        <v>420</v>
      </c>
      <c r="P891">
        <v>83</v>
      </c>
      <c r="Q891" s="6">
        <f>(SUM(Pcfu4[[#This Row],[R1]:[R3]]))/(Pcfu4[[#This Row],[No. Reps]]*0.025)*Pcfu4[[#This Row],[Best DF]]</f>
        <v>9013.3333333333321</v>
      </c>
      <c r="R891" s="1">
        <f>_xlfn.STDEV.S(Pcfu4[[#This Row],[R1]:[R3]])/0.025*Pcfu4[[#This Row],[Best DF]]</f>
        <v>6979.5510839403787</v>
      </c>
      <c r="S891" s="6" t="e">
        <f>Pcfu4[[#This Row],[CFU/mL]]*Pcfu4[[#This Row],[mL]]/Pcfu4[[#This Row],[grams]]</f>
        <v>#DIV/0!</v>
      </c>
      <c r="T891" s="1" t="e">
        <f>Pcfu4[[#This Row],[SD CFU/mL]]*Pcfu4[[#This Row],[mL]]/Pcfu4[[#This Row],[grams]]</f>
        <v>#DIV/0!</v>
      </c>
      <c r="U891" s="7" t="e">
        <f>_xlfn.STDEV.S(Pcfu43[[#This Row],[R1]:[R3]])/AVERAGE(Pcfu43[[#This Row],[R1]:[R3]])</f>
        <v>#VALUE!</v>
      </c>
      <c r="V891" s="96"/>
      <c r="W891" s="7"/>
      <c r="X891" t="s">
        <v>774</v>
      </c>
    </row>
    <row r="892" spans="1:24" x14ac:dyDescent="0.15">
      <c r="A892" t="s">
        <v>775</v>
      </c>
      <c r="C892" t="s">
        <v>723</v>
      </c>
      <c r="D892" s="66" t="s">
        <v>253</v>
      </c>
      <c r="E892" s="3">
        <v>3</v>
      </c>
      <c r="F892" t="s">
        <v>679</v>
      </c>
      <c r="H892" s="83"/>
      <c r="I892" s="3" t="s">
        <v>170</v>
      </c>
      <c r="J892" s="59">
        <v>45083</v>
      </c>
      <c r="L892" s="59" t="e" cm="1">
        <f t="array" ref="L892">INDEX($J$4:J1982, MATCH(1,(A892=$A$4:A1980)*(C892=$C$4:C1980)*("Y"=$K$4:K1982),0))</f>
        <v>#N/A</v>
      </c>
      <c r="M892" s="1">
        <v>1</v>
      </c>
      <c r="N892">
        <v>155</v>
      </c>
      <c r="O892">
        <v>220</v>
      </c>
      <c r="P892">
        <v>218</v>
      </c>
      <c r="Q892" s="6">
        <f>(SUM(Pcfu4[[#This Row],[R1]:[R3]]))/(Pcfu4[[#This Row],[No. Reps]]*0.025)*Pcfu4[[#This Row],[Best DF]]</f>
        <v>7906.6666666666652</v>
      </c>
      <c r="R892" s="1">
        <f>_xlfn.STDEV.S(Pcfu4[[#This Row],[R1]:[R3]])/0.025*Pcfu4[[#This Row],[Best DF]]</f>
        <v>1478.5578559303444</v>
      </c>
      <c r="S892" s="6" t="e">
        <f>Pcfu4[[#This Row],[CFU/mL]]*Pcfu4[[#This Row],[mL]]/Pcfu4[[#This Row],[grams]]</f>
        <v>#DIV/0!</v>
      </c>
      <c r="T892" s="1" t="e">
        <f>Pcfu4[[#This Row],[SD CFU/mL]]*Pcfu4[[#This Row],[mL]]/Pcfu4[[#This Row],[grams]]</f>
        <v>#DIV/0!</v>
      </c>
      <c r="U892" s="7" t="e">
        <f>_xlfn.STDEV.S(Pcfu43[[#This Row],[R1]:[R3]])/AVERAGE(Pcfu43[[#This Row],[R1]:[R3]])</f>
        <v>#VALUE!</v>
      </c>
      <c r="V892" s="96"/>
      <c r="W892" s="7"/>
    </row>
    <row r="893" spans="1:24" x14ac:dyDescent="0.15">
      <c r="A893" t="s">
        <v>665</v>
      </c>
      <c r="C893" t="s">
        <v>723</v>
      </c>
      <c r="D893" s="66" t="s">
        <v>253</v>
      </c>
      <c r="E893" s="3">
        <v>3</v>
      </c>
      <c r="F893" t="s">
        <v>679</v>
      </c>
      <c r="H893" s="83"/>
      <c r="I893" s="3" t="s">
        <v>170</v>
      </c>
      <c r="J893" s="59">
        <v>45083</v>
      </c>
      <c r="L893" s="59" t="e" cm="1">
        <f t="array" ref="L893">INDEX($J$4:J1983, MATCH(1,(A893=$A$4:A1981)*(C893=$C$4:C1981)*("Y"=$K$4:K1983),0))</f>
        <v>#N/A</v>
      </c>
      <c r="M893" s="1">
        <v>1</v>
      </c>
      <c r="N893">
        <v>25</v>
      </c>
      <c r="O893">
        <v>89</v>
      </c>
      <c r="P893">
        <v>84</v>
      </c>
      <c r="Q893" s="6">
        <f>(SUM(Pcfu4[[#This Row],[R1]:[R3]]))/(Pcfu4[[#This Row],[No. Reps]]*0.025)*Pcfu4[[#This Row],[Best DF]]</f>
        <v>2639.9999999999995</v>
      </c>
      <c r="R893" s="1">
        <f>_xlfn.STDEV.S(Pcfu4[[#This Row],[R1]:[R3]])/0.025*Pcfu4[[#This Row],[Best DF]]</f>
        <v>1423.7977384446147</v>
      </c>
      <c r="S893" s="6" t="e">
        <f>Pcfu4[[#This Row],[CFU/mL]]*Pcfu4[[#This Row],[mL]]/Pcfu4[[#This Row],[grams]]</f>
        <v>#DIV/0!</v>
      </c>
      <c r="T893" s="1" t="e">
        <f>Pcfu4[[#This Row],[SD CFU/mL]]*Pcfu4[[#This Row],[mL]]/Pcfu4[[#This Row],[grams]]</f>
        <v>#DIV/0!</v>
      </c>
      <c r="U893" s="7" t="e">
        <f>_xlfn.STDEV.S(Pcfu43[[#This Row],[R1]:[R3]])/AVERAGE(Pcfu43[[#This Row],[R1]:[R3]])</f>
        <v>#VALUE!</v>
      </c>
      <c r="V893" s="96"/>
      <c r="W893" s="7"/>
    </row>
    <row r="894" spans="1:24" x14ac:dyDescent="0.15">
      <c r="A894" t="s">
        <v>776</v>
      </c>
      <c r="C894" t="s">
        <v>723</v>
      </c>
      <c r="D894" s="66" t="s">
        <v>253</v>
      </c>
      <c r="E894" s="3">
        <v>3</v>
      </c>
      <c r="F894" t="s">
        <v>679</v>
      </c>
      <c r="H894" s="83"/>
      <c r="I894" s="3" t="s">
        <v>170</v>
      </c>
      <c r="J894" s="59">
        <v>45083</v>
      </c>
      <c r="L894" s="59" t="e" cm="1">
        <f t="array" ref="L894">INDEX($J$4:J1984, MATCH(1,(A894=$A$4:A1982)*(C894=$C$4:C1982)*("Y"=$K$4:K1984),0))</f>
        <v>#N/A</v>
      </c>
      <c r="M894" s="1">
        <v>1</v>
      </c>
      <c r="N894">
        <v>12</v>
      </c>
      <c r="O894">
        <v>38</v>
      </c>
      <c r="P894">
        <v>120</v>
      </c>
      <c r="Q894" s="6">
        <f>(SUM(Pcfu4[[#This Row],[R1]:[R3]]))/(Pcfu4[[#This Row],[No. Reps]]*0.025)*Pcfu4[[#This Row],[Best DF]]</f>
        <v>2266.6666666666665</v>
      </c>
      <c r="R894" s="1">
        <f>_xlfn.STDEV.S(Pcfu4[[#This Row],[R1]:[R3]])/0.025*Pcfu4[[#This Row],[Best DF]]</f>
        <v>2254.7135812189831</v>
      </c>
      <c r="S894" s="6" t="e">
        <f>Pcfu4[[#This Row],[CFU/mL]]*Pcfu4[[#This Row],[mL]]/Pcfu4[[#This Row],[grams]]</f>
        <v>#DIV/0!</v>
      </c>
      <c r="T894" s="1" t="e">
        <f>Pcfu4[[#This Row],[SD CFU/mL]]*Pcfu4[[#This Row],[mL]]/Pcfu4[[#This Row],[grams]]</f>
        <v>#DIV/0!</v>
      </c>
      <c r="U894" s="7" t="e">
        <f>_xlfn.STDEV.S(Pcfu43[[#This Row],[R1]:[R3]])/AVERAGE(Pcfu43[[#This Row],[R1]:[R3]])</f>
        <v>#VALUE!</v>
      </c>
      <c r="V894" s="96"/>
      <c r="W894" s="7"/>
    </row>
    <row r="895" spans="1:24" x14ac:dyDescent="0.15">
      <c r="A895" t="s">
        <v>777</v>
      </c>
      <c r="C895" t="s">
        <v>723</v>
      </c>
      <c r="D895" s="66" t="s">
        <v>253</v>
      </c>
      <c r="E895" s="3">
        <v>3</v>
      </c>
      <c r="F895" t="s">
        <v>679</v>
      </c>
      <c r="H895" s="83"/>
      <c r="I895" s="3" t="s">
        <v>170</v>
      </c>
      <c r="J895" s="59">
        <v>45083</v>
      </c>
      <c r="L895" s="59" t="e" cm="1">
        <f t="array" ref="L895">INDEX($J$4:J1985, MATCH(1,(A895=$A$4:A1983)*(C895=$C$4:C1983)*("Y"=$K$4:K1985),0))</f>
        <v>#N/A</v>
      </c>
      <c r="M895" s="1">
        <v>1</v>
      </c>
      <c r="N895">
        <v>98</v>
      </c>
      <c r="O895">
        <v>83</v>
      </c>
      <c r="P895">
        <v>63</v>
      </c>
      <c r="Q895" s="6">
        <f>(SUM(Pcfu4[[#This Row],[R1]:[R3]]))/(Pcfu4[[#This Row],[No. Reps]]*0.025)*Pcfu4[[#This Row],[Best DF]]</f>
        <v>3253.333333333333</v>
      </c>
      <c r="R895" s="1">
        <f>_xlfn.STDEV.S(Pcfu4[[#This Row],[R1]:[R3]])/0.025*Pcfu4[[#This Row],[Best DF]]</f>
        <v>702.3769168568499</v>
      </c>
      <c r="S895" s="6" t="e">
        <f>Pcfu4[[#This Row],[CFU/mL]]*Pcfu4[[#This Row],[mL]]/Pcfu4[[#This Row],[grams]]</f>
        <v>#DIV/0!</v>
      </c>
      <c r="T895" s="1" t="e">
        <f>Pcfu4[[#This Row],[SD CFU/mL]]*Pcfu4[[#This Row],[mL]]/Pcfu4[[#This Row],[grams]]</f>
        <v>#DIV/0!</v>
      </c>
      <c r="U895" s="7" t="e">
        <f>_xlfn.STDEV.S(Pcfu43[[#This Row],[R1]:[R3]])/AVERAGE(Pcfu43[[#This Row],[R1]:[R3]])</f>
        <v>#VALUE!</v>
      </c>
      <c r="V895" s="96"/>
      <c r="W895" s="7"/>
    </row>
    <row r="896" spans="1:24" x14ac:dyDescent="0.15">
      <c r="A896" t="s">
        <v>778</v>
      </c>
      <c r="C896" t="s">
        <v>723</v>
      </c>
      <c r="D896" s="66" t="s">
        <v>246</v>
      </c>
      <c r="E896" s="3">
        <v>3</v>
      </c>
      <c r="F896" t="s">
        <v>779</v>
      </c>
      <c r="H896" s="83"/>
      <c r="I896" s="3" t="s">
        <v>170</v>
      </c>
      <c r="J896" s="59">
        <v>45084</v>
      </c>
      <c r="L896" s="59" t="e" cm="1">
        <f t="array" ref="L896">INDEX($J$4:J1986, MATCH(1,(A896=$A$4:A1984)*(C896=$C$4:C1984)*("Y"=$K$4:K1986),0))</f>
        <v>#N/A</v>
      </c>
      <c r="M896" s="1">
        <v>100</v>
      </c>
      <c r="N896">
        <v>141</v>
      </c>
      <c r="O896">
        <v>181</v>
      </c>
      <c r="P896">
        <v>203</v>
      </c>
      <c r="Q896" s="6">
        <f>(SUM(Pcfu4[[#This Row],[R1]:[R3]]))/(Pcfu4[[#This Row],[No. Reps]]*0.025)*Pcfu4[[#This Row],[Best DF]]</f>
        <v>699999.99999999988</v>
      </c>
      <c r="R896" s="1">
        <f>_xlfn.STDEV.S(Pcfu4[[#This Row],[R1]:[R3]])/0.025*Pcfu4[[#This Row],[Best DF]]</f>
        <v>125729.86916401368</v>
      </c>
      <c r="S896" s="6" t="e">
        <f>Pcfu4[[#This Row],[CFU/mL]]*Pcfu4[[#This Row],[mL]]/Pcfu4[[#This Row],[grams]]</f>
        <v>#DIV/0!</v>
      </c>
      <c r="T896" s="1" t="e">
        <f>Pcfu4[[#This Row],[SD CFU/mL]]*Pcfu4[[#This Row],[mL]]/Pcfu4[[#This Row],[grams]]</f>
        <v>#DIV/0!</v>
      </c>
      <c r="U896" s="7" t="e">
        <f>_xlfn.STDEV.S(Pcfu43[[#This Row],[R1]:[R3]])/AVERAGE(Pcfu43[[#This Row],[R1]:[R3]])</f>
        <v>#VALUE!</v>
      </c>
      <c r="V896" s="96"/>
      <c r="W896" s="7"/>
    </row>
    <row r="897" spans="1:28" x14ac:dyDescent="0.15">
      <c r="A897" t="s">
        <v>780</v>
      </c>
      <c r="C897" t="s">
        <v>723</v>
      </c>
      <c r="D897" s="66" t="s">
        <v>243</v>
      </c>
      <c r="E897" s="3">
        <v>3</v>
      </c>
      <c r="F897" t="s">
        <v>779</v>
      </c>
      <c r="H897" s="83"/>
      <c r="I897" s="3" t="s">
        <v>170</v>
      </c>
      <c r="J897" s="59">
        <v>45084</v>
      </c>
      <c r="L897" s="59" t="e" cm="1">
        <f t="array" ref="L897">INDEX($J$4:J1987, MATCH(1,(A897=$A$4:A1985)*(C897=$C$4:C1985)*("Y"=$K$4:K1987),0))</f>
        <v>#N/A</v>
      </c>
      <c r="M897" s="1">
        <v>100</v>
      </c>
      <c r="N897">
        <v>71</v>
      </c>
      <c r="O897">
        <v>64</v>
      </c>
      <c r="P897">
        <v>77</v>
      </c>
      <c r="Q897" s="6">
        <f>(SUM(Pcfu4[[#This Row],[R1]:[R3]]))/(Pcfu4[[#This Row],[No. Reps]]*0.025)*Pcfu4[[#This Row],[Best DF]]</f>
        <v>282666.66666666663</v>
      </c>
      <c r="R897" s="1">
        <f>_xlfn.STDEV.S(Pcfu4[[#This Row],[R1]:[R3]])/0.025*Pcfu4[[#This Row],[Best DF]]</f>
        <v>26025.628394590844</v>
      </c>
      <c r="S897" s="6" t="e">
        <f>Pcfu4[[#This Row],[CFU/mL]]*Pcfu4[[#This Row],[mL]]/Pcfu4[[#This Row],[grams]]</f>
        <v>#DIV/0!</v>
      </c>
      <c r="T897" s="1" t="e">
        <f>Pcfu4[[#This Row],[SD CFU/mL]]*Pcfu4[[#This Row],[mL]]/Pcfu4[[#This Row],[grams]]</f>
        <v>#DIV/0!</v>
      </c>
      <c r="U897" s="7" t="e">
        <f>_xlfn.STDEV.S(Pcfu43[[#This Row],[R1]:[R3]])/AVERAGE(Pcfu43[[#This Row],[R1]:[R3]])</f>
        <v>#VALUE!</v>
      </c>
      <c r="V897" s="96"/>
      <c r="W897" s="7"/>
    </row>
    <row r="898" spans="1:28" x14ac:dyDescent="0.15">
      <c r="A898" t="s">
        <v>781</v>
      </c>
      <c r="C898" t="s">
        <v>723</v>
      </c>
      <c r="D898" s="66" t="s">
        <v>243</v>
      </c>
      <c r="E898" s="3">
        <v>3</v>
      </c>
      <c r="F898" t="s">
        <v>779</v>
      </c>
      <c r="H898" s="83"/>
      <c r="I898" s="3" t="s">
        <v>170</v>
      </c>
      <c r="J898" s="59">
        <v>45084</v>
      </c>
      <c r="L898" s="59" t="e" cm="1">
        <f t="array" ref="L898">INDEX($J$4:J1988, MATCH(1,(A898=$A$4:A1986)*(C898=$C$4:C1986)*("Y"=$K$4:K1988),0))</f>
        <v>#N/A</v>
      </c>
      <c r="M898" s="1">
        <v>100</v>
      </c>
      <c r="N898">
        <v>122</v>
      </c>
      <c r="O898">
        <v>167</v>
      </c>
      <c r="P898">
        <v>144</v>
      </c>
      <c r="Q898" s="6">
        <f>(SUM(Pcfu4[[#This Row],[R1]:[R3]]))/(Pcfu4[[#This Row],[No. Reps]]*0.025)*Pcfu4[[#This Row],[Best DF]]</f>
        <v>577333.33333333326</v>
      </c>
      <c r="R898" s="1">
        <f>_xlfn.STDEV.S(Pcfu4[[#This Row],[R1]:[R3]])/0.025*Pcfu4[[#This Row],[Best DF]]</f>
        <v>90007.407102600802</v>
      </c>
      <c r="S898" s="6" t="e">
        <f>Pcfu4[[#This Row],[CFU/mL]]*Pcfu4[[#This Row],[mL]]/Pcfu4[[#This Row],[grams]]</f>
        <v>#DIV/0!</v>
      </c>
      <c r="T898" s="1" t="e">
        <f>Pcfu4[[#This Row],[SD CFU/mL]]*Pcfu4[[#This Row],[mL]]/Pcfu4[[#This Row],[grams]]</f>
        <v>#DIV/0!</v>
      </c>
      <c r="U898" s="7" t="e">
        <f>_xlfn.STDEV.S(Pcfu43[[#This Row],[R1]:[R3]])/AVERAGE(Pcfu43[[#This Row],[R1]:[R3]])</f>
        <v>#VALUE!</v>
      </c>
      <c r="V898" s="96"/>
      <c r="W898" s="7"/>
    </row>
    <row r="899" spans="1:28" x14ac:dyDescent="0.15">
      <c r="A899" t="s">
        <v>782</v>
      </c>
      <c r="C899" t="s">
        <v>723</v>
      </c>
      <c r="D899" s="66" t="s">
        <v>246</v>
      </c>
      <c r="E899" s="3">
        <v>3</v>
      </c>
      <c r="F899" t="s">
        <v>779</v>
      </c>
      <c r="H899" s="83"/>
      <c r="I899" s="3" t="s">
        <v>170</v>
      </c>
      <c r="J899" s="59">
        <v>45084</v>
      </c>
      <c r="L899" s="59" t="e" cm="1">
        <f t="array" ref="L899">INDEX($J$4:J1989, MATCH(1,(A899=$A$4:A1987)*(C899=$C$4:C1987)*("Y"=$K$4:K1989),0))</f>
        <v>#N/A</v>
      </c>
      <c r="M899" s="1">
        <v>100</v>
      </c>
      <c r="N899">
        <v>239</v>
      </c>
      <c r="O899">
        <v>174</v>
      </c>
      <c r="P899">
        <v>187</v>
      </c>
      <c r="Q899" s="6">
        <f>(SUM(Pcfu4[[#This Row],[R1]:[R3]]))/(Pcfu4[[#This Row],[No. Reps]]*0.025)*Pcfu4[[#This Row],[Best DF]]</f>
        <v>799999.99999999988</v>
      </c>
      <c r="R899" s="1">
        <f>_xlfn.STDEV.S(Pcfu4[[#This Row],[R1]:[R3]])/0.025*Pcfu4[[#This Row],[Best DF]]</f>
        <v>137579.0681753587</v>
      </c>
      <c r="S899" s="6" t="e">
        <f>Pcfu4[[#This Row],[CFU/mL]]*Pcfu4[[#This Row],[mL]]/Pcfu4[[#This Row],[grams]]</f>
        <v>#DIV/0!</v>
      </c>
      <c r="T899" s="1" t="e">
        <f>Pcfu4[[#This Row],[SD CFU/mL]]*Pcfu4[[#This Row],[mL]]/Pcfu4[[#This Row],[grams]]</f>
        <v>#DIV/0!</v>
      </c>
      <c r="U899" s="7" t="e">
        <f>_xlfn.STDEV.S(Pcfu43[[#This Row],[R1]:[R3]])/AVERAGE(Pcfu43[[#This Row],[R1]:[R3]])</f>
        <v>#VALUE!</v>
      </c>
      <c r="V899" s="96"/>
      <c r="W899" s="7"/>
    </row>
    <row r="900" spans="1:28" x14ac:dyDescent="0.15">
      <c r="A900" t="s">
        <v>783</v>
      </c>
      <c r="C900" t="s">
        <v>723</v>
      </c>
      <c r="D900" s="66" t="s">
        <v>243</v>
      </c>
      <c r="E900" s="3">
        <v>3</v>
      </c>
      <c r="F900" t="s">
        <v>779</v>
      </c>
      <c r="H900" s="83"/>
      <c r="I900" s="3" t="s">
        <v>170</v>
      </c>
      <c r="J900" s="59">
        <v>45084</v>
      </c>
      <c r="L900" s="59" t="e" cm="1">
        <f t="array" ref="L900">INDEX($J$4:J1990, MATCH(1,(A900=$A$4:A1988)*(C900=$C$4:C1988)*("Y"=$K$4:K1990),0))</f>
        <v>#N/A</v>
      </c>
      <c r="M900" s="1">
        <v>100</v>
      </c>
      <c r="N900">
        <v>42</v>
      </c>
      <c r="O900">
        <v>49</v>
      </c>
      <c r="P900">
        <v>66</v>
      </c>
      <c r="Q900" s="6">
        <f>(SUM(Pcfu4[[#This Row],[R1]:[R3]]))/(Pcfu4[[#This Row],[No. Reps]]*0.025)*Pcfu4[[#This Row],[Best DF]]</f>
        <v>209333.33333333331</v>
      </c>
      <c r="R900" s="1">
        <f>_xlfn.STDEV.S(Pcfu4[[#This Row],[R1]:[R3]])/0.025*Pcfu4[[#This Row],[Best DF]]</f>
        <v>49369.356217529603</v>
      </c>
      <c r="S900" s="6" t="e">
        <f>Pcfu4[[#This Row],[CFU/mL]]*Pcfu4[[#This Row],[mL]]/Pcfu4[[#This Row],[grams]]</f>
        <v>#DIV/0!</v>
      </c>
      <c r="T900" s="1" t="e">
        <f>Pcfu4[[#This Row],[SD CFU/mL]]*Pcfu4[[#This Row],[mL]]/Pcfu4[[#This Row],[grams]]</f>
        <v>#DIV/0!</v>
      </c>
      <c r="U900" s="7" t="e">
        <f>_xlfn.STDEV.S(Pcfu43[[#This Row],[R1]:[R3]])/AVERAGE(Pcfu43[[#This Row],[R1]:[R3]])</f>
        <v>#VALUE!</v>
      </c>
      <c r="V900" s="96"/>
      <c r="W900" s="7"/>
    </row>
    <row r="901" spans="1:28" x14ac:dyDescent="0.15">
      <c r="A901" t="s">
        <v>784</v>
      </c>
      <c r="C901" t="s">
        <v>723</v>
      </c>
      <c r="D901" s="66" t="s">
        <v>243</v>
      </c>
      <c r="E901" s="3">
        <v>3</v>
      </c>
      <c r="F901" t="s">
        <v>779</v>
      </c>
      <c r="H901" s="83"/>
      <c r="I901" s="3" t="s">
        <v>170</v>
      </c>
      <c r="J901" s="59">
        <v>45084</v>
      </c>
      <c r="L901" s="59" t="e" cm="1">
        <f t="array" ref="L901">INDEX($J$4:J1991, MATCH(1,(A901=$A$4:A1989)*(C901=$C$4:C1989)*("Y"=$K$4:K1991),0))</f>
        <v>#N/A</v>
      </c>
      <c r="M901" s="1">
        <v>100</v>
      </c>
      <c r="N901">
        <v>75</v>
      </c>
      <c r="O901">
        <v>130</v>
      </c>
      <c r="P901">
        <v>164</v>
      </c>
      <c r="Q901" s="6">
        <f>(SUM(Pcfu4[[#This Row],[R1]:[R3]]))/(Pcfu4[[#This Row],[No. Reps]]*0.025)*Pcfu4[[#This Row],[Best DF]]</f>
        <v>491999.99999999988</v>
      </c>
      <c r="R901" s="1">
        <f>_xlfn.STDEV.S(Pcfu4[[#This Row],[R1]:[R3]])/0.025*Pcfu4[[#This Row],[Best DF]]</f>
        <v>179644.09258308494</v>
      </c>
      <c r="S901" s="6" t="e">
        <f>Pcfu4[[#This Row],[CFU/mL]]*Pcfu4[[#This Row],[mL]]/Pcfu4[[#This Row],[grams]]</f>
        <v>#DIV/0!</v>
      </c>
      <c r="T901" s="1" t="e">
        <f>Pcfu4[[#This Row],[SD CFU/mL]]*Pcfu4[[#This Row],[mL]]/Pcfu4[[#This Row],[grams]]</f>
        <v>#DIV/0!</v>
      </c>
      <c r="U901" s="7" t="e">
        <f>_xlfn.STDEV.S(Pcfu43[[#This Row],[R1]:[R3]])/AVERAGE(Pcfu43[[#This Row],[R1]:[R3]])</f>
        <v>#VALUE!</v>
      </c>
      <c r="V901" s="96"/>
      <c r="W901" s="7"/>
    </row>
    <row r="902" spans="1:28" x14ac:dyDescent="0.15">
      <c r="A902" t="s">
        <v>785</v>
      </c>
      <c r="C902" t="s">
        <v>723</v>
      </c>
      <c r="D902" s="66" t="s">
        <v>312</v>
      </c>
      <c r="E902" s="3">
        <v>3</v>
      </c>
      <c r="F902" t="s">
        <v>786</v>
      </c>
      <c r="H902" s="83"/>
      <c r="I902" s="3" t="s">
        <v>170</v>
      </c>
      <c r="J902" s="59">
        <v>45084</v>
      </c>
      <c r="L902" s="59" t="e" cm="1">
        <f t="array" ref="L902">INDEX($J$4:J1992, MATCH(1,(A902=$A$4:A1990)*(C902=$C$4:C1990)*("Y"=$K$4:K1992),0))</f>
        <v>#N/A</v>
      </c>
      <c r="M902" s="1">
        <v>100</v>
      </c>
      <c r="N902">
        <v>174</v>
      </c>
      <c r="O902">
        <v>146</v>
      </c>
      <c r="P902">
        <v>128</v>
      </c>
      <c r="Q902" s="6">
        <f>(SUM(Pcfu4[[#This Row],[R1]:[R3]]))/(Pcfu4[[#This Row],[No. Reps]]*0.025)*Pcfu4[[#This Row],[Best DF]]</f>
        <v>597333.33333333326</v>
      </c>
      <c r="R902" s="1">
        <f>_xlfn.STDEV.S(Pcfu4[[#This Row],[R1]:[R3]])/0.025*Pcfu4[[#This Row],[Best DF]]</f>
        <v>92721.806137139996</v>
      </c>
      <c r="S902" s="6" t="e">
        <f>Pcfu4[[#This Row],[CFU/mL]]*Pcfu4[[#This Row],[mL]]/Pcfu4[[#This Row],[grams]]</f>
        <v>#DIV/0!</v>
      </c>
      <c r="T902" s="1" t="e">
        <f>Pcfu4[[#This Row],[SD CFU/mL]]*Pcfu4[[#This Row],[mL]]/Pcfu4[[#This Row],[grams]]</f>
        <v>#DIV/0!</v>
      </c>
      <c r="U902" s="7" t="e">
        <f>_xlfn.STDEV.S(Pcfu43[[#This Row],[R1]:[R3]])/AVERAGE(Pcfu43[[#This Row],[R1]:[R3]])</f>
        <v>#VALUE!</v>
      </c>
      <c r="V902" s="96"/>
      <c r="W902" s="7"/>
    </row>
    <row r="903" spans="1:28" x14ac:dyDescent="0.15">
      <c r="A903" t="s">
        <v>787</v>
      </c>
      <c r="C903" t="s">
        <v>723</v>
      </c>
      <c r="D903" s="66" t="s">
        <v>312</v>
      </c>
      <c r="E903" s="3">
        <v>3</v>
      </c>
      <c r="F903" t="s">
        <v>786</v>
      </c>
      <c r="H903" s="83"/>
      <c r="I903" s="3" t="s">
        <v>170</v>
      </c>
      <c r="J903" s="59">
        <v>45084</v>
      </c>
      <c r="L903" s="59" t="e" cm="1">
        <f t="array" ref="L903">INDEX($J$4:J1993, MATCH(1,(A903=$A$4:A1991)*(C903=$C$4:C1991)*("Y"=$K$4:K1993),0))</f>
        <v>#N/A</v>
      </c>
      <c r="M903" s="1">
        <v>100</v>
      </c>
      <c r="N903">
        <v>174</v>
      </c>
      <c r="O903">
        <v>80</v>
      </c>
      <c r="P903">
        <v>171</v>
      </c>
      <c r="Q903" s="6">
        <f>(SUM(Pcfu4[[#This Row],[R1]:[R3]]))/(Pcfu4[[#This Row],[No. Reps]]*0.025)*Pcfu4[[#This Row],[Best DF]]</f>
        <v>566666.66666666663</v>
      </c>
      <c r="R903" s="1">
        <f>_xlfn.STDEV.S(Pcfu4[[#This Row],[R1]:[R3]])/0.025*Pcfu4[[#This Row],[Best DF]]</f>
        <v>213703.84491939613</v>
      </c>
      <c r="S903" s="6" t="e">
        <f>Pcfu4[[#This Row],[CFU/mL]]*Pcfu4[[#This Row],[mL]]/Pcfu4[[#This Row],[grams]]</f>
        <v>#DIV/0!</v>
      </c>
      <c r="T903" s="1" t="e">
        <f>Pcfu4[[#This Row],[SD CFU/mL]]*Pcfu4[[#This Row],[mL]]/Pcfu4[[#This Row],[grams]]</f>
        <v>#DIV/0!</v>
      </c>
      <c r="U903" s="7" t="e">
        <f>_xlfn.STDEV.S(Pcfu43[[#This Row],[R1]:[R3]])/AVERAGE(Pcfu43[[#This Row],[R1]:[R3]])</f>
        <v>#VALUE!</v>
      </c>
      <c r="V903" s="96"/>
      <c r="W903" s="7"/>
    </row>
    <row r="904" spans="1:28" x14ac:dyDescent="0.15">
      <c r="A904" t="s">
        <v>788</v>
      </c>
      <c r="C904" t="s">
        <v>723</v>
      </c>
      <c r="D904" s="66" t="s">
        <v>312</v>
      </c>
      <c r="E904" s="3">
        <v>3</v>
      </c>
      <c r="F904" t="s">
        <v>786</v>
      </c>
      <c r="H904" s="83"/>
      <c r="I904" s="3" t="s">
        <v>170</v>
      </c>
      <c r="J904" s="59">
        <v>45084</v>
      </c>
      <c r="L904" s="59" t="e" cm="1">
        <f t="array" ref="L904">INDEX($J$4:J1994, MATCH(1,(A904=$A$4:A1992)*(C904=$C$4:C1992)*("Y"=$K$4:K1994),0))</f>
        <v>#N/A</v>
      </c>
      <c r="M904" s="1">
        <v>100</v>
      </c>
      <c r="N904">
        <v>116</v>
      </c>
      <c r="O904">
        <v>98</v>
      </c>
      <c r="P904">
        <v>77</v>
      </c>
      <c r="Q904" s="6">
        <f>(SUM(Pcfu4[[#This Row],[R1]:[R3]]))/(Pcfu4[[#This Row],[No. Reps]]*0.025)*Pcfu4[[#This Row],[Best DF]]</f>
        <v>387999.99999999994</v>
      </c>
      <c r="R904" s="1">
        <f>_xlfn.STDEV.S(Pcfu4[[#This Row],[R1]:[R3]])/0.025*Pcfu4[[#This Row],[Best DF]]</f>
        <v>78076.885183772538</v>
      </c>
      <c r="S904" s="6" t="e">
        <f>Pcfu4[[#This Row],[CFU/mL]]*Pcfu4[[#This Row],[mL]]/Pcfu4[[#This Row],[grams]]</f>
        <v>#DIV/0!</v>
      </c>
      <c r="T904" s="1" t="e">
        <f>Pcfu4[[#This Row],[SD CFU/mL]]*Pcfu4[[#This Row],[mL]]/Pcfu4[[#This Row],[grams]]</f>
        <v>#DIV/0!</v>
      </c>
      <c r="U904" s="7" t="e">
        <f>_xlfn.STDEV.S(Pcfu43[[#This Row],[R1]:[R3]])/AVERAGE(Pcfu43[[#This Row],[R1]:[R3]])</f>
        <v>#VALUE!</v>
      </c>
      <c r="V904" s="96"/>
      <c r="W904" s="7"/>
    </row>
    <row r="905" spans="1:28" x14ac:dyDescent="0.15">
      <c r="A905" t="s">
        <v>789</v>
      </c>
      <c r="C905" t="s">
        <v>723</v>
      </c>
      <c r="D905" s="66" t="s">
        <v>312</v>
      </c>
      <c r="E905" s="3">
        <v>3</v>
      </c>
      <c r="F905" t="s">
        <v>786</v>
      </c>
      <c r="H905" s="83"/>
      <c r="I905" s="3" t="s">
        <v>170</v>
      </c>
      <c r="J905" s="59">
        <v>45084</v>
      </c>
      <c r="L905" s="59" t="e" cm="1">
        <f t="array" ref="L905">INDEX($J$4:J1995, MATCH(1,(A905=$A$4:A1993)*(C905=$C$4:C1993)*("Y"=$K$4:K1995),0))</f>
        <v>#N/A</v>
      </c>
      <c r="M905" s="1">
        <v>100</v>
      </c>
      <c r="N905">
        <v>57</v>
      </c>
      <c r="O905">
        <v>34</v>
      </c>
      <c r="P905">
        <v>65</v>
      </c>
      <c r="Q905" s="6">
        <f>(SUM(Pcfu4[[#This Row],[R1]:[R3]]))/(Pcfu4[[#This Row],[No. Reps]]*0.025)*Pcfu4[[#This Row],[Best DF]]</f>
        <v>207999.99999999994</v>
      </c>
      <c r="R905" s="1">
        <f>_xlfn.STDEV.S(Pcfu4[[#This Row],[R1]:[R3]])/0.025*Pcfu4[[#This Row],[Best DF]]</f>
        <v>64373.907757724315</v>
      </c>
      <c r="S905" s="6" t="e">
        <f>Pcfu4[[#This Row],[CFU/mL]]*Pcfu4[[#This Row],[mL]]/Pcfu4[[#This Row],[grams]]</f>
        <v>#DIV/0!</v>
      </c>
      <c r="T905" s="1" t="e">
        <f>Pcfu4[[#This Row],[SD CFU/mL]]*Pcfu4[[#This Row],[mL]]/Pcfu4[[#This Row],[grams]]</f>
        <v>#DIV/0!</v>
      </c>
      <c r="U905" s="7" t="e">
        <f>_xlfn.STDEV.S(Pcfu43[[#This Row],[R1]:[R3]])/AVERAGE(Pcfu43[[#This Row],[R1]:[R3]])</f>
        <v>#VALUE!</v>
      </c>
      <c r="V905" s="96"/>
      <c r="W905" s="7"/>
    </row>
    <row r="906" spans="1:28" s="85" customFormat="1" x14ac:dyDescent="0.15">
      <c r="A906" s="85" t="s">
        <v>790</v>
      </c>
      <c r="B906" s="85" t="s">
        <v>769</v>
      </c>
      <c r="D906" s="86" t="s">
        <v>86</v>
      </c>
      <c r="E906" s="87">
        <v>2</v>
      </c>
      <c r="G906" s="85">
        <v>0.3</v>
      </c>
      <c r="H906" s="88">
        <f>19*Pcfu4[[#This Row],[grams]]</f>
        <v>5.7</v>
      </c>
      <c r="I906" s="87" t="s">
        <v>170</v>
      </c>
      <c r="J906" s="89">
        <v>45086</v>
      </c>
      <c r="K906" s="87"/>
      <c r="L906" s="59" t="e" cm="1">
        <f t="array" ref="L906">INDEX($J$4:J1996, MATCH(1,(A906=$A$4:A1994)*(C906=$C$4:C1994)*("Y"=$K$4:K1996),0))</f>
        <v>#N/A</v>
      </c>
      <c r="M906" s="90">
        <v>10000000</v>
      </c>
      <c r="N906" s="85">
        <v>60</v>
      </c>
      <c r="O906" s="85">
        <v>71</v>
      </c>
      <c r="Q906" s="91">
        <f>(SUM(Pcfu4[[#This Row],[R1]:[R3]]))/(Pcfu4[[#This Row],[No. Reps]]*0.025)*Pcfu4[[#This Row],[Best DF]]</f>
        <v>26200000000</v>
      </c>
      <c r="R906" s="90">
        <f>_xlfn.STDEV.S(Pcfu4[[#This Row],[R1]:[R3]])/0.025*Pcfu4[[#This Row],[Best DF]]</f>
        <v>3111269837.2208085</v>
      </c>
      <c r="S906" s="91">
        <f>Pcfu4[[#This Row],[CFU/mL]]*Pcfu4[[#This Row],[mL]]/Pcfu4[[#This Row],[grams]]</f>
        <v>497800000000</v>
      </c>
      <c r="T906" s="90">
        <f>Pcfu4[[#This Row],[SD CFU/mL]]*Pcfu4[[#This Row],[mL]]/Pcfu4[[#This Row],[grams]]</f>
        <v>59114126907.195358</v>
      </c>
      <c r="U906" s="92" t="e">
        <f>_xlfn.STDEV.S(Pcfu43[[#This Row],[R1]:[R3]])/AVERAGE(Pcfu43[[#This Row],[R1]:[R3]])</f>
        <v>#VALUE!</v>
      </c>
      <c r="V906" s="97"/>
      <c r="W906" s="92"/>
      <c r="AA906"/>
      <c r="AB906" s="98"/>
    </row>
    <row r="907" spans="1:28" x14ac:dyDescent="0.15">
      <c r="A907" t="s">
        <v>791</v>
      </c>
      <c r="B907" t="s">
        <v>769</v>
      </c>
      <c r="D907" s="66" t="s">
        <v>86</v>
      </c>
      <c r="E907" s="3">
        <v>2</v>
      </c>
      <c r="G907">
        <v>0.3</v>
      </c>
      <c r="H907" s="83">
        <f>19*Pcfu4[[#This Row],[grams]]</f>
        <v>5.7</v>
      </c>
      <c r="I907" s="3" t="s">
        <v>170</v>
      </c>
      <c r="J907" s="59">
        <v>45086</v>
      </c>
      <c r="L907" s="59" t="e" cm="1">
        <f t="array" ref="L907">INDEX($J$4:J1997, MATCH(1,(A907=$A$4:A1995)*(C907=$C$4:C1995)*("Y"=$K$4:K1997),0))</f>
        <v>#N/A</v>
      </c>
      <c r="M907" s="1">
        <v>10000000</v>
      </c>
      <c r="N907">
        <v>41</v>
      </c>
      <c r="O907">
        <v>40</v>
      </c>
      <c r="P907"/>
      <c r="Q907" s="6">
        <f>(SUM(Pcfu4[[#This Row],[R1]:[R3]]))/(Pcfu4[[#This Row],[No. Reps]]*0.025)*Pcfu4[[#This Row],[Best DF]]</f>
        <v>16200000000</v>
      </c>
      <c r="R907" s="1">
        <f>_xlfn.STDEV.S(Pcfu4[[#This Row],[R1]:[R3]])/0.025*Pcfu4[[#This Row],[Best DF]]</f>
        <v>282842712.47461903</v>
      </c>
      <c r="S907" s="6">
        <f>Pcfu4[[#This Row],[CFU/mL]]*Pcfu4[[#This Row],[mL]]/Pcfu4[[#This Row],[grams]]</f>
        <v>307800000000</v>
      </c>
      <c r="T907" s="1">
        <f>Pcfu4[[#This Row],[SD CFU/mL]]*Pcfu4[[#This Row],[mL]]/Pcfu4[[#This Row],[grams]]</f>
        <v>5374011537.0177622</v>
      </c>
      <c r="U907" s="7" t="e">
        <f>_xlfn.STDEV.S(Pcfu43[[#This Row],[R1]:[R3]])/AVERAGE(Pcfu43[[#This Row],[R1]:[R3]])</f>
        <v>#VALUE!</v>
      </c>
      <c r="V907" s="96"/>
      <c r="W907" s="7"/>
    </row>
    <row r="908" spans="1:28" s="85" customFormat="1" x14ac:dyDescent="0.15">
      <c r="A908" s="85" t="s">
        <v>792</v>
      </c>
      <c r="B908" s="85" t="s">
        <v>769</v>
      </c>
      <c r="D908" s="86" t="s">
        <v>86</v>
      </c>
      <c r="E908" s="87">
        <v>2</v>
      </c>
      <c r="G908" s="85">
        <v>0.3</v>
      </c>
      <c r="H908" s="88">
        <f>19*Pcfu4[[#This Row],[grams]]</f>
        <v>5.7</v>
      </c>
      <c r="I908" s="87" t="s">
        <v>170</v>
      </c>
      <c r="J908" s="89">
        <v>45086</v>
      </c>
      <c r="K908" s="87"/>
      <c r="L908" s="59" t="e" cm="1">
        <f t="array" ref="L908">INDEX($J$4:J1998, MATCH(1,(A908=$A$4:A1996)*(C908=$C$4:C1996)*("Y"=$K$4:K1998),0))</f>
        <v>#N/A</v>
      </c>
      <c r="M908" s="90">
        <v>10000000</v>
      </c>
      <c r="N908" s="85">
        <v>61</v>
      </c>
      <c r="O908" s="85">
        <v>59</v>
      </c>
      <c r="Q908" s="91">
        <f>(SUM(Pcfu4[[#This Row],[R1]:[R3]]))/(Pcfu4[[#This Row],[No. Reps]]*0.025)*Pcfu4[[#This Row],[Best DF]]</f>
        <v>24000000000</v>
      </c>
      <c r="R908" s="90">
        <f>_xlfn.STDEV.S(Pcfu4[[#This Row],[R1]:[R3]])/0.025*Pcfu4[[#This Row],[Best DF]]</f>
        <v>565685424.94923806</v>
      </c>
      <c r="S908" s="91">
        <f>Pcfu4[[#This Row],[CFU/mL]]*Pcfu4[[#This Row],[mL]]/Pcfu4[[#This Row],[grams]]</f>
        <v>456000000000</v>
      </c>
      <c r="T908" s="90">
        <f>Pcfu4[[#This Row],[SD CFU/mL]]*Pcfu4[[#This Row],[mL]]/Pcfu4[[#This Row],[grams]]</f>
        <v>10748023074.035524</v>
      </c>
      <c r="U908" s="92" t="e">
        <f>_xlfn.STDEV.S(Pcfu43[[#This Row],[R1]:[R3]])/AVERAGE(Pcfu43[[#This Row],[R1]:[R3]])</f>
        <v>#VALUE!</v>
      </c>
      <c r="V908" s="97"/>
      <c r="W908" s="92"/>
      <c r="AA908"/>
      <c r="AB908" s="98"/>
    </row>
    <row r="909" spans="1:28" x14ac:dyDescent="0.15">
      <c r="A909" t="s">
        <v>793</v>
      </c>
      <c r="B909" t="s">
        <v>769</v>
      </c>
      <c r="D909" s="66" t="s">
        <v>86</v>
      </c>
      <c r="E909" s="3">
        <v>2</v>
      </c>
      <c r="G909">
        <v>0.3</v>
      </c>
      <c r="H909" s="83">
        <f>19*Pcfu4[[#This Row],[grams]]</f>
        <v>5.7</v>
      </c>
      <c r="I909" s="3" t="s">
        <v>170</v>
      </c>
      <c r="J909" s="59">
        <v>45086</v>
      </c>
      <c r="L909" s="59" t="e" cm="1">
        <f t="array" ref="L909">INDEX($J$4:J1999, MATCH(1,(A909=$A$4:A1997)*(C909=$C$4:C1997)*("Y"=$K$4:K1999),0))</f>
        <v>#N/A</v>
      </c>
      <c r="M909" s="1">
        <v>10000000</v>
      </c>
      <c r="N909">
        <v>33</v>
      </c>
      <c r="O909">
        <v>30</v>
      </c>
      <c r="P909"/>
      <c r="Q909" s="6">
        <f>(SUM(Pcfu4[[#This Row],[R1]:[R3]]))/(Pcfu4[[#This Row],[No. Reps]]*0.025)*Pcfu4[[#This Row],[Best DF]]</f>
        <v>12600000000</v>
      </c>
      <c r="R909" s="1">
        <f>_xlfn.STDEV.S(Pcfu4[[#This Row],[R1]:[R3]])/0.025*Pcfu4[[#This Row],[Best DF]]</f>
        <v>848528137.42385697</v>
      </c>
      <c r="S909" s="6">
        <f>Pcfu4[[#This Row],[CFU/mL]]*Pcfu4[[#This Row],[mL]]/Pcfu4[[#This Row],[grams]]</f>
        <v>239400000000</v>
      </c>
      <c r="T909" s="1">
        <f>Pcfu4[[#This Row],[SD CFU/mL]]*Pcfu4[[#This Row],[mL]]/Pcfu4[[#This Row],[grams]]</f>
        <v>16122034611.053284</v>
      </c>
      <c r="U909" s="7" t="e">
        <f>_xlfn.STDEV.S(Pcfu43[[#This Row],[R1]:[R3]])/AVERAGE(Pcfu43[[#This Row],[R1]:[R3]])</f>
        <v>#VALUE!</v>
      </c>
      <c r="V909" s="96"/>
      <c r="W909" s="7"/>
    </row>
    <row r="910" spans="1:28" x14ac:dyDescent="0.15">
      <c r="A910" t="s">
        <v>794</v>
      </c>
      <c r="B910" t="s">
        <v>769</v>
      </c>
      <c r="D910" s="66" t="s">
        <v>86</v>
      </c>
      <c r="E910" s="3">
        <v>2</v>
      </c>
      <c r="G910">
        <v>0.3</v>
      </c>
      <c r="H910" s="83">
        <f>19*Pcfu4[[#This Row],[grams]]</f>
        <v>5.7</v>
      </c>
      <c r="I910" s="3" t="s">
        <v>170</v>
      </c>
      <c r="J910" s="59">
        <v>45086</v>
      </c>
      <c r="L910" s="59" t="e" cm="1">
        <f t="array" ref="L910">INDEX($J$4:J2000, MATCH(1,(A910=$A$4:A1998)*(C910=$C$4:C1998)*("Y"=$K$4:K2000),0))</f>
        <v>#N/A</v>
      </c>
      <c r="M910" s="1">
        <v>10000000</v>
      </c>
      <c r="N910">
        <v>91</v>
      </c>
      <c r="O910">
        <v>83</v>
      </c>
      <c r="P910"/>
      <c r="Q910" s="6">
        <f>(SUM(Pcfu4[[#This Row],[R1]:[R3]]))/(Pcfu4[[#This Row],[No. Reps]]*0.025)*Pcfu4[[#This Row],[Best DF]]</f>
        <v>34800000000</v>
      </c>
      <c r="R910" s="1">
        <f>_xlfn.STDEV.S(Pcfu4[[#This Row],[R1]:[R3]])/0.025*Pcfu4[[#This Row],[Best DF]]</f>
        <v>2262741699.7969522</v>
      </c>
      <c r="S910" s="6">
        <f>Pcfu4[[#This Row],[CFU/mL]]*Pcfu4[[#This Row],[mL]]/Pcfu4[[#This Row],[grams]]</f>
        <v>661200000000</v>
      </c>
      <c r="T910" s="1">
        <f>Pcfu4[[#This Row],[SD CFU/mL]]*Pcfu4[[#This Row],[mL]]/Pcfu4[[#This Row],[grams]]</f>
        <v>42992092296.142097</v>
      </c>
      <c r="U910" s="7" t="e">
        <f>_xlfn.STDEV.S(Pcfu43[[#This Row],[R1]:[R3]])/AVERAGE(Pcfu43[[#This Row],[R1]:[R3]])</f>
        <v>#VALUE!</v>
      </c>
      <c r="V910" s="96"/>
      <c r="W910" s="7"/>
    </row>
    <row r="911" spans="1:28" x14ac:dyDescent="0.15">
      <c r="A911" t="s">
        <v>795</v>
      </c>
      <c r="B911" t="s">
        <v>769</v>
      </c>
      <c r="D911" s="66" t="s">
        <v>86</v>
      </c>
      <c r="E911" s="3">
        <v>2</v>
      </c>
      <c r="G911">
        <v>0.3</v>
      </c>
      <c r="H911" s="83">
        <f>19*Pcfu4[[#This Row],[grams]]</f>
        <v>5.7</v>
      </c>
      <c r="I911" s="3" t="s">
        <v>170</v>
      </c>
      <c r="J911" s="59">
        <v>45086</v>
      </c>
      <c r="L911" s="59" t="e" cm="1">
        <f t="array" ref="L911">INDEX($J$4:J2001, MATCH(1,(A911=$A$4:A1999)*(C911=$C$4:C1999)*("Y"=$K$4:K2001),0))</f>
        <v>#N/A</v>
      </c>
      <c r="M911" s="1">
        <v>10000000</v>
      </c>
      <c r="N911">
        <v>41</v>
      </c>
      <c r="O911">
        <v>36</v>
      </c>
      <c r="P911"/>
      <c r="Q911" s="6">
        <f>(SUM(Pcfu4[[#This Row],[R1]:[R3]]))/(Pcfu4[[#This Row],[No. Reps]]*0.025)*Pcfu4[[#This Row],[Best DF]]</f>
        <v>15400000000</v>
      </c>
      <c r="R911" s="1">
        <f>_xlfn.STDEV.S(Pcfu4[[#This Row],[R1]:[R3]])/0.025*Pcfu4[[#This Row],[Best DF]]</f>
        <v>1414213562.373095</v>
      </c>
      <c r="S911" s="6">
        <f>Pcfu4[[#This Row],[CFU/mL]]*Pcfu4[[#This Row],[mL]]/Pcfu4[[#This Row],[grams]]</f>
        <v>292600000000</v>
      </c>
      <c r="T911" s="1">
        <f>Pcfu4[[#This Row],[SD CFU/mL]]*Pcfu4[[#This Row],[mL]]/Pcfu4[[#This Row],[grams]]</f>
        <v>26870057685.088806</v>
      </c>
      <c r="U911" s="7" t="e">
        <f>_xlfn.STDEV.S(Pcfu43[[#This Row],[R1]:[R3]])/AVERAGE(Pcfu43[[#This Row],[R1]:[R3]])</f>
        <v>#VALUE!</v>
      </c>
      <c r="V911" s="96"/>
      <c r="W911" s="7"/>
    </row>
    <row r="912" spans="1:28" x14ac:dyDescent="0.15">
      <c r="A912" t="s">
        <v>671</v>
      </c>
      <c r="C912" t="s">
        <v>723</v>
      </c>
      <c r="D912" s="66" t="s">
        <v>253</v>
      </c>
      <c r="E912" s="3">
        <v>3</v>
      </c>
      <c r="F912" t="s">
        <v>736</v>
      </c>
      <c r="H912" s="83"/>
      <c r="I912" s="3" t="s">
        <v>170</v>
      </c>
      <c r="J912" s="59">
        <v>45090</v>
      </c>
      <c r="L912" s="59" t="e" cm="1">
        <f t="array" ref="L912">INDEX($J$4:J2002, MATCH(1,(A912=$A$4:A2000)*(C912=$C$4:C2000)*("Y"=$K$4:K2002),0))</f>
        <v>#N/A</v>
      </c>
      <c r="M912" s="1">
        <v>1</v>
      </c>
      <c r="N912">
        <v>81</v>
      </c>
      <c r="O912">
        <v>38</v>
      </c>
      <c r="P912">
        <v>30</v>
      </c>
      <c r="Q912" s="6">
        <f>(SUM(Pcfu4[[#This Row],[R1]:[R3]]))/(Pcfu4[[#This Row],[No. Reps]]*0.025)*Pcfu4[[#This Row],[Best DF]]</f>
        <v>1986.6666666666663</v>
      </c>
      <c r="R912" s="1">
        <f>_xlfn.STDEV.S(Pcfu4[[#This Row],[R1]:[R3]])/0.025*Pcfu4[[#This Row],[Best DF]]</f>
        <v>1097.1478174491044</v>
      </c>
      <c r="S912" s="6" t="e">
        <f>Pcfu4[[#This Row],[CFU/mL]]*Pcfu4[[#This Row],[mL]]/Pcfu4[[#This Row],[grams]]</f>
        <v>#DIV/0!</v>
      </c>
      <c r="T912" s="1" t="e">
        <f>Pcfu4[[#This Row],[SD CFU/mL]]*Pcfu4[[#This Row],[mL]]/Pcfu4[[#This Row],[grams]]</f>
        <v>#DIV/0!</v>
      </c>
      <c r="U912" s="7" t="e">
        <f>_xlfn.STDEV.S(Pcfu43[[#This Row],[R1]:[R3]])/AVERAGE(Pcfu43[[#This Row],[R1]:[R3]])</f>
        <v>#VALUE!</v>
      </c>
      <c r="V912" s="96"/>
      <c r="W912" s="7"/>
    </row>
    <row r="913" spans="1:24" x14ac:dyDescent="0.15">
      <c r="A913" t="s">
        <v>796</v>
      </c>
      <c r="C913" t="s">
        <v>723</v>
      </c>
      <c r="D913" s="66" t="s">
        <v>253</v>
      </c>
      <c r="E913" s="3">
        <v>3</v>
      </c>
      <c r="F913" t="s">
        <v>736</v>
      </c>
      <c r="H913" s="83"/>
      <c r="I913" s="3" t="s">
        <v>170</v>
      </c>
      <c r="J913" s="59">
        <v>45090</v>
      </c>
      <c r="L913" s="59" t="e" cm="1">
        <f t="array" ref="L913">INDEX($J$4:J2003, MATCH(1,(A913=$A$4:A2001)*(C913=$C$4:C2001)*("Y"=$K$4:K2003),0))</f>
        <v>#N/A</v>
      </c>
      <c r="M913" s="1">
        <v>1</v>
      </c>
      <c r="N913">
        <v>153</v>
      </c>
      <c r="O913">
        <v>96</v>
      </c>
      <c r="P913">
        <v>104</v>
      </c>
      <c r="Q913" s="6">
        <f>(SUM(Pcfu4[[#This Row],[R1]:[R3]]))/(Pcfu4[[#This Row],[No. Reps]]*0.025)*Pcfu4[[#This Row],[Best DF]]</f>
        <v>4706.6666666666661</v>
      </c>
      <c r="R913" s="1">
        <f>_xlfn.STDEV.S(Pcfu4[[#This Row],[R1]:[R3]])/0.025*Pcfu4[[#This Row],[Best DF]]</f>
        <v>1234.395938640974</v>
      </c>
      <c r="S913" s="6" t="e">
        <f>Pcfu4[[#This Row],[CFU/mL]]*Pcfu4[[#This Row],[mL]]/Pcfu4[[#This Row],[grams]]</f>
        <v>#DIV/0!</v>
      </c>
      <c r="T913" s="1" t="e">
        <f>Pcfu4[[#This Row],[SD CFU/mL]]*Pcfu4[[#This Row],[mL]]/Pcfu4[[#This Row],[grams]]</f>
        <v>#DIV/0!</v>
      </c>
      <c r="U913" s="7" t="e">
        <f>_xlfn.STDEV.S(Pcfu43[[#This Row],[R1]:[R3]])/AVERAGE(Pcfu43[[#This Row],[R1]:[R3]])</f>
        <v>#VALUE!</v>
      </c>
      <c r="V913" s="96"/>
      <c r="W913" s="7"/>
    </row>
    <row r="914" spans="1:24" x14ac:dyDescent="0.15">
      <c r="A914" t="s">
        <v>797</v>
      </c>
      <c r="C914" t="s">
        <v>723</v>
      </c>
      <c r="D914" s="66" t="s">
        <v>253</v>
      </c>
      <c r="E914" s="3">
        <v>3</v>
      </c>
      <c r="F914" t="s">
        <v>736</v>
      </c>
      <c r="H914" s="83"/>
      <c r="I914" s="3" t="s">
        <v>170</v>
      </c>
      <c r="J914" s="59">
        <v>45090</v>
      </c>
      <c r="L914" s="59" t="e" cm="1">
        <f t="array" ref="L914">INDEX($J$4:J2004, MATCH(1,(A914=$A$4:A2002)*(C914=$C$4:C2002)*("Y"=$K$4:K2004),0))</f>
        <v>#N/A</v>
      </c>
      <c r="M914" s="1">
        <v>1</v>
      </c>
      <c r="N914">
        <v>102</v>
      </c>
      <c r="O914">
        <v>228</v>
      </c>
      <c r="P914">
        <v>157</v>
      </c>
      <c r="Q914" s="6">
        <f>(SUM(Pcfu4[[#This Row],[R1]:[R3]]))/(Pcfu4[[#This Row],[No. Reps]]*0.025)*Pcfu4[[#This Row],[Best DF]]</f>
        <v>6493.3333333333321</v>
      </c>
      <c r="R914" s="1">
        <f>_xlfn.STDEV.S(Pcfu4[[#This Row],[R1]:[R3]])/0.025*Pcfu4[[#This Row],[Best DF]]</f>
        <v>2526.7634106368837</v>
      </c>
      <c r="S914" s="6" t="e">
        <f>Pcfu4[[#This Row],[CFU/mL]]*Pcfu4[[#This Row],[mL]]/Pcfu4[[#This Row],[grams]]</f>
        <v>#DIV/0!</v>
      </c>
      <c r="T914" s="1" t="e">
        <f>Pcfu4[[#This Row],[SD CFU/mL]]*Pcfu4[[#This Row],[mL]]/Pcfu4[[#This Row],[grams]]</f>
        <v>#DIV/0!</v>
      </c>
      <c r="U914" s="7" t="e">
        <f>_xlfn.STDEV.S(Pcfu43[[#This Row],[R1]:[R3]])/AVERAGE(Pcfu43[[#This Row],[R1]:[R3]])</f>
        <v>#VALUE!</v>
      </c>
      <c r="V914" s="96"/>
      <c r="W914" s="7"/>
    </row>
    <row r="915" spans="1:24" x14ac:dyDescent="0.15">
      <c r="A915" t="s">
        <v>672</v>
      </c>
      <c r="C915" t="s">
        <v>723</v>
      </c>
      <c r="D915" s="66" t="s">
        <v>253</v>
      </c>
      <c r="E915" s="3">
        <v>3</v>
      </c>
      <c r="F915" t="s">
        <v>736</v>
      </c>
      <c r="H915" s="83"/>
      <c r="I915" s="3" t="s">
        <v>170</v>
      </c>
      <c r="J915" s="59">
        <v>45090</v>
      </c>
      <c r="L915" s="59" t="e" cm="1">
        <f t="array" ref="L915">INDEX($J$4:J2005, MATCH(1,(A915=$A$4:A2003)*(C915=$C$4:C2003)*("Y"=$K$4:K2005),0))</f>
        <v>#N/A</v>
      </c>
      <c r="M915" s="1">
        <v>1</v>
      </c>
      <c r="N915">
        <v>79</v>
      </c>
      <c r="O915">
        <v>172</v>
      </c>
      <c r="P915">
        <v>58</v>
      </c>
      <c r="Q915" s="6">
        <f>(SUM(Pcfu4[[#This Row],[R1]:[R3]]))/(Pcfu4[[#This Row],[No. Reps]]*0.025)*Pcfu4[[#This Row],[Best DF]]</f>
        <v>4119.9999999999991</v>
      </c>
      <c r="R915" s="1">
        <f>_xlfn.STDEV.S(Pcfu4[[#This Row],[R1]:[R3]])/0.025*Pcfu4[[#This Row],[Best DF]]</f>
        <v>2426.8498099388021</v>
      </c>
      <c r="S915" s="6" t="e">
        <f>Pcfu4[[#This Row],[CFU/mL]]*Pcfu4[[#This Row],[mL]]/Pcfu4[[#This Row],[grams]]</f>
        <v>#DIV/0!</v>
      </c>
      <c r="T915" s="1" t="e">
        <f>Pcfu4[[#This Row],[SD CFU/mL]]*Pcfu4[[#This Row],[mL]]/Pcfu4[[#This Row],[grams]]</f>
        <v>#DIV/0!</v>
      </c>
      <c r="U915" s="7" t="e">
        <f>_xlfn.STDEV.S(Pcfu43[[#This Row],[R1]:[R3]])/AVERAGE(Pcfu43[[#This Row],[R1]:[R3]])</f>
        <v>#VALUE!</v>
      </c>
      <c r="V915" s="96"/>
      <c r="W915" s="7"/>
    </row>
    <row r="916" spans="1:24" x14ac:dyDescent="0.15">
      <c r="A916" t="s">
        <v>798</v>
      </c>
      <c r="C916" t="s">
        <v>723</v>
      </c>
      <c r="D916" s="66" t="s">
        <v>253</v>
      </c>
      <c r="E916" s="3">
        <v>3</v>
      </c>
      <c r="F916" t="s">
        <v>736</v>
      </c>
      <c r="H916" s="83"/>
      <c r="I916" s="3" t="s">
        <v>170</v>
      </c>
      <c r="J916" s="59">
        <v>45090</v>
      </c>
      <c r="L916" s="59" t="e" cm="1">
        <f t="array" ref="L916">INDEX($J$4:J2006, MATCH(1,(A916=$A$4:A2004)*(C916=$C$4:C2004)*("Y"=$K$4:K2006),0))</f>
        <v>#N/A</v>
      </c>
      <c r="M916" s="1">
        <v>1</v>
      </c>
      <c r="N916">
        <v>160</v>
      </c>
      <c r="O916">
        <v>33</v>
      </c>
      <c r="P916">
        <v>91</v>
      </c>
      <c r="Q916" s="6">
        <f>(SUM(Pcfu4[[#This Row],[R1]:[R3]]))/(Pcfu4[[#This Row],[No. Reps]]*0.025)*Pcfu4[[#This Row],[Best DF]]</f>
        <v>3786.6666666666661</v>
      </c>
      <c r="R916" s="1">
        <f>_xlfn.STDEV.S(Pcfu4[[#This Row],[R1]:[R3]])/0.025*Pcfu4[[#This Row],[Best DF]]</f>
        <v>2543.173870055552</v>
      </c>
      <c r="S916" s="6" t="e">
        <f>Pcfu4[[#This Row],[CFU/mL]]*Pcfu4[[#This Row],[mL]]/Pcfu4[[#This Row],[grams]]</f>
        <v>#DIV/0!</v>
      </c>
      <c r="T916" s="1" t="e">
        <f>Pcfu4[[#This Row],[SD CFU/mL]]*Pcfu4[[#This Row],[mL]]/Pcfu4[[#This Row],[grams]]</f>
        <v>#DIV/0!</v>
      </c>
      <c r="U916" s="7" t="e">
        <f>_xlfn.STDEV.S(Pcfu43[[#This Row],[R1]:[R3]])/AVERAGE(Pcfu43[[#This Row],[R1]:[R3]])</f>
        <v>#VALUE!</v>
      </c>
      <c r="V916" s="96"/>
      <c r="W916" s="7"/>
    </row>
    <row r="917" spans="1:24" x14ac:dyDescent="0.15">
      <c r="A917" t="s">
        <v>799</v>
      </c>
      <c r="C917" t="s">
        <v>723</v>
      </c>
      <c r="D917" s="66" t="s">
        <v>253</v>
      </c>
      <c r="E917" s="3">
        <v>3</v>
      </c>
      <c r="F917" t="s">
        <v>736</v>
      </c>
      <c r="H917" s="83"/>
      <c r="I917" s="3" t="s">
        <v>170</v>
      </c>
      <c r="J917" s="59">
        <v>45090</v>
      </c>
      <c r="L917" s="59" t="e" cm="1">
        <f t="array" ref="L917">INDEX($J$4:J2007, MATCH(1,(A917=$A$4:A2005)*(C917=$C$4:C2005)*("Y"=$K$4:K2007),0))</f>
        <v>#N/A</v>
      </c>
      <c r="M917" s="1">
        <v>1</v>
      </c>
      <c r="N917">
        <v>92</v>
      </c>
      <c r="O917">
        <v>62</v>
      </c>
      <c r="P917">
        <v>206</v>
      </c>
      <c r="Q917" s="6">
        <f>(SUM(Pcfu4[[#This Row],[R1]:[R3]]))/(Pcfu4[[#This Row],[No. Reps]]*0.025)*Pcfu4[[#This Row],[Best DF]]</f>
        <v>4799.9999999999991</v>
      </c>
      <c r="R917" s="1">
        <f>_xlfn.STDEV.S(Pcfu4[[#This Row],[R1]:[R3]])/0.025*Pcfu4[[#This Row],[Best DF]]</f>
        <v>3038.9471861156121</v>
      </c>
      <c r="S917" s="6" t="e">
        <f>Pcfu4[[#This Row],[CFU/mL]]*Pcfu4[[#This Row],[mL]]/Pcfu4[[#This Row],[grams]]</f>
        <v>#DIV/0!</v>
      </c>
      <c r="T917" s="1" t="e">
        <f>Pcfu4[[#This Row],[SD CFU/mL]]*Pcfu4[[#This Row],[mL]]/Pcfu4[[#This Row],[grams]]</f>
        <v>#DIV/0!</v>
      </c>
      <c r="U917" s="7" t="e">
        <f>_xlfn.STDEV.S(Pcfu43[[#This Row],[R1]:[R3]])/AVERAGE(Pcfu43[[#This Row],[R1]:[R3]])</f>
        <v>#VALUE!</v>
      </c>
      <c r="V917" s="96"/>
      <c r="W917" s="7"/>
    </row>
    <row r="918" spans="1:24" x14ac:dyDescent="0.15">
      <c r="A918" t="s">
        <v>778</v>
      </c>
      <c r="C918" t="s">
        <v>723</v>
      </c>
      <c r="D918" s="66" t="s">
        <v>243</v>
      </c>
      <c r="E918" s="3">
        <v>3</v>
      </c>
      <c r="F918" t="s">
        <v>779</v>
      </c>
      <c r="H918" s="83"/>
      <c r="I918" s="3" t="s">
        <v>170</v>
      </c>
      <c r="J918" s="59">
        <v>45090</v>
      </c>
      <c r="L918" s="59" t="e" cm="1">
        <f t="array" ref="L918">INDEX($J$4:J2008, MATCH(1,(A918=$A$4:A2006)*(C918=$C$4:C2006)*("Y"=$K$4:K2008),0))</f>
        <v>#N/A</v>
      </c>
      <c r="M918" s="1">
        <v>100</v>
      </c>
      <c r="N918">
        <v>135</v>
      </c>
      <c r="O918">
        <v>106</v>
      </c>
      <c r="P918">
        <v>94</v>
      </c>
      <c r="Q918" s="6">
        <f>(SUM(Pcfu4[[#This Row],[R1]:[R3]]))/(Pcfu4[[#This Row],[No. Reps]]*0.025)*Pcfu4[[#This Row],[Best DF]]</f>
        <v>446666.66666666663</v>
      </c>
      <c r="R918" s="1">
        <f>_xlfn.STDEV.S(Pcfu4[[#This Row],[R1]:[R3]])/0.025*Pcfu4[[#This Row],[Best DF]]</f>
        <v>84316.862686732551</v>
      </c>
      <c r="S918" s="6" t="e">
        <f>Pcfu4[[#This Row],[CFU/mL]]*Pcfu4[[#This Row],[mL]]/Pcfu4[[#This Row],[grams]]</f>
        <v>#DIV/0!</v>
      </c>
      <c r="T918" s="1" t="e">
        <f>Pcfu4[[#This Row],[SD CFU/mL]]*Pcfu4[[#This Row],[mL]]/Pcfu4[[#This Row],[grams]]</f>
        <v>#DIV/0!</v>
      </c>
      <c r="U918" s="7" t="e">
        <f>_xlfn.STDEV.S(Pcfu43[[#This Row],[R1]:[R3]])/AVERAGE(Pcfu43[[#This Row],[R1]:[R3]])</f>
        <v>#VALUE!</v>
      </c>
      <c r="V918" s="96"/>
      <c r="W918" s="7"/>
    </row>
    <row r="919" spans="1:24" x14ac:dyDescent="0.15">
      <c r="A919" t="s">
        <v>780</v>
      </c>
      <c r="C919" t="s">
        <v>723</v>
      </c>
      <c r="D919" s="66" t="s">
        <v>243</v>
      </c>
      <c r="E919" s="3">
        <v>3</v>
      </c>
      <c r="F919" t="s">
        <v>779</v>
      </c>
      <c r="H919" s="83"/>
      <c r="I919" s="3" t="s">
        <v>170</v>
      </c>
      <c r="J919" s="59">
        <v>45090</v>
      </c>
      <c r="L919" s="59" t="e" cm="1">
        <f t="array" ref="L919">INDEX($J$4:J2009, MATCH(1,(A919=$A$4:A2007)*(C919=$C$4:C2007)*("Y"=$K$4:K2009),0))</f>
        <v>#N/A</v>
      </c>
      <c r="M919" s="1">
        <v>100</v>
      </c>
      <c r="N919">
        <v>56</v>
      </c>
      <c r="O919">
        <v>69</v>
      </c>
      <c r="P919">
        <v>136</v>
      </c>
      <c r="Q919" s="6">
        <f>(SUM(Pcfu4[[#This Row],[R1]:[R3]]))/(Pcfu4[[#This Row],[No. Reps]]*0.025)*Pcfu4[[#This Row],[Best DF]]</f>
        <v>347999.99999999994</v>
      </c>
      <c r="R919" s="1">
        <f>_xlfn.STDEV.S(Pcfu4[[#This Row],[R1]:[R3]])/0.025*Pcfu4[[#This Row],[Best DF]]</f>
        <v>171720.70346932544</v>
      </c>
      <c r="S919" s="6" t="e">
        <f>Pcfu4[[#This Row],[CFU/mL]]*Pcfu4[[#This Row],[mL]]/Pcfu4[[#This Row],[grams]]</f>
        <v>#DIV/0!</v>
      </c>
      <c r="T919" s="1" t="e">
        <f>Pcfu4[[#This Row],[SD CFU/mL]]*Pcfu4[[#This Row],[mL]]/Pcfu4[[#This Row],[grams]]</f>
        <v>#DIV/0!</v>
      </c>
      <c r="U919" s="7" t="e">
        <f>_xlfn.STDEV.S(Pcfu43[[#This Row],[R1]:[R3]])/AVERAGE(Pcfu43[[#This Row],[R1]:[R3]])</f>
        <v>#VALUE!</v>
      </c>
      <c r="V919" s="96"/>
      <c r="W919" s="7"/>
    </row>
    <row r="920" spans="1:24" x14ac:dyDescent="0.15">
      <c r="A920" t="s">
        <v>781</v>
      </c>
      <c r="C920" t="s">
        <v>723</v>
      </c>
      <c r="D920" s="66" t="s">
        <v>243</v>
      </c>
      <c r="E920" s="3">
        <v>3</v>
      </c>
      <c r="F920" t="s">
        <v>779</v>
      </c>
      <c r="H920" s="83"/>
      <c r="I920" s="3" t="s">
        <v>170</v>
      </c>
      <c r="J920" s="59">
        <v>45091</v>
      </c>
      <c r="L920" s="59" t="e" cm="1">
        <f t="array" ref="L920">INDEX($J$4:J2010, MATCH(1,(A920=$A$4:A2008)*(C920=$C$4:C2008)*("Y"=$K$4:K2010),0))</f>
        <v>#N/A</v>
      </c>
      <c r="M920" s="1">
        <v>100</v>
      </c>
      <c r="N920">
        <v>94</v>
      </c>
      <c r="O920">
        <v>82</v>
      </c>
      <c r="P920">
        <v>87</v>
      </c>
      <c r="Q920" s="6">
        <f>(SUM(Pcfu4[[#This Row],[R1]:[R3]]))/(Pcfu4[[#This Row],[No. Reps]]*0.025)*Pcfu4[[#This Row],[Best DF]]</f>
        <v>350666.66666666663</v>
      </c>
      <c r="R920" s="1">
        <f>_xlfn.STDEV.S(Pcfu4[[#This Row],[R1]:[R3]])/0.025*Pcfu4[[#This Row],[Best DF]]</f>
        <v>24110.85509336683</v>
      </c>
      <c r="S920" s="6" t="e">
        <f>Pcfu4[[#This Row],[CFU/mL]]*Pcfu4[[#This Row],[mL]]/Pcfu4[[#This Row],[grams]]</f>
        <v>#DIV/0!</v>
      </c>
      <c r="T920" s="1" t="e">
        <f>Pcfu4[[#This Row],[SD CFU/mL]]*Pcfu4[[#This Row],[mL]]/Pcfu4[[#This Row],[grams]]</f>
        <v>#DIV/0!</v>
      </c>
      <c r="U920" s="7" t="e">
        <f>_xlfn.STDEV.S(Pcfu43[[#This Row],[R1]:[R3]])/AVERAGE(Pcfu43[[#This Row],[R1]:[R3]])</f>
        <v>#VALUE!</v>
      </c>
      <c r="V920" s="96"/>
      <c r="W920" s="7"/>
    </row>
    <row r="921" spans="1:24" x14ac:dyDescent="0.15">
      <c r="A921" t="s">
        <v>783</v>
      </c>
      <c r="C921" t="s">
        <v>723</v>
      </c>
      <c r="D921" s="66" t="s">
        <v>243</v>
      </c>
      <c r="E921" s="3">
        <v>3</v>
      </c>
      <c r="F921" t="s">
        <v>779</v>
      </c>
      <c r="H921" s="83"/>
      <c r="I921" s="3" t="s">
        <v>170</v>
      </c>
      <c r="J921" s="59">
        <v>45091</v>
      </c>
      <c r="L921" s="59" t="e" cm="1">
        <f t="array" ref="L921">INDEX($J$4:J2011, MATCH(1,(A921=$A$4:A2009)*(C921=$C$4:C2009)*("Y"=$K$4:K2011),0))</f>
        <v>#N/A</v>
      </c>
      <c r="M921" s="1">
        <v>100</v>
      </c>
      <c r="N921">
        <v>70</v>
      </c>
      <c r="O921">
        <v>31</v>
      </c>
      <c r="P921">
        <v>28</v>
      </c>
      <c r="Q921" s="6">
        <f>(SUM(Pcfu4[[#This Row],[R1]:[R3]]))/(Pcfu4[[#This Row],[No. Reps]]*0.025)*Pcfu4[[#This Row],[Best DF]]</f>
        <v>171999.99999999997</v>
      </c>
      <c r="R921" s="1">
        <f>_xlfn.STDEV.S(Pcfu4[[#This Row],[R1]:[R3]])/0.025*Pcfu4[[#This Row],[Best DF]]</f>
        <v>93722.996110879845</v>
      </c>
      <c r="S921" s="6" t="e">
        <f>Pcfu4[[#This Row],[CFU/mL]]*Pcfu4[[#This Row],[mL]]/Pcfu4[[#This Row],[grams]]</f>
        <v>#DIV/0!</v>
      </c>
      <c r="T921" s="1" t="e">
        <f>Pcfu4[[#This Row],[SD CFU/mL]]*Pcfu4[[#This Row],[mL]]/Pcfu4[[#This Row],[grams]]</f>
        <v>#DIV/0!</v>
      </c>
      <c r="U921" s="7" t="e">
        <f>_xlfn.STDEV.S(Pcfu43[[#This Row],[R1]:[R3]])/AVERAGE(Pcfu43[[#This Row],[R1]:[R3]])</f>
        <v>#VALUE!</v>
      </c>
      <c r="V921" s="96"/>
      <c r="W921" s="7"/>
    </row>
    <row r="922" spans="1:24" x14ac:dyDescent="0.15">
      <c r="A922" t="s">
        <v>782</v>
      </c>
      <c r="C922" t="s">
        <v>723</v>
      </c>
      <c r="D922" s="66" t="s">
        <v>243</v>
      </c>
      <c r="E922" s="3">
        <v>3</v>
      </c>
      <c r="F922" t="s">
        <v>779</v>
      </c>
      <c r="H922" s="83"/>
      <c r="I922" s="3" t="s">
        <v>170</v>
      </c>
      <c r="J922" s="59">
        <v>45091</v>
      </c>
      <c r="L922" s="59" t="e" cm="1">
        <f t="array" ref="L922">INDEX($J$4:J2012, MATCH(1,(A922=$A$4:A2010)*(C922=$C$4:C2010)*("Y"=$K$4:K2012),0))</f>
        <v>#N/A</v>
      </c>
      <c r="M922" s="1">
        <v>100</v>
      </c>
      <c r="N922">
        <v>95</v>
      </c>
      <c r="O922">
        <v>105</v>
      </c>
      <c r="P922">
        <v>87</v>
      </c>
      <c r="Q922" s="6">
        <f>(SUM(Pcfu4[[#This Row],[R1]:[R3]]))/(Pcfu4[[#This Row],[No. Reps]]*0.025)*Pcfu4[[#This Row],[Best DF]]</f>
        <v>382666.66666666663</v>
      </c>
      <c r="R922" s="1">
        <f>_xlfn.STDEV.S(Pcfu4[[#This Row],[R1]:[R3]])/0.025*Pcfu4[[#This Row],[Best DF]]</f>
        <v>36073.998022583153</v>
      </c>
      <c r="S922" s="6" t="e">
        <f>Pcfu4[[#This Row],[CFU/mL]]*Pcfu4[[#This Row],[mL]]/Pcfu4[[#This Row],[grams]]</f>
        <v>#DIV/0!</v>
      </c>
      <c r="T922" s="1" t="e">
        <f>Pcfu4[[#This Row],[SD CFU/mL]]*Pcfu4[[#This Row],[mL]]/Pcfu4[[#This Row],[grams]]</f>
        <v>#DIV/0!</v>
      </c>
      <c r="U922" s="7" t="e">
        <f>_xlfn.STDEV.S(Pcfu43[[#This Row],[R1]:[R3]])/AVERAGE(Pcfu43[[#This Row],[R1]:[R3]])</f>
        <v>#VALUE!</v>
      </c>
      <c r="V922" s="96"/>
      <c r="W922" s="7"/>
    </row>
    <row r="923" spans="1:24" x14ac:dyDescent="0.15">
      <c r="A923" t="s">
        <v>784</v>
      </c>
      <c r="C923" t="s">
        <v>723</v>
      </c>
      <c r="D923" s="66" t="s">
        <v>243</v>
      </c>
      <c r="E923" s="3">
        <v>3</v>
      </c>
      <c r="F923" t="s">
        <v>779</v>
      </c>
      <c r="H923" s="83"/>
      <c r="I923" s="3" t="s">
        <v>170</v>
      </c>
      <c r="J923" s="59">
        <v>45091</v>
      </c>
      <c r="L923" s="59" t="e" cm="1">
        <f t="array" ref="L923">INDEX($J$4:J2013, MATCH(1,(A923=$A$4:A2011)*(C923=$C$4:C2011)*("Y"=$K$4:K2013),0))</f>
        <v>#N/A</v>
      </c>
      <c r="M923" s="1">
        <v>100</v>
      </c>
      <c r="N923">
        <v>78</v>
      </c>
      <c r="O923">
        <v>65</v>
      </c>
      <c r="P923">
        <v>97</v>
      </c>
      <c r="Q923" s="6">
        <f>(SUM(Pcfu4[[#This Row],[R1]:[R3]]))/(Pcfu4[[#This Row],[No. Reps]]*0.025)*Pcfu4[[#This Row],[Best DF]]</f>
        <v>319999.99999999994</v>
      </c>
      <c r="R923" s="1">
        <f>_xlfn.STDEV.S(Pcfu4[[#This Row],[R1]:[R3]])/0.025*Pcfu4[[#This Row],[Best DF]]</f>
        <v>64373.907757724315</v>
      </c>
      <c r="S923" s="6" t="e">
        <f>Pcfu4[[#This Row],[CFU/mL]]*Pcfu4[[#This Row],[mL]]/Pcfu4[[#This Row],[grams]]</f>
        <v>#DIV/0!</v>
      </c>
      <c r="T923" s="1" t="e">
        <f>Pcfu4[[#This Row],[SD CFU/mL]]*Pcfu4[[#This Row],[mL]]/Pcfu4[[#This Row],[grams]]</f>
        <v>#DIV/0!</v>
      </c>
      <c r="U923" s="7" t="e">
        <f>_xlfn.STDEV.S(Pcfu43[[#This Row],[R1]:[R3]])/AVERAGE(Pcfu43[[#This Row],[R1]:[R3]])</f>
        <v>#VALUE!</v>
      </c>
      <c r="V923" s="96"/>
      <c r="W923" s="7"/>
    </row>
    <row r="924" spans="1:24" x14ac:dyDescent="0.15">
      <c r="A924" t="s">
        <v>800</v>
      </c>
      <c r="C924" t="s">
        <v>723</v>
      </c>
      <c r="D924" s="66" t="s">
        <v>312</v>
      </c>
      <c r="E924" s="3">
        <v>3</v>
      </c>
      <c r="F924" t="s">
        <v>801</v>
      </c>
      <c r="H924" s="83"/>
      <c r="I924" s="3" t="s">
        <v>170</v>
      </c>
      <c r="J924" s="59">
        <v>45091</v>
      </c>
      <c r="K924" s="3" t="s">
        <v>206</v>
      </c>
      <c r="L924" s="59" cm="1">
        <f t="array" ref="L924">INDEX($J$4:J2014, MATCH(1,(A924=$A$4:A2012)*(C924=$C$4:C2012)*("Y"=$K$4:K2014),0))</f>
        <v>45091</v>
      </c>
      <c r="M924" s="1">
        <v>100</v>
      </c>
      <c r="N924">
        <v>107</v>
      </c>
      <c r="O924">
        <v>78</v>
      </c>
      <c r="P924">
        <v>176</v>
      </c>
      <c r="Q924" s="6">
        <f>(SUM(Pcfu4[[#This Row],[R1]:[R3]]))/(Pcfu4[[#This Row],[No. Reps]]*0.025)*Pcfu4[[#This Row],[Best DF]]</f>
        <v>481333.33333333331</v>
      </c>
      <c r="R924" s="1">
        <f>_xlfn.STDEV.S(Pcfu4[[#This Row],[R1]:[R3]])/0.025*Pcfu4[[#This Row],[Best DF]]</f>
        <v>201368.65032405939</v>
      </c>
      <c r="S924" s="6" t="e">
        <f>Pcfu4[[#This Row],[CFU/mL]]*Pcfu4[[#This Row],[mL]]/Pcfu4[[#This Row],[grams]]</f>
        <v>#DIV/0!</v>
      </c>
      <c r="T924" s="1" t="e">
        <f>Pcfu4[[#This Row],[SD CFU/mL]]*Pcfu4[[#This Row],[mL]]/Pcfu4[[#This Row],[grams]]</f>
        <v>#DIV/0!</v>
      </c>
      <c r="U924" s="7" t="e">
        <f>_xlfn.STDEV.S(Pcfu43[[#This Row],[R1]:[R3]])/AVERAGE(Pcfu43[[#This Row],[R1]:[R3]])</f>
        <v>#VALUE!</v>
      </c>
      <c r="V924" s="96"/>
      <c r="W924" s="7"/>
      <c r="X924" t="s">
        <v>802</v>
      </c>
    </row>
    <row r="925" spans="1:24" x14ac:dyDescent="0.15">
      <c r="A925" t="s">
        <v>803</v>
      </c>
      <c r="C925" t="s">
        <v>723</v>
      </c>
      <c r="D925" s="66" t="s">
        <v>312</v>
      </c>
      <c r="E925" s="3">
        <v>3</v>
      </c>
      <c r="F925" t="s">
        <v>801</v>
      </c>
      <c r="H925" s="83"/>
      <c r="I925" s="3" t="s">
        <v>170</v>
      </c>
      <c r="J925" s="59">
        <v>45091</v>
      </c>
      <c r="K925" s="3" t="s">
        <v>206</v>
      </c>
      <c r="L925" s="59" cm="1">
        <f t="array" ref="L925">INDEX($J$4:J2015, MATCH(1,(A925=$A$4:A2013)*(C925=$C$4:C2013)*("Y"=$K$4:K2015),0))</f>
        <v>45091</v>
      </c>
      <c r="M925" s="1">
        <v>100</v>
      </c>
      <c r="N925">
        <v>76</v>
      </c>
      <c r="O925">
        <v>86</v>
      </c>
      <c r="P925">
        <v>90</v>
      </c>
      <c r="Q925" s="6">
        <f>(SUM(Pcfu4[[#This Row],[R1]:[R3]]))/(Pcfu4[[#This Row],[No. Reps]]*0.025)*Pcfu4[[#This Row],[Best DF]]</f>
        <v>335999.99999999994</v>
      </c>
      <c r="R925" s="1">
        <f>_xlfn.STDEV.S(Pcfu4[[#This Row],[R1]:[R3]])/0.025*Pcfu4[[#This Row],[Best DF]]</f>
        <v>28844.410203711916</v>
      </c>
      <c r="S925" s="6" t="e">
        <f>Pcfu4[[#This Row],[CFU/mL]]*Pcfu4[[#This Row],[mL]]/Pcfu4[[#This Row],[grams]]</f>
        <v>#DIV/0!</v>
      </c>
      <c r="T925" s="1" t="e">
        <f>Pcfu4[[#This Row],[SD CFU/mL]]*Pcfu4[[#This Row],[mL]]/Pcfu4[[#This Row],[grams]]</f>
        <v>#DIV/0!</v>
      </c>
      <c r="U925" s="7" t="e">
        <f>_xlfn.STDEV.S(Pcfu43[[#This Row],[R1]:[R3]])/AVERAGE(Pcfu43[[#This Row],[R1]:[R3]])</f>
        <v>#VALUE!</v>
      </c>
      <c r="V925" s="96"/>
      <c r="W925" s="7"/>
      <c r="X925" t="s">
        <v>802</v>
      </c>
    </row>
    <row r="926" spans="1:24" x14ac:dyDescent="0.15">
      <c r="A926" t="s">
        <v>804</v>
      </c>
      <c r="C926" t="s">
        <v>723</v>
      </c>
      <c r="D926" s="66" t="s">
        <v>312</v>
      </c>
      <c r="E926" s="3">
        <v>3</v>
      </c>
      <c r="F926" t="s">
        <v>801</v>
      </c>
      <c r="H926" s="83"/>
      <c r="I926" s="3" t="s">
        <v>170</v>
      </c>
      <c r="J926" s="59">
        <v>45091</v>
      </c>
      <c r="K926" s="3" t="s">
        <v>206</v>
      </c>
      <c r="L926" s="59" cm="1">
        <f t="array" ref="L926">INDEX($J$4:J2016, MATCH(1,(A926=$A$4:A2014)*(C926=$C$4:C2014)*("Y"=$K$4:K2016),0))</f>
        <v>45091</v>
      </c>
      <c r="M926" s="1">
        <v>100</v>
      </c>
      <c r="N926">
        <v>229</v>
      </c>
      <c r="O926">
        <v>90</v>
      </c>
      <c r="P926">
        <v>74</v>
      </c>
      <c r="Q926" s="6">
        <f>(SUM(Pcfu4[[#This Row],[R1]:[R3]]))/(Pcfu4[[#This Row],[No. Reps]]*0.025)*Pcfu4[[#This Row],[Best DF]]</f>
        <v>523999.99999999988</v>
      </c>
      <c r="R926" s="1">
        <f>_xlfn.STDEV.S(Pcfu4[[#This Row],[R1]:[R3]])/0.025*Pcfu4[[#This Row],[Best DF]]</f>
        <v>340986.803263704</v>
      </c>
      <c r="S926" s="6" t="e">
        <f>Pcfu4[[#This Row],[CFU/mL]]*Pcfu4[[#This Row],[mL]]/Pcfu4[[#This Row],[grams]]</f>
        <v>#DIV/0!</v>
      </c>
      <c r="T926" s="1" t="e">
        <f>Pcfu4[[#This Row],[SD CFU/mL]]*Pcfu4[[#This Row],[mL]]/Pcfu4[[#This Row],[grams]]</f>
        <v>#DIV/0!</v>
      </c>
      <c r="U926" s="7" t="e">
        <f>_xlfn.STDEV.S(Pcfu43[[#This Row],[R1]:[R3]])/AVERAGE(Pcfu43[[#This Row],[R1]:[R3]])</f>
        <v>#VALUE!</v>
      </c>
      <c r="V926" s="96"/>
      <c r="W926" s="7"/>
      <c r="X926" t="s">
        <v>802</v>
      </c>
    </row>
    <row r="927" spans="1:24" x14ac:dyDescent="0.15">
      <c r="A927" t="s">
        <v>805</v>
      </c>
      <c r="C927" t="s">
        <v>723</v>
      </c>
      <c r="D927" s="66" t="s">
        <v>312</v>
      </c>
      <c r="E927" s="3">
        <v>3</v>
      </c>
      <c r="F927" t="s">
        <v>801</v>
      </c>
      <c r="H927" s="83"/>
      <c r="I927" s="3" t="s">
        <v>170</v>
      </c>
      <c r="J927" s="59">
        <v>45091</v>
      </c>
      <c r="K927" s="3" t="s">
        <v>206</v>
      </c>
      <c r="L927" s="59" cm="1">
        <f t="array" ref="L927">INDEX($J$4:J2017, MATCH(1,(A927=$A$4:A2015)*(C927=$C$4:C2015)*("Y"=$K$4:K2017),0))</f>
        <v>45091</v>
      </c>
      <c r="M927" s="1">
        <v>100</v>
      </c>
      <c r="N927">
        <v>140</v>
      </c>
      <c r="O927">
        <v>279</v>
      </c>
      <c r="P927">
        <v>103</v>
      </c>
      <c r="Q927" s="6">
        <f>(SUM(Pcfu4[[#This Row],[R1]:[R3]]))/(Pcfu4[[#This Row],[No. Reps]]*0.025)*Pcfu4[[#This Row],[Best DF]]</f>
        <v>695999.99999999988</v>
      </c>
      <c r="R927" s="1">
        <f>_xlfn.STDEV.S(Pcfu4[[#This Row],[R1]:[R3]])/0.025*Pcfu4[[#This Row],[Best DF]]</f>
        <v>371181.89611024945</v>
      </c>
      <c r="S927" s="6" t="e">
        <f>Pcfu4[[#This Row],[CFU/mL]]*Pcfu4[[#This Row],[mL]]/Pcfu4[[#This Row],[grams]]</f>
        <v>#DIV/0!</v>
      </c>
      <c r="T927" s="1" t="e">
        <f>Pcfu4[[#This Row],[SD CFU/mL]]*Pcfu4[[#This Row],[mL]]/Pcfu4[[#This Row],[grams]]</f>
        <v>#DIV/0!</v>
      </c>
      <c r="U927" s="7" t="e">
        <f>_xlfn.STDEV.S(Pcfu43[[#This Row],[R1]:[R3]])/AVERAGE(Pcfu43[[#This Row],[R1]:[R3]])</f>
        <v>#VALUE!</v>
      </c>
      <c r="V927" s="96"/>
      <c r="W927" s="7"/>
      <c r="X927" t="s">
        <v>802</v>
      </c>
    </row>
    <row r="928" spans="1:24" x14ac:dyDescent="0.15">
      <c r="A928" t="s">
        <v>806</v>
      </c>
      <c r="C928" t="s">
        <v>723</v>
      </c>
      <c r="D928" s="66" t="s">
        <v>312</v>
      </c>
      <c r="E928" s="3">
        <v>3</v>
      </c>
      <c r="F928" t="s">
        <v>801</v>
      </c>
      <c r="H928" s="83"/>
      <c r="I928" s="3" t="s">
        <v>170</v>
      </c>
      <c r="J928" s="59">
        <v>45091</v>
      </c>
      <c r="K928" s="3" t="s">
        <v>206</v>
      </c>
      <c r="L928" s="59" cm="1">
        <f t="array" ref="L928">INDEX($J$4:J2018, MATCH(1,(A928=$A$4:A2016)*(C928=$C$4:C2016)*("Y"=$K$4:K2018),0))</f>
        <v>45091</v>
      </c>
      <c r="M928" s="1">
        <v>100</v>
      </c>
      <c r="N928">
        <v>86</v>
      </c>
      <c r="O928">
        <v>108</v>
      </c>
      <c r="P928">
        <v>134</v>
      </c>
      <c r="Q928" s="6">
        <f>(SUM(Pcfu4[[#This Row],[R1]:[R3]]))/(Pcfu4[[#This Row],[No. Reps]]*0.025)*Pcfu4[[#This Row],[Best DF]]</f>
        <v>437333.33333333331</v>
      </c>
      <c r="R928" s="1">
        <f>_xlfn.STDEV.S(Pcfu4[[#This Row],[R1]:[R3]])/0.025*Pcfu4[[#This Row],[Best DF]]</f>
        <v>96111.046885013769</v>
      </c>
      <c r="S928" s="6" t="e">
        <f>Pcfu4[[#This Row],[CFU/mL]]*Pcfu4[[#This Row],[mL]]/Pcfu4[[#This Row],[grams]]</f>
        <v>#DIV/0!</v>
      </c>
      <c r="T928" s="1" t="e">
        <f>Pcfu4[[#This Row],[SD CFU/mL]]*Pcfu4[[#This Row],[mL]]/Pcfu4[[#This Row],[grams]]</f>
        <v>#DIV/0!</v>
      </c>
      <c r="U928" s="7" t="e">
        <f>_xlfn.STDEV.S(Pcfu43[[#This Row],[R1]:[R3]])/AVERAGE(Pcfu43[[#This Row],[R1]:[R3]])</f>
        <v>#VALUE!</v>
      </c>
      <c r="V928" s="96"/>
      <c r="W928" s="7"/>
      <c r="X928" t="s">
        <v>802</v>
      </c>
    </row>
    <row r="929" spans="1:28" x14ac:dyDescent="0.15">
      <c r="A929" t="s">
        <v>807</v>
      </c>
      <c r="C929" t="s">
        <v>723</v>
      </c>
      <c r="D929" s="66" t="s">
        <v>312</v>
      </c>
      <c r="E929" s="3">
        <v>3</v>
      </c>
      <c r="F929" t="s">
        <v>801</v>
      </c>
      <c r="H929" s="83"/>
      <c r="I929" s="3" t="s">
        <v>170</v>
      </c>
      <c r="J929" s="59">
        <v>45091</v>
      </c>
      <c r="K929" s="3" t="s">
        <v>206</v>
      </c>
      <c r="L929" s="59" cm="1">
        <f t="array" ref="L929">INDEX($J$4:J2019, MATCH(1,(A929=$A$4:A2017)*(C929=$C$4:C2017)*("Y"=$K$4:K2019),0))</f>
        <v>45091</v>
      </c>
      <c r="M929" s="1">
        <v>100</v>
      </c>
      <c r="N929">
        <v>160</v>
      </c>
      <c r="O929">
        <v>84</v>
      </c>
      <c r="P929">
        <v>282</v>
      </c>
      <c r="Q929" s="6">
        <f>(SUM(Pcfu4[[#This Row],[R1]:[R3]]))/(Pcfu4[[#This Row],[No. Reps]]*0.025)*Pcfu4[[#This Row],[Best DF]]</f>
        <v>701333.33333333326</v>
      </c>
      <c r="R929" s="1">
        <f>_xlfn.STDEV.S(Pcfu4[[#This Row],[R1]:[R3]])/0.025*Pcfu4[[#This Row],[Best DF]]</f>
        <v>399546.40948622394</v>
      </c>
      <c r="S929" s="6" t="e">
        <f>Pcfu4[[#This Row],[CFU/mL]]*Pcfu4[[#This Row],[mL]]/Pcfu4[[#This Row],[grams]]</f>
        <v>#DIV/0!</v>
      </c>
      <c r="T929" s="1" t="e">
        <f>Pcfu4[[#This Row],[SD CFU/mL]]*Pcfu4[[#This Row],[mL]]/Pcfu4[[#This Row],[grams]]</f>
        <v>#DIV/0!</v>
      </c>
      <c r="U929" s="7" t="e">
        <f>_xlfn.STDEV.S(Pcfu43[[#This Row],[R1]:[R3]])/AVERAGE(Pcfu43[[#This Row],[R1]:[R3]])</f>
        <v>#VALUE!</v>
      </c>
      <c r="V929" s="96"/>
      <c r="W929" s="7"/>
      <c r="X929" t="s">
        <v>802</v>
      </c>
    </row>
    <row r="930" spans="1:28" x14ac:dyDescent="0.15">
      <c r="A930" t="s">
        <v>808</v>
      </c>
      <c r="C930" t="s">
        <v>723</v>
      </c>
      <c r="D930" s="66" t="s">
        <v>243</v>
      </c>
      <c r="E930" s="3">
        <v>3</v>
      </c>
      <c r="F930" t="s">
        <v>786</v>
      </c>
      <c r="H930" s="83"/>
      <c r="I930" s="3" t="s">
        <v>170</v>
      </c>
      <c r="J930" s="59">
        <v>45092</v>
      </c>
      <c r="K930" s="3" t="s">
        <v>679</v>
      </c>
      <c r="L930" s="59" cm="1">
        <f t="array" ref="L930">INDEX($J$4:J2020, MATCH(1,(A930=$A$4:A2018)*(C930=$C$4:C2018)*("Y"=$K$4:K2020),0))</f>
        <v>45084</v>
      </c>
      <c r="M930" s="1">
        <v>100</v>
      </c>
      <c r="N930">
        <v>59</v>
      </c>
      <c r="O930">
        <v>85</v>
      </c>
      <c r="P930">
        <v>82</v>
      </c>
      <c r="Q930" s="6">
        <f>(SUM(Pcfu4[[#This Row],[R1]:[R3]]))/(Pcfu4[[#This Row],[No. Reps]]*0.025)*Pcfu4[[#This Row],[Best DF]]</f>
        <v>301333.33333333331</v>
      </c>
      <c r="R930" s="1">
        <f>_xlfn.STDEV.S(Pcfu4[[#This Row],[R1]:[R3]])/0.025*Pcfu4[[#This Row],[Best DF]]</f>
        <v>56897.56878227173</v>
      </c>
      <c r="S930" s="6" t="e">
        <f>Pcfu4[[#This Row],[CFU/mL]]*Pcfu4[[#This Row],[mL]]/Pcfu4[[#This Row],[grams]]</f>
        <v>#DIV/0!</v>
      </c>
      <c r="T930" s="1" t="e">
        <f>Pcfu4[[#This Row],[SD CFU/mL]]*Pcfu4[[#This Row],[mL]]/Pcfu4[[#This Row],[grams]]</f>
        <v>#DIV/0!</v>
      </c>
      <c r="U930" s="7" t="e">
        <f>_xlfn.STDEV.S(Pcfu43[[#This Row],[R1]:[R3]])/AVERAGE(Pcfu43[[#This Row],[R1]:[R3]])</f>
        <v>#VALUE!</v>
      </c>
      <c r="V930" s="96"/>
      <c r="W930" s="7"/>
    </row>
    <row r="931" spans="1:28" x14ac:dyDescent="0.15">
      <c r="A931" t="s">
        <v>809</v>
      </c>
      <c r="C931" t="s">
        <v>723</v>
      </c>
      <c r="D931" s="66" t="s">
        <v>243</v>
      </c>
      <c r="E931" s="3">
        <v>3</v>
      </c>
      <c r="F931" t="s">
        <v>786</v>
      </c>
      <c r="H931" s="83"/>
      <c r="I931" s="3" t="s">
        <v>170</v>
      </c>
      <c r="J931" s="59">
        <v>45092</v>
      </c>
      <c r="K931" s="3" t="s">
        <v>679</v>
      </c>
      <c r="L931" s="59" cm="1">
        <f t="array" ref="L931">INDEX($J$4:J2021, MATCH(1,(A931=$A$4:A2019)*(C931=$C$4:C2019)*("Y"=$K$4:K2021),0))</f>
        <v>45084</v>
      </c>
      <c r="M931" s="1">
        <v>100</v>
      </c>
      <c r="N931">
        <v>73</v>
      </c>
      <c r="O931">
        <v>55</v>
      </c>
      <c r="P931">
        <v>115</v>
      </c>
      <c r="Q931" s="6">
        <f>(SUM(Pcfu4[[#This Row],[R1]:[R3]]))/(Pcfu4[[#This Row],[No. Reps]]*0.025)*Pcfu4[[#This Row],[Best DF]]</f>
        <v>323999.99999999994</v>
      </c>
      <c r="R931" s="1">
        <f>_xlfn.STDEV.S(Pcfu4[[#This Row],[R1]:[R3]])/0.025*Pcfu4[[#This Row],[Best DF]]</f>
        <v>123158.43454672521</v>
      </c>
      <c r="S931" s="6" t="e">
        <f>Pcfu4[[#This Row],[CFU/mL]]*Pcfu4[[#This Row],[mL]]/Pcfu4[[#This Row],[grams]]</f>
        <v>#DIV/0!</v>
      </c>
      <c r="T931" s="1" t="e">
        <f>Pcfu4[[#This Row],[SD CFU/mL]]*Pcfu4[[#This Row],[mL]]/Pcfu4[[#This Row],[grams]]</f>
        <v>#DIV/0!</v>
      </c>
      <c r="U931" s="7" t="e">
        <f>_xlfn.STDEV.S(Pcfu43[[#This Row],[R1]:[R3]])/AVERAGE(Pcfu43[[#This Row],[R1]:[R3]])</f>
        <v>#VALUE!</v>
      </c>
      <c r="V931" s="96"/>
      <c r="W931" s="7"/>
    </row>
    <row r="932" spans="1:28" x14ac:dyDescent="0.15">
      <c r="A932" t="s">
        <v>810</v>
      </c>
      <c r="C932" t="s">
        <v>723</v>
      </c>
      <c r="D932" s="66" t="s">
        <v>243</v>
      </c>
      <c r="E932" s="3">
        <v>3</v>
      </c>
      <c r="F932" t="s">
        <v>786</v>
      </c>
      <c r="H932" s="83"/>
      <c r="I932" s="3" t="s">
        <v>170</v>
      </c>
      <c r="J932" s="59">
        <v>45092</v>
      </c>
      <c r="K932" s="3" t="s">
        <v>679</v>
      </c>
      <c r="L932" s="59" cm="1">
        <f t="array" ref="L932">INDEX($J$4:J2022, MATCH(1,(A932=$A$4:A2020)*(C932=$C$4:C2020)*("Y"=$K$4:K2022),0))</f>
        <v>45084</v>
      </c>
      <c r="M932" s="1">
        <v>100</v>
      </c>
      <c r="N932">
        <v>68</v>
      </c>
      <c r="O932">
        <v>74</v>
      </c>
      <c r="P932">
        <v>77</v>
      </c>
      <c r="Q932" s="6">
        <f>(SUM(Pcfu4[[#This Row],[R1]:[R3]]))/(Pcfu4[[#This Row],[No. Reps]]*0.025)*Pcfu4[[#This Row],[Best DF]]</f>
        <v>291999.99999999994</v>
      </c>
      <c r="R932" s="1">
        <f>_xlfn.STDEV.S(Pcfu4[[#This Row],[R1]:[R3]])/0.025*Pcfu4[[#This Row],[Best DF]]</f>
        <v>18330.30277982336</v>
      </c>
      <c r="S932" s="6" t="e">
        <f>Pcfu4[[#This Row],[CFU/mL]]*Pcfu4[[#This Row],[mL]]/Pcfu4[[#This Row],[grams]]</f>
        <v>#DIV/0!</v>
      </c>
      <c r="T932" s="1" t="e">
        <f>Pcfu4[[#This Row],[SD CFU/mL]]*Pcfu4[[#This Row],[mL]]/Pcfu4[[#This Row],[grams]]</f>
        <v>#DIV/0!</v>
      </c>
      <c r="U932" s="7" t="e">
        <f>_xlfn.STDEV.S(Pcfu43[[#This Row],[R1]:[R3]])/AVERAGE(Pcfu43[[#This Row],[R1]:[R3]])</f>
        <v>#VALUE!</v>
      </c>
      <c r="V932" s="96"/>
      <c r="W932" s="7"/>
    </row>
    <row r="933" spans="1:28" x14ac:dyDescent="0.15">
      <c r="A933" t="s">
        <v>811</v>
      </c>
      <c r="C933" t="s">
        <v>723</v>
      </c>
      <c r="D933" s="66" t="s">
        <v>243</v>
      </c>
      <c r="E933" s="3">
        <v>3</v>
      </c>
      <c r="F933" t="s">
        <v>786</v>
      </c>
      <c r="H933" s="83"/>
      <c r="I933" s="3" t="s">
        <v>170</v>
      </c>
      <c r="J933" s="59">
        <v>45092</v>
      </c>
      <c r="K933" s="3" t="s">
        <v>679</v>
      </c>
      <c r="L933" s="59" cm="1">
        <f t="array" ref="L933">INDEX($J$4:J2023, MATCH(1,(A933=$A$4:A2021)*(C933=$C$4:C2021)*("Y"=$K$4:K2023),0))</f>
        <v>45084</v>
      </c>
      <c r="M933" s="1">
        <v>100</v>
      </c>
      <c r="N933">
        <v>30</v>
      </c>
      <c r="O933">
        <v>46</v>
      </c>
      <c r="P933">
        <v>70</v>
      </c>
      <c r="Q933" s="6">
        <f>(SUM(Pcfu4[[#This Row],[R1]:[R3]]))/(Pcfu4[[#This Row],[No. Reps]]*0.025)*Pcfu4[[#This Row],[Best DF]]</f>
        <v>194666.66666666663</v>
      </c>
      <c r="R933" s="1">
        <f>_xlfn.STDEV.S(Pcfu4[[#This Row],[R1]:[R3]])/0.025*Pcfu4[[#This Row],[Best DF]]</f>
        <v>80531.567309554666</v>
      </c>
      <c r="S933" s="6" t="e">
        <f>Pcfu4[[#This Row],[CFU/mL]]*Pcfu4[[#This Row],[mL]]/Pcfu4[[#This Row],[grams]]</f>
        <v>#DIV/0!</v>
      </c>
      <c r="T933" s="1" t="e">
        <f>Pcfu4[[#This Row],[SD CFU/mL]]*Pcfu4[[#This Row],[mL]]/Pcfu4[[#This Row],[grams]]</f>
        <v>#DIV/0!</v>
      </c>
      <c r="U933" s="7" t="e">
        <f>_xlfn.STDEV.S(Pcfu43[[#This Row],[R1]:[R3]])/AVERAGE(Pcfu43[[#This Row],[R1]:[R3]])</f>
        <v>#VALUE!</v>
      </c>
      <c r="V933" s="96"/>
      <c r="W933" s="7"/>
    </row>
    <row r="934" spans="1:28" s="85" customFormat="1" x14ac:dyDescent="0.15">
      <c r="A934" s="85" t="s">
        <v>812</v>
      </c>
      <c r="B934" s="85" t="s">
        <v>769</v>
      </c>
      <c r="D934" s="86" t="s">
        <v>86</v>
      </c>
      <c r="E934" s="87">
        <v>3</v>
      </c>
      <c r="G934" s="85">
        <v>0.3</v>
      </c>
      <c r="H934" s="88">
        <f>19*Pcfu4[[#This Row],[grams]]</f>
        <v>5.7</v>
      </c>
      <c r="I934" s="87" t="s">
        <v>170</v>
      </c>
      <c r="J934" s="89">
        <v>45092</v>
      </c>
      <c r="K934" s="87"/>
      <c r="L934" s="59" t="e" cm="1">
        <f t="array" ref="L934">INDEX($J$4:J2024, MATCH(1,(A934=$A$4:A2022)*(C934=$C$4:C2022)*("Y"=$K$4:K2024),0))</f>
        <v>#N/A</v>
      </c>
      <c r="M934" s="90">
        <v>10000000</v>
      </c>
      <c r="N934" s="85">
        <v>82</v>
      </c>
      <c r="O934" s="85">
        <v>107</v>
      </c>
      <c r="P934" s="85">
        <v>78</v>
      </c>
      <c r="Q934" s="91">
        <f>(SUM(Pcfu4[[#This Row],[R1]:[R3]]))/(Pcfu4[[#This Row],[No. Reps]]*0.025)*Pcfu4[[#This Row],[Best DF]]</f>
        <v>35599999999.999992</v>
      </c>
      <c r="R934" s="90">
        <f>_xlfn.STDEV.S(Pcfu4[[#This Row],[R1]:[R3]])/0.025*Pcfu4[[#This Row],[Best DF]]</f>
        <v>6286493458.2006845</v>
      </c>
      <c r="S934" s="91">
        <f>Pcfu4[[#This Row],[CFU/mL]]*Pcfu4[[#This Row],[mL]]/Pcfu4[[#This Row],[grams]]</f>
        <v>676399999999.99988</v>
      </c>
      <c r="T934" s="90">
        <f>Pcfu4[[#This Row],[SD CFU/mL]]*Pcfu4[[#This Row],[mL]]/Pcfu4[[#This Row],[grams]]</f>
        <v>119443375705.81302</v>
      </c>
      <c r="U934" s="92" t="e">
        <f>_xlfn.STDEV.S(Pcfu43[[#This Row],[R1]:[R3]])/AVERAGE(Pcfu43[[#This Row],[R1]:[R3]])</f>
        <v>#VALUE!</v>
      </c>
      <c r="V934" s="97"/>
      <c r="W934" s="92"/>
      <c r="AA934"/>
      <c r="AB934" s="98"/>
    </row>
    <row r="935" spans="1:28" x14ac:dyDescent="0.15">
      <c r="A935" t="s">
        <v>813</v>
      </c>
      <c r="B935" t="s">
        <v>769</v>
      </c>
      <c r="D935" s="66" t="s">
        <v>86</v>
      </c>
      <c r="E935" s="3">
        <v>3</v>
      </c>
      <c r="G935">
        <v>0.3</v>
      </c>
      <c r="H935" s="83">
        <f>19*Pcfu4[[#This Row],[grams]]</f>
        <v>5.7</v>
      </c>
      <c r="I935" s="3" t="s">
        <v>170</v>
      </c>
      <c r="J935" s="59">
        <v>45092</v>
      </c>
      <c r="L935" s="59" t="e" cm="1">
        <f t="array" ref="L935">INDEX($J$4:J2025, MATCH(1,(A935=$A$4:A2023)*(C935=$C$4:C2023)*("Y"=$K$4:K2025),0))</f>
        <v>#N/A</v>
      </c>
      <c r="M935" s="1">
        <v>10000000</v>
      </c>
      <c r="N935">
        <v>30</v>
      </c>
      <c r="O935">
        <v>37</v>
      </c>
      <c r="P935">
        <v>31</v>
      </c>
      <c r="Q935" s="6">
        <f>(SUM(Pcfu4[[#This Row],[R1]:[R3]]))/(Pcfu4[[#This Row],[No. Reps]]*0.025)*Pcfu4[[#This Row],[Best DF]]</f>
        <v>13066666666.666666</v>
      </c>
      <c r="R935" s="1">
        <f>_xlfn.STDEV.S(Pcfu4[[#This Row],[R1]:[R3]])/0.025*Pcfu4[[#This Row],[Best DF]]</f>
        <v>1514375558.8800731</v>
      </c>
      <c r="S935" s="6">
        <f>Pcfu4[[#This Row],[CFU/mL]]*Pcfu4[[#This Row],[mL]]/Pcfu4[[#This Row],[grams]]</f>
        <v>248266666666.66669</v>
      </c>
      <c r="T935" s="1">
        <f>Pcfu4[[#This Row],[SD CFU/mL]]*Pcfu4[[#This Row],[mL]]/Pcfu4[[#This Row],[grams]]</f>
        <v>28773135618.72139</v>
      </c>
      <c r="U935" s="7" t="e">
        <f>_xlfn.STDEV.S(Pcfu43[[#This Row],[R1]:[R3]])/AVERAGE(Pcfu43[[#This Row],[R1]:[R3]])</f>
        <v>#VALUE!</v>
      </c>
      <c r="V935" s="96"/>
      <c r="W935" s="7"/>
    </row>
    <row r="936" spans="1:28" x14ac:dyDescent="0.15">
      <c r="A936" t="s">
        <v>814</v>
      </c>
      <c r="B936" t="s">
        <v>769</v>
      </c>
      <c r="D936" s="66" t="s">
        <v>86</v>
      </c>
      <c r="E936" s="3">
        <v>3</v>
      </c>
      <c r="G936">
        <v>0.3</v>
      </c>
      <c r="H936" s="83">
        <f>19*Pcfu4[[#This Row],[grams]]</f>
        <v>5.7</v>
      </c>
      <c r="I936" s="3" t="s">
        <v>170</v>
      </c>
      <c r="J936" s="59">
        <v>45092</v>
      </c>
      <c r="L936" s="59" t="e" cm="1">
        <f t="array" ref="L936">INDEX($J$4:J2026, MATCH(1,(A936=$A$4:A2024)*(C936=$C$4:C2024)*("Y"=$K$4:K2026),0))</f>
        <v>#N/A</v>
      </c>
      <c r="M936" s="1">
        <v>10000000</v>
      </c>
      <c r="N936">
        <v>64</v>
      </c>
      <c r="O936">
        <v>67</v>
      </c>
      <c r="P936">
        <v>72</v>
      </c>
      <c r="Q936" s="6">
        <f>(SUM(Pcfu4[[#This Row],[R1]:[R3]]))/(Pcfu4[[#This Row],[No. Reps]]*0.025)*Pcfu4[[#This Row],[Best DF]]</f>
        <v>27066666666.66666</v>
      </c>
      <c r="R936" s="1">
        <f>_xlfn.STDEV.S(Pcfu4[[#This Row],[R1]:[R3]])/0.025*Pcfu4[[#This Row],[Best DF]]</f>
        <v>1616580753.7309523</v>
      </c>
      <c r="S936" s="6">
        <f>Pcfu4[[#This Row],[CFU/mL]]*Pcfu4[[#This Row],[mL]]/Pcfu4[[#This Row],[grams]]</f>
        <v>514266666666.66656</v>
      </c>
      <c r="T936" s="1">
        <f>Pcfu4[[#This Row],[SD CFU/mL]]*Pcfu4[[#This Row],[mL]]/Pcfu4[[#This Row],[grams]]</f>
        <v>30715034320.888096</v>
      </c>
      <c r="U936" s="7" t="e">
        <f>_xlfn.STDEV.S(Pcfu43[[#This Row],[R1]:[R3]])/AVERAGE(Pcfu43[[#This Row],[R1]:[R3]])</f>
        <v>#VALUE!</v>
      </c>
      <c r="V936" s="96"/>
      <c r="W936" s="7"/>
    </row>
    <row r="937" spans="1:28" x14ac:dyDescent="0.15">
      <c r="A937" t="s">
        <v>815</v>
      </c>
      <c r="B937" t="s">
        <v>769</v>
      </c>
      <c r="D937" s="66" t="s">
        <v>86</v>
      </c>
      <c r="E937" s="3">
        <v>3</v>
      </c>
      <c r="G937">
        <v>0.3</v>
      </c>
      <c r="H937" s="83">
        <f>19*Pcfu4[[#This Row],[grams]]</f>
        <v>5.7</v>
      </c>
      <c r="I937" s="3" t="s">
        <v>170</v>
      </c>
      <c r="J937" s="59">
        <v>45092</v>
      </c>
      <c r="L937" s="59" t="e" cm="1">
        <f t="array" ref="L937">INDEX($J$4:J2027, MATCH(1,(A937=$A$4:A2025)*(C937=$C$4:C2025)*("Y"=$K$4:K2027),0))</f>
        <v>#N/A</v>
      </c>
      <c r="M937" s="1">
        <v>10000000</v>
      </c>
      <c r="N937">
        <v>28</v>
      </c>
      <c r="O937">
        <v>44</v>
      </c>
      <c r="P937">
        <v>30</v>
      </c>
      <c r="Q937" s="6">
        <f>(SUM(Pcfu4[[#This Row],[R1]:[R3]]))/(Pcfu4[[#This Row],[No. Reps]]*0.025)*Pcfu4[[#This Row],[Best DF]]</f>
        <v>13599999999.999998</v>
      </c>
      <c r="R937" s="1">
        <f>_xlfn.STDEV.S(Pcfu4[[#This Row],[R1]:[R3]])/0.025*Pcfu4[[#This Row],[Best DF]]</f>
        <v>3487119154.8325391</v>
      </c>
      <c r="S937" s="6">
        <f>Pcfu4[[#This Row],[CFU/mL]]*Pcfu4[[#This Row],[mL]]/Pcfu4[[#This Row],[grams]]</f>
        <v>258399999999.99997</v>
      </c>
      <c r="T937" s="1">
        <f>Pcfu4[[#This Row],[SD CFU/mL]]*Pcfu4[[#This Row],[mL]]/Pcfu4[[#This Row],[grams]]</f>
        <v>66255263941.818253</v>
      </c>
      <c r="U937" s="7" t="e">
        <f>_xlfn.STDEV.S(Pcfu43[[#This Row],[R1]:[R3]])/AVERAGE(Pcfu43[[#This Row],[R1]:[R3]])</f>
        <v>#VALUE!</v>
      </c>
      <c r="V937" s="96"/>
      <c r="W937" s="7"/>
    </row>
    <row r="938" spans="1:28" x14ac:dyDescent="0.15">
      <c r="A938" t="s">
        <v>808</v>
      </c>
      <c r="C938" t="s">
        <v>723</v>
      </c>
      <c r="D938" t="s">
        <v>312</v>
      </c>
      <c r="E938" s="3">
        <v>3</v>
      </c>
      <c r="F938" t="s">
        <v>786</v>
      </c>
      <c r="H938" s="5"/>
      <c r="I938" s="3" t="s">
        <v>170</v>
      </c>
      <c r="J938" s="59">
        <v>45084</v>
      </c>
      <c r="K938" s="3" t="s">
        <v>206</v>
      </c>
      <c r="L938" s="59" cm="1">
        <f t="array" ref="L938">INDEX($J$4:J2028, MATCH(1,(A938=$A$4:A2026)*(C938=$C$4:C2026)*("Y"=$K$4:K2028),0))</f>
        <v>45084</v>
      </c>
      <c r="M938" s="1">
        <v>100</v>
      </c>
      <c r="N938">
        <v>47</v>
      </c>
      <c r="O938">
        <v>52</v>
      </c>
      <c r="P938">
        <v>55</v>
      </c>
      <c r="Q938" s="6">
        <f>(SUM(Pcfu4[[#This Row],[R1]:[R3]]))/(Pcfu4[[#This Row],[No. Reps]]*0.025)*Pcfu4[[#This Row],[Best DF]]</f>
        <v>205333.33333333331</v>
      </c>
      <c r="R938" s="1">
        <f>_xlfn.STDEV.S(Pcfu4[[#This Row],[R1]:[R3]])/0.025*Pcfu4[[#This Row],[Best DF]]</f>
        <v>16165.807537309522</v>
      </c>
      <c r="S938" s="6" t="e">
        <f>Pcfu4[[#This Row],[CFU/mL]]*Pcfu4[[#This Row],[mL]]/Pcfu4[[#This Row],[grams]]</f>
        <v>#DIV/0!</v>
      </c>
      <c r="T938" s="1" t="e">
        <f>Pcfu4[[#This Row],[SD CFU/mL]]*Pcfu4[[#This Row],[mL]]/Pcfu4[[#This Row],[grams]]</f>
        <v>#DIV/0!</v>
      </c>
      <c r="U938" s="7" t="e">
        <f>_xlfn.STDEV.S(Pcfu43[[#This Row],[R1]:[R3]])/AVERAGE(Pcfu43[[#This Row],[R1]:[R3]])</f>
        <v>#VALUE!</v>
      </c>
      <c r="V938" s="96"/>
      <c r="W938" s="7"/>
    </row>
    <row r="939" spans="1:28" x14ac:dyDescent="0.15">
      <c r="A939" t="s">
        <v>809</v>
      </c>
      <c r="C939" t="s">
        <v>723</v>
      </c>
      <c r="D939" t="s">
        <v>312</v>
      </c>
      <c r="E939" s="3">
        <v>3</v>
      </c>
      <c r="F939" t="s">
        <v>786</v>
      </c>
      <c r="H939" s="5"/>
      <c r="I939" s="3" t="s">
        <v>170</v>
      </c>
      <c r="J939" s="59">
        <v>45084</v>
      </c>
      <c r="K939" s="3" t="s">
        <v>206</v>
      </c>
      <c r="L939" s="59" cm="1">
        <f t="array" ref="L939">INDEX($J$4:J2029, MATCH(1,(A939=$A$4:A2027)*(C939=$C$4:C2027)*("Y"=$K$4:K2029),0))</f>
        <v>45084</v>
      </c>
      <c r="M939" s="1">
        <v>100</v>
      </c>
      <c r="N939">
        <v>48</v>
      </c>
      <c r="O939">
        <v>28</v>
      </c>
      <c r="P939">
        <v>44</v>
      </c>
      <c r="Q939" s="6">
        <f>(SUM(Pcfu4[[#This Row],[R1]:[R3]]))/(Pcfu4[[#This Row],[No. Reps]]*0.025)*Pcfu4[[#This Row],[Best DF]]</f>
        <v>159999.99999999997</v>
      </c>
      <c r="R939" s="1">
        <f>_xlfn.STDEV.S(Pcfu4[[#This Row],[R1]:[R3]])/0.025*Pcfu4[[#This Row],[Best DF]]</f>
        <v>42332.020977033448</v>
      </c>
      <c r="S939" s="6" t="e">
        <f>Pcfu4[[#This Row],[CFU/mL]]*Pcfu4[[#This Row],[mL]]/Pcfu4[[#This Row],[grams]]</f>
        <v>#DIV/0!</v>
      </c>
      <c r="T939" s="1" t="e">
        <f>Pcfu4[[#This Row],[SD CFU/mL]]*Pcfu4[[#This Row],[mL]]/Pcfu4[[#This Row],[grams]]</f>
        <v>#DIV/0!</v>
      </c>
      <c r="U939" s="7" t="e">
        <f>_xlfn.STDEV.S(Pcfu43[[#This Row],[R1]:[R3]])/AVERAGE(Pcfu43[[#This Row],[R1]:[R3]])</f>
        <v>#VALUE!</v>
      </c>
      <c r="V939" s="96"/>
      <c r="W939" s="7"/>
    </row>
    <row r="940" spans="1:28" x14ac:dyDescent="0.15">
      <c r="A940" t="s">
        <v>810</v>
      </c>
      <c r="C940" t="s">
        <v>723</v>
      </c>
      <c r="D940" t="s">
        <v>312</v>
      </c>
      <c r="E940" s="3">
        <v>3</v>
      </c>
      <c r="F940" t="s">
        <v>786</v>
      </c>
      <c r="H940" s="5"/>
      <c r="I940" s="3" t="s">
        <v>170</v>
      </c>
      <c r="J940" s="59">
        <v>45084</v>
      </c>
      <c r="K940" s="3" t="s">
        <v>206</v>
      </c>
      <c r="L940" s="59" cm="1">
        <f t="array" ref="L940">INDEX($J$4:J2030, MATCH(1,(A940=$A$4:A2028)*(C940=$C$4:C2028)*("Y"=$K$4:K2030),0))</f>
        <v>45084</v>
      </c>
      <c r="M940" s="1">
        <v>100</v>
      </c>
      <c r="N940">
        <v>44</v>
      </c>
      <c r="O940">
        <v>40</v>
      </c>
      <c r="P940">
        <v>41</v>
      </c>
      <c r="Q940" s="6">
        <f>(SUM(Pcfu4[[#This Row],[R1]:[R3]]))/(Pcfu4[[#This Row],[No. Reps]]*0.025)*Pcfu4[[#This Row],[Best DF]]</f>
        <v>166666.66666666666</v>
      </c>
      <c r="R940" s="1">
        <f>_xlfn.STDEV.S(Pcfu4[[#This Row],[R1]:[R3]])/0.025*Pcfu4[[#This Row],[Best DF]]</f>
        <v>8326.6639978645308</v>
      </c>
      <c r="S940" s="6" t="e">
        <f>Pcfu4[[#This Row],[CFU/mL]]*Pcfu4[[#This Row],[mL]]/Pcfu4[[#This Row],[grams]]</f>
        <v>#DIV/0!</v>
      </c>
      <c r="T940" s="1" t="e">
        <f>Pcfu4[[#This Row],[SD CFU/mL]]*Pcfu4[[#This Row],[mL]]/Pcfu4[[#This Row],[grams]]</f>
        <v>#DIV/0!</v>
      </c>
      <c r="U940" s="7" t="e">
        <f>_xlfn.STDEV.S(Pcfu43[[#This Row],[R1]:[R3]])/AVERAGE(Pcfu43[[#This Row],[R1]:[R3]])</f>
        <v>#VALUE!</v>
      </c>
      <c r="V940" s="96"/>
      <c r="W940" s="7"/>
    </row>
    <row r="941" spans="1:28" x14ac:dyDescent="0.15">
      <c r="A941" t="s">
        <v>811</v>
      </c>
      <c r="C941" t="s">
        <v>723</v>
      </c>
      <c r="D941" t="s">
        <v>312</v>
      </c>
      <c r="E941" s="3">
        <v>3</v>
      </c>
      <c r="F941" t="s">
        <v>786</v>
      </c>
      <c r="H941" s="5"/>
      <c r="I941" s="3" t="s">
        <v>170</v>
      </c>
      <c r="J941" s="59">
        <v>45084</v>
      </c>
      <c r="K941" s="3" t="s">
        <v>206</v>
      </c>
      <c r="L941" s="59" cm="1">
        <f t="array" ref="L941">INDEX($J$4:J2031, MATCH(1,(A941=$A$4:A2029)*(C941=$C$4:C2029)*("Y"=$K$4:K2031),0))</f>
        <v>45084</v>
      </c>
      <c r="M941" s="1">
        <v>100</v>
      </c>
      <c r="N941">
        <v>40</v>
      </c>
      <c r="O941">
        <v>33</v>
      </c>
      <c r="P941">
        <v>33</v>
      </c>
      <c r="Q941" s="6">
        <f>(SUM(Pcfu4[[#This Row],[R1]:[R3]]))/(Pcfu4[[#This Row],[No. Reps]]*0.025)*Pcfu4[[#This Row],[Best DF]]</f>
        <v>141333.33333333331</v>
      </c>
      <c r="R941" s="1">
        <f>_xlfn.STDEV.S(Pcfu4[[#This Row],[R1]:[R3]])/0.025*Pcfu4[[#This Row],[Best DF]]</f>
        <v>16165.807537309522</v>
      </c>
      <c r="S941" s="6" t="e">
        <f>Pcfu4[[#This Row],[CFU/mL]]*Pcfu4[[#This Row],[mL]]/Pcfu4[[#This Row],[grams]]</f>
        <v>#DIV/0!</v>
      </c>
      <c r="T941" s="1" t="e">
        <f>Pcfu4[[#This Row],[SD CFU/mL]]*Pcfu4[[#This Row],[mL]]/Pcfu4[[#This Row],[grams]]</f>
        <v>#DIV/0!</v>
      </c>
      <c r="U941" s="7" t="e">
        <f>_xlfn.STDEV.S(Pcfu43[[#This Row],[R1]:[R3]])/AVERAGE(Pcfu43[[#This Row],[R1]:[R3]])</f>
        <v>#VALUE!</v>
      </c>
      <c r="V941" s="96"/>
      <c r="W941" s="7"/>
    </row>
    <row r="942" spans="1:28" x14ac:dyDescent="0.15">
      <c r="A942" t="s">
        <v>816</v>
      </c>
      <c r="B942" t="s">
        <v>769</v>
      </c>
      <c r="D942" s="66" t="s">
        <v>86</v>
      </c>
      <c r="E942" s="3">
        <v>3</v>
      </c>
      <c r="G942">
        <v>0.3</v>
      </c>
      <c r="H942" s="83">
        <f>19*Pcfu4[[#This Row],[grams]]</f>
        <v>5.7</v>
      </c>
      <c r="I942" s="3" t="s">
        <v>170</v>
      </c>
      <c r="J942" s="59">
        <v>45097</v>
      </c>
      <c r="L942" s="59" t="e" cm="1">
        <f t="array" ref="L942">INDEX($J$4:J2032, MATCH(1,(A942=$A$4:A2030)*(C942=$C$4:C2030)*("Y"=$K$4:K2032),0))</f>
        <v>#N/A</v>
      </c>
      <c r="M942" s="1">
        <v>10000000</v>
      </c>
      <c r="N942">
        <v>86</v>
      </c>
      <c r="O942">
        <v>77</v>
      </c>
      <c r="P942" s="4">
        <v>90</v>
      </c>
      <c r="Q942" s="6">
        <f>(SUM(Pcfu4[[#This Row],[R1]:[R3]]))/(Pcfu4[[#This Row],[No. Reps]]*0.025)*Pcfu4[[#This Row],[Best DF]]</f>
        <v>33733333333.333332</v>
      </c>
      <c r="R942" s="1">
        <f>_xlfn.STDEV.S(Pcfu4[[#This Row],[R1]:[R3]])/0.025*Pcfu4[[#This Row],[Best DF]]</f>
        <v>2663331247.3917565</v>
      </c>
      <c r="S942" s="6">
        <f>Pcfu4[[#This Row],[CFU/mL]]*Pcfu4[[#This Row],[mL]]/Pcfu4[[#This Row],[grams]]</f>
        <v>640933333333.33337</v>
      </c>
      <c r="T942" s="1">
        <f>Pcfu4[[#This Row],[SD CFU/mL]]*Pcfu4[[#This Row],[mL]]/Pcfu4[[#This Row],[grams]]</f>
        <v>50603293700.443375</v>
      </c>
      <c r="U942" s="7" t="e">
        <f>_xlfn.STDEV.S(Pcfu43[[#This Row],[R1]:[R3]])/AVERAGE(Pcfu43[[#This Row],[R1]:[R3]])</f>
        <v>#VALUE!</v>
      </c>
      <c r="V942" s="96"/>
      <c r="W942" s="7"/>
    </row>
    <row r="943" spans="1:28" x14ac:dyDescent="0.15">
      <c r="A943" t="s">
        <v>817</v>
      </c>
      <c r="B943" t="s">
        <v>769</v>
      </c>
      <c r="D943" s="66" t="s">
        <v>86</v>
      </c>
      <c r="E943" s="3">
        <v>3</v>
      </c>
      <c r="G943">
        <v>0.3</v>
      </c>
      <c r="H943" s="83">
        <f>19*Pcfu4[[#This Row],[grams]]</f>
        <v>5.7</v>
      </c>
      <c r="I943" s="3" t="s">
        <v>170</v>
      </c>
      <c r="J943" s="59">
        <v>45097</v>
      </c>
      <c r="L943" s="59" t="e" cm="1">
        <f t="array" ref="L943">INDEX($J$4:J2033, MATCH(1,(A943=$A$4:A2031)*(C943=$C$4:C2031)*("Y"=$K$4:K2033),0))</f>
        <v>#N/A</v>
      </c>
      <c r="M943" s="1">
        <v>10000000</v>
      </c>
      <c r="N943">
        <v>28</v>
      </c>
      <c r="O943">
        <v>29</v>
      </c>
      <c r="P943" s="4">
        <v>37</v>
      </c>
      <c r="Q943" s="6">
        <f>(SUM(Pcfu4[[#This Row],[R1]:[R3]]))/(Pcfu4[[#This Row],[No. Reps]]*0.025)*Pcfu4[[#This Row],[Best DF]]</f>
        <v>12533333333.333332</v>
      </c>
      <c r="R943" s="1">
        <f>_xlfn.STDEV.S(Pcfu4[[#This Row],[R1]:[R3]])/0.025*Pcfu4[[#This Row],[Best DF]]</f>
        <v>1973153144.9264958</v>
      </c>
      <c r="S943" s="6">
        <f>Pcfu4[[#This Row],[CFU/mL]]*Pcfu4[[#This Row],[mL]]/Pcfu4[[#This Row],[grams]]</f>
        <v>238133333333.33334</v>
      </c>
      <c r="T943" s="1">
        <f>Pcfu4[[#This Row],[SD CFU/mL]]*Pcfu4[[#This Row],[mL]]/Pcfu4[[#This Row],[grams]]</f>
        <v>37489909753.603424</v>
      </c>
      <c r="U943" s="7" t="e">
        <f>_xlfn.STDEV.S(Pcfu43[[#This Row],[R1]:[R3]])/AVERAGE(Pcfu43[[#This Row],[R1]:[R3]])</f>
        <v>#VALUE!</v>
      </c>
      <c r="V943" s="96"/>
      <c r="W943" s="7"/>
    </row>
    <row r="944" spans="1:28" x14ac:dyDescent="0.15">
      <c r="A944" t="s">
        <v>818</v>
      </c>
      <c r="B944" t="s">
        <v>769</v>
      </c>
      <c r="D944" s="66" t="s">
        <v>86</v>
      </c>
      <c r="E944" s="3">
        <v>3</v>
      </c>
      <c r="G944">
        <v>0.3</v>
      </c>
      <c r="H944" s="83">
        <f>19*Pcfu4[[#This Row],[grams]]</f>
        <v>5.7</v>
      </c>
      <c r="I944" s="3" t="s">
        <v>170</v>
      </c>
      <c r="J944" s="59">
        <v>45097</v>
      </c>
      <c r="L944" s="59" t="e" cm="1">
        <f t="array" ref="L944">INDEX($J$4:J2034, MATCH(1,(A944=$A$4:A2032)*(C944=$C$4:C2032)*("Y"=$K$4:K2034),0))</f>
        <v>#N/A</v>
      </c>
      <c r="M944" s="1">
        <v>10000000</v>
      </c>
      <c r="N944">
        <v>65</v>
      </c>
      <c r="O944">
        <v>57</v>
      </c>
      <c r="P944" s="4">
        <v>64</v>
      </c>
      <c r="Q944" s="6">
        <f>(SUM(Pcfu4[[#This Row],[R1]:[R3]]))/(Pcfu4[[#This Row],[No. Reps]]*0.025)*Pcfu4[[#This Row],[Best DF]]</f>
        <v>24799999999.999996</v>
      </c>
      <c r="R944" s="1">
        <f>_xlfn.STDEV.S(Pcfu4[[#This Row],[R1]:[R3]])/0.025*Pcfu4[[#This Row],[Best DF]]</f>
        <v>1743559577.4162695</v>
      </c>
      <c r="S944" s="6">
        <f>Pcfu4[[#This Row],[CFU/mL]]*Pcfu4[[#This Row],[mL]]/Pcfu4[[#This Row],[grams]]</f>
        <v>471199999999.99994</v>
      </c>
      <c r="T944" s="1">
        <f>Pcfu4[[#This Row],[SD CFU/mL]]*Pcfu4[[#This Row],[mL]]/Pcfu4[[#This Row],[grams]]</f>
        <v>33127631970.909126</v>
      </c>
      <c r="U944" s="7" t="e">
        <f>_xlfn.STDEV.S(Pcfu43[[#This Row],[R1]:[R3]])/AVERAGE(Pcfu43[[#This Row],[R1]:[R3]])</f>
        <v>#VALUE!</v>
      </c>
      <c r="V944" s="96"/>
      <c r="W944" s="7"/>
    </row>
    <row r="945" spans="1:24" x14ac:dyDescent="0.15">
      <c r="A945" t="s">
        <v>819</v>
      </c>
      <c r="B945" t="s">
        <v>769</v>
      </c>
      <c r="D945" s="66" t="s">
        <v>86</v>
      </c>
      <c r="E945" s="3">
        <v>3</v>
      </c>
      <c r="G945">
        <v>0.3</v>
      </c>
      <c r="H945" s="83">
        <f>19*Pcfu4[[#This Row],[grams]]</f>
        <v>5.7</v>
      </c>
      <c r="I945" s="3" t="s">
        <v>170</v>
      </c>
      <c r="J945" s="59">
        <v>45097</v>
      </c>
      <c r="L945" s="59" t="e" cm="1">
        <f t="array" ref="L945">INDEX($J$4:J2035, MATCH(1,(A945=$A$4:A2033)*(C945=$C$4:C2033)*("Y"=$K$4:K2035),0))</f>
        <v>#N/A</v>
      </c>
      <c r="M945" s="1">
        <v>10000000</v>
      </c>
      <c r="N945">
        <v>33</v>
      </c>
      <c r="O945">
        <v>38</v>
      </c>
      <c r="P945" s="4">
        <v>46</v>
      </c>
      <c r="Q945" s="6">
        <f>(SUM(Pcfu4[[#This Row],[R1]:[R3]]))/(Pcfu4[[#This Row],[No. Reps]]*0.025)*Pcfu4[[#This Row],[Best DF]]</f>
        <v>15599999999.999998</v>
      </c>
      <c r="R945" s="1">
        <f>_xlfn.STDEV.S(Pcfu4[[#This Row],[R1]:[R3]])/0.025*Pcfu4[[#This Row],[Best DF]]</f>
        <v>2622975409.7207999</v>
      </c>
      <c r="S945" s="6">
        <f>Pcfu4[[#This Row],[CFU/mL]]*Pcfu4[[#This Row],[mL]]/Pcfu4[[#This Row],[grams]]</f>
        <v>296399999999.99994</v>
      </c>
      <c r="T945" s="1">
        <f>Pcfu4[[#This Row],[SD CFU/mL]]*Pcfu4[[#This Row],[mL]]/Pcfu4[[#This Row],[grams]]</f>
        <v>49836532784.695198</v>
      </c>
      <c r="U945" s="7" t="e">
        <f>_xlfn.STDEV.S(Pcfu43[[#This Row],[R1]:[R3]])/AVERAGE(Pcfu43[[#This Row],[R1]:[R3]])</f>
        <v>#VALUE!</v>
      </c>
      <c r="V945" s="96"/>
      <c r="W945" s="7"/>
    </row>
    <row r="946" spans="1:24" x14ac:dyDescent="0.15">
      <c r="A946" t="s">
        <v>781</v>
      </c>
      <c r="C946" t="s">
        <v>723</v>
      </c>
      <c r="D946" s="66" t="s">
        <v>243</v>
      </c>
      <c r="E946" s="3">
        <v>3</v>
      </c>
      <c r="F946" t="s">
        <v>779</v>
      </c>
      <c r="G946">
        <v>0.3</v>
      </c>
      <c r="H946" s="83">
        <f>19*Pcfu4[[#This Row],[grams]]</f>
        <v>5.7</v>
      </c>
      <c r="I946" s="3" t="s">
        <v>170</v>
      </c>
      <c r="J946" s="59">
        <v>45098</v>
      </c>
      <c r="L946" s="59" t="e" cm="1">
        <f t="array" ref="L946">INDEX($J$4:J2036, MATCH(1,(A946=$A$4:A2034)*(C946=$C$4:C2034)*("Y"=$K$4:K2036),0))</f>
        <v>#N/A</v>
      </c>
      <c r="M946" s="1">
        <v>100</v>
      </c>
      <c r="N946">
        <v>63</v>
      </c>
      <c r="O946">
        <v>57</v>
      </c>
      <c r="P946" s="4">
        <v>61</v>
      </c>
      <c r="Q946" s="6">
        <f>(SUM(Pcfu4[[#This Row],[R1]:[R3]]))/(Pcfu4[[#This Row],[No. Reps]]*0.025)*Pcfu4[[#This Row],[Best DF]]</f>
        <v>241333.33333333331</v>
      </c>
      <c r="R946" s="1">
        <f>_xlfn.STDEV.S(Pcfu4[[#This Row],[R1]:[R3]])/0.025*Pcfu4[[#This Row],[Best DF]]</f>
        <v>12220.201853215573</v>
      </c>
      <c r="S946" s="6">
        <f>Pcfu4[[#This Row],[CFU/mL]]*Pcfu4[[#This Row],[mL]]/Pcfu4[[#This Row],[grams]]</f>
        <v>4585333.333333334</v>
      </c>
      <c r="T946" s="1">
        <f>Pcfu4[[#This Row],[SD CFU/mL]]*Pcfu4[[#This Row],[mL]]/Pcfu4[[#This Row],[grams]]</f>
        <v>232183.83521109587</v>
      </c>
      <c r="U946" s="7" t="e">
        <f>_xlfn.STDEV.S(Pcfu43[[#This Row],[R1]:[R3]])/AVERAGE(Pcfu43[[#This Row],[R1]:[R3]])</f>
        <v>#VALUE!</v>
      </c>
      <c r="V946" s="96"/>
      <c r="W946" s="7"/>
    </row>
    <row r="947" spans="1:24" x14ac:dyDescent="0.15">
      <c r="A947" t="s">
        <v>778</v>
      </c>
      <c r="C947" t="s">
        <v>723</v>
      </c>
      <c r="D947" s="66" t="s">
        <v>243</v>
      </c>
      <c r="E947" s="3">
        <v>3</v>
      </c>
      <c r="F947" t="s">
        <v>779</v>
      </c>
      <c r="G947">
        <v>0.3</v>
      </c>
      <c r="H947" s="83">
        <f>19*Pcfu4[[#This Row],[grams]]</f>
        <v>5.7</v>
      </c>
      <c r="I947" s="3" t="s">
        <v>170</v>
      </c>
      <c r="J947" s="59">
        <v>45098</v>
      </c>
      <c r="L947" s="59" t="e" cm="1">
        <f t="array" ref="L947">INDEX($J$4:J2037, MATCH(1,(A947=$A$4:A2035)*(C947=$C$4:C2035)*("Y"=$K$4:K2037),0))</f>
        <v>#N/A</v>
      </c>
      <c r="M947" s="1">
        <v>100</v>
      </c>
      <c r="N947">
        <v>32</v>
      </c>
      <c r="O947">
        <v>36</v>
      </c>
      <c r="P947" s="4">
        <v>60</v>
      </c>
      <c r="Q947" s="6">
        <f>(SUM(Pcfu4[[#This Row],[R1]:[R3]]))/(Pcfu4[[#This Row],[No. Reps]]*0.025)*Pcfu4[[#This Row],[Best DF]]</f>
        <v>170666.66666666666</v>
      </c>
      <c r="R947" s="1">
        <f>_xlfn.STDEV.S(Pcfu4[[#This Row],[R1]:[R3]])/0.025*Pcfu4[[#This Row],[Best DF]]</f>
        <v>60575.022355202942</v>
      </c>
      <c r="S947" s="6">
        <f>Pcfu4[[#This Row],[CFU/mL]]*Pcfu4[[#This Row],[mL]]/Pcfu4[[#This Row],[grams]]</f>
        <v>3242666.666666667</v>
      </c>
      <c r="T947" s="1">
        <f>Pcfu4[[#This Row],[SD CFU/mL]]*Pcfu4[[#This Row],[mL]]/Pcfu4[[#This Row],[grams]]</f>
        <v>1150925.4247488559</v>
      </c>
      <c r="U947" s="7" t="e">
        <f>_xlfn.STDEV.S(Pcfu43[[#This Row],[R1]:[R3]])/AVERAGE(Pcfu43[[#This Row],[R1]:[R3]])</f>
        <v>#VALUE!</v>
      </c>
      <c r="V947" s="96"/>
      <c r="W947" s="7"/>
    </row>
    <row r="948" spans="1:24" x14ac:dyDescent="0.15">
      <c r="A948" t="s">
        <v>780</v>
      </c>
      <c r="C948" t="s">
        <v>723</v>
      </c>
      <c r="D948" s="66" t="s">
        <v>243</v>
      </c>
      <c r="E948" s="3">
        <v>3</v>
      </c>
      <c r="F948" t="s">
        <v>779</v>
      </c>
      <c r="G948">
        <v>0.3</v>
      </c>
      <c r="H948" s="83">
        <f>19*Pcfu4[[#This Row],[grams]]</f>
        <v>5.7</v>
      </c>
      <c r="I948" s="3" t="s">
        <v>170</v>
      </c>
      <c r="J948" s="59">
        <v>45098</v>
      </c>
      <c r="L948" s="59" t="e" cm="1">
        <f t="array" ref="L948">INDEX($J$4:J2038, MATCH(1,(A948=$A$4:A2036)*(C948=$C$4:C2036)*("Y"=$K$4:K2038),0))</f>
        <v>#N/A</v>
      </c>
      <c r="M948" s="1">
        <v>100</v>
      </c>
      <c r="N948">
        <v>35</v>
      </c>
      <c r="O948">
        <v>147</v>
      </c>
      <c r="P948" s="4">
        <v>33</v>
      </c>
      <c r="Q948" s="6">
        <f>(SUM(Pcfu4[[#This Row],[R1]:[R3]]))/(Pcfu4[[#This Row],[No. Reps]]*0.025)*Pcfu4[[#This Row],[Best DF]]</f>
        <v>286666.66666666663</v>
      </c>
      <c r="R948" s="1">
        <f>_xlfn.STDEV.S(Pcfu4[[#This Row],[R1]:[R3]])/0.025*Pcfu4[[#This Row],[Best DF]]</f>
        <v>260992.97563983081</v>
      </c>
      <c r="S948" s="6">
        <f>Pcfu4[[#This Row],[CFU/mL]]*Pcfu4[[#This Row],[mL]]/Pcfu4[[#This Row],[grams]]</f>
        <v>5446666.666666666</v>
      </c>
      <c r="T948" s="1">
        <f>Pcfu4[[#This Row],[SD CFU/mL]]*Pcfu4[[#This Row],[mL]]/Pcfu4[[#This Row],[grams]]</f>
        <v>4958866.5371567858</v>
      </c>
      <c r="U948" s="7" t="e">
        <f>_xlfn.STDEV.S(Pcfu43[[#This Row],[R1]:[R3]])/AVERAGE(Pcfu43[[#This Row],[R1]:[R3]])</f>
        <v>#VALUE!</v>
      </c>
      <c r="V948" s="96"/>
      <c r="W948" s="7"/>
    </row>
    <row r="949" spans="1:24" x14ac:dyDescent="0.15">
      <c r="A949" t="s">
        <v>784</v>
      </c>
      <c r="C949" t="s">
        <v>723</v>
      </c>
      <c r="D949" s="66" t="s">
        <v>243</v>
      </c>
      <c r="E949" s="3">
        <v>3</v>
      </c>
      <c r="F949" t="s">
        <v>779</v>
      </c>
      <c r="G949">
        <v>0.3</v>
      </c>
      <c r="H949" s="83">
        <f>19*Pcfu4[[#This Row],[grams]]</f>
        <v>5.7</v>
      </c>
      <c r="I949" s="3" t="s">
        <v>170</v>
      </c>
      <c r="J949" s="59">
        <v>45098</v>
      </c>
      <c r="L949" s="59" t="e" cm="1">
        <f t="array" ref="L949">INDEX($J$4:J2039, MATCH(1,(A949=$A$4:A2037)*(C949=$C$4:C2037)*("Y"=$K$4:K2039),0))</f>
        <v>#N/A</v>
      </c>
      <c r="M949" s="1">
        <v>100</v>
      </c>
      <c r="N949">
        <v>43</v>
      </c>
      <c r="O949">
        <v>33</v>
      </c>
      <c r="P949" s="4">
        <v>44</v>
      </c>
      <c r="Q949" s="6">
        <f>(SUM(Pcfu4[[#This Row],[R1]:[R3]]))/(Pcfu4[[#This Row],[No. Reps]]*0.025)*Pcfu4[[#This Row],[Best DF]]</f>
        <v>159999.99999999997</v>
      </c>
      <c r="R949" s="1">
        <f>_xlfn.STDEV.S(Pcfu4[[#This Row],[R1]:[R3]])/0.025*Pcfu4[[#This Row],[Best DF]]</f>
        <v>24331.050121192875</v>
      </c>
      <c r="S949" s="6">
        <f>Pcfu4[[#This Row],[CFU/mL]]*Pcfu4[[#This Row],[mL]]/Pcfu4[[#This Row],[grams]]</f>
        <v>3039999.9999999995</v>
      </c>
      <c r="T949" s="1">
        <f>Pcfu4[[#This Row],[SD CFU/mL]]*Pcfu4[[#This Row],[mL]]/Pcfu4[[#This Row],[grams]]</f>
        <v>462289.95230266469</v>
      </c>
      <c r="U949" s="7" t="e">
        <f>_xlfn.STDEV.S(Pcfu43[[#This Row],[R1]:[R3]])/AVERAGE(Pcfu43[[#This Row],[R1]:[R3]])</f>
        <v>#VALUE!</v>
      </c>
      <c r="V949" s="96"/>
      <c r="W949" s="7"/>
    </row>
    <row r="950" spans="1:24" x14ac:dyDescent="0.15">
      <c r="A950" t="s">
        <v>782</v>
      </c>
      <c r="C950" t="s">
        <v>723</v>
      </c>
      <c r="D950" s="66" t="s">
        <v>243</v>
      </c>
      <c r="E950" s="3">
        <v>3</v>
      </c>
      <c r="F950" t="s">
        <v>779</v>
      </c>
      <c r="G950">
        <v>0.3</v>
      </c>
      <c r="H950" s="83">
        <f>19*Pcfu4[[#This Row],[grams]]</f>
        <v>5.7</v>
      </c>
      <c r="I950" s="3" t="s">
        <v>170</v>
      </c>
      <c r="J950" s="59">
        <v>45098</v>
      </c>
      <c r="L950" s="59" t="e" cm="1">
        <f t="array" ref="L950">INDEX($J$4:J2040, MATCH(1,(A950=$A$4:A2038)*(C950=$C$4:C2038)*("Y"=$K$4:K2040),0))</f>
        <v>#N/A</v>
      </c>
      <c r="M950" s="1">
        <v>100</v>
      </c>
      <c r="N950">
        <v>139</v>
      </c>
      <c r="O950">
        <v>130</v>
      </c>
      <c r="P950" s="4">
        <v>128</v>
      </c>
      <c r="Q950" s="6">
        <f>(SUM(Pcfu4[[#This Row],[R1]:[R3]]))/(Pcfu4[[#This Row],[No. Reps]]*0.025)*Pcfu4[[#This Row],[Best DF]]</f>
        <v>529333.33333333326</v>
      </c>
      <c r="R950" s="1">
        <f>_xlfn.STDEV.S(Pcfu4[[#This Row],[R1]:[R3]])/0.025*Pcfu4[[#This Row],[Best DF]]</f>
        <v>23437.86110832926</v>
      </c>
      <c r="S950" s="6">
        <f>Pcfu4[[#This Row],[CFU/mL]]*Pcfu4[[#This Row],[mL]]/Pcfu4[[#This Row],[grams]]</f>
        <v>10057333.333333332</v>
      </c>
      <c r="T950" s="1">
        <f>Pcfu4[[#This Row],[SD CFU/mL]]*Pcfu4[[#This Row],[mL]]/Pcfu4[[#This Row],[grams]]</f>
        <v>445319.36105825601</v>
      </c>
      <c r="U950" s="7" t="e">
        <f>_xlfn.STDEV.S(Pcfu43[[#This Row],[R1]:[R3]])/AVERAGE(Pcfu43[[#This Row],[R1]:[R3]])</f>
        <v>#VALUE!</v>
      </c>
      <c r="V950" s="96"/>
      <c r="W950" s="7"/>
    </row>
    <row r="951" spans="1:24" x14ac:dyDescent="0.15">
      <c r="A951" t="s">
        <v>783</v>
      </c>
      <c r="C951" t="s">
        <v>723</v>
      </c>
      <c r="D951" s="66" t="s">
        <v>243</v>
      </c>
      <c r="E951" s="3">
        <v>3</v>
      </c>
      <c r="F951" t="s">
        <v>779</v>
      </c>
      <c r="G951">
        <v>0.3</v>
      </c>
      <c r="H951" s="83">
        <f>19*Pcfu4[[#This Row],[grams]]</f>
        <v>5.7</v>
      </c>
      <c r="I951" s="3" t="s">
        <v>170</v>
      </c>
      <c r="J951" s="59">
        <v>45098</v>
      </c>
      <c r="L951" s="59" t="e" cm="1">
        <f t="array" ref="L951">INDEX($J$4:J2041, MATCH(1,(A951=$A$4:A2039)*(C951=$C$4:C2039)*("Y"=$K$4:K2041),0))</f>
        <v>#N/A</v>
      </c>
      <c r="M951" s="1">
        <v>100</v>
      </c>
      <c r="N951">
        <v>215</v>
      </c>
      <c r="O951">
        <v>181</v>
      </c>
      <c r="P951" s="4">
        <v>233</v>
      </c>
      <c r="Q951" s="6">
        <f>(SUM(Pcfu4[[#This Row],[R1]:[R3]]))/(Pcfu4[[#This Row],[No. Reps]]*0.025)*Pcfu4[[#This Row],[Best DF]]</f>
        <v>838666.66666666663</v>
      </c>
      <c r="R951" s="1">
        <f>_xlfn.STDEV.S(Pcfu4[[#This Row],[R1]:[R3]])/0.025*Pcfu4[[#This Row],[Best DF]]</f>
        <v>105628.27904180421</v>
      </c>
      <c r="S951" s="6">
        <f>Pcfu4[[#This Row],[CFU/mL]]*Pcfu4[[#This Row],[mL]]/Pcfu4[[#This Row],[grams]]</f>
        <v>15934666.666666668</v>
      </c>
      <c r="T951" s="1">
        <f>Pcfu4[[#This Row],[SD CFU/mL]]*Pcfu4[[#This Row],[mL]]/Pcfu4[[#This Row],[grams]]</f>
        <v>2006937.3017942801</v>
      </c>
      <c r="U951" s="7" t="e">
        <f>_xlfn.STDEV.S(Pcfu43[[#This Row],[R1]:[R3]])/AVERAGE(Pcfu43[[#This Row],[R1]:[R3]])</f>
        <v>#VALUE!</v>
      </c>
      <c r="V951" s="96"/>
      <c r="W951" s="7"/>
    </row>
    <row r="952" spans="1:24" x14ac:dyDescent="0.15">
      <c r="A952" t="s">
        <v>808</v>
      </c>
      <c r="C952" t="s">
        <v>723</v>
      </c>
      <c r="D952" s="66" t="s">
        <v>243</v>
      </c>
      <c r="E952" s="3">
        <v>3</v>
      </c>
      <c r="F952" t="s">
        <v>786</v>
      </c>
      <c r="G952">
        <v>0.3</v>
      </c>
      <c r="H952" s="83">
        <f>19*Pcfu4[[#This Row],[grams]]</f>
        <v>5.7</v>
      </c>
      <c r="I952" s="3" t="s">
        <v>170</v>
      </c>
      <c r="J952" s="59">
        <v>45098</v>
      </c>
      <c r="K952" s="3" t="s">
        <v>679</v>
      </c>
      <c r="L952" s="59" cm="1">
        <f t="array" ref="L952">INDEX($J$4:J2042, MATCH(1,(A952=$A$4:A2040)*(C952=$C$4:C2040)*("Y"=$K$4:K2042),0))</f>
        <v>45084</v>
      </c>
      <c r="M952" s="1">
        <v>100</v>
      </c>
      <c r="N952">
        <v>68</v>
      </c>
      <c r="O952">
        <v>29</v>
      </c>
      <c r="P952" s="4">
        <v>57</v>
      </c>
      <c r="Q952" s="6">
        <f>(SUM(Pcfu4[[#This Row],[R1]:[R3]]))/(Pcfu4[[#This Row],[No. Reps]]*0.025)*Pcfu4[[#This Row],[Best DF]]</f>
        <v>205333.33333333331</v>
      </c>
      <c r="R952" s="1">
        <f>_xlfn.STDEV.S(Pcfu4[[#This Row],[R1]:[R3]])/0.025*Pcfu4[[#This Row],[Best DF]]</f>
        <v>80432.166036563591</v>
      </c>
      <c r="S952" s="6">
        <f>Pcfu4[[#This Row],[CFU/mL]]*Pcfu4[[#This Row],[mL]]/Pcfu4[[#This Row],[grams]]</f>
        <v>3901333.3333333335</v>
      </c>
      <c r="T952" s="1">
        <f>Pcfu4[[#This Row],[SD CFU/mL]]*Pcfu4[[#This Row],[mL]]/Pcfu4[[#This Row],[grams]]</f>
        <v>1528211.1546947083</v>
      </c>
      <c r="U952" s="7" t="e">
        <f>_xlfn.STDEV.S(Pcfu43[[#This Row],[R1]:[R3]])/AVERAGE(Pcfu43[[#This Row],[R1]:[R3]])</f>
        <v>#VALUE!</v>
      </c>
      <c r="V952" s="96"/>
      <c r="W952" s="7"/>
    </row>
    <row r="953" spans="1:24" x14ac:dyDescent="0.15">
      <c r="A953" t="s">
        <v>809</v>
      </c>
      <c r="C953" t="s">
        <v>723</v>
      </c>
      <c r="D953" s="66" t="s">
        <v>243</v>
      </c>
      <c r="E953" s="3">
        <v>3</v>
      </c>
      <c r="F953" t="s">
        <v>786</v>
      </c>
      <c r="G953">
        <v>0.3</v>
      </c>
      <c r="H953" s="83">
        <f>19*Pcfu4[[#This Row],[grams]]</f>
        <v>5.7</v>
      </c>
      <c r="I953" s="3" t="s">
        <v>170</v>
      </c>
      <c r="J953" s="59">
        <v>45098</v>
      </c>
      <c r="K953" s="3" t="s">
        <v>679</v>
      </c>
      <c r="L953" s="59" cm="1">
        <f t="array" ref="L953">INDEX($J$4:J2043, MATCH(1,(A953=$A$4:A2041)*(C953=$C$4:C2041)*("Y"=$K$4:K2043),0))</f>
        <v>45084</v>
      </c>
      <c r="M953" s="1">
        <v>100</v>
      </c>
      <c r="N953">
        <v>61</v>
      </c>
      <c r="O953">
        <v>52</v>
      </c>
      <c r="P953" s="4">
        <v>57</v>
      </c>
      <c r="Q953" s="6">
        <f>(SUM(Pcfu4[[#This Row],[R1]:[R3]]))/(Pcfu4[[#This Row],[No. Reps]]*0.025)*Pcfu4[[#This Row],[Best DF]]</f>
        <v>226666.66666666666</v>
      </c>
      <c r="R953" s="1">
        <f>_xlfn.STDEV.S(Pcfu4[[#This Row],[R1]:[R3]])/0.025*Pcfu4[[#This Row],[Best DF]]</f>
        <v>18036.999011291577</v>
      </c>
      <c r="S953" s="6">
        <f>Pcfu4[[#This Row],[CFU/mL]]*Pcfu4[[#This Row],[mL]]/Pcfu4[[#This Row],[grams]]</f>
        <v>4306666.666666667</v>
      </c>
      <c r="T953" s="1">
        <f>Pcfu4[[#This Row],[SD CFU/mL]]*Pcfu4[[#This Row],[mL]]/Pcfu4[[#This Row],[grams]]</f>
        <v>342702.98121453996</v>
      </c>
      <c r="U953" s="7" t="e">
        <f>_xlfn.STDEV.S(Pcfu43[[#This Row],[R1]:[R3]])/AVERAGE(Pcfu43[[#This Row],[R1]:[R3]])</f>
        <v>#VALUE!</v>
      </c>
      <c r="V953" s="96"/>
      <c r="W953" s="7"/>
    </row>
    <row r="954" spans="1:24" x14ac:dyDescent="0.15">
      <c r="A954" t="s">
        <v>810</v>
      </c>
      <c r="C954" t="s">
        <v>723</v>
      </c>
      <c r="D954" s="66" t="s">
        <v>243</v>
      </c>
      <c r="E954" s="3">
        <v>3</v>
      </c>
      <c r="F954" t="s">
        <v>786</v>
      </c>
      <c r="G954">
        <v>0.3</v>
      </c>
      <c r="H954" s="83">
        <f>19*Pcfu4[[#This Row],[grams]]</f>
        <v>5.7</v>
      </c>
      <c r="I954" s="3" t="s">
        <v>170</v>
      </c>
      <c r="J954" s="59">
        <v>45098</v>
      </c>
      <c r="K954" s="3" t="s">
        <v>679</v>
      </c>
      <c r="L954" s="59" cm="1">
        <f t="array" ref="L954">INDEX($J$4:J2044, MATCH(1,(A954=$A$4:A2042)*(C954=$C$4:C2042)*("Y"=$K$4:K2044),0))</f>
        <v>45084</v>
      </c>
      <c r="M954" s="1">
        <v>100</v>
      </c>
      <c r="N954">
        <v>28</v>
      </c>
      <c r="O954">
        <v>51</v>
      </c>
      <c r="P954" s="4">
        <v>54</v>
      </c>
      <c r="Q954" s="6">
        <f>(SUM(Pcfu4[[#This Row],[R1]:[R3]]))/(Pcfu4[[#This Row],[No. Reps]]*0.025)*Pcfu4[[#This Row],[Best DF]]</f>
        <v>177333.33333333331</v>
      </c>
      <c r="R954" s="1">
        <f>_xlfn.STDEV.S(Pcfu4[[#This Row],[R1]:[R3]])/0.025*Pcfu4[[#This Row],[Best DF]]</f>
        <v>56897.568782271665</v>
      </c>
      <c r="S954" s="6">
        <f>Pcfu4[[#This Row],[CFU/mL]]*Pcfu4[[#This Row],[mL]]/Pcfu4[[#This Row],[grams]]</f>
        <v>3369333.333333333</v>
      </c>
      <c r="T954" s="1">
        <f>Pcfu4[[#This Row],[SD CFU/mL]]*Pcfu4[[#This Row],[mL]]/Pcfu4[[#This Row],[grams]]</f>
        <v>1081053.8068631617</v>
      </c>
      <c r="U954" s="7" t="e">
        <f>_xlfn.STDEV.S(Pcfu43[[#This Row],[R1]:[R3]])/AVERAGE(Pcfu43[[#This Row],[R1]:[R3]])</f>
        <v>#VALUE!</v>
      </c>
      <c r="V954" s="96"/>
      <c r="W954" s="7"/>
    </row>
    <row r="955" spans="1:24" x14ac:dyDescent="0.15">
      <c r="A955" t="s">
        <v>811</v>
      </c>
      <c r="C955" t="s">
        <v>723</v>
      </c>
      <c r="D955" s="66" t="s">
        <v>243</v>
      </c>
      <c r="E955" s="3">
        <v>3</v>
      </c>
      <c r="F955" t="s">
        <v>786</v>
      </c>
      <c r="G955">
        <v>0.3</v>
      </c>
      <c r="H955" s="83">
        <f>19*Pcfu4[[#This Row],[grams]]</f>
        <v>5.7</v>
      </c>
      <c r="I955" s="3" t="s">
        <v>170</v>
      </c>
      <c r="J955" s="59">
        <v>45098</v>
      </c>
      <c r="K955" s="3" t="s">
        <v>679</v>
      </c>
      <c r="L955" s="59" cm="1">
        <f t="array" ref="L955">INDEX($J$4:J2045, MATCH(1,(A955=$A$4:A2043)*(C955=$C$4:C2043)*("Y"=$K$4:K2045),0))</f>
        <v>45084</v>
      </c>
      <c r="M955" s="1">
        <v>100</v>
      </c>
      <c r="N955">
        <v>174</v>
      </c>
      <c r="O955">
        <v>114</v>
      </c>
      <c r="P955" s="4">
        <v>320</v>
      </c>
      <c r="Q955" s="6">
        <f>(SUM(Pcfu4[[#This Row],[R1]:[R3]]))/(Pcfu4[[#This Row],[No. Reps]]*0.025)*Pcfu4[[#This Row],[Best DF]]</f>
        <v>810666.66666666651</v>
      </c>
      <c r="R955" s="1">
        <f>_xlfn.STDEV.S(Pcfu4[[#This Row],[R1]:[R3]])/0.025*Pcfu4[[#This Row],[Best DF]]</f>
        <v>423798.69435067085</v>
      </c>
      <c r="S955" s="6">
        <f>Pcfu4[[#This Row],[CFU/mL]]*Pcfu4[[#This Row],[mL]]/Pcfu4[[#This Row],[grams]]</f>
        <v>15402666.666666664</v>
      </c>
      <c r="T955" s="1">
        <f>Pcfu4[[#This Row],[SD CFU/mL]]*Pcfu4[[#This Row],[mL]]/Pcfu4[[#This Row],[grams]]</f>
        <v>8052175.1926627466</v>
      </c>
      <c r="U955" s="7" t="e">
        <f>_xlfn.STDEV.S(Pcfu43[[#This Row],[R1]:[R3]])/AVERAGE(Pcfu43[[#This Row],[R1]:[R3]])</f>
        <v>#VALUE!</v>
      </c>
      <c r="V955" s="96"/>
      <c r="W955" s="7"/>
      <c r="X955" t="s">
        <v>820</v>
      </c>
    </row>
    <row r="956" spans="1:24" x14ac:dyDescent="0.15">
      <c r="A956" t="s">
        <v>821</v>
      </c>
      <c r="C956" t="s">
        <v>723</v>
      </c>
      <c r="D956" s="66" t="s">
        <v>312</v>
      </c>
      <c r="E956" s="3">
        <v>3</v>
      </c>
      <c r="G956">
        <v>0.3</v>
      </c>
      <c r="H956" s="83">
        <f>19*Pcfu4[[#This Row],[grams]]</f>
        <v>5.7</v>
      </c>
      <c r="I956" s="3" t="s">
        <v>170</v>
      </c>
      <c r="J956" s="59">
        <v>45098</v>
      </c>
      <c r="K956" s="3" t="s">
        <v>206</v>
      </c>
      <c r="L956" s="59" cm="1">
        <f t="array" ref="L956">INDEX($J$4:J2046, MATCH(1,(A956=$A$4:A2044)*(C956=$C$4:C2044)*("Y"=$K$4:K2046),0))</f>
        <v>45098</v>
      </c>
      <c r="M956" s="1">
        <v>100</v>
      </c>
      <c r="N956">
        <v>130</v>
      </c>
      <c r="O956">
        <v>125</v>
      </c>
      <c r="P956" s="4">
        <v>138</v>
      </c>
      <c r="Q956" s="6">
        <f>(SUM(Pcfu4[[#This Row],[R1]:[R3]]))/(Pcfu4[[#This Row],[No. Reps]]*0.025)*Pcfu4[[#This Row],[Best DF]]</f>
        <v>523999.99999999988</v>
      </c>
      <c r="R956" s="1">
        <f>_xlfn.STDEV.S(Pcfu4[[#This Row],[R1]:[R3]])/0.025*Pcfu4[[#This Row],[Best DF]]</f>
        <v>26229.754097208002</v>
      </c>
      <c r="S956" s="6">
        <f>Pcfu4[[#This Row],[CFU/mL]]*Pcfu4[[#This Row],[mL]]/Pcfu4[[#This Row],[grams]]</f>
        <v>9955999.9999999981</v>
      </c>
      <c r="T956" s="1">
        <f>Pcfu4[[#This Row],[SD CFU/mL]]*Pcfu4[[#This Row],[mL]]/Pcfu4[[#This Row],[grams]]</f>
        <v>498365.32784695207</v>
      </c>
      <c r="U956" s="7" t="e">
        <f>_xlfn.STDEV.S(Pcfu43[[#This Row],[R1]:[R3]])/AVERAGE(Pcfu43[[#This Row],[R1]:[R3]])</f>
        <v>#VALUE!</v>
      </c>
      <c r="V956" s="96"/>
      <c r="W956" s="7"/>
    </row>
    <row r="957" spans="1:24" x14ac:dyDescent="0.15">
      <c r="A957" t="s">
        <v>822</v>
      </c>
      <c r="C957" t="s">
        <v>723</v>
      </c>
      <c r="D957" s="66" t="s">
        <v>312</v>
      </c>
      <c r="E957" s="3">
        <v>3</v>
      </c>
      <c r="G957">
        <v>0.3</v>
      </c>
      <c r="H957" s="83">
        <f>19*Pcfu4[[#This Row],[grams]]</f>
        <v>5.7</v>
      </c>
      <c r="I957" s="3" t="s">
        <v>170</v>
      </c>
      <c r="J957" s="59">
        <v>45098</v>
      </c>
      <c r="K957" s="3" t="s">
        <v>206</v>
      </c>
      <c r="L957" s="59" cm="1">
        <f t="array" ref="L957">INDEX($J$4:J2047, MATCH(1,(A957=$A$4:A2045)*(C957=$C$4:C2045)*("Y"=$K$4:K2047),0))</f>
        <v>45098</v>
      </c>
      <c r="M957" s="1">
        <v>100</v>
      </c>
      <c r="N957">
        <v>89</v>
      </c>
      <c r="O957">
        <v>135</v>
      </c>
      <c r="P957" s="4">
        <v>131</v>
      </c>
      <c r="Q957" s="6">
        <f>(SUM(Pcfu4[[#This Row],[R1]:[R3]]))/(Pcfu4[[#This Row],[No. Reps]]*0.025)*Pcfu4[[#This Row],[Best DF]]</f>
        <v>473333.33333333331</v>
      </c>
      <c r="R957" s="1">
        <f>_xlfn.STDEV.S(Pcfu4[[#This Row],[R1]:[R3]])/0.025*Pcfu4[[#This Row],[Best DF]]</f>
        <v>101928.07921928732</v>
      </c>
      <c r="S957" s="6">
        <f>Pcfu4[[#This Row],[CFU/mL]]*Pcfu4[[#This Row],[mL]]/Pcfu4[[#This Row],[grams]]</f>
        <v>8993333.333333334</v>
      </c>
      <c r="T957" s="1">
        <f>Pcfu4[[#This Row],[SD CFU/mL]]*Pcfu4[[#This Row],[mL]]/Pcfu4[[#This Row],[grams]]</f>
        <v>1936633.5051664591</v>
      </c>
      <c r="U957" s="7" t="e">
        <f>_xlfn.STDEV.S(Pcfu43[[#This Row],[R1]:[R3]])/AVERAGE(Pcfu43[[#This Row],[R1]:[R3]])</f>
        <v>#VALUE!</v>
      </c>
      <c r="V957" s="96"/>
      <c r="W957" s="7"/>
    </row>
    <row r="958" spans="1:24" x14ac:dyDescent="0.15">
      <c r="A958" t="s">
        <v>823</v>
      </c>
      <c r="C958" t="s">
        <v>723</v>
      </c>
      <c r="D958" s="66" t="s">
        <v>312</v>
      </c>
      <c r="E958" s="3">
        <v>3</v>
      </c>
      <c r="G958">
        <v>0.3</v>
      </c>
      <c r="H958" s="83">
        <f>19*Pcfu4[[#This Row],[grams]]</f>
        <v>5.7</v>
      </c>
      <c r="I958" s="3" t="s">
        <v>170</v>
      </c>
      <c r="J958" s="59">
        <v>45098</v>
      </c>
      <c r="K958" s="3" t="s">
        <v>206</v>
      </c>
      <c r="L958" s="59" cm="1">
        <f t="array" ref="L958">INDEX($J$4:J2048, MATCH(1,(A958=$A$4:A2046)*(C958=$C$4:C2046)*("Y"=$K$4:K2048),0))</f>
        <v>45098</v>
      </c>
      <c r="M958" s="1">
        <v>100</v>
      </c>
      <c r="N958">
        <v>167</v>
      </c>
      <c r="O958">
        <v>112</v>
      </c>
      <c r="P958" s="4">
        <v>131</v>
      </c>
      <c r="Q958" s="6">
        <f>(SUM(Pcfu4[[#This Row],[R1]:[R3]]))/(Pcfu4[[#This Row],[No. Reps]]*0.025)*Pcfu4[[#This Row],[Best DF]]</f>
        <v>546666.66666666663</v>
      </c>
      <c r="R958" s="1">
        <f>_xlfn.STDEV.S(Pcfu4[[#This Row],[R1]:[R3]])/0.025*Pcfu4[[#This Row],[Best DF]]</f>
        <v>111737.78829623088</v>
      </c>
      <c r="S958" s="6">
        <f>Pcfu4[[#This Row],[CFU/mL]]*Pcfu4[[#This Row],[mL]]/Pcfu4[[#This Row],[grams]]</f>
        <v>10386666.666666668</v>
      </c>
      <c r="T958" s="1">
        <f>Pcfu4[[#This Row],[SD CFU/mL]]*Pcfu4[[#This Row],[mL]]/Pcfu4[[#This Row],[grams]]</f>
        <v>2123017.977628387</v>
      </c>
      <c r="U958" s="7" t="e">
        <f>_xlfn.STDEV.S(Pcfu43[[#This Row],[R1]:[R3]])/AVERAGE(Pcfu43[[#This Row],[R1]:[R3]])</f>
        <v>#VALUE!</v>
      </c>
      <c r="V958" s="96"/>
      <c r="W958" s="7"/>
    </row>
    <row r="959" spans="1:24" x14ac:dyDescent="0.15">
      <c r="A959" t="s">
        <v>824</v>
      </c>
      <c r="C959" t="s">
        <v>723</v>
      </c>
      <c r="D959" s="66" t="s">
        <v>312</v>
      </c>
      <c r="E959" s="3">
        <v>3</v>
      </c>
      <c r="G959">
        <v>0.3</v>
      </c>
      <c r="H959" s="83">
        <f>19*Pcfu4[[#This Row],[grams]]</f>
        <v>5.7</v>
      </c>
      <c r="I959" s="3" t="s">
        <v>170</v>
      </c>
      <c r="J959" s="59">
        <v>45098</v>
      </c>
      <c r="K959" s="3" t="s">
        <v>206</v>
      </c>
      <c r="L959" s="59" cm="1">
        <f t="array" ref="L959">INDEX($J$4:J2049, MATCH(1,(A959=$A$4:A2047)*(C959=$C$4:C2047)*("Y"=$K$4:K2049),0))</f>
        <v>45098</v>
      </c>
      <c r="M959" s="1">
        <v>100</v>
      </c>
      <c r="N959">
        <v>129</v>
      </c>
      <c r="O959">
        <v>92</v>
      </c>
      <c r="P959" s="4">
        <v>110</v>
      </c>
      <c r="Q959" s="6">
        <f>(SUM(Pcfu4[[#This Row],[R1]:[R3]]))/(Pcfu4[[#This Row],[No. Reps]]*0.025)*Pcfu4[[#This Row],[Best DF]]</f>
        <v>441333.33333333331</v>
      </c>
      <c r="R959" s="1">
        <f>_xlfn.STDEV.S(Pcfu4[[#This Row],[R1]:[R3]])/0.025*Pcfu4[[#This Row],[Best DF]]</f>
        <v>74009.008460682089</v>
      </c>
      <c r="S959" s="6">
        <f>Pcfu4[[#This Row],[CFU/mL]]*Pcfu4[[#This Row],[mL]]/Pcfu4[[#This Row],[grams]]</f>
        <v>8385333.333333334</v>
      </c>
      <c r="T959" s="1">
        <f>Pcfu4[[#This Row],[SD CFU/mL]]*Pcfu4[[#This Row],[mL]]/Pcfu4[[#This Row],[grams]]</f>
        <v>1406171.1607529598</v>
      </c>
      <c r="U959" s="7" t="e">
        <f>_xlfn.STDEV.S(Pcfu43[[#This Row],[R1]:[R3]])/AVERAGE(Pcfu43[[#This Row],[R1]:[R3]])</f>
        <v>#VALUE!</v>
      </c>
      <c r="V959" s="96"/>
      <c r="W959" s="7"/>
    </row>
    <row r="960" spans="1:24" x14ac:dyDescent="0.15"/>
  </sheetData>
  <phoneticPr fontId="3" type="noConversion"/>
  <conditionalFormatting sqref="U1:U1048576">
    <cfRule type="cellIs" dxfId="0" priority="2" operator="greaterThan">
      <formula>0.3</formula>
    </cfRule>
  </conditionalFormatting>
  <pageMargins left="0.7" right="0.7" top="0.75" bottom="0.75" header="0.3" footer="0.3"/>
  <pageSetup orientation="portrait" r:id="rId1"/>
  <headerFooter>
    <oddHeader>&amp;C&amp;"Calibri"&amp;10&amp;K000000Internal&amp;1#</oddHeader>
    <oddFooter>&amp;C&amp;1#&amp;"Calibri"&amp;10&amp;K000000Internal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EC62-BD0A-4CB3-9231-A30EE1B913FE}">
  <dimension ref="A1:X544"/>
  <sheetViews>
    <sheetView topLeftCell="A514" workbookViewId="0">
      <selection activeCell="X539" sqref="X539"/>
    </sheetView>
  </sheetViews>
  <sheetFormatPr baseColWidth="10" defaultColWidth="9" defaultRowHeight="12" customHeight="1" x14ac:dyDescent="0.15"/>
  <cols>
    <col min="1" max="1" width="23.796875" customWidth="1"/>
    <col min="2" max="2" width="38.3984375" customWidth="1"/>
    <col min="3" max="4" width="10.19921875" customWidth="1"/>
    <col min="5" max="5" width="10.19921875" style="3" customWidth="1"/>
    <col min="6" max="6" width="10.19921875" customWidth="1"/>
    <col min="7" max="7" width="10.3984375" customWidth="1"/>
    <col min="8" max="8" width="9.19921875" bestFit="1" customWidth="1"/>
    <col min="9" max="9" width="9.19921875" style="3" bestFit="1" customWidth="1"/>
    <col min="10" max="12" width="14.19921875" style="3" customWidth="1"/>
    <col min="13" max="13" width="12" style="1" bestFit="1" customWidth="1"/>
    <col min="14" max="14" width="9.19921875" bestFit="1" customWidth="1"/>
    <col min="15" max="15" width="9.3984375" customWidth="1"/>
    <col min="16" max="16" width="8.796875" customWidth="1"/>
    <col min="17" max="17" width="10.19921875" style="4" customWidth="1"/>
    <col min="18" max="18" width="11.59765625" style="4" customWidth="1"/>
    <col min="19" max="19" width="9.19921875" bestFit="1" customWidth="1"/>
    <col min="20" max="20" width="10.796875" customWidth="1"/>
    <col min="21" max="21" width="9.19921875" bestFit="1" customWidth="1"/>
    <col min="22" max="22" width="14.796875" style="5" bestFit="1" customWidth="1"/>
    <col min="23" max="23" width="9.19921875" customWidth="1"/>
    <col min="24" max="24" width="43.59765625" customWidth="1"/>
  </cols>
  <sheetData>
    <row r="1" spans="1:24" x14ac:dyDescent="0.1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</row>
    <row r="2" spans="1:24" x14ac:dyDescent="0.15">
      <c r="A2" s="9" t="s">
        <v>1</v>
      </c>
      <c r="B2" s="9" t="s">
        <v>1</v>
      </c>
      <c r="C2" s="10" t="s">
        <v>2</v>
      </c>
      <c r="D2" s="10" t="s">
        <v>2</v>
      </c>
      <c r="E2" s="9" t="s">
        <v>1</v>
      </c>
      <c r="F2" s="10" t="s">
        <v>2</v>
      </c>
      <c r="G2" s="9" t="s">
        <v>1</v>
      </c>
      <c r="H2" s="10"/>
      <c r="I2" s="9" t="s">
        <v>1</v>
      </c>
      <c r="J2" s="9" t="s">
        <v>1</v>
      </c>
      <c r="K2" s="9"/>
      <c r="L2" s="9"/>
      <c r="M2" s="56" t="s">
        <v>1</v>
      </c>
      <c r="N2" s="9" t="s">
        <v>1</v>
      </c>
      <c r="O2" s="9" t="s">
        <v>1</v>
      </c>
      <c r="P2" s="10" t="s">
        <v>2</v>
      </c>
      <c r="Q2" s="11"/>
      <c r="R2" s="11"/>
      <c r="S2" s="12"/>
      <c r="T2" s="12"/>
      <c r="U2" s="12"/>
      <c r="V2" s="99"/>
      <c r="W2" s="12"/>
      <c r="X2" s="10" t="s">
        <v>2</v>
      </c>
    </row>
    <row r="3" spans="1:24" ht="12.75" customHeight="1" x14ac:dyDescent="0.15">
      <c r="A3" s="12" t="s">
        <v>3</v>
      </c>
      <c r="B3" s="12" t="s">
        <v>4</v>
      </c>
      <c r="C3" s="12" t="s">
        <v>171</v>
      </c>
      <c r="D3" s="12" t="s">
        <v>6</v>
      </c>
      <c r="E3" s="13" t="s">
        <v>7</v>
      </c>
      <c r="F3" s="12" t="s">
        <v>8</v>
      </c>
      <c r="G3" s="12" t="s">
        <v>9</v>
      </c>
      <c r="H3" s="12" t="s">
        <v>10</v>
      </c>
      <c r="I3" s="10" t="s">
        <v>11</v>
      </c>
      <c r="J3" s="10" t="s">
        <v>12</v>
      </c>
      <c r="K3" s="10" t="s">
        <v>172</v>
      </c>
      <c r="L3" s="10" t="s">
        <v>173</v>
      </c>
      <c r="M3" s="57" t="s">
        <v>13</v>
      </c>
      <c r="N3" s="12" t="s">
        <v>14</v>
      </c>
      <c r="O3" s="12" t="s">
        <v>15</v>
      </c>
      <c r="P3" s="12" t="s">
        <v>16</v>
      </c>
      <c r="Q3" s="11" t="s">
        <v>17</v>
      </c>
      <c r="R3" s="11" t="s">
        <v>18</v>
      </c>
      <c r="S3" s="12" t="s">
        <v>19</v>
      </c>
      <c r="T3" s="12" t="s">
        <v>20</v>
      </c>
      <c r="U3" s="12" t="s">
        <v>21</v>
      </c>
      <c r="V3" s="100" t="s">
        <v>174</v>
      </c>
      <c r="W3" s="12" t="s">
        <v>175</v>
      </c>
      <c r="X3" s="12" t="s">
        <v>22</v>
      </c>
    </row>
    <row r="4" spans="1:24" x14ac:dyDescent="0.15">
      <c r="A4" t="s">
        <v>543</v>
      </c>
      <c r="C4" s="4"/>
      <c r="D4" t="s">
        <v>86</v>
      </c>
      <c r="E4" s="3">
        <v>2</v>
      </c>
      <c r="G4">
        <v>0.3</v>
      </c>
      <c r="H4" s="5">
        <v>5.7</v>
      </c>
      <c r="J4" s="59">
        <v>44966</v>
      </c>
      <c r="K4" s="59"/>
      <c r="L4" s="59" t="e" cm="1">
        <f t="array" ref="L4">INDEX($J$4:J1094, MATCH(1,(A4=$A$4:A1092)*("Y"=$K$4:K1094),0))</f>
        <v>#N/A</v>
      </c>
      <c r="M4" s="1">
        <v>1000000</v>
      </c>
      <c r="N4">
        <v>63</v>
      </c>
      <c r="O4">
        <v>71</v>
      </c>
      <c r="Q4" s="6">
        <f>(SUM(Pcfu43[[#This Row],[R1]:[R3]]))/(Pcfu43[[#This Row],[No. Reps]]*0.015)*Pcfu43[[#This Row],[Best DF]]</f>
        <v>4466666666.666667</v>
      </c>
      <c r="R4" s="1">
        <f>_xlfn.STDEV.S(Pcfu43[[#This Row],[R1]:[R3]])/0.015*Pcfu43[[#This Row],[Best DF]]</f>
        <v>377123616.63282537</v>
      </c>
      <c r="S4" s="6">
        <f>Pcfu43[[#This Row],[CFU/mL]]*Pcfu43[[#This Row],[mL]]/Pcfu43[[#This Row],[grams]]</f>
        <v>84866666666.666687</v>
      </c>
      <c r="T4" s="1">
        <f>Pcfu43[[#This Row],[SD CFU/mL]]*Pcfu43[[#This Row],[mL]]/Pcfu43[[#This Row],[grams]]</f>
        <v>7165348716.0236826</v>
      </c>
      <c r="U4" s="2">
        <f>_xlfn.STDEV.S(Pcfu43[[#This Row],[R1]:[R3]])/AVERAGE(Pcfu43[[#This Row],[R1]:[R3]])</f>
        <v>8.4430660440184782E-2</v>
      </c>
      <c r="V4" s="101"/>
      <c r="W4" s="2"/>
      <c r="X4" t="s">
        <v>544</v>
      </c>
    </row>
    <row r="5" spans="1:24" x14ac:dyDescent="0.15">
      <c r="A5" t="s">
        <v>545</v>
      </c>
      <c r="C5" s="4"/>
      <c r="D5" t="s">
        <v>86</v>
      </c>
      <c r="E5" s="3">
        <v>2</v>
      </c>
      <c r="G5">
        <v>0.3</v>
      </c>
      <c r="H5" s="5">
        <v>5.7</v>
      </c>
      <c r="J5" s="59">
        <v>44966</v>
      </c>
      <c r="K5" s="59"/>
      <c r="L5" s="59" t="e" cm="1">
        <f t="array" ref="L5">INDEX($J$4:J1095, MATCH(1,(A5=$A$4:A1093)*("Y"=$K$4:K1095),0))</f>
        <v>#N/A</v>
      </c>
      <c r="M5" s="1">
        <v>1000000</v>
      </c>
      <c r="N5">
        <v>56</v>
      </c>
      <c r="O5">
        <v>63</v>
      </c>
      <c r="Q5" s="6">
        <f>(SUM(Pcfu43[[#This Row],[R1]:[R3]]))/(Pcfu43[[#This Row],[No. Reps]]*0.015)*Pcfu43[[#This Row],[Best DF]]</f>
        <v>3966666666.666667</v>
      </c>
      <c r="R5" s="1">
        <f>_xlfn.STDEV.S(Pcfu43[[#This Row],[R1]:[R3]])/0.015*Pcfu43[[#This Row],[Best DF]]</f>
        <v>329983164.5537222</v>
      </c>
      <c r="S5" s="6">
        <f>Pcfu43[[#This Row],[CFU/mL]]*Pcfu43[[#This Row],[mL]]/Pcfu43[[#This Row],[grams]]</f>
        <v>75366666666.666687</v>
      </c>
      <c r="T5" s="1">
        <f>Pcfu43[[#This Row],[SD CFU/mL]]*Pcfu43[[#This Row],[mL]]/Pcfu43[[#This Row],[grams]]</f>
        <v>6269680126.5207224</v>
      </c>
      <c r="U5" s="2">
        <f>_xlfn.STDEV.S(Pcfu43[[#This Row],[R1]:[R3]])/AVERAGE(Pcfu43[[#This Row],[R1]:[R3]])</f>
        <v>8.3189033080770303E-2</v>
      </c>
      <c r="V5" s="101"/>
      <c r="W5" s="2"/>
      <c r="X5" t="s">
        <v>544</v>
      </c>
    </row>
    <row r="6" spans="1:24" x14ac:dyDescent="0.15">
      <c r="A6" t="s">
        <v>546</v>
      </c>
      <c r="C6" s="4"/>
      <c r="D6" t="s">
        <v>86</v>
      </c>
      <c r="E6" s="3">
        <v>2</v>
      </c>
      <c r="G6">
        <v>0.3</v>
      </c>
      <c r="H6" s="5">
        <v>5.7</v>
      </c>
      <c r="J6" s="59">
        <v>44966</v>
      </c>
      <c r="K6" s="59"/>
      <c r="L6" s="59" t="e" cm="1">
        <f t="array" ref="L6">INDEX($J$4:J1096, MATCH(1,(A6=$A$4:A1094)*("Y"=$K$4:K1096),0))</f>
        <v>#N/A</v>
      </c>
      <c r="M6" s="1">
        <v>1000000</v>
      </c>
      <c r="N6">
        <v>85</v>
      </c>
      <c r="O6">
        <v>93</v>
      </c>
      <c r="Q6" s="6">
        <f>(SUM(Pcfu43[[#This Row],[R1]:[R3]]))/(Pcfu43[[#This Row],[No. Reps]]*0.015)*Pcfu43[[#This Row],[Best DF]]</f>
        <v>5933333333.333334</v>
      </c>
      <c r="R6" s="1">
        <f>_xlfn.STDEV.S(Pcfu43[[#This Row],[R1]:[R3]])/0.015*Pcfu43[[#This Row],[Best DF]]</f>
        <v>377123616.63282537</v>
      </c>
      <c r="S6" s="6">
        <f>Pcfu43[[#This Row],[CFU/mL]]*Pcfu43[[#This Row],[mL]]/Pcfu43[[#This Row],[grams]]</f>
        <v>112733333333.33334</v>
      </c>
      <c r="T6" s="1">
        <f>Pcfu43[[#This Row],[SD CFU/mL]]*Pcfu43[[#This Row],[mL]]/Pcfu43[[#This Row],[grams]]</f>
        <v>7165348716.0236826</v>
      </c>
      <c r="U6" s="2">
        <f>_xlfn.STDEV.S(Pcfu43[[#This Row],[R1]:[R3]])/AVERAGE(Pcfu43[[#This Row],[R1]:[R3]])</f>
        <v>6.3560160106655966E-2</v>
      </c>
      <c r="V6" s="101"/>
      <c r="W6" s="2"/>
      <c r="X6" t="s">
        <v>544</v>
      </c>
    </row>
    <row r="7" spans="1:24" x14ac:dyDescent="0.15">
      <c r="A7" t="s">
        <v>547</v>
      </c>
      <c r="C7" s="4"/>
      <c r="D7" t="s">
        <v>86</v>
      </c>
      <c r="E7" s="3">
        <v>2</v>
      </c>
      <c r="G7">
        <v>0.3</v>
      </c>
      <c r="H7" s="5">
        <v>5.7</v>
      </c>
      <c r="J7" s="59">
        <v>44966</v>
      </c>
      <c r="K7" s="59"/>
      <c r="L7" s="59" t="e" cm="1">
        <f t="array" ref="L7">INDEX($J$4:J1097, MATCH(1,(A7=$A$4:A1095)*("Y"=$K$4:K1097),0))</f>
        <v>#N/A</v>
      </c>
      <c r="M7" s="1">
        <v>1000000</v>
      </c>
      <c r="N7">
        <v>96</v>
      </c>
      <c r="O7">
        <v>89</v>
      </c>
      <c r="Q7" s="6">
        <f>(SUM(Pcfu43[[#This Row],[R1]:[R3]]))/(Pcfu43[[#This Row],[No. Reps]]*0.015)*Pcfu43[[#This Row],[Best DF]]</f>
        <v>6166666666.666667</v>
      </c>
      <c r="R7" s="1">
        <f>_xlfn.STDEV.S(Pcfu43[[#This Row],[R1]:[R3]])/0.015*Pcfu43[[#This Row],[Best DF]]</f>
        <v>329983164.5537222</v>
      </c>
      <c r="S7" s="6">
        <f>Pcfu43[[#This Row],[CFU/mL]]*Pcfu43[[#This Row],[mL]]/Pcfu43[[#This Row],[grams]]</f>
        <v>117166666666.66667</v>
      </c>
      <c r="T7" s="1">
        <f>Pcfu43[[#This Row],[SD CFU/mL]]*Pcfu43[[#This Row],[mL]]/Pcfu43[[#This Row],[grams]]</f>
        <v>6269680126.5207224</v>
      </c>
      <c r="U7" s="2">
        <f>_xlfn.STDEV.S(Pcfu43[[#This Row],[R1]:[R3]])/AVERAGE(Pcfu43[[#This Row],[R1]:[R3]])</f>
        <v>5.3510783441144134E-2</v>
      </c>
      <c r="V7" s="101"/>
      <c r="W7" s="2"/>
      <c r="X7" t="s">
        <v>544</v>
      </c>
    </row>
    <row r="8" spans="1:24" x14ac:dyDescent="0.15">
      <c r="A8" t="s">
        <v>548</v>
      </c>
      <c r="C8" s="4"/>
      <c r="D8" t="s">
        <v>86</v>
      </c>
      <c r="E8" s="3">
        <v>2</v>
      </c>
      <c r="G8">
        <v>0.3</v>
      </c>
      <c r="H8" s="5">
        <v>5.7</v>
      </c>
      <c r="J8" s="59">
        <v>44966</v>
      </c>
      <c r="K8" s="59"/>
      <c r="L8" s="59" t="e" cm="1">
        <f t="array" ref="L8">INDEX($J$4:J1098, MATCH(1,(A8=$A$4:A1096)*("Y"=$K$4:K1098),0))</f>
        <v>#N/A</v>
      </c>
      <c r="M8" s="1">
        <v>1000000</v>
      </c>
      <c r="N8">
        <v>83</v>
      </c>
      <c r="O8">
        <v>92</v>
      </c>
      <c r="Q8" s="6">
        <f>(SUM(Pcfu43[[#This Row],[R1]:[R3]]))/(Pcfu43[[#This Row],[No. Reps]]*0.015)*Pcfu43[[#This Row],[Best DF]]</f>
        <v>5833333333.333334</v>
      </c>
      <c r="R8" s="1">
        <f>_xlfn.STDEV.S(Pcfu43[[#This Row],[R1]:[R3]])/0.015*Pcfu43[[#This Row],[Best DF]]</f>
        <v>424264068.71192855</v>
      </c>
      <c r="S8" s="6">
        <f>Pcfu43[[#This Row],[CFU/mL]]*Pcfu43[[#This Row],[mL]]/Pcfu43[[#This Row],[grams]]</f>
        <v>110833333333.33334</v>
      </c>
      <c r="T8" s="1">
        <f>Pcfu43[[#This Row],[SD CFU/mL]]*Pcfu43[[#This Row],[mL]]/Pcfu43[[#This Row],[grams]]</f>
        <v>8061017305.5266428</v>
      </c>
      <c r="U8" s="2">
        <f>_xlfn.STDEV.S(Pcfu43[[#This Row],[R1]:[R3]])/AVERAGE(Pcfu43[[#This Row],[R1]:[R3]])</f>
        <v>7.273098320775917E-2</v>
      </c>
      <c r="V8" s="101"/>
      <c r="W8" s="2"/>
      <c r="X8" t="s">
        <v>544</v>
      </c>
    </row>
    <row r="9" spans="1:24" x14ac:dyDescent="0.15">
      <c r="A9" t="s">
        <v>549</v>
      </c>
      <c r="C9" s="4"/>
      <c r="D9" t="s">
        <v>86</v>
      </c>
      <c r="E9" s="3">
        <v>2</v>
      </c>
      <c r="G9">
        <v>0.3</v>
      </c>
      <c r="H9" s="5">
        <v>5.7</v>
      </c>
      <c r="J9" s="59">
        <v>44966</v>
      </c>
      <c r="K9" s="59"/>
      <c r="L9" s="59" t="e" cm="1">
        <f t="array" ref="L9">INDEX($J$4:J1099, MATCH(1,(A9=$A$4:A1097)*("Y"=$K$4:K1099),0))</f>
        <v>#N/A</v>
      </c>
      <c r="M9" s="1">
        <v>10000000</v>
      </c>
      <c r="N9">
        <v>22</v>
      </c>
      <c r="O9">
        <v>21</v>
      </c>
      <c r="Q9" s="6">
        <f>(SUM(Pcfu43[[#This Row],[R1]:[R3]]))/(Pcfu43[[#This Row],[No. Reps]]*0.015)*Pcfu43[[#This Row],[Best DF]]</f>
        <v>14333333333.333334</v>
      </c>
      <c r="R9" s="1">
        <f>_xlfn.STDEV.S(Pcfu43[[#This Row],[R1]:[R3]])/0.015*Pcfu43[[#This Row],[Best DF]]</f>
        <v>471404520.79103172</v>
      </c>
      <c r="S9" s="6">
        <f>Pcfu43[[#This Row],[CFU/mL]]*Pcfu43[[#This Row],[mL]]/Pcfu43[[#This Row],[grams]]</f>
        <v>272333333333.33334</v>
      </c>
      <c r="T9" s="1">
        <f>Pcfu43[[#This Row],[SD CFU/mL]]*Pcfu43[[#This Row],[mL]]/Pcfu43[[#This Row],[grams]]</f>
        <v>8956685895.029604</v>
      </c>
      <c r="U9" s="2">
        <f>_xlfn.STDEV.S(Pcfu43[[#This Row],[R1]:[R3]])/AVERAGE(Pcfu43[[#This Row],[R1]:[R3]])</f>
        <v>3.2888687497048721E-2</v>
      </c>
      <c r="V9" s="101"/>
      <c r="W9" s="2"/>
      <c r="X9" t="s">
        <v>544</v>
      </c>
    </row>
    <row r="10" spans="1:24" x14ac:dyDescent="0.15">
      <c r="A10" t="s">
        <v>550</v>
      </c>
      <c r="C10" s="4"/>
      <c r="D10" t="s">
        <v>86</v>
      </c>
      <c r="E10" s="3">
        <v>2</v>
      </c>
      <c r="G10">
        <v>0.3</v>
      </c>
      <c r="H10" s="5">
        <v>5.7</v>
      </c>
      <c r="J10" s="59">
        <v>44966</v>
      </c>
      <c r="K10" s="59"/>
      <c r="L10" s="59" t="e" cm="1">
        <f t="array" ref="L10">INDEX($J$4:J1100, MATCH(1,(A10=$A$4:A1098)*("Y"=$K$4:K1100),0))</f>
        <v>#N/A</v>
      </c>
      <c r="M10" s="1">
        <v>1000000</v>
      </c>
      <c r="N10">
        <v>104</v>
      </c>
      <c r="O10">
        <v>107</v>
      </c>
      <c r="Q10" s="6">
        <f>(SUM(Pcfu43[[#This Row],[R1]:[R3]]))/(Pcfu43[[#This Row],[No. Reps]]*0.015)*Pcfu43[[#This Row],[Best DF]]</f>
        <v>7033333333.333334</v>
      </c>
      <c r="R10" s="1">
        <f>_xlfn.STDEV.S(Pcfu43[[#This Row],[R1]:[R3]])/0.015*Pcfu43[[#This Row],[Best DF]]</f>
        <v>141421356.23730952</v>
      </c>
      <c r="S10" s="6">
        <f>Pcfu43[[#This Row],[CFU/mL]]*Pcfu43[[#This Row],[mL]]/Pcfu43[[#This Row],[grams]]</f>
        <v>133633333333.33336</v>
      </c>
      <c r="T10" s="1">
        <f>Pcfu43[[#This Row],[SD CFU/mL]]*Pcfu43[[#This Row],[mL]]/Pcfu43[[#This Row],[grams]]</f>
        <v>2687005768.5088811</v>
      </c>
      <c r="U10" s="2">
        <f>_xlfn.STDEV.S(Pcfu43[[#This Row],[R1]:[R3]])/AVERAGE(Pcfu43[[#This Row],[R1]:[R3]])</f>
        <v>2.0107301834688552E-2</v>
      </c>
      <c r="V10" s="101"/>
      <c r="W10" s="2"/>
      <c r="X10" t="s">
        <v>544</v>
      </c>
    </row>
    <row r="11" spans="1:24" x14ac:dyDescent="0.15">
      <c r="A11" t="s">
        <v>551</v>
      </c>
      <c r="C11" s="4"/>
      <c r="D11" t="s">
        <v>86</v>
      </c>
      <c r="E11" s="3">
        <v>2</v>
      </c>
      <c r="G11">
        <v>0.3</v>
      </c>
      <c r="H11" s="5">
        <v>5.7</v>
      </c>
      <c r="J11" s="59">
        <v>44966</v>
      </c>
      <c r="K11" s="59"/>
      <c r="L11" s="59" t="e" cm="1">
        <f t="array" ref="L11">INDEX($J$4:J1101, MATCH(1,(A11=$A$4:A1099)*("Y"=$K$4:K1101),0))</f>
        <v>#N/A</v>
      </c>
      <c r="M11" s="1">
        <v>10000000</v>
      </c>
      <c r="N11">
        <v>19</v>
      </c>
      <c r="O11">
        <v>21</v>
      </c>
      <c r="Q11" s="6">
        <f>(SUM(Pcfu43[[#This Row],[R1]:[R3]]))/(Pcfu43[[#This Row],[No. Reps]]*0.015)*Pcfu43[[#This Row],[Best DF]]</f>
        <v>13333333333.333334</v>
      </c>
      <c r="R11" s="1">
        <f>_xlfn.STDEV.S(Pcfu43[[#This Row],[R1]:[R3]])/0.015*Pcfu43[[#This Row],[Best DF]]</f>
        <v>942809041.58206344</v>
      </c>
      <c r="S11" s="6">
        <f>Pcfu43[[#This Row],[CFU/mL]]*Pcfu43[[#This Row],[mL]]/Pcfu43[[#This Row],[grams]]</f>
        <v>253333333333.33334</v>
      </c>
      <c r="T11" s="1">
        <f>Pcfu43[[#This Row],[SD CFU/mL]]*Pcfu43[[#This Row],[mL]]/Pcfu43[[#This Row],[grams]]</f>
        <v>17913371790.059208</v>
      </c>
      <c r="U11" s="2">
        <f>_xlfn.STDEV.S(Pcfu43[[#This Row],[R1]:[R3]])/AVERAGE(Pcfu43[[#This Row],[R1]:[R3]])</f>
        <v>7.0710678118654752E-2</v>
      </c>
      <c r="V11" s="101"/>
      <c r="W11" s="2"/>
      <c r="X11" t="s">
        <v>544</v>
      </c>
    </row>
    <row r="12" spans="1:24" x14ac:dyDescent="0.15">
      <c r="A12" t="s">
        <v>552</v>
      </c>
      <c r="C12" s="4"/>
      <c r="D12" t="s">
        <v>86</v>
      </c>
      <c r="E12" s="3">
        <v>2</v>
      </c>
      <c r="G12">
        <v>0.3</v>
      </c>
      <c r="H12" s="5">
        <v>5.7</v>
      </c>
      <c r="J12" s="59">
        <v>44966</v>
      </c>
      <c r="K12" s="59"/>
      <c r="L12" s="59" t="e" cm="1">
        <f t="array" ref="L12">INDEX($J$4:J1102, MATCH(1,(A12=$A$4:A1100)*("Y"=$K$4:K1102),0))</f>
        <v>#N/A</v>
      </c>
      <c r="M12" s="1">
        <v>1000000</v>
      </c>
      <c r="N12">
        <v>108</v>
      </c>
      <c r="O12">
        <v>115</v>
      </c>
      <c r="Q12" s="6">
        <f>(SUM(Pcfu43[[#This Row],[R1]:[R3]]))/(Pcfu43[[#This Row],[No. Reps]]*0.015)*Pcfu43[[#This Row],[Best DF]]</f>
        <v>7433333333.333334</v>
      </c>
      <c r="R12" s="1">
        <f>_xlfn.STDEV.S(Pcfu43[[#This Row],[R1]:[R3]])/0.015*Pcfu43[[#This Row],[Best DF]]</f>
        <v>329983164.5537222</v>
      </c>
      <c r="S12" s="6">
        <f>Pcfu43[[#This Row],[CFU/mL]]*Pcfu43[[#This Row],[mL]]/Pcfu43[[#This Row],[grams]]</f>
        <v>141233333333.33337</v>
      </c>
      <c r="T12" s="1">
        <f>Pcfu43[[#This Row],[SD CFU/mL]]*Pcfu43[[#This Row],[mL]]/Pcfu43[[#This Row],[grams]]</f>
        <v>6269680126.5207224</v>
      </c>
      <c r="U12" s="2">
        <f>_xlfn.STDEV.S(Pcfu43[[#This Row],[R1]:[R3]])/AVERAGE(Pcfu43[[#This Row],[R1]:[R3]])</f>
        <v>4.4392353975837066E-2</v>
      </c>
      <c r="V12" s="101"/>
      <c r="W12" s="2"/>
      <c r="X12" t="s">
        <v>544</v>
      </c>
    </row>
    <row r="13" spans="1:24" x14ac:dyDescent="0.15">
      <c r="A13" t="s">
        <v>553</v>
      </c>
      <c r="C13" s="4"/>
      <c r="D13" t="s">
        <v>86</v>
      </c>
      <c r="E13" s="3">
        <v>2</v>
      </c>
      <c r="G13">
        <v>0.3</v>
      </c>
      <c r="H13" s="5">
        <v>5.7</v>
      </c>
      <c r="J13" s="59">
        <v>44966</v>
      </c>
      <c r="K13" s="59"/>
      <c r="L13" s="59" t="e" cm="1">
        <f t="array" ref="L13">INDEX($J$4:J1103, MATCH(1,(A13=$A$4:A1101)*("Y"=$K$4:K1103),0))</f>
        <v>#N/A</v>
      </c>
      <c r="M13" s="1">
        <v>10000000</v>
      </c>
      <c r="N13">
        <v>19</v>
      </c>
      <c r="O13">
        <v>23</v>
      </c>
      <c r="Q13" s="6">
        <f>(SUM(Pcfu43[[#This Row],[R1]:[R3]]))/(Pcfu43[[#This Row],[No. Reps]]*0.015)*Pcfu43[[#This Row],[Best DF]]</f>
        <v>14000000000</v>
      </c>
      <c r="R13" s="1">
        <f>_xlfn.STDEV.S(Pcfu43[[#This Row],[R1]:[R3]])/0.015*Pcfu43[[#This Row],[Best DF]]</f>
        <v>1885618083.1641269</v>
      </c>
      <c r="S13" s="6">
        <f>Pcfu43[[#This Row],[CFU/mL]]*Pcfu43[[#This Row],[mL]]/Pcfu43[[#This Row],[grams]]</f>
        <v>266000000000</v>
      </c>
      <c r="T13" s="1">
        <f>Pcfu43[[#This Row],[SD CFU/mL]]*Pcfu43[[#This Row],[mL]]/Pcfu43[[#This Row],[grams]]</f>
        <v>35826743580.118416</v>
      </c>
      <c r="U13" s="2">
        <f>_xlfn.STDEV.S(Pcfu43[[#This Row],[R1]:[R3]])/AVERAGE(Pcfu43[[#This Row],[R1]:[R3]])</f>
        <v>0.13468700594029479</v>
      </c>
      <c r="V13" s="101"/>
      <c r="W13" s="2"/>
      <c r="X13" t="s">
        <v>544</v>
      </c>
    </row>
    <row r="14" spans="1:24" x14ac:dyDescent="0.15">
      <c r="A14" t="s">
        <v>554</v>
      </c>
      <c r="C14" s="4"/>
      <c r="D14" t="s">
        <v>86</v>
      </c>
      <c r="E14" s="3">
        <v>2</v>
      </c>
      <c r="G14">
        <v>0.3</v>
      </c>
      <c r="H14" s="5">
        <v>5.7</v>
      </c>
      <c r="J14" s="59">
        <v>44966</v>
      </c>
      <c r="K14" s="59"/>
      <c r="L14" s="59" t="e" cm="1">
        <f t="array" ref="L14">INDEX($J$4:J1104, MATCH(1,(A14=$A$4:A1102)*("Y"=$K$4:K1104),0))</f>
        <v>#N/A</v>
      </c>
      <c r="M14" s="1">
        <v>1000000</v>
      </c>
      <c r="N14">
        <v>93</v>
      </c>
      <c r="O14">
        <v>95</v>
      </c>
      <c r="Q14" s="6">
        <f>(SUM(Pcfu43[[#This Row],[R1]:[R3]]))/(Pcfu43[[#This Row],[No. Reps]]*0.015)*Pcfu43[[#This Row],[Best DF]]</f>
        <v>6266666666.666667</v>
      </c>
      <c r="R14" s="1">
        <f>_xlfn.STDEV.S(Pcfu43[[#This Row],[R1]:[R3]])/0.015*Pcfu43[[#This Row],[Best DF]]</f>
        <v>94280904.158206344</v>
      </c>
      <c r="S14" s="6">
        <f>Pcfu43[[#This Row],[CFU/mL]]*Pcfu43[[#This Row],[mL]]/Pcfu43[[#This Row],[grams]]</f>
        <v>119066666666.66667</v>
      </c>
      <c r="T14" s="1">
        <f>Pcfu43[[#This Row],[SD CFU/mL]]*Pcfu43[[#This Row],[mL]]/Pcfu43[[#This Row],[grams]]</f>
        <v>1791337179.0059206</v>
      </c>
      <c r="U14" s="2">
        <f>_xlfn.STDEV.S(Pcfu43[[#This Row],[R1]:[R3]])/AVERAGE(Pcfu43[[#This Row],[R1]:[R3]])</f>
        <v>1.5044825131628671E-2</v>
      </c>
      <c r="V14" s="101"/>
      <c r="W14" s="2"/>
      <c r="X14" t="s">
        <v>544</v>
      </c>
    </row>
    <row r="15" spans="1:24" x14ac:dyDescent="0.15">
      <c r="A15" t="s">
        <v>555</v>
      </c>
      <c r="C15" s="4"/>
      <c r="D15" t="s">
        <v>86</v>
      </c>
      <c r="E15" s="3">
        <v>2</v>
      </c>
      <c r="G15">
        <v>0.3</v>
      </c>
      <c r="H15" s="5">
        <v>5.7</v>
      </c>
      <c r="J15" s="59">
        <v>44966</v>
      </c>
      <c r="K15" s="59"/>
      <c r="L15" s="59" t="e" cm="1">
        <f t="array" ref="L15">INDEX($J$4:J1105, MATCH(1,(A15=$A$4:A1103)*("Y"=$K$4:K1105),0))</f>
        <v>#N/A</v>
      </c>
      <c r="M15" s="1">
        <v>1000000</v>
      </c>
      <c r="N15">
        <v>89</v>
      </c>
      <c r="O15">
        <v>80</v>
      </c>
      <c r="Q15" s="6">
        <f>(SUM(Pcfu43[[#This Row],[R1]:[R3]]))/(Pcfu43[[#This Row],[No. Reps]]*0.015)*Pcfu43[[#This Row],[Best DF]]</f>
        <v>5633333333.333334</v>
      </c>
      <c r="R15" s="1">
        <f>_xlfn.STDEV.S(Pcfu43[[#This Row],[R1]:[R3]])/0.015*Pcfu43[[#This Row],[Best DF]]</f>
        <v>424264068.71192855</v>
      </c>
      <c r="S15" s="6">
        <f>Pcfu43[[#This Row],[CFU/mL]]*Pcfu43[[#This Row],[mL]]/Pcfu43[[#This Row],[grams]]</f>
        <v>107033333333.33334</v>
      </c>
      <c r="T15" s="1">
        <f>Pcfu43[[#This Row],[SD CFU/mL]]*Pcfu43[[#This Row],[mL]]/Pcfu43[[#This Row],[grams]]</f>
        <v>8061017305.5266428</v>
      </c>
      <c r="U15" s="2">
        <f>_xlfn.STDEV.S(Pcfu43[[#This Row],[R1]:[R3]])/AVERAGE(Pcfu43[[#This Row],[R1]:[R3]])</f>
        <v>7.5313148292058318E-2</v>
      </c>
      <c r="V15" s="101"/>
      <c r="W15" s="2"/>
      <c r="X15" t="s">
        <v>544</v>
      </c>
    </row>
    <row r="16" spans="1:24" x14ac:dyDescent="0.15">
      <c r="A16" t="s">
        <v>546</v>
      </c>
      <c r="B16" t="s">
        <v>564</v>
      </c>
      <c r="C16" s="4"/>
      <c r="D16" t="s">
        <v>86</v>
      </c>
      <c r="E16" s="3">
        <v>2</v>
      </c>
      <c r="G16">
        <v>0.3</v>
      </c>
      <c r="H16" s="5">
        <v>5.7</v>
      </c>
      <c r="I16" s="3" t="s">
        <v>170</v>
      </c>
      <c r="J16" s="59">
        <v>44978</v>
      </c>
      <c r="K16" s="59"/>
      <c r="L16" s="59" t="e" cm="1">
        <f t="array" ref="L16">INDEX($J$4:J1106, MATCH(1,(A16=$A$4:A1104)*("Y"=$K$4:K1106),0))</f>
        <v>#N/A</v>
      </c>
      <c r="M16" s="1">
        <v>1000000</v>
      </c>
      <c r="N16">
        <v>61</v>
      </c>
      <c r="O16">
        <v>58</v>
      </c>
      <c r="Q16" s="6">
        <f>(SUM(Pcfu43[[#This Row],[R1]:[R3]]))/(Pcfu43[[#This Row],[No. Reps]]*0.015)*Pcfu43[[#This Row],[Best DF]]</f>
        <v>3966666666.666667</v>
      </c>
      <c r="R16" s="1">
        <f>_xlfn.STDEV.S(Pcfu43[[#This Row],[R1]:[R3]])/0.015*Pcfu43[[#This Row],[Best DF]]</f>
        <v>141421356.23730952</v>
      </c>
      <c r="S16" s="6">
        <f>Pcfu43[[#This Row],[CFU/mL]]*Pcfu43[[#This Row],[mL]]/Pcfu43[[#This Row],[grams]]</f>
        <v>75366666666.666687</v>
      </c>
      <c r="T16" s="1">
        <f>Pcfu43[[#This Row],[SD CFU/mL]]*Pcfu43[[#This Row],[mL]]/Pcfu43[[#This Row],[grams]]</f>
        <v>2687005768.5088811</v>
      </c>
      <c r="U16" s="2">
        <f>_xlfn.STDEV.S(Pcfu43[[#This Row],[R1]:[R3]])/AVERAGE(Pcfu43[[#This Row],[R1]:[R3]])</f>
        <v>3.5652442748901551E-2</v>
      </c>
      <c r="V16" s="101"/>
      <c r="W16" s="2"/>
      <c r="X16" t="s">
        <v>544</v>
      </c>
    </row>
    <row r="17" spans="1:24" x14ac:dyDescent="0.15">
      <c r="A17" t="s">
        <v>565</v>
      </c>
      <c r="B17" t="s">
        <v>564</v>
      </c>
      <c r="C17" s="4"/>
      <c r="D17" t="s">
        <v>86</v>
      </c>
      <c r="E17" s="3">
        <v>2</v>
      </c>
      <c r="G17">
        <v>0.3</v>
      </c>
      <c r="H17" s="5">
        <v>5.7</v>
      </c>
      <c r="I17" s="3" t="s">
        <v>170</v>
      </c>
      <c r="J17" s="59">
        <v>44978</v>
      </c>
      <c r="K17" s="59"/>
      <c r="L17" s="59" t="e" cm="1">
        <f t="array" ref="L17">INDEX($J$4:J1107, MATCH(1,(A17=$A$4:A1105)*("Y"=$K$4:K1107),0))</f>
        <v>#N/A</v>
      </c>
      <c r="M17" s="1">
        <v>1000000</v>
      </c>
      <c r="N17">
        <v>113</v>
      </c>
      <c r="O17">
        <v>95</v>
      </c>
      <c r="Q17" s="6">
        <f>(SUM(Pcfu43[[#This Row],[R1]:[R3]]))/(Pcfu43[[#This Row],[No. Reps]]*0.015)*Pcfu43[[#This Row],[Best DF]]</f>
        <v>6933333333.333334</v>
      </c>
      <c r="R17" s="1">
        <f>_xlfn.STDEV.S(Pcfu43[[#This Row],[R1]:[R3]])/0.015*Pcfu43[[#This Row],[Best DF]]</f>
        <v>848528137.42385709</v>
      </c>
      <c r="S17" s="6">
        <f>Pcfu43[[#This Row],[CFU/mL]]*Pcfu43[[#This Row],[mL]]/Pcfu43[[#This Row],[grams]]</f>
        <v>131733333333.33336</v>
      </c>
      <c r="T17" s="1">
        <f>Pcfu43[[#This Row],[SD CFU/mL]]*Pcfu43[[#This Row],[mL]]/Pcfu43[[#This Row],[grams]]</f>
        <v>16122034611.053286</v>
      </c>
      <c r="U17" s="2">
        <f>_xlfn.STDEV.S(Pcfu43[[#This Row],[R1]:[R3]])/AVERAGE(Pcfu43[[#This Row],[R1]:[R3]])</f>
        <v>0.12238386597459476</v>
      </c>
      <c r="V17" s="101"/>
      <c r="W17" s="2"/>
      <c r="X17" t="s">
        <v>544</v>
      </c>
    </row>
    <row r="18" spans="1:24" x14ac:dyDescent="0.15">
      <c r="A18" t="s">
        <v>566</v>
      </c>
      <c r="B18" t="s">
        <v>564</v>
      </c>
      <c r="C18" s="4"/>
      <c r="D18" t="s">
        <v>86</v>
      </c>
      <c r="E18" s="3">
        <v>2</v>
      </c>
      <c r="G18">
        <v>0.3</v>
      </c>
      <c r="H18" s="5">
        <v>5.7</v>
      </c>
      <c r="I18" s="3" t="s">
        <v>170</v>
      </c>
      <c r="J18" s="59">
        <v>44978</v>
      </c>
      <c r="K18" s="59"/>
      <c r="L18" s="59" t="e" cm="1">
        <f t="array" ref="L18">INDEX($J$4:J1108, MATCH(1,(A18=$A$4:A1106)*("Y"=$K$4:K1108),0))</f>
        <v>#N/A</v>
      </c>
      <c r="M18" s="1">
        <v>1000000</v>
      </c>
      <c r="N18">
        <v>132</v>
      </c>
      <c r="O18">
        <v>147</v>
      </c>
      <c r="Q18" s="6">
        <f>(SUM(Pcfu43[[#This Row],[R1]:[R3]]))/(Pcfu43[[#This Row],[No. Reps]]*0.015)*Pcfu43[[#This Row],[Best DF]]</f>
        <v>9300000000</v>
      </c>
      <c r="R18" s="1">
        <f>_xlfn.STDEV.S(Pcfu43[[#This Row],[R1]:[R3]])/0.015*Pcfu43[[#This Row],[Best DF]]</f>
        <v>707106781.18654752</v>
      </c>
      <c r="S18" s="6">
        <f>Pcfu43[[#This Row],[CFU/mL]]*Pcfu43[[#This Row],[mL]]/Pcfu43[[#This Row],[grams]]</f>
        <v>176700000000</v>
      </c>
      <c r="T18" s="1">
        <f>Pcfu43[[#This Row],[SD CFU/mL]]*Pcfu43[[#This Row],[mL]]/Pcfu43[[#This Row],[grams]]</f>
        <v>13435028842.544403</v>
      </c>
      <c r="U18" s="2">
        <f>_xlfn.STDEV.S(Pcfu43[[#This Row],[R1]:[R3]])/AVERAGE(Pcfu43[[#This Row],[R1]:[R3]])</f>
        <v>7.6032987224359957E-2</v>
      </c>
      <c r="V18" s="101"/>
      <c r="W18" s="2"/>
      <c r="X18" t="s">
        <v>544</v>
      </c>
    </row>
    <row r="19" spans="1:24" x14ac:dyDescent="0.15">
      <c r="A19" t="s">
        <v>567</v>
      </c>
      <c r="B19" t="s">
        <v>564</v>
      </c>
      <c r="C19" s="4"/>
      <c r="D19" t="s">
        <v>86</v>
      </c>
      <c r="E19" s="3">
        <v>2</v>
      </c>
      <c r="G19">
        <v>0.3</v>
      </c>
      <c r="H19" s="5">
        <v>5.7</v>
      </c>
      <c r="I19" s="3" t="s">
        <v>170</v>
      </c>
      <c r="J19" s="59">
        <v>44978</v>
      </c>
      <c r="K19" s="59"/>
      <c r="L19" s="59" t="e" cm="1">
        <f t="array" ref="L19">INDEX($J$4:J1109, MATCH(1,(A19=$A$4:A1107)*("Y"=$K$4:K1109),0))</f>
        <v>#N/A</v>
      </c>
      <c r="M19" s="1">
        <v>1000000</v>
      </c>
      <c r="N19">
        <v>68</v>
      </c>
      <c r="O19">
        <v>74</v>
      </c>
      <c r="Q19" s="6">
        <f>(SUM(Pcfu43[[#This Row],[R1]:[R3]]))/(Pcfu43[[#This Row],[No. Reps]]*0.015)*Pcfu43[[#This Row],[Best DF]]</f>
        <v>4733333333.333334</v>
      </c>
      <c r="R19" s="1">
        <f>_xlfn.STDEV.S(Pcfu43[[#This Row],[R1]:[R3]])/0.015*Pcfu43[[#This Row],[Best DF]]</f>
        <v>282842712.47461903</v>
      </c>
      <c r="S19" s="6">
        <f>Pcfu43[[#This Row],[CFU/mL]]*Pcfu43[[#This Row],[mL]]/Pcfu43[[#This Row],[grams]]</f>
        <v>89933333333.333344</v>
      </c>
      <c r="T19" s="1">
        <f>Pcfu43[[#This Row],[SD CFU/mL]]*Pcfu43[[#This Row],[mL]]/Pcfu43[[#This Row],[grams]]</f>
        <v>5374011537.0177622</v>
      </c>
      <c r="U19" s="2">
        <f>_xlfn.STDEV.S(Pcfu43[[#This Row],[R1]:[R3]])/AVERAGE(Pcfu43[[#This Row],[R1]:[R3]])</f>
        <v>5.9755502635482884E-2</v>
      </c>
      <c r="V19" s="101"/>
      <c r="W19" s="2"/>
      <c r="X19" t="s">
        <v>544</v>
      </c>
    </row>
    <row r="20" spans="1:24" x14ac:dyDescent="0.15">
      <c r="A20" t="s">
        <v>568</v>
      </c>
      <c r="B20" t="s">
        <v>564</v>
      </c>
      <c r="C20" s="4"/>
      <c r="D20" t="s">
        <v>86</v>
      </c>
      <c r="E20" s="3">
        <v>2</v>
      </c>
      <c r="G20">
        <v>0.3</v>
      </c>
      <c r="H20" s="5">
        <v>5.7</v>
      </c>
      <c r="I20" s="3" t="s">
        <v>170</v>
      </c>
      <c r="J20" s="59">
        <v>44978</v>
      </c>
      <c r="K20" s="59"/>
      <c r="L20" s="59" t="e" cm="1">
        <f t="array" ref="L20">INDEX($J$4:J1110, MATCH(1,(A20=$A$4:A1108)*("Y"=$K$4:K1110),0))</f>
        <v>#N/A</v>
      </c>
      <c r="M20" s="1">
        <v>1000000</v>
      </c>
      <c r="N20">
        <v>96</v>
      </c>
      <c r="O20">
        <v>97</v>
      </c>
      <c r="Q20" s="6">
        <f>(SUM(Pcfu43[[#This Row],[R1]:[R3]]))/(Pcfu43[[#This Row],[No. Reps]]*0.015)*Pcfu43[[#This Row],[Best DF]]</f>
        <v>6433333333.333334</v>
      </c>
      <c r="R20" s="1">
        <f>_xlfn.STDEV.S(Pcfu43[[#This Row],[R1]:[R3]])/0.015*Pcfu43[[#This Row],[Best DF]]</f>
        <v>47140452.079103172</v>
      </c>
      <c r="S20" s="6">
        <f>Pcfu43[[#This Row],[CFU/mL]]*Pcfu43[[#This Row],[mL]]/Pcfu43[[#This Row],[grams]]</f>
        <v>122233333333.33336</v>
      </c>
      <c r="T20" s="1">
        <f>Pcfu43[[#This Row],[SD CFU/mL]]*Pcfu43[[#This Row],[mL]]/Pcfu43[[#This Row],[grams]]</f>
        <v>895668589.50296032</v>
      </c>
      <c r="U20" s="2">
        <f>_xlfn.STDEV.S(Pcfu43[[#This Row],[R1]:[R3]])/AVERAGE(Pcfu43[[#This Row],[R1]:[R3]])</f>
        <v>7.3275314112595602E-3</v>
      </c>
      <c r="V20" s="101"/>
      <c r="W20" s="2"/>
      <c r="X20" t="s">
        <v>544</v>
      </c>
    </row>
    <row r="21" spans="1:24" x14ac:dyDescent="0.15">
      <c r="A21" t="s">
        <v>569</v>
      </c>
      <c r="B21" t="s">
        <v>564</v>
      </c>
      <c r="C21" s="4"/>
      <c r="D21" t="s">
        <v>86</v>
      </c>
      <c r="E21" s="3">
        <v>2</v>
      </c>
      <c r="G21">
        <v>0.3</v>
      </c>
      <c r="H21" s="5">
        <v>5.7</v>
      </c>
      <c r="I21" s="3" t="s">
        <v>170</v>
      </c>
      <c r="J21" s="59">
        <v>44978</v>
      </c>
      <c r="K21" s="59"/>
      <c r="L21" s="59" t="e" cm="1">
        <f t="array" ref="L21">INDEX($J$4:J1111, MATCH(1,(A21=$A$4:A1109)*("Y"=$K$4:K1111),0))</f>
        <v>#N/A</v>
      </c>
      <c r="M21" s="1">
        <v>1000000</v>
      </c>
      <c r="N21">
        <v>97</v>
      </c>
      <c r="O21">
        <v>110</v>
      </c>
      <c r="Q21" s="6">
        <f>(SUM(Pcfu43[[#This Row],[R1]:[R3]]))/(Pcfu43[[#This Row],[No. Reps]]*0.015)*Pcfu43[[#This Row],[Best DF]]</f>
        <v>6900000000</v>
      </c>
      <c r="R21" s="1">
        <f>_xlfn.STDEV.S(Pcfu43[[#This Row],[R1]:[R3]])/0.015*Pcfu43[[#This Row],[Best DF]]</f>
        <v>612825877.02834117</v>
      </c>
      <c r="S21" s="6">
        <f>Pcfu43[[#This Row],[CFU/mL]]*Pcfu43[[#This Row],[mL]]/Pcfu43[[#This Row],[grams]]</f>
        <v>131100000000</v>
      </c>
      <c r="T21" s="1">
        <f>Pcfu43[[#This Row],[SD CFU/mL]]*Pcfu43[[#This Row],[mL]]/Pcfu43[[#This Row],[grams]]</f>
        <v>11643691663.538483</v>
      </c>
      <c r="U21" s="2">
        <f>_xlfn.STDEV.S(Pcfu43[[#This Row],[R1]:[R3]])/AVERAGE(Pcfu43[[#This Row],[R1]:[R3]])</f>
        <v>8.8815344496861043E-2</v>
      </c>
      <c r="V21" s="101"/>
      <c r="W21" s="2"/>
      <c r="X21" t="s">
        <v>544</v>
      </c>
    </row>
    <row r="22" spans="1:24" x14ac:dyDescent="0.15">
      <c r="A22" t="s">
        <v>570</v>
      </c>
      <c r="B22" t="s">
        <v>564</v>
      </c>
      <c r="C22" s="4"/>
      <c r="D22" t="s">
        <v>86</v>
      </c>
      <c r="E22" s="3">
        <v>2</v>
      </c>
      <c r="G22">
        <v>0.3</v>
      </c>
      <c r="H22" s="5">
        <v>5.7</v>
      </c>
      <c r="I22" s="3" t="s">
        <v>170</v>
      </c>
      <c r="J22" s="59">
        <v>44978</v>
      </c>
      <c r="K22" s="59"/>
      <c r="L22" s="59" t="e" cm="1">
        <f t="array" ref="L22">INDEX($J$4:J1112, MATCH(1,(A22=$A$4:A1110)*("Y"=$K$4:K1112),0))</f>
        <v>#N/A</v>
      </c>
      <c r="M22" s="1">
        <v>1000000</v>
      </c>
      <c r="N22">
        <v>124</v>
      </c>
      <c r="O22">
        <v>117</v>
      </c>
      <c r="Q22" s="6">
        <f>(SUM(Pcfu43[[#This Row],[R1]:[R3]]))/(Pcfu43[[#This Row],[No. Reps]]*0.015)*Pcfu43[[#This Row],[Best DF]]</f>
        <v>8033333333.333334</v>
      </c>
      <c r="R22" s="1">
        <f>_xlfn.STDEV.S(Pcfu43[[#This Row],[R1]:[R3]])/0.015*Pcfu43[[#This Row],[Best DF]]</f>
        <v>329983164.5537222</v>
      </c>
      <c r="S22" s="6">
        <f>Pcfu43[[#This Row],[CFU/mL]]*Pcfu43[[#This Row],[mL]]/Pcfu43[[#This Row],[grams]]</f>
        <v>152633333333.33337</v>
      </c>
      <c r="T22" s="1">
        <f>Pcfu43[[#This Row],[SD CFU/mL]]*Pcfu43[[#This Row],[mL]]/Pcfu43[[#This Row],[grams]]</f>
        <v>6269680126.5207224</v>
      </c>
      <c r="U22" s="2">
        <f>_xlfn.STDEV.S(Pcfu43[[#This Row],[R1]:[R3]])/AVERAGE(Pcfu43[[#This Row],[R1]:[R3]])</f>
        <v>4.1076742475567078E-2</v>
      </c>
      <c r="V22" s="101"/>
      <c r="W22" s="2"/>
      <c r="X22" t="s">
        <v>544</v>
      </c>
    </row>
    <row r="23" spans="1:24" x14ac:dyDescent="0.15">
      <c r="A23" t="s">
        <v>571</v>
      </c>
      <c r="B23" t="s">
        <v>564</v>
      </c>
      <c r="C23" s="4"/>
      <c r="D23" t="s">
        <v>86</v>
      </c>
      <c r="E23" s="3">
        <v>2</v>
      </c>
      <c r="G23">
        <v>0.3</v>
      </c>
      <c r="H23" s="5">
        <v>5.7</v>
      </c>
      <c r="I23" s="3" t="s">
        <v>170</v>
      </c>
      <c r="J23" s="59">
        <v>44978</v>
      </c>
      <c r="K23" s="59"/>
      <c r="L23" s="59" t="e" cm="1">
        <f t="array" ref="L23">INDEX($J$4:J1113, MATCH(1,(A23=$A$4:A1111)*("Y"=$K$4:K1113),0))</f>
        <v>#N/A</v>
      </c>
      <c r="M23" s="1">
        <v>1000000</v>
      </c>
      <c r="N23">
        <v>126</v>
      </c>
      <c r="O23">
        <v>122</v>
      </c>
      <c r="Q23" s="6">
        <f>(SUM(Pcfu43[[#This Row],[R1]:[R3]]))/(Pcfu43[[#This Row],[No. Reps]]*0.015)*Pcfu43[[#This Row],[Best DF]]</f>
        <v>8266666666.6666679</v>
      </c>
      <c r="R23" s="1">
        <f>_xlfn.STDEV.S(Pcfu43[[#This Row],[R1]:[R3]])/0.015*Pcfu43[[#This Row],[Best DF]]</f>
        <v>188561808.31641269</v>
      </c>
      <c r="S23" s="6">
        <f>Pcfu43[[#This Row],[CFU/mL]]*Pcfu43[[#This Row],[mL]]/Pcfu43[[#This Row],[grams]]</f>
        <v>157066666666.66669</v>
      </c>
      <c r="T23" s="1">
        <f>Pcfu43[[#This Row],[SD CFU/mL]]*Pcfu43[[#This Row],[mL]]/Pcfu43[[#This Row],[grams]]</f>
        <v>3582674358.0118413</v>
      </c>
      <c r="U23" s="2">
        <f>_xlfn.STDEV.S(Pcfu43[[#This Row],[R1]:[R3]])/AVERAGE(Pcfu43[[#This Row],[R1]:[R3]])</f>
        <v>2.2809896167307987E-2</v>
      </c>
      <c r="V23" s="101"/>
      <c r="W23" s="2"/>
      <c r="X23" t="s">
        <v>544</v>
      </c>
    </row>
    <row r="24" spans="1:24" x14ac:dyDescent="0.15">
      <c r="A24" t="s">
        <v>825</v>
      </c>
      <c r="C24" s="4"/>
      <c r="D24" t="s">
        <v>86</v>
      </c>
      <c r="E24" s="3">
        <v>2</v>
      </c>
      <c r="G24">
        <v>0.3</v>
      </c>
      <c r="H24" s="5">
        <v>5.7</v>
      </c>
      <c r="I24" s="3" t="s">
        <v>170</v>
      </c>
      <c r="J24" s="59">
        <v>44979</v>
      </c>
      <c r="K24" s="59"/>
      <c r="L24" s="59" t="e" cm="1">
        <f t="array" ref="L24">INDEX($J$4:J1114, MATCH(1,(A24=$A$4:A1112)*("Y"=$K$4:K1114),0))</f>
        <v>#N/A</v>
      </c>
      <c r="M24" s="1">
        <v>10000000</v>
      </c>
      <c r="N24">
        <v>39</v>
      </c>
      <c r="O24">
        <v>40</v>
      </c>
      <c r="Q24" s="6">
        <f>(SUM(Pcfu43[[#This Row],[R1]:[R3]]))/(Pcfu43[[#This Row],[No. Reps]]*0.015)*Pcfu43[[#This Row],[Best DF]]</f>
        <v>26333333333.333336</v>
      </c>
      <c r="R24" s="1">
        <f>_xlfn.STDEV.S(Pcfu43[[#This Row],[R1]:[R3]])/0.015*Pcfu43[[#This Row],[Best DF]]</f>
        <v>471404520.79103172</v>
      </c>
      <c r="S24" s="6">
        <f>Pcfu43[[#This Row],[CFU/mL]]*Pcfu43[[#This Row],[mL]]/Pcfu43[[#This Row],[grams]]</f>
        <v>500333333333.33344</v>
      </c>
      <c r="T24" s="1">
        <f>Pcfu43[[#This Row],[SD CFU/mL]]*Pcfu43[[#This Row],[mL]]/Pcfu43[[#This Row],[grams]]</f>
        <v>8956685895.029604</v>
      </c>
      <c r="U24" s="7">
        <f>_xlfn.STDEV.S(Pcfu43[[#This Row],[R1]:[R3]])/AVERAGE(Pcfu43[[#This Row],[R1]:[R3]])</f>
        <v>1.790143749839361E-2</v>
      </c>
      <c r="V24" s="102"/>
      <c r="W24" s="7"/>
      <c r="X24" t="s">
        <v>544</v>
      </c>
    </row>
    <row r="25" spans="1:24" x14ac:dyDescent="0.15">
      <c r="A25" t="s">
        <v>826</v>
      </c>
      <c r="C25" s="4"/>
      <c r="D25" t="s">
        <v>86</v>
      </c>
      <c r="E25" s="3">
        <v>2</v>
      </c>
      <c r="G25">
        <v>0.3</v>
      </c>
      <c r="H25" s="5">
        <v>5.7</v>
      </c>
      <c r="I25" s="3" t="s">
        <v>170</v>
      </c>
      <c r="J25" s="59">
        <v>44979</v>
      </c>
      <c r="K25" s="59"/>
      <c r="L25" s="59" t="e" cm="1">
        <f t="array" ref="L25">INDEX($J$4:J1115, MATCH(1,(A25=$A$4:A1113)*("Y"=$K$4:K1115),0))</f>
        <v>#N/A</v>
      </c>
      <c r="M25" s="1">
        <v>1000000</v>
      </c>
      <c r="N25">
        <v>115</v>
      </c>
      <c r="O25">
        <v>107</v>
      </c>
      <c r="Q25" s="6">
        <f>(SUM(Pcfu43[[#This Row],[R1]:[R3]]))/(Pcfu43[[#This Row],[No. Reps]]*0.015)*Pcfu43[[#This Row],[Best DF]]</f>
        <v>7400000000</v>
      </c>
      <c r="R25" s="1">
        <f>_xlfn.STDEV.S(Pcfu43[[#This Row],[R1]:[R3]])/0.015*Pcfu43[[#This Row],[Best DF]]</f>
        <v>377123616.63282537</v>
      </c>
      <c r="S25" s="6">
        <f>Pcfu43[[#This Row],[CFU/mL]]*Pcfu43[[#This Row],[mL]]/Pcfu43[[#This Row],[grams]]</f>
        <v>140600000000</v>
      </c>
      <c r="T25" s="1">
        <f>Pcfu43[[#This Row],[SD CFU/mL]]*Pcfu43[[#This Row],[mL]]/Pcfu43[[#This Row],[grams]]</f>
        <v>7165348716.0236826</v>
      </c>
      <c r="U25" s="7">
        <f>_xlfn.STDEV.S(Pcfu43[[#This Row],[R1]:[R3]])/AVERAGE(Pcfu43[[#This Row],[R1]:[R3]])</f>
        <v>5.0962650896327753E-2</v>
      </c>
      <c r="V25" s="102"/>
      <c r="W25" s="7"/>
      <c r="X25" t="s">
        <v>544</v>
      </c>
    </row>
    <row r="26" spans="1:24" x14ac:dyDescent="0.15">
      <c r="A26" t="s">
        <v>827</v>
      </c>
      <c r="C26" s="4"/>
      <c r="D26" t="s">
        <v>86</v>
      </c>
      <c r="E26" s="3">
        <v>2</v>
      </c>
      <c r="G26">
        <v>0.3</v>
      </c>
      <c r="H26" s="5">
        <v>5.7</v>
      </c>
      <c r="I26" s="3" t="s">
        <v>170</v>
      </c>
      <c r="J26" s="59">
        <v>44979</v>
      </c>
      <c r="K26" s="59"/>
      <c r="L26" s="59" t="e" cm="1">
        <f t="array" ref="L26">INDEX($J$4:J1116, MATCH(1,(A26=$A$4:A1114)*("Y"=$K$4:K1116),0))</f>
        <v>#N/A</v>
      </c>
      <c r="M26" s="1">
        <v>1000000</v>
      </c>
      <c r="N26">
        <v>214</v>
      </c>
      <c r="O26">
        <v>208</v>
      </c>
      <c r="Q26" s="6">
        <f>(SUM(Pcfu43[[#This Row],[R1]:[R3]]))/(Pcfu43[[#This Row],[No. Reps]]*0.015)*Pcfu43[[#This Row],[Best DF]]</f>
        <v>14066666666.666668</v>
      </c>
      <c r="R26" s="1">
        <f>_xlfn.STDEV.S(Pcfu43[[#This Row],[R1]:[R3]])/0.015*Pcfu43[[#This Row],[Best DF]]</f>
        <v>282842712.47461903</v>
      </c>
      <c r="S26" s="6">
        <f>Pcfu43[[#This Row],[CFU/mL]]*Pcfu43[[#This Row],[mL]]/Pcfu43[[#This Row],[grams]]</f>
        <v>267266666666.66672</v>
      </c>
      <c r="T26" s="1">
        <f>Pcfu43[[#This Row],[SD CFU/mL]]*Pcfu43[[#This Row],[mL]]/Pcfu43[[#This Row],[grams]]</f>
        <v>5374011537.0177622</v>
      </c>
      <c r="U26" s="7">
        <f>_xlfn.STDEV.S(Pcfu43[[#This Row],[R1]:[R3]])/AVERAGE(Pcfu43[[#This Row],[R1]:[R3]])</f>
        <v>2.0107301834688552E-2</v>
      </c>
      <c r="V26" s="102"/>
      <c r="W26" s="7"/>
      <c r="X26" t="s">
        <v>544</v>
      </c>
    </row>
    <row r="27" spans="1:24" x14ac:dyDescent="0.15">
      <c r="A27" t="s">
        <v>827</v>
      </c>
      <c r="B27" t="s">
        <v>828</v>
      </c>
      <c r="C27" s="4"/>
      <c r="D27" t="s">
        <v>86</v>
      </c>
      <c r="E27" s="3">
        <v>2</v>
      </c>
      <c r="G27">
        <v>0.3</v>
      </c>
      <c r="H27" s="5">
        <v>5.7</v>
      </c>
      <c r="I27" s="3" t="s">
        <v>170</v>
      </c>
      <c r="J27" s="59">
        <v>44979</v>
      </c>
      <c r="K27" s="59"/>
      <c r="L27" s="59" t="e" cm="1">
        <f t="array" ref="L27">INDEX($J$4:J1117, MATCH(1,(A27=$A$4:A1115)*("Y"=$K$4:K1117),0))</f>
        <v>#N/A</v>
      </c>
      <c r="M27" s="1">
        <v>1000000</v>
      </c>
      <c r="N27">
        <v>267</v>
      </c>
      <c r="O27">
        <v>270</v>
      </c>
      <c r="Q27" s="6">
        <f>(SUM(Pcfu43[[#This Row],[R1]:[R3]]))/(Pcfu43[[#This Row],[No. Reps]]*0.015)*Pcfu43[[#This Row],[Best DF]]</f>
        <v>17900000000</v>
      </c>
      <c r="R27" s="1">
        <f>_xlfn.STDEV.S(Pcfu43[[#This Row],[R1]:[R3]])/0.015*Pcfu43[[#This Row],[Best DF]]</f>
        <v>141421356.23730952</v>
      </c>
      <c r="S27" s="6">
        <f>Pcfu43[[#This Row],[CFU/mL]]*Pcfu43[[#This Row],[mL]]/Pcfu43[[#This Row],[grams]]</f>
        <v>340100000000</v>
      </c>
      <c r="T27" s="1">
        <f>Pcfu43[[#This Row],[SD CFU/mL]]*Pcfu43[[#This Row],[mL]]/Pcfu43[[#This Row],[grams]]</f>
        <v>2687005768.5088811</v>
      </c>
      <c r="U27" s="7">
        <f>_xlfn.STDEV.S(Pcfu43[[#This Row],[R1]:[R3]])/AVERAGE(Pcfu43[[#This Row],[R1]:[R3]])</f>
        <v>7.9006344266653351E-3</v>
      </c>
      <c r="V27" s="102"/>
      <c r="W27" s="7"/>
      <c r="X27" t="s">
        <v>544</v>
      </c>
    </row>
    <row r="28" spans="1:24" x14ac:dyDescent="0.15">
      <c r="A28" t="s">
        <v>829</v>
      </c>
      <c r="C28" s="4"/>
      <c r="D28" t="s">
        <v>86</v>
      </c>
      <c r="E28" s="3">
        <v>2</v>
      </c>
      <c r="G28">
        <v>0.3</v>
      </c>
      <c r="H28" s="5">
        <v>5.7</v>
      </c>
      <c r="I28" s="3" t="s">
        <v>170</v>
      </c>
      <c r="J28" s="59">
        <v>44979</v>
      </c>
      <c r="K28" s="59"/>
      <c r="L28" s="59" t="e" cm="1">
        <f t="array" ref="L28">INDEX($J$4:J1118, MATCH(1,(A28=$A$4:A1116)*("Y"=$K$4:K1118),0))</f>
        <v>#N/A</v>
      </c>
      <c r="M28" s="1">
        <v>1000000</v>
      </c>
      <c r="N28">
        <v>275</v>
      </c>
      <c r="O28">
        <v>250</v>
      </c>
      <c r="Q28" s="6">
        <f>(SUM(Pcfu43[[#This Row],[R1]:[R3]]))/(Pcfu43[[#This Row],[No. Reps]]*0.015)*Pcfu43[[#This Row],[Best DF]]</f>
        <v>17500000000</v>
      </c>
      <c r="R28" s="1">
        <f>_xlfn.STDEV.S(Pcfu43[[#This Row],[R1]:[R3]])/0.015*Pcfu43[[#This Row],[Best DF]]</f>
        <v>1178511301.9775794</v>
      </c>
      <c r="S28" s="6">
        <f>Pcfu43[[#This Row],[CFU/mL]]*Pcfu43[[#This Row],[mL]]/Pcfu43[[#This Row],[grams]]</f>
        <v>332500000000</v>
      </c>
      <c r="T28" s="1">
        <f>Pcfu43[[#This Row],[SD CFU/mL]]*Pcfu43[[#This Row],[mL]]/Pcfu43[[#This Row],[grams]]</f>
        <v>22391714737.574009</v>
      </c>
      <c r="U28" s="7">
        <f>_xlfn.STDEV.S(Pcfu43[[#This Row],[R1]:[R3]])/AVERAGE(Pcfu43[[#This Row],[R1]:[R3]])</f>
        <v>6.7343502970147393E-2</v>
      </c>
      <c r="V28" s="102"/>
      <c r="W28" s="7"/>
      <c r="X28" t="s">
        <v>544</v>
      </c>
    </row>
    <row r="29" spans="1:24" x14ac:dyDescent="0.15">
      <c r="A29" t="s">
        <v>829</v>
      </c>
      <c r="B29" t="s">
        <v>828</v>
      </c>
      <c r="C29" s="4"/>
      <c r="D29" t="s">
        <v>86</v>
      </c>
      <c r="E29" s="3">
        <v>2</v>
      </c>
      <c r="G29">
        <v>0.3</v>
      </c>
      <c r="H29" s="5">
        <v>5.7</v>
      </c>
      <c r="I29" s="3" t="s">
        <v>170</v>
      </c>
      <c r="J29" s="59">
        <v>44979</v>
      </c>
      <c r="K29" s="59"/>
      <c r="L29" s="59" t="e" cm="1">
        <f t="array" ref="L29">INDEX($J$4:J1119, MATCH(1,(A29=$A$4:A1117)*("Y"=$K$4:K1119),0))</f>
        <v>#N/A</v>
      </c>
      <c r="M29" s="1">
        <v>10000000</v>
      </c>
      <c r="N29">
        <v>31</v>
      </c>
      <c r="O29">
        <v>39</v>
      </c>
      <c r="Q29" s="6">
        <f>(SUM(Pcfu43[[#This Row],[R1]:[R3]]))/(Pcfu43[[#This Row],[No. Reps]]*0.015)*Pcfu43[[#This Row],[Best DF]]</f>
        <v>23333333333.333336</v>
      </c>
      <c r="R29" s="1">
        <f>_xlfn.STDEV.S(Pcfu43[[#This Row],[R1]:[R3]])/0.015*Pcfu43[[#This Row],[Best DF]]</f>
        <v>3771236166.3282537</v>
      </c>
      <c r="S29" s="6">
        <f>Pcfu43[[#This Row],[CFU/mL]]*Pcfu43[[#This Row],[mL]]/Pcfu43[[#This Row],[grams]]</f>
        <v>443333333333.33337</v>
      </c>
      <c r="T29" s="1">
        <f>Pcfu43[[#This Row],[SD CFU/mL]]*Pcfu43[[#This Row],[mL]]/Pcfu43[[#This Row],[grams]]</f>
        <v>71653487160.236832</v>
      </c>
      <c r="U29" s="7">
        <f>_xlfn.STDEV.S(Pcfu43[[#This Row],[R1]:[R3]])/AVERAGE(Pcfu43[[#This Row],[R1]:[R3]])</f>
        <v>0.16162440712835374</v>
      </c>
      <c r="V29" s="102"/>
      <c r="W29" s="7"/>
      <c r="X29" t="s">
        <v>544</v>
      </c>
    </row>
    <row r="30" spans="1:24" x14ac:dyDescent="0.15">
      <c r="A30" t="s">
        <v>588</v>
      </c>
      <c r="C30" s="4"/>
      <c r="D30" t="s">
        <v>86</v>
      </c>
      <c r="E30" s="3">
        <v>3</v>
      </c>
      <c r="G30">
        <v>0.3</v>
      </c>
      <c r="H30" s="5">
        <v>5.7</v>
      </c>
      <c r="I30" s="3" t="s">
        <v>170</v>
      </c>
      <c r="J30" s="59">
        <v>44980</v>
      </c>
      <c r="K30" s="59"/>
      <c r="L30" s="59" t="e" cm="1">
        <f t="array" ref="L30">INDEX($J$4:J1120, MATCH(1,(A30=$A$4:A1118)*("Y"=$K$4:K1120),0))</f>
        <v>#N/A</v>
      </c>
      <c r="M30" s="1">
        <v>1000000</v>
      </c>
      <c r="N30">
        <v>84</v>
      </c>
      <c r="O30">
        <v>71</v>
      </c>
      <c r="P30">
        <v>82</v>
      </c>
      <c r="Q30" s="6">
        <f>(SUM(Pcfu43[[#This Row],[R1]:[R3]]))/(Pcfu43[[#This Row],[No. Reps]]*0.015)*Pcfu43[[#This Row],[Best DF]]</f>
        <v>5266666666.666667</v>
      </c>
      <c r="R30" s="1">
        <f>_xlfn.STDEV.S(Pcfu43[[#This Row],[R1]:[R3]])/0.015*Pcfu43[[#This Row],[Best DF]]</f>
        <v>466666666.66666669</v>
      </c>
      <c r="S30" s="6">
        <f>Pcfu43[[#This Row],[CFU/mL]]*Pcfu43[[#This Row],[mL]]/Pcfu43[[#This Row],[grams]]</f>
        <v>100066666666.66669</v>
      </c>
      <c r="T30" s="1">
        <f>Pcfu43[[#This Row],[SD CFU/mL]]*Pcfu43[[#This Row],[mL]]/Pcfu43[[#This Row],[grams]]</f>
        <v>8866666666.6666679</v>
      </c>
      <c r="U30" s="2">
        <f>_xlfn.STDEV.S(Pcfu43[[#This Row],[R1]:[R3]])/AVERAGE(Pcfu43[[#This Row],[R1]:[R3]])</f>
        <v>8.8607594936708861E-2</v>
      </c>
      <c r="V30" s="101"/>
      <c r="W30" s="2"/>
      <c r="X30" t="s">
        <v>544</v>
      </c>
    </row>
    <row r="31" spans="1:24" x14ac:dyDescent="0.15">
      <c r="A31" t="s">
        <v>589</v>
      </c>
      <c r="C31" s="4"/>
      <c r="D31" t="s">
        <v>86</v>
      </c>
      <c r="E31" s="3">
        <v>3</v>
      </c>
      <c r="G31">
        <v>0.3</v>
      </c>
      <c r="H31" s="5">
        <v>5.7</v>
      </c>
      <c r="I31" s="3" t="s">
        <v>170</v>
      </c>
      <c r="J31" s="59">
        <v>44980</v>
      </c>
      <c r="K31" s="59"/>
      <c r="L31" s="59" t="e" cm="1">
        <f t="array" ref="L31">INDEX($J$4:J1121, MATCH(1,(A31=$A$4:A1119)*("Y"=$K$4:K1121),0))</f>
        <v>#N/A</v>
      </c>
      <c r="M31" s="1">
        <v>1000000</v>
      </c>
      <c r="N31">
        <v>51</v>
      </c>
      <c r="O31">
        <v>46</v>
      </c>
      <c r="P31">
        <v>57</v>
      </c>
      <c r="Q31" s="6">
        <f>(SUM(Pcfu43[[#This Row],[R1]:[R3]]))/(Pcfu43[[#This Row],[No. Reps]]*0.015)*Pcfu43[[#This Row],[Best DF]]</f>
        <v>3422222222.2222223</v>
      </c>
      <c r="R31" s="1">
        <f>_xlfn.STDEV.S(Pcfu43[[#This Row],[R1]:[R3]])/0.015*Pcfu43[[#This Row],[Best DF]]</f>
        <v>367171369.8190735</v>
      </c>
      <c r="S31" s="6">
        <f>Pcfu43[[#This Row],[CFU/mL]]*Pcfu43[[#This Row],[mL]]/Pcfu43[[#This Row],[grams]]</f>
        <v>65022222222.222229</v>
      </c>
      <c r="T31" s="1">
        <f>Pcfu43[[#This Row],[SD CFU/mL]]*Pcfu43[[#This Row],[mL]]/Pcfu43[[#This Row],[grams]]</f>
        <v>6976256026.562397</v>
      </c>
      <c r="U31" s="2">
        <f>_xlfn.STDEV.S(Pcfu43[[#This Row],[R1]:[R3]])/AVERAGE(Pcfu43[[#This Row],[R1]:[R3]])</f>
        <v>0.10729033533674225</v>
      </c>
      <c r="V31" s="101"/>
      <c r="W31" s="2"/>
      <c r="X31" t="s">
        <v>544</v>
      </c>
    </row>
    <row r="32" spans="1:24" x14ac:dyDescent="0.15">
      <c r="A32" t="s">
        <v>590</v>
      </c>
      <c r="C32" s="4"/>
      <c r="D32" t="s">
        <v>86</v>
      </c>
      <c r="E32" s="3">
        <v>3</v>
      </c>
      <c r="G32">
        <v>0.3</v>
      </c>
      <c r="H32" s="5">
        <v>5.7</v>
      </c>
      <c r="I32" s="3" t="s">
        <v>170</v>
      </c>
      <c r="J32" s="59">
        <v>44980</v>
      </c>
      <c r="K32" s="59"/>
      <c r="L32" s="59" t="e" cm="1">
        <f t="array" ref="L32">INDEX($J$4:J1122, MATCH(1,(A32=$A$4:A1120)*("Y"=$K$4:K1122),0))</f>
        <v>#N/A</v>
      </c>
      <c r="M32" s="1">
        <v>1000000</v>
      </c>
      <c r="N32">
        <v>85</v>
      </c>
      <c r="O32">
        <v>100</v>
      </c>
      <c r="P32">
        <v>94</v>
      </c>
      <c r="Q32" s="6">
        <f>(SUM(Pcfu43[[#This Row],[R1]:[R3]]))/(Pcfu43[[#This Row],[No. Reps]]*0.015)*Pcfu43[[#This Row],[Best DF]]</f>
        <v>6200000000</v>
      </c>
      <c r="R32" s="1">
        <f>_xlfn.STDEV.S(Pcfu43[[#This Row],[R1]:[R3]])/0.015*Pcfu43[[#This Row],[Best DF]]</f>
        <v>503322295.68471664</v>
      </c>
      <c r="S32" s="6">
        <f>Pcfu43[[#This Row],[CFU/mL]]*Pcfu43[[#This Row],[mL]]/Pcfu43[[#This Row],[grams]]</f>
        <v>117800000000</v>
      </c>
      <c r="T32" s="1">
        <f>Pcfu43[[#This Row],[SD CFU/mL]]*Pcfu43[[#This Row],[mL]]/Pcfu43[[#This Row],[grams]]</f>
        <v>9563123618.0096169</v>
      </c>
      <c r="U32" s="2">
        <f>_xlfn.STDEV.S(Pcfu43[[#This Row],[R1]:[R3]])/AVERAGE(Pcfu43[[#This Row],[R1]:[R3]])</f>
        <v>8.1181015433018811E-2</v>
      </c>
      <c r="V32" s="101"/>
      <c r="W32" s="2"/>
      <c r="X32" t="s">
        <v>544</v>
      </c>
    </row>
    <row r="33" spans="1:24" x14ac:dyDescent="0.15">
      <c r="A33" t="s">
        <v>591</v>
      </c>
      <c r="C33" s="4"/>
      <c r="D33" t="s">
        <v>86</v>
      </c>
      <c r="E33" s="3">
        <v>3</v>
      </c>
      <c r="G33">
        <v>0.3</v>
      </c>
      <c r="H33" s="5">
        <v>5.7</v>
      </c>
      <c r="I33" s="3" t="s">
        <v>170</v>
      </c>
      <c r="J33" s="59">
        <v>44980</v>
      </c>
      <c r="K33" s="59"/>
      <c r="L33" s="59" t="e" cm="1">
        <f t="array" ref="L33">INDEX($J$4:J1123, MATCH(1,(A33=$A$4:A1121)*("Y"=$K$4:K1123),0))</f>
        <v>#N/A</v>
      </c>
      <c r="M33" s="1">
        <v>1000000</v>
      </c>
      <c r="N33">
        <v>39</v>
      </c>
      <c r="O33">
        <v>45</v>
      </c>
      <c r="P33">
        <v>38</v>
      </c>
      <c r="Q33" s="6">
        <f>(SUM(Pcfu43[[#This Row],[R1]:[R3]]))/(Pcfu43[[#This Row],[No. Reps]]*0.015)*Pcfu43[[#This Row],[Best DF]]</f>
        <v>2711111111.1111112</v>
      </c>
      <c r="R33" s="1">
        <f>_xlfn.STDEV.S(Pcfu43[[#This Row],[R1]:[R3]])/0.015*Pcfu43[[#This Row],[Best DF]]</f>
        <v>252395926.48001221</v>
      </c>
      <c r="S33" s="6">
        <f>Pcfu43[[#This Row],[CFU/mL]]*Pcfu43[[#This Row],[mL]]/Pcfu43[[#This Row],[grams]]</f>
        <v>51511111111.111115</v>
      </c>
      <c r="T33" s="1">
        <f>Pcfu43[[#This Row],[SD CFU/mL]]*Pcfu43[[#This Row],[mL]]/Pcfu43[[#This Row],[grams]]</f>
        <v>4795522603.1202326</v>
      </c>
      <c r="U33" s="2">
        <f>_xlfn.STDEV.S(Pcfu43[[#This Row],[R1]:[R3]])/AVERAGE(Pcfu43[[#This Row],[R1]:[R3]])</f>
        <v>9.3096858127873355E-2</v>
      </c>
      <c r="V33" s="101"/>
      <c r="W33" s="2"/>
      <c r="X33" t="s">
        <v>544</v>
      </c>
    </row>
    <row r="34" spans="1:24" x14ac:dyDescent="0.15">
      <c r="A34" t="s">
        <v>470</v>
      </c>
      <c r="B34" t="s">
        <v>482</v>
      </c>
      <c r="C34" s="4"/>
      <c r="D34" t="s">
        <v>86</v>
      </c>
      <c r="E34" s="3">
        <v>2</v>
      </c>
      <c r="G34">
        <v>0.3</v>
      </c>
      <c r="H34" s="5">
        <v>5.7</v>
      </c>
      <c r="I34" s="3" t="s">
        <v>170</v>
      </c>
      <c r="J34" s="59">
        <v>44980</v>
      </c>
      <c r="K34" s="59"/>
      <c r="L34" s="59" t="e" cm="1">
        <f t="array" ref="L34">INDEX($J$4:J1124, MATCH(1,(A34=$A$4:A1122)*("Y"=$K$4:K1124),0))</f>
        <v>#N/A</v>
      </c>
      <c r="M34" s="1">
        <v>1000000</v>
      </c>
      <c r="N34">
        <v>51</v>
      </c>
      <c r="O34">
        <v>57</v>
      </c>
      <c r="Q34" s="6">
        <f>(SUM(Pcfu43[[#This Row],[R1]:[R3]]))/(Pcfu43[[#This Row],[No. Reps]]*0.015)*Pcfu43[[#This Row],[Best DF]]</f>
        <v>3600000000</v>
      </c>
      <c r="R34" s="1">
        <f>_xlfn.STDEV.S(Pcfu43[[#This Row],[R1]:[R3]])/0.015*Pcfu43[[#This Row],[Best DF]]</f>
        <v>282842712.47461903</v>
      </c>
      <c r="S34" s="6">
        <f>Pcfu43[[#This Row],[CFU/mL]]*Pcfu43[[#This Row],[mL]]/Pcfu43[[#This Row],[grams]]</f>
        <v>68400000000</v>
      </c>
      <c r="T34" s="1">
        <f>Pcfu43[[#This Row],[SD CFU/mL]]*Pcfu43[[#This Row],[mL]]/Pcfu43[[#This Row],[grams]]</f>
        <v>5374011537.0177622</v>
      </c>
      <c r="U34" s="2">
        <f>_xlfn.STDEV.S(Pcfu43[[#This Row],[R1]:[R3]])/AVERAGE(Pcfu43[[#This Row],[R1]:[R3]])</f>
        <v>7.8567420131838608E-2</v>
      </c>
      <c r="V34" s="101">
        <v>0.30499999999999999</v>
      </c>
      <c r="W34" s="2"/>
      <c r="X34" t="s">
        <v>586</v>
      </c>
    </row>
    <row r="35" spans="1:24" x14ac:dyDescent="0.15">
      <c r="A35" t="s">
        <v>471</v>
      </c>
      <c r="B35" t="s">
        <v>482</v>
      </c>
      <c r="C35" s="4"/>
      <c r="D35" t="s">
        <v>86</v>
      </c>
      <c r="E35" s="3">
        <v>2</v>
      </c>
      <c r="G35">
        <v>0.3</v>
      </c>
      <c r="H35" s="5">
        <v>5.7</v>
      </c>
      <c r="I35" s="3" t="s">
        <v>170</v>
      </c>
      <c r="J35" s="59">
        <v>44980</v>
      </c>
      <c r="K35" s="59"/>
      <c r="L35" s="59" t="e" cm="1">
        <f t="array" ref="L35">INDEX($J$4:J1125, MATCH(1,(A35=$A$4:A1123)*("Y"=$K$4:K1125),0))</f>
        <v>#N/A</v>
      </c>
      <c r="M35" s="1">
        <v>1000000</v>
      </c>
      <c r="N35">
        <v>30</v>
      </c>
      <c r="O35">
        <v>35</v>
      </c>
      <c r="Q35" s="6">
        <f>(SUM(Pcfu43[[#This Row],[R1]:[R3]]))/(Pcfu43[[#This Row],[No. Reps]]*0.015)*Pcfu43[[#This Row],[Best DF]]</f>
        <v>2166666666.666667</v>
      </c>
      <c r="R35" s="1">
        <f>_xlfn.STDEV.S(Pcfu43[[#This Row],[R1]:[R3]])/0.015*Pcfu43[[#This Row],[Best DF]]</f>
        <v>235702260.39551586</v>
      </c>
      <c r="S35" s="6">
        <f>Pcfu43[[#This Row],[CFU/mL]]*Pcfu43[[#This Row],[mL]]/Pcfu43[[#This Row],[grams]]</f>
        <v>41166666666.666672</v>
      </c>
      <c r="T35" s="1">
        <f>Pcfu43[[#This Row],[SD CFU/mL]]*Pcfu43[[#This Row],[mL]]/Pcfu43[[#This Row],[grams]]</f>
        <v>4478342947.514802</v>
      </c>
      <c r="U35" s="2">
        <f>_xlfn.STDEV.S(Pcfu43[[#This Row],[R1]:[R3]])/AVERAGE(Pcfu43[[#This Row],[R1]:[R3]])</f>
        <v>0.10878565864408424</v>
      </c>
      <c r="V35" s="101">
        <v>0.30099999999999999</v>
      </c>
      <c r="W35" s="2"/>
      <c r="X35" t="s">
        <v>575</v>
      </c>
    </row>
    <row r="36" spans="1:24" x14ac:dyDescent="0.15">
      <c r="A36" t="s">
        <v>472</v>
      </c>
      <c r="B36" t="s">
        <v>482</v>
      </c>
      <c r="C36" s="4"/>
      <c r="D36" t="s">
        <v>86</v>
      </c>
      <c r="E36" s="3">
        <v>2</v>
      </c>
      <c r="G36">
        <v>0.3</v>
      </c>
      <c r="H36" s="5">
        <v>5.7</v>
      </c>
      <c r="I36" s="3" t="s">
        <v>170</v>
      </c>
      <c r="J36" s="59">
        <v>44980</v>
      </c>
      <c r="K36" s="59"/>
      <c r="L36" s="59" t="e" cm="1">
        <f t="array" ref="L36">INDEX($J$4:J1126, MATCH(1,(A36=$A$4:A1124)*("Y"=$K$4:K1126),0))</f>
        <v>#N/A</v>
      </c>
      <c r="M36" s="1">
        <v>1000000</v>
      </c>
      <c r="N36">
        <v>33</v>
      </c>
      <c r="O36">
        <v>46</v>
      </c>
      <c r="Q36" s="6">
        <f>(SUM(Pcfu43[[#This Row],[R1]:[R3]]))/(Pcfu43[[#This Row],[No. Reps]]*0.015)*Pcfu43[[#This Row],[Best DF]]</f>
        <v>2633333333.3333335</v>
      </c>
      <c r="R36" s="1">
        <f>_xlfn.STDEV.S(Pcfu43[[#This Row],[R1]:[R3]])/0.015*Pcfu43[[#This Row],[Best DF]]</f>
        <v>612825877.02834117</v>
      </c>
      <c r="S36" s="6">
        <f>Pcfu43[[#This Row],[CFU/mL]]*Pcfu43[[#This Row],[mL]]/Pcfu43[[#This Row],[grams]]</f>
        <v>50033333333.333344</v>
      </c>
      <c r="T36" s="1">
        <f>Pcfu43[[#This Row],[SD CFU/mL]]*Pcfu43[[#This Row],[mL]]/Pcfu43[[#This Row],[grams]]</f>
        <v>11643691663.538483</v>
      </c>
      <c r="U36" s="2">
        <f>_xlfn.STDEV.S(Pcfu43[[#This Row],[R1]:[R3]])/AVERAGE(Pcfu43[[#This Row],[R1]:[R3]])</f>
        <v>0.23271868747911689</v>
      </c>
      <c r="V36" s="101">
        <v>0.30399999999999999</v>
      </c>
      <c r="W36" s="2"/>
      <c r="X36" t="s">
        <v>576</v>
      </c>
    </row>
    <row r="37" spans="1:24" x14ac:dyDescent="0.15">
      <c r="A37" t="s">
        <v>473</v>
      </c>
      <c r="B37" t="s">
        <v>482</v>
      </c>
      <c r="C37" s="4"/>
      <c r="D37" t="s">
        <v>86</v>
      </c>
      <c r="E37" s="3">
        <v>2</v>
      </c>
      <c r="G37">
        <v>0.3</v>
      </c>
      <c r="H37" s="5">
        <v>5.7</v>
      </c>
      <c r="I37" s="3" t="s">
        <v>170</v>
      </c>
      <c r="J37" s="59">
        <v>44980</v>
      </c>
      <c r="K37" s="59"/>
      <c r="L37" s="59" t="e" cm="1">
        <f t="array" ref="L37">INDEX($J$4:J1127, MATCH(1,(A37=$A$4:A1125)*("Y"=$K$4:K1127),0))</f>
        <v>#N/A</v>
      </c>
      <c r="M37" s="1">
        <v>1000000</v>
      </c>
      <c r="N37">
        <v>31</v>
      </c>
      <c r="O37">
        <v>23</v>
      </c>
      <c r="Q37" s="6">
        <f>(SUM(Pcfu43[[#This Row],[R1]:[R3]]))/(Pcfu43[[#This Row],[No. Reps]]*0.015)*Pcfu43[[#This Row],[Best DF]]</f>
        <v>1800000000</v>
      </c>
      <c r="R37" s="1">
        <f>_xlfn.STDEV.S(Pcfu43[[#This Row],[R1]:[R3]])/0.015*Pcfu43[[#This Row],[Best DF]]</f>
        <v>377123616.63282537</v>
      </c>
      <c r="S37" s="6">
        <f>Pcfu43[[#This Row],[CFU/mL]]*Pcfu43[[#This Row],[mL]]/Pcfu43[[#This Row],[grams]]</f>
        <v>34200000000</v>
      </c>
      <c r="T37" s="1">
        <f>Pcfu43[[#This Row],[SD CFU/mL]]*Pcfu43[[#This Row],[mL]]/Pcfu43[[#This Row],[grams]]</f>
        <v>7165348716.0236826</v>
      </c>
      <c r="U37" s="2">
        <f>_xlfn.STDEV.S(Pcfu43[[#This Row],[R1]:[R3]])/AVERAGE(Pcfu43[[#This Row],[R1]:[R3]])</f>
        <v>0.20951312035156966</v>
      </c>
      <c r="V37" s="101">
        <v>0.27300000000000002</v>
      </c>
      <c r="W37" s="2"/>
      <c r="X37" t="s">
        <v>577</v>
      </c>
    </row>
    <row r="38" spans="1:24" x14ac:dyDescent="0.15">
      <c r="A38" t="s">
        <v>474</v>
      </c>
      <c r="B38" t="s">
        <v>482</v>
      </c>
      <c r="C38" s="4"/>
      <c r="D38" t="s">
        <v>86</v>
      </c>
      <c r="E38" s="3">
        <v>2</v>
      </c>
      <c r="G38">
        <v>0.3</v>
      </c>
      <c r="H38" s="5">
        <v>5.7</v>
      </c>
      <c r="I38" s="3" t="s">
        <v>170</v>
      </c>
      <c r="J38" s="59">
        <v>44980</v>
      </c>
      <c r="K38" s="59"/>
      <c r="L38" s="59" t="e" cm="1">
        <f t="array" ref="L38">INDEX($J$4:J1128, MATCH(1,(A38=$A$4:A1126)*("Y"=$K$4:K1128),0))</f>
        <v>#N/A</v>
      </c>
      <c r="M38" s="1">
        <v>1000000</v>
      </c>
      <c r="N38">
        <v>51</v>
      </c>
      <c r="O38">
        <v>52</v>
      </c>
      <c r="Q38" s="6">
        <f>(SUM(Pcfu43[[#This Row],[R1]:[R3]]))/(Pcfu43[[#This Row],[No. Reps]]*0.015)*Pcfu43[[#This Row],[Best DF]]</f>
        <v>3433333333.3333335</v>
      </c>
      <c r="R38" s="1">
        <f>_xlfn.STDEV.S(Pcfu43[[#This Row],[R1]:[R3]])/0.015*Pcfu43[[#This Row],[Best DF]]</f>
        <v>47140452.079103172</v>
      </c>
      <c r="S38" s="6">
        <f>Pcfu43[[#This Row],[CFU/mL]]*Pcfu43[[#This Row],[mL]]/Pcfu43[[#This Row],[grams]]</f>
        <v>65233333333.333336</v>
      </c>
      <c r="T38" s="1">
        <f>Pcfu43[[#This Row],[SD CFU/mL]]*Pcfu43[[#This Row],[mL]]/Pcfu43[[#This Row],[grams]]</f>
        <v>895668589.50296032</v>
      </c>
      <c r="U38" s="2">
        <f>_xlfn.STDEV.S(Pcfu43[[#This Row],[R1]:[R3]])/AVERAGE(Pcfu43[[#This Row],[R1]:[R3]])</f>
        <v>1.3730228760903837E-2</v>
      </c>
      <c r="V38" s="101">
        <v>0.30599999999999999</v>
      </c>
      <c r="W38" s="2"/>
      <c r="X38" t="s">
        <v>578</v>
      </c>
    </row>
    <row r="39" spans="1:24" x14ac:dyDescent="0.15">
      <c r="A39" t="s">
        <v>475</v>
      </c>
      <c r="B39" t="s">
        <v>482</v>
      </c>
      <c r="C39" s="4"/>
      <c r="D39" t="s">
        <v>86</v>
      </c>
      <c r="E39" s="3">
        <v>2</v>
      </c>
      <c r="G39">
        <v>0.3</v>
      </c>
      <c r="H39" s="5">
        <v>5.7</v>
      </c>
      <c r="I39" s="3" t="s">
        <v>170</v>
      </c>
      <c r="J39" s="59">
        <v>44980</v>
      </c>
      <c r="K39" s="59"/>
      <c r="L39" s="59" t="e" cm="1">
        <f t="array" ref="L39">INDEX($J$4:J1129, MATCH(1,(A39=$A$4:A1127)*("Y"=$K$4:K1129),0))</f>
        <v>#N/A</v>
      </c>
      <c r="M39" s="1">
        <v>1000000</v>
      </c>
      <c r="N39">
        <v>33</v>
      </c>
      <c r="O39">
        <v>39</v>
      </c>
      <c r="Q39" s="6">
        <f>(SUM(Pcfu43[[#This Row],[R1]:[R3]]))/(Pcfu43[[#This Row],[No. Reps]]*0.015)*Pcfu43[[#This Row],[Best DF]]</f>
        <v>2400000000</v>
      </c>
      <c r="R39" s="1">
        <f>_xlfn.STDEV.S(Pcfu43[[#This Row],[R1]:[R3]])/0.015*Pcfu43[[#This Row],[Best DF]]</f>
        <v>282842712.47461903</v>
      </c>
      <c r="S39" s="6">
        <f>Pcfu43[[#This Row],[CFU/mL]]*Pcfu43[[#This Row],[mL]]/Pcfu43[[#This Row],[grams]]</f>
        <v>45600000000</v>
      </c>
      <c r="T39" s="1">
        <f>Pcfu43[[#This Row],[SD CFU/mL]]*Pcfu43[[#This Row],[mL]]/Pcfu43[[#This Row],[grams]]</f>
        <v>5374011537.0177622</v>
      </c>
      <c r="U39" s="2">
        <f>_xlfn.STDEV.S(Pcfu43[[#This Row],[R1]:[R3]])/AVERAGE(Pcfu43[[#This Row],[R1]:[R3]])</f>
        <v>0.11785113019775791</v>
      </c>
      <c r="V39" s="101">
        <v>0.30099999999999999</v>
      </c>
      <c r="W39" s="2"/>
      <c r="X39" t="s">
        <v>575</v>
      </c>
    </row>
    <row r="40" spans="1:24" x14ac:dyDescent="0.15">
      <c r="A40" t="s">
        <v>579</v>
      </c>
      <c r="B40" t="s">
        <v>482</v>
      </c>
      <c r="C40" s="4"/>
      <c r="D40" t="s">
        <v>86</v>
      </c>
      <c r="E40" s="3">
        <v>2</v>
      </c>
      <c r="G40">
        <v>0.3</v>
      </c>
      <c r="H40" s="5">
        <v>5.7</v>
      </c>
      <c r="I40" s="3" t="s">
        <v>170</v>
      </c>
      <c r="J40" s="59">
        <v>44980</v>
      </c>
      <c r="K40" s="59"/>
      <c r="L40" s="59" t="e" cm="1">
        <f t="array" ref="L40">INDEX($J$4:J1130, MATCH(1,(A40=$A$4:A1128)*("Y"=$K$4:K1130),0))</f>
        <v>#N/A</v>
      </c>
      <c r="M40" s="1">
        <v>1000000</v>
      </c>
      <c r="N40">
        <v>43</v>
      </c>
      <c r="O40">
        <v>33</v>
      </c>
      <c r="Q40" s="6">
        <f>(SUM(Pcfu43[[#This Row],[R1]:[R3]]))/(Pcfu43[[#This Row],[No. Reps]]*0.015)*Pcfu43[[#This Row],[Best DF]]</f>
        <v>2533333333.3333335</v>
      </c>
      <c r="R40" s="1">
        <f>_xlfn.STDEV.S(Pcfu43[[#This Row],[R1]:[R3]])/0.015*Pcfu43[[#This Row],[Best DF]]</f>
        <v>471404520.79103172</v>
      </c>
      <c r="S40" s="6">
        <f>Pcfu43[[#This Row],[CFU/mL]]*Pcfu43[[#This Row],[mL]]/Pcfu43[[#This Row],[grams]]</f>
        <v>48133333333.333344</v>
      </c>
      <c r="T40" s="1">
        <f>Pcfu43[[#This Row],[SD CFU/mL]]*Pcfu43[[#This Row],[mL]]/Pcfu43[[#This Row],[grams]]</f>
        <v>8956685895.029604</v>
      </c>
      <c r="U40" s="2">
        <f>_xlfn.STDEV.S(Pcfu43[[#This Row],[R1]:[R3]])/AVERAGE(Pcfu43[[#This Row],[R1]:[R3]])</f>
        <v>0.18608073189119673</v>
      </c>
      <c r="V40" s="101">
        <v>0.36499999999999999</v>
      </c>
      <c r="W40" s="2"/>
      <c r="X40" t="s">
        <v>580</v>
      </c>
    </row>
    <row r="41" spans="1:24" x14ac:dyDescent="0.15">
      <c r="A41" t="s">
        <v>477</v>
      </c>
      <c r="B41" t="s">
        <v>482</v>
      </c>
      <c r="C41" s="4"/>
      <c r="D41" t="s">
        <v>86</v>
      </c>
      <c r="E41" s="3">
        <v>2</v>
      </c>
      <c r="G41">
        <v>0.3</v>
      </c>
      <c r="H41" s="5">
        <v>5.7</v>
      </c>
      <c r="I41" s="3" t="s">
        <v>170</v>
      </c>
      <c r="J41" s="59">
        <v>44980</v>
      </c>
      <c r="K41" s="59"/>
      <c r="L41" s="59" t="e" cm="1">
        <f t="array" ref="L41">INDEX($J$4:J1131, MATCH(1,(A41=$A$4:A1129)*("Y"=$K$4:K1131),0))</f>
        <v>#N/A</v>
      </c>
      <c r="M41" s="1">
        <v>1000000</v>
      </c>
      <c r="N41">
        <v>124</v>
      </c>
      <c r="O41">
        <v>120</v>
      </c>
      <c r="Q41" s="6">
        <f>(SUM(Pcfu43[[#This Row],[R1]:[R3]]))/(Pcfu43[[#This Row],[No. Reps]]*0.015)*Pcfu43[[#This Row],[Best DF]]</f>
        <v>8133333333.333334</v>
      </c>
      <c r="R41" s="1">
        <f>_xlfn.STDEV.S(Pcfu43[[#This Row],[R1]:[R3]])/0.015*Pcfu43[[#This Row],[Best DF]]</f>
        <v>188561808.31641269</v>
      </c>
      <c r="S41" s="6">
        <f>Pcfu43[[#This Row],[CFU/mL]]*Pcfu43[[#This Row],[mL]]/Pcfu43[[#This Row],[grams]]</f>
        <v>154533333333.33337</v>
      </c>
      <c r="T41" s="1">
        <f>Pcfu43[[#This Row],[SD CFU/mL]]*Pcfu43[[#This Row],[mL]]/Pcfu43[[#This Row],[grams]]</f>
        <v>3582674358.0118413</v>
      </c>
      <c r="U41" s="2">
        <f>_xlfn.STDEV.S(Pcfu43[[#This Row],[R1]:[R3]])/AVERAGE(Pcfu43[[#This Row],[R1]:[R3]])</f>
        <v>2.3183828891362217E-2</v>
      </c>
      <c r="V41" s="101">
        <v>0.26100000000000001</v>
      </c>
      <c r="W41" s="2"/>
      <c r="X41" t="s">
        <v>581</v>
      </c>
    </row>
    <row r="42" spans="1:24" x14ac:dyDescent="0.15">
      <c r="A42" t="s">
        <v>478</v>
      </c>
      <c r="B42" t="s">
        <v>482</v>
      </c>
      <c r="C42" s="4"/>
      <c r="D42" t="s">
        <v>86</v>
      </c>
      <c r="E42" s="3">
        <v>2</v>
      </c>
      <c r="G42">
        <v>0.3</v>
      </c>
      <c r="H42" s="5">
        <v>5.7</v>
      </c>
      <c r="I42" s="3" t="s">
        <v>170</v>
      </c>
      <c r="J42" s="59">
        <v>44980</v>
      </c>
      <c r="K42" s="59"/>
      <c r="L42" s="59" t="e" cm="1">
        <f t="array" ref="L42">INDEX($J$4:J1132, MATCH(1,(A42=$A$4:A1130)*("Y"=$K$4:K1132),0))</f>
        <v>#N/A</v>
      </c>
      <c r="M42" s="1">
        <v>1000000</v>
      </c>
      <c r="N42">
        <v>83</v>
      </c>
      <c r="O42">
        <v>76</v>
      </c>
      <c r="Q42" s="6">
        <f>(SUM(Pcfu43[[#This Row],[R1]:[R3]]))/(Pcfu43[[#This Row],[No. Reps]]*0.015)*Pcfu43[[#This Row],[Best DF]]</f>
        <v>5300000000</v>
      </c>
      <c r="R42" s="1">
        <f>_xlfn.STDEV.S(Pcfu43[[#This Row],[R1]:[R3]])/0.015*Pcfu43[[#This Row],[Best DF]]</f>
        <v>329983164.5537222</v>
      </c>
      <c r="S42" s="6">
        <f>Pcfu43[[#This Row],[CFU/mL]]*Pcfu43[[#This Row],[mL]]/Pcfu43[[#This Row],[grams]]</f>
        <v>100700000000</v>
      </c>
      <c r="T42" s="1">
        <f>Pcfu43[[#This Row],[SD CFU/mL]]*Pcfu43[[#This Row],[mL]]/Pcfu43[[#This Row],[grams]]</f>
        <v>6269680126.5207224</v>
      </c>
      <c r="U42" s="2">
        <f>_xlfn.STDEV.S(Pcfu43[[#This Row],[R1]:[R3]])/AVERAGE(Pcfu43[[#This Row],[R1]:[R3]])</f>
        <v>6.2260974444098525E-2</v>
      </c>
      <c r="V42" s="101">
        <v>0.25800000000000001</v>
      </c>
      <c r="W42" s="2"/>
      <c r="X42" t="s">
        <v>582</v>
      </c>
    </row>
    <row r="43" spans="1:24" x14ac:dyDescent="0.15">
      <c r="A43" t="s">
        <v>479</v>
      </c>
      <c r="B43" t="s">
        <v>482</v>
      </c>
      <c r="C43" s="4"/>
      <c r="D43" t="s">
        <v>86</v>
      </c>
      <c r="E43" s="3">
        <v>2</v>
      </c>
      <c r="G43">
        <v>0.3</v>
      </c>
      <c r="H43" s="5">
        <v>5.7</v>
      </c>
      <c r="I43" s="3" t="s">
        <v>170</v>
      </c>
      <c r="J43" s="59">
        <v>44980</v>
      </c>
      <c r="K43" s="59"/>
      <c r="L43" s="59" t="e" cm="1">
        <f t="array" ref="L43">INDEX($J$4:J1133, MATCH(1,(A43=$A$4:A1131)*("Y"=$K$4:K1133),0))</f>
        <v>#N/A</v>
      </c>
      <c r="M43" s="1">
        <v>1000000</v>
      </c>
      <c r="N43">
        <v>30</v>
      </c>
      <c r="O43">
        <v>32</v>
      </c>
      <c r="Q43" s="6">
        <f>(SUM(Pcfu43[[#This Row],[R1]:[R3]]))/(Pcfu43[[#This Row],[No. Reps]]*0.015)*Pcfu43[[#This Row],[Best DF]]</f>
        <v>2066666666.666667</v>
      </c>
      <c r="R43" s="1">
        <f>_xlfn.STDEV.S(Pcfu43[[#This Row],[R1]:[R3]])/0.015*Pcfu43[[#This Row],[Best DF]]</f>
        <v>94280904.158206344</v>
      </c>
      <c r="S43" s="6">
        <f>Pcfu43[[#This Row],[CFU/mL]]*Pcfu43[[#This Row],[mL]]/Pcfu43[[#This Row],[grams]]</f>
        <v>39266666666.666672</v>
      </c>
      <c r="T43" s="1">
        <f>Pcfu43[[#This Row],[SD CFU/mL]]*Pcfu43[[#This Row],[mL]]/Pcfu43[[#This Row],[grams]]</f>
        <v>1791337179.0059206</v>
      </c>
      <c r="U43" s="2">
        <f>_xlfn.STDEV.S(Pcfu43[[#This Row],[R1]:[R3]])/AVERAGE(Pcfu43[[#This Row],[R1]:[R3]])</f>
        <v>4.5619792334615973E-2</v>
      </c>
      <c r="V43" s="101">
        <v>0.23400000000000001</v>
      </c>
      <c r="W43" s="2"/>
      <c r="X43" t="s">
        <v>583</v>
      </c>
    </row>
    <row r="44" spans="1:24" x14ac:dyDescent="0.15">
      <c r="A44" t="s">
        <v>480</v>
      </c>
      <c r="B44" t="s">
        <v>482</v>
      </c>
      <c r="C44" s="4"/>
      <c r="D44" t="s">
        <v>86</v>
      </c>
      <c r="E44" s="3">
        <v>2</v>
      </c>
      <c r="G44">
        <v>0.3</v>
      </c>
      <c r="H44" s="5">
        <v>5.7</v>
      </c>
      <c r="I44" s="3" t="s">
        <v>170</v>
      </c>
      <c r="J44" s="59">
        <v>44980</v>
      </c>
      <c r="K44" s="59"/>
      <c r="L44" s="59" t="e" cm="1">
        <f t="array" ref="L44">INDEX($J$4:J1134, MATCH(1,(A44=$A$4:A1132)*("Y"=$K$4:K1134),0))</f>
        <v>#N/A</v>
      </c>
      <c r="M44" s="1">
        <v>1000000</v>
      </c>
      <c r="N44">
        <v>30</v>
      </c>
      <c r="O44">
        <v>23</v>
      </c>
      <c r="Q44" s="6">
        <f>(SUM(Pcfu43[[#This Row],[R1]:[R3]]))/(Pcfu43[[#This Row],[No. Reps]]*0.015)*Pcfu43[[#This Row],[Best DF]]</f>
        <v>1766666666.6666667</v>
      </c>
      <c r="R44" s="1">
        <f>_xlfn.STDEV.S(Pcfu43[[#This Row],[R1]:[R3]])/0.015*Pcfu43[[#This Row],[Best DF]]</f>
        <v>329983164.5537222</v>
      </c>
      <c r="S44" s="6">
        <f>Pcfu43[[#This Row],[CFU/mL]]*Pcfu43[[#This Row],[mL]]/Pcfu43[[#This Row],[grams]]</f>
        <v>33566666666.666668</v>
      </c>
      <c r="T44" s="1">
        <f>Pcfu43[[#This Row],[SD CFU/mL]]*Pcfu43[[#This Row],[mL]]/Pcfu43[[#This Row],[grams]]</f>
        <v>6269680126.5207224</v>
      </c>
      <c r="U44" s="2">
        <f>_xlfn.STDEV.S(Pcfu43[[#This Row],[R1]:[R3]])/AVERAGE(Pcfu43[[#This Row],[R1]:[R3]])</f>
        <v>0.18678292333229557</v>
      </c>
      <c r="V44" s="101">
        <v>0.216</v>
      </c>
      <c r="W44" s="2"/>
      <c r="X44" t="s">
        <v>584</v>
      </c>
    </row>
    <row r="45" spans="1:24" x14ac:dyDescent="0.15">
      <c r="A45" t="s">
        <v>592</v>
      </c>
      <c r="B45" t="s">
        <v>593</v>
      </c>
      <c r="C45" s="4"/>
      <c r="D45" t="s">
        <v>86</v>
      </c>
      <c r="E45" s="3">
        <v>2</v>
      </c>
      <c r="G45">
        <v>0.3</v>
      </c>
      <c r="H45" s="5">
        <v>5.7</v>
      </c>
      <c r="I45" s="3" t="s">
        <v>170</v>
      </c>
      <c r="J45" s="59">
        <v>44981</v>
      </c>
      <c r="K45" s="59"/>
      <c r="L45" s="59" t="e" cm="1">
        <f t="array" ref="L45">INDEX($J$4:J1135, MATCH(1,(A45=$A$4:A1133)*("Y"=$K$4:K1135),0))</f>
        <v>#N/A</v>
      </c>
      <c r="M45" s="1">
        <v>1000000</v>
      </c>
      <c r="N45">
        <v>180</v>
      </c>
      <c r="O45">
        <v>176</v>
      </c>
      <c r="Q45" s="6">
        <f>(SUM(Pcfu43[[#This Row],[R1]:[R3]]))/(Pcfu43[[#This Row],[No. Reps]]*0.015)*Pcfu43[[#This Row],[Best DF]]</f>
        <v>11866666666.666668</v>
      </c>
      <c r="R45" s="1">
        <f>_xlfn.STDEV.S(Pcfu43[[#This Row],[R1]:[R3]])/0.015*Pcfu43[[#This Row],[Best DF]]</f>
        <v>188561808.31641269</v>
      </c>
      <c r="S45" s="6">
        <f>Pcfu43[[#This Row],[CFU/mL]]*Pcfu43[[#This Row],[mL]]/Pcfu43[[#This Row],[grams]]</f>
        <v>225466666666.66669</v>
      </c>
      <c r="T45" s="1">
        <f>Pcfu43[[#This Row],[SD CFU/mL]]*Pcfu43[[#This Row],[mL]]/Pcfu43[[#This Row],[grams]]</f>
        <v>3582674358.0118413</v>
      </c>
      <c r="U45" s="2">
        <f>_xlfn.STDEV.S(Pcfu43[[#This Row],[R1]:[R3]])/AVERAGE(Pcfu43[[#This Row],[R1]:[R3]])</f>
        <v>1.5890040026663992E-2</v>
      </c>
      <c r="V45" s="101"/>
      <c r="W45" s="2"/>
      <c r="X45" t="s">
        <v>544</v>
      </c>
    </row>
    <row r="46" spans="1:24" x14ac:dyDescent="0.15">
      <c r="A46" t="s">
        <v>594</v>
      </c>
      <c r="B46" t="s">
        <v>593</v>
      </c>
      <c r="C46" s="4"/>
      <c r="D46" t="s">
        <v>86</v>
      </c>
      <c r="E46" s="3">
        <v>2</v>
      </c>
      <c r="G46">
        <v>0.3</v>
      </c>
      <c r="H46" s="5">
        <v>5.7</v>
      </c>
      <c r="I46" s="3" t="s">
        <v>170</v>
      </c>
      <c r="J46" s="59">
        <v>44981</v>
      </c>
      <c r="K46" s="59"/>
      <c r="L46" s="59" t="e" cm="1">
        <f t="array" ref="L46">INDEX($J$4:J1136, MATCH(1,(A46=$A$4:A1134)*("Y"=$K$4:K1136),0))</f>
        <v>#N/A</v>
      </c>
      <c r="M46" s="1">
        <v>1000000</v>
      </c>
      <c r="N46">
        <v>153</v>
      </c>
      <c r="O46">
        <v>127</v>
      </c>
      <c r="Q46" s="6">
        <f>(SUM(Pcfu43[[#This Row],[R1]:[R3]]))/(Pcfu43[[#This Row],[No. Reps]]*0.015)*Pcfu43[[#This Row],[Best DF]]</f>
        <v>9333333333.333334</v>
      </c>
      <c r="R46" s="1">
        <f>_xlfn.STDEV.S(Pcfu43[[#This Row],[R1]:[R3]])/0.015*Pcfu43[[#This Row],[Best DF]]</f>
        <v>1225651754.0566823</v>
      </c>
      <c r="S46" s="6">
        <f>Pcfu43[[#This Row],[CFU/mL]]*Pcfu43[[#This Row],[mL]]/Pcfu43[[#This Row],[grams]]</f>
        <v>177333333333.33337</v>
      </c>
      <c r="T46" s="1">
        <f>Pcfu43[[#This Row],[SD CFU/mL]]*Pcfu43[[#This Row],[mL]]/Pcfu43[[#This Row],[grams]]</f>
        <v>23287383327.076965</v>
      </c>
      <c r="U46" s="2">
        <f>_xlfn.STDEV.S(Pcfu43[[#This Row],[R1]:[R3]])/AVERAGE(Pcfu43[[#This Row],[R1]:[R3]])</f>
        <v>0.13131983079178738</v>
      </c>
      <c r="V46" s="101"/>
      <c r="W46" s="2"/>
      <c r="X46" t="s">
        <v>544</v>
      </c>
    </row>
    <row r="47" spans="1:24" x14ac:dyDescent="0.15">
      <c r="A47" t="s">
        <v>595</v>
      </c>
      <c r="B47" t="s">
        <v>593</v>
      </c>
      <c r="C47" s="4"/>
      <c r="D47" t="s">
        <v>86</v>
      </c>
      <c r="E47" s="3">
        <v>2</v>
      </c>
      <c r="G47">
        <v>0.3</v>
      </c>
      <c r="H47" s="5">
        <v>5.7</v>
      </c>
      <c r="I47" s="3" t="s">
        <v>170</v>
      </c>
      <c r="J47" s="59">
        <v>44981</v>
      </c>
      <c r="K47" s="59"/>
      <c r="L47" s="59" t="e" cm="1">
        <f t="array" ref="L47">INDEX($J$4:J1137, MATCH(1,(A47=$A$4:A1135)*("Y"=$K$4:K1137),0))</f>
        <v>#N/A</v>
      </c>
      <c r="M47" s="1">
        <v>1000000</v>
      </c>
      <c r="N47">
        <v>108</v>
      </c>
      <c r="O47">
        <v>97</v>
      </c>
      <c r="Q47" s="6">
        <f>(SUM(Pcfu43[[#This Row],[R1]:[R3]]))/(Pcfu43[[#This Row],[No. Reps]]*0.015)*Pcfu43[[#This Row],[Best DF]]</f>
        <v>6833333333.333334</v>
      </c>
      <c r="R47" s="1">
        <f>_xlfn.STDEV.S(Pcfu43[[#This Row],[R1]:[R3]])/0.015*Pcfu43[[#This Row],[Best DF]]</f>
        <v>518544972.87013489</v>
      </c>
      <c r="S47" s="6">
        <f>Pcfu43[[#This Row],[CFU/mL]]*Pcfu43[[#This Row],[mL]]/Pcfu43[[#This Row],[grams]]</f>
        <v>129833333333.33336</v>
      </c>
      <c r="T47" s="1">
        <f>Pcfu43[[#This Row],[SD CFU/mL]]*Pcfu43[[#This Row],[mL]]/Pcfu43[[#This Row],[grams]]</f>
        <v>9852354484.5325642</v>
      </c>
      <c r="U47" s="2">
        <f>_xlfn.STDEV.S(Pcfu43[[#This Row],[R1]:[R3]])/AVERAGE(Pcfu43[[#This Row],[R1]:[R3]])</f>
        <v>7.5884630176117296E-2</v>
      </c>
      <c r="V47" s="101"/>
      <c r="W47" s="2"/>
      <c r="X47" t="s">
        <v>544</v>
      </c>
    </row>
    <row r="48" spans="1:24" x14ac:dyDescent="0.15">
      <c r="A48" t="s">
        <v>596</v>
      </c>
      <c r="B48" t="s">
        <v>593</v>
      </c>
      <c r="C48" s="4"/>
      <c r="D48" t="s">
        <v>86</v>
      </c>
      <c r="E48" s="3">
        <v>2</v>
      </c>
      <c r="G48">
        <v>0.3</v>
      </c>
      <c r="H48" s="5">
        <v>5.7</v>
      </c>
      <c r="I48" s="3" t="s">
        <v>170</v>
      </c>
      <c r="J48" s="59">
        <v>44981</v>
      </c>
      <c r="K48" s="59"/>
      <c r="L48" s="59" t="e" cm="1">
        <f t="array" ref="L48">INDEX($J$4:J1138, MATCH(1,(A48=$A$4:A1136)*("Y"=$K$4:K1138),0))</f>
        <v>#N/A</v>
      </c>
      <c r="M48" s="1">
        <v>1000000</v>
      </c>
      <c r="N48">
        <v>90</v>
      </c>
      <c r="O48">
        <v>103</v>
      </c>
      <c r="Q48" s="6">
        <f>(SUM(Pcfu43[[#This Row],[R1]:[R3]]))/(Pcfu43[[#This Row],[No. Reps]]*0.015)*Pcfu43[[#This Row],[Best DF]]</f>
        <v>6433333333.333334</v>
      </c>
      <c r="R48" s="1">
        <f>_xlfn.STDEV.S(Pcfu43[[#This Row],[R1]:[R3]])/0.015*Pcfu43[[#This Row],[Best DF]]</f>
        <v>612825877.02834117</v>
      </c>
      <c r="S48" s="6">
        <f>Pcfu43[[#This Row],[CFU/mL]]*Pcfu43[[#This Row],[mL]]/Pcfu43[[#This Row],[grams]]</f>
        <v>122233333333.33336</v>
      </c>
      <c r="T48" s="1">
        <f>Pcfu43[[#This Row],[SD CFU/mL]]*Pcfu43[[#This Row],[mL]]/Pcfu43[[#This Row],[grams]]</f>
        <v>11643691663.538483</v>
      </c>
      <c r="U48" s="2">
        <f>_xlfn.STDEV.S(Pcfu43[[#This Row],[R1]:[R3]])/AVERAGE(Pcfu43[[#This Row],[R1]:[R3]])</f>
        <v>9.5257908346374279E-2</v>
      </c>
      <c r="V48" s="101"/>
      <c r="W48" s="2"/>
      <c r="X48" t="s">
        <v>544</v>
      </c>
    </row>
    <row r="49" spans="1:24" x14ac:dyDescent="0.15">
      <c r="A49" t="s">
        <v>403</v>
      </c>
      <c r="B49" t="s">
        <v>204</v>
      </c>
      <c r="C49" s="4"/>
      <c r="D49" t="s">
        <v>37</v>
      </c>
      <c r="E49" s="3">
        <v>3</v>
      </c>
      <c r="G49">
        <v>0.3</v>
      </c>
      <c r="H49" s="5">
        <v>5.7</v>
      </c>
      <c r="I49" s="3" t="s">
        <v>170</v>
      </c>
      <c r="J49" s="59">
        <v>44984</v>
      </c>
      <c r="K49" s="59"/>
      <c r="L49" s="59" t="e" cm="1">
        <f t="array" ref="L49">INDEX($J$4:J1139, MATCH(1,(A49=$A$4:A1137)*("Y"=$K$4:K1139),0))</f>
        <v>#N/A</v>
      </c>
      <c r="M49" s="1">
        <v>100000</v>
      </c>
      <c r="N49">
        <v>181</v>
      </c>
      <c r="O49">
        <v>203</v>
      </c>
      <c r="P49">
        <v>172</v>
      </c>
      <c r="Q49" s="6">
        <f>(SUM(Pcfu43[[#This Row],[R1]:[R3]]))/(Pcfu43[[#This Row],[No. Reps]]*0.015)*Pcfu43[[#This Row],[Best DF]]</f>
        <v>1235555555.5555556</v>
      </c>
      <c r="R49" s="1">
        <f>_xlfn.STDEV.S(Pcfu43[[#This Row],[R1]:[R3]])/0.015*Pcfu43[[#This Row],[Best DF]]</f>
        <v>106318877.45693943</v>
      </c>
      <c r="S49" s="6">
        <f>Pcfu43[[#This Row],[CFU/mL]]*Pcfu43[[#This Row],[mL]]/Pcfu43[[#This Row],[grams]]</f>
        <v>23475555555.555557</v>
      </c>
      <c r="T49" s="1">
        <f>Pcfu43[[#This Row],[SD CFU/mL]]*Pcfu43[[#This Row],[mL]]/Pcfu43[[#This Row],[grams]]</f>
        <v>2020058671.6818492</v>
      </c>
      <c r="U49" s="2">
        <f>_xlfn.STDEV.S(Pcfu43[[#This Row],[R1]:[R3]])/AVERAGE(Pcfu43[[#This Row],[R1]:[R3]])</f>
        <v>8.6049451179177602E-2</v>
      </c>
      <c r="V49" s="101">
        <v>0.254</v>
      </c>
      <c r="W49" s="2"/>
      <c r="X49" t="s">
        <v>601</v>
      </c>
    </row>
    <row r="50" spans="1:24" x14ac:dyDescent="0.15">
      <c r="A50" t="s">
        <v>405</v>
      </c>
      <c r="B50" t="s">
        <v>204</v>
      </c>
      <c r="C50" s="4"/>
      <c r="D50" t="s">
        <v>37</v>
      </c>
      <c r="E50" s="3">
        <v>3</v>
      </c>
      <c r="G50">
        <v>0.3</v>
      </c>
      <c r="H50" s="5">
        <v>5.7</v>
      </c>
      <c r="I50" s="3" t="s">
        <v>170</v>
      </c>
      <c r="J50" s="59">
        <v>44984</v>
      </c>
      <c r="K50" s="59"/>
      <c r="L50" s="59" t="e" cm="1">
        <f t="array" ref="L50">INDEX($J$4:J1140, MATCH(1,(A50=$A$4:A1138)*("Y"=$K$4:K1140),0))</f>
        <v>#N/A</v>
      </c>
      <c r="M50" s="1">
        <v>1000000</v>
      </c>
      <c r="N50">
        <v>55</v>
      </c>
      <c r="O50">
        <v>47</v>
      </c>
      <c r="P50">
        <v>46</v>
      </c>
      <c r="Q50" s="6">
        <f>(SUM(Pcfu43[[#This Row],[R1]:[R3]]))/(Pcfu43[[#This Row],[No. Reps]]*0.015)*Pcfu43[[#This Row],[Best DF]]</f>
        <v>3288888888.8888893</v>
      </c>
      <c r="R50" s="1">
        <f>_xlfn.STDEV.S(Pcfu43[[#This Row],[R1]:[R3]])/0.015*Pcfu43[[#This Row],[Best DF]]</f>
        <v>328858857.48774987</v>
      </c>
      <c r="S50" s="6">
        <f>Pcfu43[[#This Row],[CFU/mL]]*Pcfu43[[#This Row],[mL]]/Pcfu43[[#This Row],[grams]]</f>
        <v>62488888888.888893</v>
      </c>
      <c r="T50" s="1">
        <f>Pcfu43[[#This Row],[SD CFU/mL]]*Pcfu43[[#This Row],[mL]]/Pcfu43[[#This Row],[grams]]</f>
        <v>6248318292.2672482</v>
      </c>
      <c r="U50" s="2">
        <f>_xlfn.STDEV.S(Pcfu43[[#This Row],[R1]:[R3]])/AVERAGE(Pcfu43[[#This Row],[R1]:[R3]])</f>
        <v>9.9990868830734755E-2</v>
      </c>
      <c r="V50" s="101">
        <v>0.19800000000000001</v>
      </c>
      <c r="W50" s="2"/>
      <c r="X50" t="s">
        <v>602</v>
      </c>
    </row>
    <row r="51" spans="1:24" x14ac:dyDescent="0.15">
      <c r="A51" t="s">
        <v>426</v>
      </c>
      <c r="B51" t="s">
        <v>427</v>
      </c>
      <c r="C51" s="4"/>
      <c r="D51" t="s">
        <v>86</v>
      </c>
      <c r="E51" s="3">
        <v>3</v>
      </c>
      <c r="G51">
        <v>0.3</v>
      </c>
      <c r="H51" s="5">
        <v>5.7</v>
      </c>
      <c r="I51" s="3" t="s">
        <v>170</v>
      </c>
      <c r="J51" s="59">
        <v>44984</v>
      </c>
      <c r="K51" s="59"/>
      <c r="L51" s="59" t="e" cm="1">
        <f t="array" ref="L51">INDEX($J$4:J1141, MATCH(1,(A51=$A$4:A1139)*("Y"=$K$4:K1141),0))</f>
        <v>#N/A</v>
      </c>
      <c r="M51" s="1">
        <v>10000000</v>
      </c>
      <c r="N51">
        <v>35</v>
      </c>
      <c r="O51">
        <v>24</v>
      </c>
      <c r="P51">
        <v>35</v>
      </c>
      <c r="Q51" s="6">
        <f>(SUM(Pcfu43[[#This Row],[R1]:[R3]]))/(Pcfu43[[#This Row],[No. Reps]]*0.015)*Pcfu43[[#This Row],[Best DF]]</f>
        <v>20888888888.888893</v>
      </c>
      <c r="R51" s="1">
        <f>_xlfn.STDEV.S(Pcfu43[[#This Row],[R1]:[R3]])/0.015*Pcfu43[[#This Row],[Best DF]]</f>
        <v>4233901974.0572519</v>
      </c>
      <c r="S51" s="6">
        <f>Pcfu43[[#This Row],[CFU/mL]]*Pcfu43[[#This Row],[mL]]/Pcfu43[[#This Row],[grams]]</f>
        <v>396888888888.88898</v>
      </c>
      <c r="T51" s="1">
        <f>Pcfu43[[#This Row],[SD CFU/mL]]*Pcfu43[[#This Row],[mL]]/Pcfu43[[#This Row],[grams]]</f>
        <v>80444137507.087784</v>
      </c>
      <c r="U51" s="2">
        <f>_xlfn.STDEV.S(Pcfu43[[#This Row],[R1]:[R3]])/AVERAGE(Pcfu43[[#This Row],[R1]:[R3]])</f>
        <v>0.20268679663040035</v>
      </c>
      <c r="V51" s="101"/>
      <c r="W51" s="2"/>
      <c r="X51" t="s">
        <v>544</v>
      </c>
    </row>
    <row r="52" spans="1:24" x14ac:dyDescent="0.15">
      <c r="A52" t="s">
        <v>407</v>
      </c>
      <c r="B52" t="s">
        <v>204</v>
      </c>
      <c r="C52" s="4"/>
      <c r="D52" t="s">
        <v>37</v>
      </c>
      <c r="E52" s="3">
        <v>3</v>
      </c>
      <c r="G52">
        <v>0.3</v>
      </c>
      <c r="H52" s="5">
        <v>5.7</v>
      </c>
      <c r="I52" s="3" t="s">
        <v>170</v>
      </c>
      <c r="J52" s="59">
        <v>44984</v>
      </c>
      <c r="K52" s="59"/>
      <c r="L52" s="59" t="e" cm="1">
        <f t="array" ref="L52">INDEX($J$4:J1142, MATCH(1,(A52=$A$4:A1140)*("Y"=$K$4:K1142),0))</f>
        <v>#N/A</v>
      </c>
      <c r="M52" s="1">
        <v>100000</v>
      </c>
      <c r="N52">
        <v>109</v>
      </c>
      <c r="O52">
        <v>124</v>
      </c>
      <c r="P52">
        <v>108</v>
      </c>
      <c r="Q52" s="6">
        <f>(SUM(Pcfu43[[#This Row],[R1]:[R3]]))/(Pcfu43[[#This Row],[No. Reps]]*0.015)*Pcfu43[[#This Row],[Best DF]]</f>
        <v>757777777.77777779</v>
      </c>
      <c r="R52" s="1">
        <f>_xlfn.STDEV.S(Pcfu43[[#This Row],[R1]:[R3]])/0.015*Pcfu43[[#This Row],[Best DF]]</f>
        <v>59752576.265550025</v>
      </c>
      <c r="S52" s="6">
        <f>Pcfu43[[#This Row],[CFU/mL]]*Pcfu43[[#This Row],[mL]]/Pcfu43[[#This Row],[grams]]</f>
        <v>14397777777.777781</v>
      </c>
      <c r="T52" s="1">
        <f>Pcfu43[[#This Row],[SD CFU/mL]]*Pcfu43[[#This Row],[mL]]/Pcfu43[[#This Row],[grams]]</f>
        <v>1135298949.0454504</v>
      </c>
      <c r="U52" s="2">
        <f>_xlfn.STDEV.S(Pcfu43[[#This Row],[R1]:[R3]])/AVERAGE(Pcfu43[[#This Row],[R1]:[R3]])</f>
        <v>7.8852373370960432E-2</v>
      </c>
      <c r="V52" s="101">
        <v>0.26700000000000002</v>
      </c>
      <c r="W52" s="2"/>
      <c r="X52" t="s">
        <v>603</v>
      </c>
    </row>
    <row r="53" spans="1:24" x14ac:dyDescent="0.15">
      <c r="A53" t="s">
        <v>409</v>
      </c>
      <c r="B53" t="s">
        <v>204</v>
      </c>
      <c r="C53" s="4"/>
      <c r="D53" t="s">
        <v>37</v>
      </c>
      <c r="E53" s="3">
        <v>3</v>
      </c>
      <c r="G53">
        <v>0.3</v>
      </c>
      <c r="H53" s="5">
        <v>5.7</v>
      </c>
      <c r="I53" s="3" t="s">
        <v>170</v>
      </c>
      <c r="J53" s="59">
        <v>44984</v>
      </c>
      <c r="K53" s="59"/>
      <c r="L53" s="59" t="e" cm="1">
        <f t="array" ref="L53">INDEX($J$4:J1143, MATCH(1,(A53=$A$4:A1141)*("Y"=$K$4:K1143),0))</f>
        <v>#N/A</v>
      </c>
      <c r="M53" s="1">
        <v>100000</v>
      </c>
      <c r="N53">
        <v>59</v>
      </c>
      <c r="O53">
        <v>60</v>
      </c>
      <c r="P53">
        <v>64</v>
      </c>
      <c r="Q53" s="6">
        <f>(SUM(Pcfu43[[#This Row],[R1]:[R3]]))/(Pcfu43[[#This Row],[No. Reps]]*0.015)*Pcfu43[[#This Row],[Best DF]]</f>
        <v>406666666.66666669</v>
      </c>
      <c r="R53" s="1">
        <f>_xlfn.STDEV.S(Pcfu43[[#This Row],[R1]:[R3]])/0.015*Pcfu43[[#This Row],[Best DF]]</f>
        <v>17638342.07376394</v>
      </c>
      <c r="S53" s="6">
        <f>Pcfu43[[#This Row],[CFU/mL]]*Pcfu43[[#This Row],[mL]]/Pcfu43[[#This Row],[grams]]</f>
        <v>7726666666.666667</v>
      </c>
      <c r="T53" s="1">
        <f>Pcfu43[[#This Row],[SD CFU/mL]]*Pcfu43[[#This Row],[mL]]/Pcfu43[[#This Row],[grams]]</f>
        <v>335128499.40151489</v>
      </c>
      <c r="U53" s="2">
        <f>_xlfn.STDEV.S(Pcfu43[[#This Row],[R1]:[R3]])/AVERAGE(Pcfu43[[#This Row],[R1]:[R3]])</f>
        <v>4.3372972312534272E-2</v>
      </c>
      <c r="V53" s="101">
        <v>0.22700000000000001</v>
      </c>
      <c r="W53" s="2"/>
      <c r="X53" t="s">
        <v>604</v>
      </c>
    </row>
    <row r="54" spans="1:24" x14ac:dyDescent="0.15">
      <c r="A54" t="s">
        <v>411</v>
      </c>
      <c r="B54" t="s">
        <v>204</v>
      </c>
      <c r="C54" s="4"/>
      <c r="D54" t="s">
        <v>37</v>
      </c>
      <c r="E54" s="3">
        <v>3</v>
      </c>
      <c r="G54">
        <v>0.3</v>
      </c>
      <c r="H54" s="5">
        <v>5.7</v>
      </c>
      <c r="I54" s="3" t="s">
        <v>170</v>
      </c>
      <c r="J54" s="59">
        <v>44984</v>
      </c>
      <c r="K54" s="59"/>
      <c r="L54" s="59" t="e" cm="1">
        <f t="array" ref="L54">INDEX($J$4:J1144, MATCH(1,(A54=$A$4:A1142)*("Y"=$K$4:K1144),0))</f>
        <v>#N/A</v>
      </c>
      <c r="M54" s="1">
        <v>100000</v>
      </c>
      <c r="N54">
        <v>106</v>
      </c>
      <c r="O54">
        <v>91</v>
      </c>
      <c r="P54">
        <v>108</v>
      </c>
      <c r="Q54" s="6">
        <f>(SUM(Pcfu43[[#This Row],[R1]:[R3]]))/(Pcfu43[[#This Row],[No. Reps]]*0.015)*Pcfu43[[#This Row],[Best DF]]</f>
        <v>677777777.77777779</v>
      </c>
      <c r="R54" s="1">
        <f>_xlfn.STDEV.S(Pcfu43[[#This Row],[R1]:[R3]])/0.015*Pcfu43[[#This Row],[Best DF]]</f>
        <v>61943821.621183805</v>
      </c>
      <c r="S54" s="6">
        <f>Pcfu43[[#This Row],[CFU/mL]]*Pcfu43[[#This Row],[mL]]/Pcfu43[[#This Row],[grams]]</f>
        <v>12877777777.777779</v>
      </c>
      <c r="T54" s="1">
        <f>Pcfu43[[#This Row],[SD CFU/mL]]*Pcfu43[[#This Row],[mL]]/Pcfu43[[#This Row],[grams]]</f>
        <v>1176932610.8024924</v>
      </c>
      <c r="U54" s="2">
        <f>_xlfn.STDEV.S(Pcfu43[[#This Row],[R1]:[R3]])/AVERAGE(Pcfu43[[#This Row],[R1]:[R3]])</f>
        <v>9.1392523703385936E-2</v>
      </c>
      <c r="V54" s="101">
        <v>0.157</v>
      </c>
      <c r="W54" s="2"/>
      <c r="X54" t="s">
        <v>605</v>
      </c>
    </row>
    <row r="55" spans="1:24" x14ac:dyDescent="0.15">
      <c r="A55" t="s">
        <v>428</v>
      </c>
      <c r="B55" t="s">
        <v>427</v>
      </c>
      <c r="C55" s="4"/>
      <c r="D55" t="s">
        <v>86</v>
      </c>
      <c r="E55" s="3">
        <v>3</v>
      </c>
      <c r="G55">
        <v>0.3</v>
      </c>
      <c r="H55" s="5">
        <v>5.7</v>
      </c>
      <c r="I55" s="3" t="s">
        <v>170</v>
      </c>
      <c r="J55" s="59">
        <v>44984</v>
      </c>
      <c r="K55" s="59"/>
      <c r="L55" s="59" t="e" cm="1">
        <f t="array" ref="L55">INDEX($J$4:J1145, MATCH(1,(A55=$A$4:A1143)*("Y"=$K$4:K1145),0))</f>
        <v>#N/A</v>
      </c>
      <c r="M55" s="1">
        <v>1000000</v>
      </c>
      <c r="N55">
        <v>165</v>
      </c>
      <c r="O55">
        <v>156</v>
      </c>
      <c r="P55">
        <v>167</v>
      </c>
      <c r="Q55" s="6">
        <f>(SUM(Pcfu43[[#This Row],[R1]:[R3]]))/(Pcfu43[[#This Row],[No. Reps]]*0.015)*Pcfu43[[#This Row],[Best DF]]</f>
        <v>10844444444.444445</v>
      </c>
      <c r="R55" s="1">
        <f>_xlfn.STDEV.S(Pcfu43[[#This Row],[R1]:[R3]])/0.015*Pcfu43[[#This Row],[Best DF]]</f>
        <v>390631018.47215432</v>
      </c>
      <c r="S55" s="6">
        <f>Pcfu43[[#This Row],[CFU/mL]]*Pcfu43[[#This Row],[mL]]/Pcfu43[[#This Row],[grams]]</f>
        <v>206044444444.44446</v>
      </c>
      <c r="T55" s="1">
        <f>Pcfu43[[#This Row],[SD CFU/mL]]*Pcfu43[[#This Row],[mL]]/Pcfu43[[#This Row],[grams]]</f>
        <v>7421989350.970933</v>
      </c>
      <c r="U55" s="2">
        <f>_xlfn.STDEV.S(Pcfu43[[#This Row],[R1]:[R3]])/AVERAGE(Pcfu43[[#This Row],[R1]:[R3]])</f>
        <v>3.6021302932883081E-2</v>
      </c>
      <c r="V55" s="101"/>
      <c r="W55" s="2"/>
      <c r="X55" t="s">
        <v>544</v>
      </c>
    </row>
    <row r="56" spans="1:24" x14ac:dyDescent="0.15">
      <c r="A56" t="s">
        <v>413</v>
      </c>
      <c r="B56" t="s">
        <v>204</v>
      </c>
      <c r="C56" s="4"/>
      <c r="D56" t="s">
        <v>37</v>
      </c>
      <c r="E56" s="3">
        <v>3</v>
      </c>
      <c r="G56">
        <v>0.3</v>
      </c>
      <c r="H56" s="5">
        <v>5.7</v>
      </c>
      <c r="I56" s="3" t="s">
        <v>170</v>
      </c>
      <c r="J56" s="59">
        <v>44984</v>
      </c>
      <c r="K56" s="59"/>
      <c r="L56" s="59" t="e" cm="1">
        <f t="array" ref="L56">INDEX($J$4:J1146, MATCH(1,(A56=$A$4:A1144)*("Y"=$K$4:K1146),0))</f>
        <v>#N/A</v>
      </c>
      <c r="M56" s="1">
        <v>100000</v>
      </c>
      <c r="N56">
        <v>33</v>
      </c>
      <c r="O56">
        <v>26</v>
      </c>
      <c r="P56">
        <v>33</v>
      </c>
      <c r="Q56" s="6">
        <f>(SUM(Pcfu43[[#This Row],[R1]:[R3]]))/(Pcfu43[[#This Row],[No. Reps]]*0.015)*Pcfu43[[#This Row],[Best DF]]</f>
        <v>204444444.44444445</v>
      </c>
      <c r="R56" s="1">
        <f>_xlfn.STDEV.S(Pcfu43[[#This Row],[R1]:[R3]])/0.015*Pcfu43[[#This Row],[Best DF]]</f>
        <v>26943012.562182475</v>
      </c>
      <c r="S56" s="6">
        <f>Pcfu43[[#This Row],[CFU/mL]]*Pcfu43[[#This Row],[mL]]/Pcfu43[[#This Row],[grams]]</f>
        <v>3884444444.4444451</v>
      </c>
      <c r="T56" s="1">
        <f>Pcfu43[[#This Row],[SD CFU/mL]]*Pcfu43[[#This Row],[mL]]/Pcfu43[[#This Row],[grams]]</f>
        <v>511917238.68146712</v>
      </c>
      <c r="U56" s="2">
        <f>_xlfn.STDEV.S(Pcfu43[[#This Row],[R1]:[R3]])/AVERAGE(Pcfu43[[#This Row],[R1]:[R3]])</f>
        <v>0.13178647448893599</v>
      </c>
      <c r="V56" s="101">
        <v>0.24299999999999999</v>
      </c>
      <c r="W56" s="2"/>
      <c r="X56" t="s">
        <v>606</v>
      </c>
    </row>
    <row r="57" spans="1:24" x14ac:dyDescent="0.15">
      <c r="A57" t="s">
        <v>415</v>
      </c>
      <c r="B57" t="s">
        <v>204</v>
      </c>
      <c r="C57" s="4"/>
      <c r="D57" t="s">
        <v>26</v>
      </c>
      <c r="E57" s="3">
        <v>3</v>
      </c>
      <c r="G57">
        <v>0.3</v>
      </c>
      <c r="H57" s="5">
        <v>5.7</v>
      </c>
      <c r="I57" s="3" t="s">
        <v>170</v>
      </c>
      <c r="J57" s="59">
        <v>44984</v>
      </c>
      <c r="K57" s="59"/>
      <c r="L57" s="59" t="e" cm="1">
        <f t="array" ref="L57">INDEX($J$4:J1147, MATCH(1,(A57=$A$4:A1145)*("Y"=$K$4:K1147),0))</f>
        <v>#N/A</v>
      </c>
      <c r="M57" s="1">
        <v>10000</v>
      </c>
      <c r="N57">
        <v>177</v>
      </c>
      <c r="O57">
        <v>202</v>
      </c>
      <c r="P57">
        <v>203</v>
      </c>
      <c r="Q57" s="6">
        <f>(SUM(Pcfu43[[#This Row],[R1]:[R3]]))/(Pcfu43[[#This Row],[No. Reps]]*0.015)*Pcfu43[[#This Row],[Best DF]]</f>
        <v>129333333.33333334</v>
      </c>
      <c r="R57" s="1">
        <f>_xlfn.STDEV.S(Pcfu43[[#This Row],[R1]:[R3]])/0.015*Pcfu43[[#This Row],[Best DF]]</f>
        <v>9820613.2417708244</v>
      </c>
      <c r="S57" s="6">
        <f>Pcfu43[[#This Row],[CFU/mL]]*Pcfu43[[#This Row],[mL]]/Pcfu43[[#This Row],[grams]]</f>
        <v>2457333333.333334</v>
      </c>
      <c r="T57" s="1">
        <f>Pcfu43[[#This Row],[SD CFU/mL]]*Pcfu43[[#This Row],[mL]]/Pcfu43[[#This Row],[grams]]</f>
        <v>186591651.59364566</v>
      </c>
      <c r="U57" s="2">
        <f>_xlfn.STDEV.S(Pcfu43[[#This Row],[R1]:[R3]])/AVERAGE(Pcfu43[[#This Row],[R1]:[R3]])</f>
        <v>7.5932576611630082E-2</v>
      </c>
      <c r="V57" s="101">
        <v>0.36</v>
      </c>
      <c r="W57" s="2"/>
      <c r="X57" t="s">
        <v>597</v>
      </c>
    </row>
    <row r="58" spans="1:24" x14ac:dyDescent="0.15">
      <c r="A58" t="s">
        <v>416</v>
      </c>
      <c r="B58" t="s">
        <v>204</v>
      </c>
      <c r="C58" s="4"/>
      <c r="D58" t="s">
        <v>26</v>
      </c>
      <c r="E58" s="3">
        <v>3</v>
      </c>
      <c r="G58">
        <v>0.3</v>
      </c>
      <c r="H58" s="5">
        <v>5.7</v>
      </c>
      <c r="I58" s="3" t="s">
        <v>170</v>
      </c>
      <c r="J58" s="59">
        <v>44984</v>
      </c>
      <c r="K58" s="59"/>
      <c r="L58" s="59" t="e" cm="1">
        <f t="array" ref="L58">INDEX($J$4:J1148, MATCH(1,(A58=$A$4:A1146)*("Y"=$K$4:K1148),0))</f>
        <v>#N/A</v>
      </c>
      <c r="M58" s="1">
        <v>100000</v>
      </c>
      <c r="N58">
        <v>69</v>
      </c>
      <c r="O58">
        <v>81</v>
      </c>
      <c r="P58">
        <v>78</v>
      </c>
      <c r="Q58" s="6">
        <f>(SUM(Pcfu43[[#This Row],[R1]:[R3]]))/(Pcfu43[[#This Row],[No. Reps]]*0.015)*Pcfu43[[#This Row],[Best DF]]</f>
        <v>506666666.66666669</v>
      </c>
      <c r="R58" s="1">
        <f>_xlfn.STDEV.S(Pcfu43[[#This Row],[R1]:[R3]])/0.015*Pcfu43[[#This Row],[Best DF]]</f>
        <v>41633319.989322655</v>
      </c>
      <c r="S58" s="6">
        <f>Pcfu43[[#This Row],[CFU/mL]]*Pcfu43[[#This Row],[mL]]/Pcfu43[[#This Row],[grams]]</f>
        <v>9626666666.6666679</v>
      </c>
      <c r="T58" s="1">
        <f>Pcfu43[[#This Row],[SD CFU/mL]]*Pcfu43[[#This Row],[mL]]/Pcfu43[[#This Row],[grams]]</f>
        <v>791033079.79713047</v>
      </c>
      <c r="U58" s="2">
        <f>_xlfn.STDEV.S(Pcfu43[[#This Row],[R1]:[R3]])/AVERAGE(Pcfu43[[#This Row],[R1]:[R3]])</f>
        <v>8.2171026294715774E-2</v>
      </c>
      <c r="V58" s="101">
        <v>0.308</v>
      </c>
      <c r="W58" s="2"/>
      <c r="X58" t="s">
        <v>598</v>
      </c>
    </row>
    <row r="59" spans="1:24" x14ac:dyDescent="0.15">
      <c r="A59" t="s">
        <v>429</v>
      </c>
      <c r="B59" t="s">
        <v>427</v>
      </c>
      <c r="C59" s="4"/>
      <c r="D59" t="s">
        <v>26</v>
      </c>
      <c r="E59" s="3">
        <v>3</v>
      </c>
      <c r="G59">
        <v>0.3</v>
      </c>
      <c r="H59" s="5">
        <v>5.7</v>
      </c>
      <c r="I59" s="3" t="s">
        <v>170</v>
      </c>
      <c r="J59" s="59">
        <v>44984</v>
      </c>
      <c r="K59" s="59"/>
      <c r="L59" s="59" t="e" cm="1">
        <f t="array" ref="L59">INDEX($J$4:J1149, MATCH(1,(A59=$A$4:A1147)*("Y"=$K$4:K1149),0))</f>
        <v>#N/A</v>
      </c>
      <c r="M59" s="1">
        <v>1000000</v>
      </c>
      <c r="N59">
        <v>106</v>
      </c>
      <c r="O59">
        <v>119</v>
      </c>
      <c r="P59">
        <v>86</v>
      </c>
      <c r="Q59" s="6">
        <f>(SUM(Pcfu43[[#This Row],[R1]:[R3]]))/(Pcfu43[[#This Row],[No. Reps]]*0.015)*Pcfu43[[#This Row],[Best DF]]</f>
        <v>6911111111.1111116</v>
      </c>
      <c r="R59" s="1">
        <f>_xlfn.STDEV.S(Pcfu43[[#This Row],[R1]:[R3]])/0.015*Pcfu43[[#This Row],[Best DF]]</f>
        <v>1108218456.870373</v>
      </c>
      <c r="S59" s="6">
        <f>Pcfu43[[#This Row],[CFU/mL]]*Pcfu43[[#This Row],[mL]]/Pcfu43[[#This Row],[grams]]</f>
        <v>131311111111.11113</v>
      </c>
      <c r="T59" s="1">
        <f>Pcfu43[[#This Row],[SD CFU/mL]]*Pcfu43[[#This Row],[mL]]/Pcfu43[[#This Row],[grams]]</f>
        <v>21056150680.537086</v>
      </c>
      <c r="U59" s="2">
        <f>_xlfn.STDEV.S(Pcfu43[[#This Row],[R1]:[R3]])/AVERAGE(Pcfu43[[#This Row],[R1]:[R3]])</f>
        <v>0.16035315292336588</v>
      </c>
      <c r="V59" s="101"/>
      <c r="W59" s="2"/>
      <c r="X59" t="s">
        <v>544</v>
      </c>
    </row>
    <row r="60" spans="1:24" x14ac:dyDescent="0.15">
      <c r="A60" t="s">
        <v>418</v>
      </c>
      <c r="B60" t="s">
        <v>204</v>
      </c>
      <c r="C60" s="4"/>
      <c r="D60" t="s">
        <v>37</v>
      </c>
      <c r="E60" s="3">
        <v>3</v>
      </c>
      <c r="G60">
        <v>0.3</v>
      </c>
      <c r="H60" s="5">
        <v>5.7</v>
      </c>
      <c r="I60" s="3" t="s">
        <v>170</v>
      </c>
      <c r="J60" s="59">
        <v>44984</v>
      </c>
      <c r="K60" s="59"/>
      <c r="L60" s="59" t="e" cm="1">
        <f t="array" ref="L60">INDEX($J$4:J1150, MATCH(1,(A60=$A$4:A1148)*("Y"=$K$4:K1150),0))</f>
        <v>#N/A</v>
      </c>
      <c r="M60" s="1">
        <v>10000</v>
      </c>
      <c r="N60">
        <v>184</v>
      </c>
      <c r="O60">
        <v>167</v>
      </c>
      <c r="P60">
        <v>187</v>
      </c>
      <c r="Q60" s="6">
        <f>(SUM(Pcfu43[[#This Row],[R1]:[R3]]))/(Pcfu43[[#This Row],[No. Reps]]*0.015)*Pcfu43[[#This Row],[Best DF]]</f>
        <v>119555555.55555557</v>
      </c>
      <c r="R60" s="1">
        <f>_xlfn.STDEV.S(Pcfu43[[#This Row],[R1]:[R3]])/0.015*Pcfu43[[#This Row],[Best DF]]</f>
        <v>7190528.7499393057</v>
      </c>
      <c r="S60" s="6">
        <f>Pcfu43[[#This Row],[CFU/mL]]*Pcfu43[[#This Row],[mL]]/Pcfu43[[#This Row],[grams]]</f>
        <v>2271555555.5555558</v>
      </c>
      <c r="T60" s="1">
        <f>Pcfu43[[#This Row],[SD CFU/mL]]*Pcfu43[[#This Row],[mL]]/Pcfu43[[#This Row],[grams]]</f>
        <v>136620046.24884683</v>
      </c>
      <c r="U60" s="2">
        <f>_xlfn.STDEV.S(Pcfu43[[#This Row],[R1]:[R3]])/AVERAGE(Pcfu43[[#This Row],[R1]:[R3]])</f>
        <v>6.0143827834064814E-2</v>
      </c>
      <c r="V60" s="101">
        <v>0.32900000000000001</v>
      </c>
      <c r="W60" s="2"/>
      <c r="X60" t="s">
        <v>607</v>
      </c>
    </row>
    <row r="61" spans="1:24" x14ac:dyDescent="0.15">
      <c r="A61" t="s">
        <v>420</v>
      </c>
      <c r="B61" t="s">
        <v>204</v>
      </c>
      <c r="C61" s="4"/>
      <c r="D61" t="s">
        <v>26</v>
      </c>
      <c r="E61" s="3">
        <v>3</v>
      </c>
      <c r="G61">
        <v>0.3</v>
      </c>
      <c r="H61" s="5">
        <v>5.7</v>
      </c>
      <c r="I61" s="3" t="s">
        <v>170</v>
      </c>
      <c r="J61" s="59">
        <v>44984</v>
      </c>
      <c r="K61" s="59"/>
      <c r="L61" s="59" t="e" cm="1">
        <f t="array" ref="L61">INDEX($J$4:J1151, MATCH(1,(A61=$A$4:A1149)*("Y"=$K$4:K1151),0))</f>
        <v>#N/A</v>
      </c>
      <c r="M61" s="1">
        <v>10000</v>
      </c>
      <c r="N61">
        <v>24</v>
      </c>
      <c r="O61">
        <v>16</v>
      </c>
      <c r="P61">
        <v>18</v>
      </c>
      <c r="Q61" s="6">
        <f>(SUM(Pcfu43[[#This Row],[R1]:[R3]]))/(Pcfu43[[#This Row],[No. Reps]]*0.015)*Pcfu43[[#This Row],[Best DF]]</f>
        <v>12888888.88888889</v>
      </c>
      <c r="R61" s="1">
        <f>_xlfn.STDEV.S(Pcfu43[[#This Row],[R1]:[R3]])/0.015*Pcfu43[[#This Row],[Best DF]]</f>
        <v>2775554.6659548464</v>
      </c>
      <c r="S61" s="6">
        <f>Pcfu43[[#This Row],[CFU/mL]]*Pcfu43[[#This Row],[mL]]/Pcfu43[[#This Row],[grams]]</f>
        <v>244888888.88888893</v>
      </c>
      <c r="T61" s="1">
        <f>Pcfu43[[#This Row],[SD CFU/mL]]*Pcfu43[[#This Row],[mL]]/Pcfu43[[#This Row],[grams]]</f>
        <v>52735538.653142087</v>
      </c>
      <c r="U61" s="2">
        <f>_xlfn.STDEV.S(Pcfu43[[#This Row],[R1]:[R3]])/AVERAGE(Pcfu43[[#This Row],[R1]:[R3]])</f>
        <v>0.21534475856546223</v>
      </c>
      <c r="V61" s="101">
        <v>0.32400000000000001</v>
      </c>
      <c r="W61" s="2"/>
      <c r="X61" t="s">
        <v>599</v>
      </c>
    </row>
    <row r="62" spans="1:24" x14ac:dyDescent="0.15">
      <c r="A62" t="s">
        <v>422</v>
      </c>
      <c r="B62" t="s">
        <v>204</v>
      </c>
      <c r="C62" s="4"/>
      <c r="D62" t="s">
        <v>26</v>
      </c>
      <c r="E62" s="3">
        <v>3</v>
      </c>
      <c r="G62">
        <v>0.3</v>
      </c>
      <c r="H62" s="5">
        <v>5.7</v>
      </c>
      <c r="I62" s="3" t="s">
        <v>170</v>
      </c>
      <c r="J62" s="59">
        <v>44984</v>
      </c>
      <c r="K62" s="59"/>
      <c r="L62" s="59" t="e" cm="1">
        <f t="array" ref="L62">INDEX($J$4:J1152, MATCH(1,(A62=$A$4:A1150)*("Y"=$K$4:K1152),0))</f>
        <v>#N/A</v>
      </c>
      <c r="M62" s="1">
        <v>10000</v>
      </c>
      <c r="N62">
        <v>23</v>
      </c>
      <c r="O62">
        <v>24</v>
      </c>
      <c r="P62">
        <v>32</v>
      </c>
      <c r="Q62" s="6">
        <f>(SUM(Pcfu43[[#This Row],[R1]:[R3]]))/(Pcfu43[[#This Row],[No. Reps]]*0.015)*Pcfu43[[#This Row],[Best DF]]</f>
        <v>17555555.555555556</v>
      </c>
      <c r="R62" s="1">
        <f>_xlfn.STDEV.S(Pcfu43[[#This Row],[R1]:[R3]])/0.015*Pcfu43[[#This Row],[Best DF]]</f>
        <v>3288588.5748774935</v>
      </c>
      <c r="S62" s="6">
        <f>Pcfu43[[#This Row],[CFU/mL]]*Pcfu43[[#This Row],[mL]]/Pcfu43[[#This Row],[grams]]</f>
        <v>333555555.55555558</v>
      </c>
      <c r="T62" s="1">
        <f>Pcfu43[[#This Row],[SD CFU/mL]]*Pcfu43[[#This Row],[mL]]/Pcfu43[[#This Row],[grams]]</f>
        <v>62483182.922672383</v>
      </c>
      <c r="U62" s="2">
        <f>_xlfn.STDEV.S(Pcfu43[[#This Row],[R1]:[R3]])/AVERAGE(Pcfu43[[#This Row],[R1]:[R3]])</f>
        <v>0.18732466565757874</v>
      </c>
      <c r="V62" s="101">
        <v>0.22700000000000001</v>
      </c>
      <c r="W62" s="2"/>
      <c r="X62" t="s">
        <v>600</v>
      </c>
    </row>
    <row r="63" spans="1:24" x14ac:dyDescent="0.15">
      <c r="A63" t="s">
        <v>430</v>
      </c>
      <c r="B63" t="s">
        <v>427</v>
      </c>
      <c r="C63" s="4"/>
      <c r="D63" t="s">
        <v>37</v>
      </c>
      <c r="E63" s="3">
        <v>3</v>
      </c>
      <c r="G63">
        <v>0.3</v>
      </c>
      <c r="H63" s="5">
        <v>5.7</v>
      </c>
      <c r="I63" s="3" t="s">
        <v>170</v>
      </c>
      <c r="J63" s="59">
        <v>44984</v>
      </c>
      <c r="K63" s="59"/>
      <c r="L63" s="59" t="e" cm="1">
        <f t="array" ref="L63">INDEX($J$4:J1153, MATCH(1,(A63=$A$4:A1151)*("Y"=$K$4:K1153),0))</f>
        <v>#N/A</v>
      </c>
      <c r="M63" s="1">
        <v>1000000</v>
      </c>
      <c r="N63">
        <v>57</v>
      </c>
      <c r="O63">
        <v>74</v>
      </c>
      <c r="P63">
        <v>74</v>
      </c>
      <c r="Q63" s="6">
        <f>(SUM(Pcfu43[[#This Row],[R1]:[R3]]))/(Pcfu43[[#This Row],[No. Reps]]*0.015)*Pcfu43[[#This Row],[Best DF]]</f>
        <v>4555555555.5555553</v>
      </c>
      <c r="R63" s="1">
        <f>_xlfn.STDEV.S(Pcfu43[[#This Row],[R1]:[R3]])/0.015*Pcfu43[[#This Row],[Best DF]]</f>
        <v>654330305.0815748</v>
      </c>
      <c r="S63" s="6">
        <f>Pcfu43[[#This Row],[CFU/mL]]*Pcfu43[[#This Row],[mL]]/Pcfu43[[#This Row],[grams]]</f>
        <v>86555555555.555557</v>
      </c>
      <c r="T63" s="1">
        <f>Pcfu43[[#This Row],[SD CFU/mL]]*Pcfu43[[#This Row],[mL]]/Pcfu43[[#This Row],[grams]]</f>
        <v>12432275796.549921</v>
      </c>
      <c r="U63" s="2">
        <f>_xlfn.STDEV.S(Pcfu43[[#This Row],[R1]:[R3]])/AVERAGE(Pcfu43[[#This Row],[R1]:[R3]])</f>
        <v>0.14363348160327252</v>
      </c>
      <c r="V63" s="101"/>
      <c r="W63" s="2"/>
      <c r="X63" t="s">
        <v>544</v>
      </c>
    </row>
    <row r="64" spans="1:24" x14ac:dyDescent="0.15">
      <c r="A64" t="s">
        <v>424</v>
      </c>
      <c r="B64" t="s">
        <v>204</v>
      </c>
      <c r="C64" s="4"/>
      <c r="D64" t="s">
        <v>26</v>
      </c>
      <c r="E64" s="3">
        <v>3</v>
      </c>
      <c r="G64">
        <v>0.3</v>
      </c>
      <c r="H64" s="5">
        <v>5.7</v>
      </c>
      <c r="I64" s="3" t="s">
        <v>170</v>
      </c>
      <c r="J64" s="59">
        <v>44984</v>
      </c>
      <c r="K64" s="59"/>
      <c r="L64" s="59" t="e" cm="1">
        <f t="array" ref="L64">INDEX($J$4:J1154, MATCH(1,(A64=$A$4:A1152)*("Y"=$K$4:K1154),0))</f>
        <v>#N/A</v>
      </c>
      <c r="M64" s="1">
        <v>10000</v>
      </c>
      <c r="N64">
        <v>7</v>
      </c>
      <c r="O64">
        <v>12</v>
      </c>
      <c r="P64">
        <v>12</v>
      </c>
      <c r="Q64" s="6">
        <f>(SUM(Pcfu43[[#This Row],[R1]:[R3]]))/(Pcfu43[[#This Row],[No. Reps]]*0.015)*Pcfu43[[#This Row],[Best DF]]</f>
        <v>6888888.888888889</v>
      </c>
      <c r="R64" s="1">
        <f>_xlfn.STDEV.S(Pcfu43[[#This Row],[R1]:[R3]])/0.015*Pcfu43[[#This Row],[Best DF]]</f>
        <v>1924500.8972987537</v>
      </c>
      <c r="S64" s="6">
        <f>Pcfu43[[#This Row],[CFU/mL]]*Pcfu43[[#This Row],[mL]]/Pcfu43[[#This Row],[grams]]</f>
        <v>130888888.88888891</v>
      </c>
      <c r="T64" s="1">
        <f>Pcfu43[[#This Row],[SD CFU/mL]]*Pcfu43[[#This Row],[mL]]/Pcfu43[[#This Row],[grams]]</f>
        <v>36565517.048676327</v>
      </c>
      <c r="U64" s="2">
        <f>_xlfn.STDEV.S(Pcfu43[[#This Row],[R1]:[R3]])/AVERAGE(Pcfu43[[#This Row],[R1]:[R3]])</f>
        <v>0.27936303347885133</v>
      </c>
      <c r="V64" s="101">
        <v>0.30099999999999999</v>
      </c>
      <c r="W64" s="2"/>
      <c r="X64" t="s">
        <v>575</v>
      </c>
    </row>
    <row r="65" spans="1:24" x14ac:dyDescent="0.15">
      <c r="A65" t="s">
        <v>830</v>
      </c>
      <c r="B65" t="s">
        <v>482</v>
      </c>
      <c r="C65" s="4"/>
      <c r="D65" t="s">
        <v>37</v>
      </c>
      <c r="E65" s="3">
        <v>2</v>
      </c>
      <c r="G65">
        <v>0.3</v>
      </c>
      <c r="H65" s="5">
        <v>5.7</v>
      </c>
      <c r="I65" s="3" t="s">
        <v>170</v>
      </c>
      <c r="J65" s="59">
        <v>44987</v>
      </c>
      <c r="K65" s="59"/>
      <c r="L65" s="59" t="e" cm="1">
        <f t="array" ref="L65">INDEX($J$4:J1155, MATCH(1,(A65=$A$4:A1153)*("Y"=$K$4:K1155),0))</f>
        <v>#N/A</v>
      </c>
      <c r="M65" s="1">
        <v>100000</v>
      </c>
      <c r="N65">
        <v>32</v>
      </c>
      <c r="O65">
        <v>33</v>
      </c>
      <c r="Q65" s="6">
        <f>(SUM(Pcfu43[[#This Row],[R1]:[R3]]))/(Pcfu43[[#This Row],[No. Reps]]*0.015)*Pcfu43[[#This Row],[Best DF]]</f>
        <v>216666666.66666669</v>
      </c>
      <c r="R65" s="1">
        <f>_xlfn.STDEV.S(Pcfu43[[#This Row],[R1]:[R3]])/0.015*Pcfu43[[#This Row],[Best DF]]</f>
        <v>4714045.207910317</v>
      </c>
      <c r="S65" s="6">
        <f>Pcfu43[[#This Row],[CFU/mL]]*Pcfu43[[#This Row],[mL]]/Pcfu43[[#This Row],[grams]]</f>
        <v>4116666666.6666675</v>
      </c>
      <c r="T65" s="1">
        <f>Pcfu43[[#This Row],[SD CFU/mL]]*Pcfu43[[#This Row],[mL]]/Pcfu43[[#This Row],[grams]]</f>
        <v>89566858.950296029</v>
      </c>
      <c r="U65" s="2">
        <f>_xlfn.STDEV.S(Pcfu43[[#This Row],[R1]:[R3]])/AVERAGE(Pcfu43[[#This Row],[R1]:[R3]])</f>
        <v>2.175713172881685E-2</v>
      </c>
      <c r="V65" s="101">
        <v>0.34300000000000003</v>
      </c>
      <c r="W65" s="2"/>
      <c r="X65" t="s">
        <v>402</v>
      </c>
    </row>
    <row r="66" spans="1:24" x14ac:dyDescent="0.15">
      <c r="A66" t="s">
        <v>831</v>
      </c>
      <c r="B66" t="s">
        <v>482</v>
      </c>
      <c r="C66" s="4"/>
      <c r="D66" t="s">
        <v>37</v>
      </c>
      <c r="E66" s="3">
        <v>2</v>
      </c>
      <c r="G66">
        <v>0.3</v>
      </c>
      <c r="H66" s="5">
        <v>5.7</v>
      </c>
      <c r="I66" s="3" t="s">
        <v>170</v>
      </c>
      <c r="J66" s="59">
        <v>44987</v>
      </c>
      <c r="K66" s="59"/>
      <c r="L66" s="59" t="e" cm="1">
        <f t="array" ref="L66">INDEX($J$4:J1156, MATCH(1,(A66=$A$4:A1154)*("Y"=$K$4:K1156),0))</f>
        <v>#N/A</v>
      </c>
      <c r="M66" s="1">
        <v>1000000</v>
      </c>
      <c r="N66">
        <v>37</v>
      </c>
      <c r="O66">
        <v>49</v>
      </c>
      <c r="Q66" s="6">
        <f>(SUM(Pcfu43[[#This Row],[R1]:[R3]]))/(Pcfu43[[#This Row],[No. Reps]]*0.015)*Pcfu43[[#This Row],[Best DF]]</f>
        <v>2866666666.666667</v>
      </c>
      <c r="R66" s="1">
        <f>_xlfn.STDEV.S(Pcfu43[[#This Row],[R1]:[R3]])/0.015*Pcfu43[[#This Row],[Best DF]]</f>
        <v>565685424.94923806</v>
      </c>
      <c r="S66" s="6">
        <f>Pcfu43[[#This Row],[CFU/mL]]*Pcfu43[[#This Row],[mL]]/Pcfu43[[#This Row],[grams]]</f>
        <v>54466666666.666672</v>
      </c>
      <c r="T66" s="1">
        <f>Pcfu43[[#This Row],[SD CFU/mL]]*Pcfu43[[#This Row],[mL]]/Pcfu43[[#This Row],[grams]]</f>
        <v>10748023074.035524</v>
      </c>
      <c r="U66" s="2">
        <f>_xlfn.STDEV.S(Pcfu43[[#This Row],[R1]:[R3]])/AVERAGE(Pcfu43[[#This Row],[R1]:[R3]])</f>
        <v>0.19733212498229233</v>
      </c>
      <c r="V66" s="101">
        <v>0.315</v>
      </c>
      <c r="W66" s="2"/>
      <c r="X66" t="s">
        <v>832</v>
      </c>
    </row>
    <row r="67" spans="1:24" x14ac:dyDescent="0.15">
      <c r="A67" t="s">
        <v>833</v>
      </c>
      <c r="B67" t="s">
        <v>482</v>
      </c>
      <c r="C67" s="4"/>
      <c r="D67" t="s">
        <v>37</v>
      </c>
      <c r="E67" s="3">
        <v>2</v>
      </c>
      <c r="G67">
        <v>0.3</v>
      </c>
      <c r="H67" s="5">
        <v>5.7</v>
      </c>
      <c r="I67" s="3" t="s">
        <v>170</v>
      </c>
      <c r="J67" s="59">
        <v>44987</v>
      </c>
      <c r="K67" s="59"/>
      <c r="L67" s="59" t="e" cm="1">
        <f t="array" ref="L67">INDEX($J$4:J1157, MATCH(1,(A67=$A$4:A1155)*("Y"=$K$4:K1157),0))</f>
        <v>#N/A</v>
      </c>
      <c r="M67" s="1">
        <v>100000</v>
      </c>
      <c r="N67">
        <v>91</v>
      </c>
      <c r="O67">
        <v>89</v>
      </c>
      <c r="Q67" s="6">
        <f>(SUM(Pcfu43[[#This Row],[R1]:[R3]]))/(Pcfu43[[#This Row],[No. Reps]]*0.015)*Pcfu43[[#This Row],[Best DF]]</f>
        <v>600000000</v>
      </c>
      <c r="R67" s="1">
        <f>_xlfn.STDEV.S(Pcfu43[[#This Row],[R1]:[R3]])/0.015*Pcfu43[[#This Row],[Best DF]]</f>
        <v>9428090.415820634</v>
      </c>
      <c r="S67" s="6">
        <f>Pcfu43[[#This Row],[CFU/mL]]*Pcfu43[[#This Row],[mL]]/Pcfu43[[#This Row],[grams]]</f>
        <v>11400000000</v>
      </c>
      <c r="T67" s="1">
        <f>Pcfu43[[#This Row],[SD CFU/mL]]*Pcfu43[[#This Row],[mL]]/Pcfu43[[#This Row],[grams]]</f>
        <v>179133717.90059206</v>
      </c>
      <c r="U67" s="2">
        <f>_xlfn.STDEV.S(Pcfu43[[#This Row],[R1]:[R3]])/AVERAGE(Pcfu43[[#This Row],[R1]:[R3]])</f>
        <v>1.5713484026367724E-2</v>
      </c>
      <c r="V67" s="101">
        <v>0.29399999999999998</v>
      </c>
      <c r="W67" s="2"/>
      <c r="X67" t="s">
        <v>834</v>
      </c>
    </row>
    <row r="68" spans="1:24" x14ac:dyDescent="0.15">
      <c r="A68" t="s">
        <v>835</v>
      </c>
      <c r="B68" t="s">
        <v>482</v>
      </c>
      <c r="C68" s="4"/>
      <c r="D68" t="s">
        <v>194</v>
      </c>
      <c r="E68" s="3">
        <v>2</v>
      </c>
      <c r="G68">
        <v>0.3</v>
      </c>
      <c r="H68" s="5">
        <v>5.7</v>
      </c>
      <c r="I68" s="3" t="s">
        <v>170</v>
      </c>
      <c r="J68" s="59">
        <v>44987</v>
      </c>
      <c r="K68" s="59"/>
      <c r="L68" s="59" t="e" cm="1">
        <f t="array" ref="L68">INDEX($J$4:J1158, MATCH(1,(A68=$A$4:A1156)*("Y"=$K$4:K1158),0))</f>
        <v>#N/A</v>
      </c>
      <c r="M68" s="1">
        <v>1000000</v>
      </c>
      <c r="N68">
        <v>72</v>
      </c>
      <c r="O68">
        <v>68</v>
      </c>
      <c r="Q68" s="6">
        <f>(SUM(Pcfu43[[#This Row],[R1]:[R3]]))/(Pcfu43[[#This Row],[No. Reps]]*0.015)*Pcfu43[[#This Row],[Best DF]]</f>
        <v>4666666666.666667</v>
      </c>
      <c r="R68" s="1">
        <f>_xlfn.STDEV.S(Pcfu43[[#This Row],[R1]:[R3]])/0.015*Pcfu43[[#This Row],[Best DF]]</f>
        <v>188561808.31641269</v>
      </c>
      <c r="S68" s="6">
        <f>Pcfu43[[#This Row],[CFU/mL]]*Pcfu43[[#This Row],[mL]]/Pcfu43[[#This Row],[grams]]</f>
        <v>88666666666.666687</v>
      </c>
      <c r="T68" s="1">
        <f>Pcfu43[[#This Row],[SD CFU/mL]]*Pcfu43[[#This Row],[mL]]/Pcfu43[[#This Row],[grams]]</f>
        <v>3582674358.0118413</v>
      </c>
      <c r="U68" s="2">
        <f>_xlfn.STDEV.S(Pcfu43[[#This Row],[R1]:[R3]])/AVERAGE(Pcfu43[[#This Row],[R1]:[R3]])</f>
        <v>4.0406101782088436E-2</v>
      </c>
      <c r="V68" s="101">
        <v>0.28799999999999998</v>
      </c>
      <c r="W68" s="2"/>
      <c r="X68" t="s">
        <v>836</v>
      </c>
    </row>
    <row r="69" spans="1:24" x14ac:dyDescent="0.15">
      <c r="A69" t="s">
        <v>612</v>
      </c>
      <c r="B69" t="s">
        <v>482</v>
      </c>
      <c r="C69" s="4"/>
      <c r="D69" t="s">
        <v>194</v>
      </c>
      <c r="E69" s="3">
        <v>2</v>
      </c>
      <c r="G69">
        <v>0.3</v>
      </c>
      <c r="H69" s="5">
        <v>5.7</v>
      </c>
      <c r="I69" s="3" t="s">
        <v>170</v>
      </c>
      <c r="J69" s="59">
        <v>44987</v>
      </c>
      <c r="K69" s="59"/>
      <c r="L69" s="59" t="e" cm="1">
        <f t="array" ref="L69">INDEX($J$4:J1159, MATCH(1,(A69=$A$4:A1157)*("Y"=$K$4:K1159),0))</f>
        <v>#N/A</v>
      </c>
      <c r="M69" s="1">
        <v>100000</v>
      </c>
      <c r="N69">
        <v>98</v>
      </c>
      <c r="O69">
        <v>95</v>
      </c>
      <c r="Q69" s="6">
        <f>(SUM(Pcfu43[[#This Row],[R1]:[R3]]))/(Pcfu43[[#This Row],[No. Reps]]*0.015)*Pcfu43[[#This Row],[Best DF]]</f>
        <v>643333333.33333337</v>
      </c>
      <c r="R69" s="1">
        <f>_xlfn.STDEV.S(Pcfu43[[#This Row],[R1]:[R3]])/0.015*Pcfu43[[#This Row],[Best DF]]</f>
        <v>14142135.623730952</v>
      </c>
      <c r="S69" s="6">
        <f>Pcfu43[[#This Row],[CFU/mL]]*Pcfu43[[#This Row],[mL]]/Pcfu43[[#This Row],[grams]]</f>
        <v>12223333333.333336</v>
      </c>
      <c r="T69" s="1">
        <f>Pcfu43[[#This Row],[SD CFU/mL]]*Pcfu43[[#This Row],[mL]]/Pcfu43[[#This Row],[grams]]</f>
        <v>268700576.85088807</v>
      </c>
      <c r="U69" s="2">
        <f>_xlfn.STDEV.S(Pcfu43[[#This Row],[R1]:[R3]])/AVERAGE(Pcfu43[[#This Row],[R1]:[R3]])</f>
        <v>2.1982594233778678E-2</v>
      </c>
      <c r="V69" s="101">
        <v>0.28199999999999997</v>
      </c>
      <c r="W69" s="2"/>
      <c r="X69" t="s">
        <v>837</v>
      </c>
    </row>
    <row r="70" spans="1:24" x14ac:dyDescent="0.15">
      <c r="A70" t="s">
        <v>838</v>
      </c>
      <c r="B70" t="s">
        <v>482</v>
      </c>
      <c r="C70" s="4"/>
      <c r="D70" t="s">
        <v>194</v>
      </c>
      <c r="E70" s="3">
        <v>2</v>
      </c>
      <c r="G70">
        <v>0.3</v>
      </c>
      <c r="H70" s="5">
        <v>5.7</v>
      </c>
      <c r="I70" s="3" t="s">
        <v>170</v>
      </c>
      <c r="J70" s="59">
        <v>44987</v>
      </c>
      <c r="K70" s="59"/>
      <c r="L70" s="59" t="e" cm="1">
        <f t="array" ref="L70">INDEX($J$4:J1160, MATCH(1,(A70=$A$4:A1158)*("Y"=$K$4:K1160),0))</f>
        <v>#N/A</v>
      </c>
      <c r="M70" s="1">
        <v>1000000</v>
      </c>
      <c r="N70">
        <v>70</v>
      </c>
      <c r="O70">
        <v>77</v>
      </c>
      <c r="Q70" s="6">
        <f>(SUM(Pcfu43[[#This Row],[R1]:[R3]]))/(Pcfu43[[#This Row],[No. Reps]]*0.015)*Pcfu43[[#This Row],[Best DF]]</f>
        <v>4900000000</v>
      </c>
      <c r="R70" s="1">
        <f>_xlfn.STDEV.S(Pcfu43[[#This Row],[R1]:[R3]])/0.015*Pcfu43[[#This Row],[Best DF]]</f>
        <v>329983164.5537222</v>
      </c>
      <c r="S70" s="6">
        <f>Pcfu43[[#This Row],[CFU/mL]]*Pcfu43[[#This Row],[mL]]/Pcfu43[[#This Row],[grams]]</f>
        <v>93100000000</v>
      </c>
      <c r="T70" s="1">
        <f>Pcfu43[[#This Row],[SD CFU/mL]]*Pcfu43[[#This Row],[mL]]/Pcfu43[[#This Row],[grams]]</f>
        <v>6269680126.5207224</v>
      </c>
      <c r="U70" s="2">
        <f>_xlfn.STDEV.S(Pcfu43[[#This Row],[R1]:[R3]])/AVERAGE(Pcfu43[[#This Row],[R1]:[R3]])</f>
        <v>6.7343502970147379E-2</v>
      </c>
      <c r="V70" s="101">
        <v>0.27800000000000002</v>
      </c>
      <c r="W70" s="2"/>
      <c r="X70" t="s">
        <v>414</v>
      </c>
    </row>
    <row r="71" spans="1:24" x14ac:dyDescent="0.15">
      <c r="A71" t="s">
        <v>839</v>
      </c>
      <c r="B71" t="s">
        <v>482</v>
      </c>
      <c r="C71" s="4"/>
      <c r="D71" t="s">
        <v>194</v>
      </c>
      <c r="E71" s="3">
        <v>2</v>
      </c>
      <c r="G71">
        <v>0.3</v>
      </c>
      <c r="H71" s="5">
        <v>5.7</v>
      </c>
      <c r="I71" s="3" t="s">
        <v>170</v>
      </c>
      <c r="J71" s="59">
        <v>44987</v>
      </c>
      <c r="K71" s="59"/>
      <c r="L71" s="59" t="e" cm="1">
        <f t="array" ref="L71">INDEX($J$4:J1161, MATCH(1,(A71=$A$4:A1159)*("Y"=$K$4:K1161),0))</f>
        <v>#N/A</v>
      </c>
      <c r="M71" s="1">
        <v>1000000</v>
      </c>
      <c r="N71">
        <v>64</v>
      </c>
      <c r="O71">
        <v>67</v>
      </c>
      <c r="Q71" s="6">
        <f>(SUM(Pcfu43[[#This Row],[R1]:[R3]]))/(Pcfu43[[#This Row],[No. Reps]]*0.015)*Pcfu43[[#This Row],[Best DF]]</f>
        <v>4366666666.666667</v>
      </c>
      <c r="R71" s="1">
        <f>_xlfn.STDEV.S(Pcfu43[[#This Row],[R1]:[R3]])/0.015*Pcfu43[[#This Row],[Best DF]]</f>
        <v>141421356.23730952</v>
      </c>
      <c r="S71" s="6">
        <f>Pcfu43[[#This Row],[CFU/mL]]*Pcfu43[[#This Row],[mL]]/Pcfu43[[#This Row],[grams]]</f>
        <v>82966666666.666687</v>
      </c>
      <c r="T71" s="1">
        <f>Pcfu43[[#This Row],[SD CFU/mL]]*Pcfu43[[#This Row],[mL]]/Pcfu43[[#This Row],[grams]]</f>
        <v>2687005768.5088811</v>
      </c>
      <c r="U71" s="2">
        <f>_xlfn.STDEV.S(Pcfu43[[#This Row],[R1]:[R3]])/AVERAGE(Pcfu43[[#This Row],[R1]:[R3]])</f>
        <v>3.2386570130681566E-2</v>
      </c>
      <c r="V71" s="101">
        <v>0.25700000000000001</v>
      </c>
      <c r="W71" s="2"/>
      <c r="X71" t="s">
        <v>385</v>
      </c>
    </row>
    <row r="72" spans="1:24" x14ac:dyDescent="0.15">
      <c r="A72" t="s">
        <v>840</v>
      </c>
      <c r="B72" t="s">
        <v>564</v>
      </c>
      <c r="C72" s="4"/>
      <c r="D72" t="s">
        <v>86</v>
      </c>
      <c r="E72" s="3">
        <v>2</v>
      </c>
      <c r="G72">
        <v>0.3</v>
      </c>
      <c r="H72" s="5">
        <v>5.7</v>
      </c>
      <c r="I72" s="3" t="s">
        <v>170</v>
      </c>
      <c r="J72" s="59">
        <v>44991</v>
      </c>
      <c r="K72" s="59"/>
      <c r="L72" s="59" t="e" cm="1">
        <f t="array" ref="L72">INDEX($J$4:J1162, MATCH(1,(A72=$A$4:A1160)*("Y"=$K$4:K1162),0))</f>
        <v>#N/A</v>
      </c>
      <c r="M72" s="1">
        <v>10000000</v>
      </c>
      <c r="N72">
        <v>42</v>
      </c>
      <c r="O72">
        <v>39</v>
      </c>
      <c r="Q72" s="6">
        <f>(SUM(Pcfu43[[#This Row],[R1]:[R3]]))/(Pcfu43[[#This Row],[No. Reps]]*0.015)*Pcfu43[[#This Row],[Best DF]]</f>
        <v>27000000000</v>
      </c>
      <c r="R72" s="1">
        <f>_xlfn.STDEV.S(Pcfu43[[#This Row],[R1]:[R3]])/0.015*Pcfu43[[#This Row],[Best DF]]</f>
        <v>1414213562.373095</v>
      </c>
      <c r="S72" s="6">
        <f>Pcfu43[[#This Row],[CFU/mL]]*Pcfu43[[#This Row],[mL]]/Pcfu43[[#This Row],[grams]]</f>
        <v>513000000000</v>
      </c>
      <c r="T72" s="1">
        <f>Pcfu43[[#This Row],[SD CFU/mL]]*Pcfu43[[#This Row],[mL]]/Pcfu43[[#This Row],[grams]]</f>
        <v>26870057685.088806</v>
      </c>
      <c r="U72" s="7">
        <f>_xlfn.STDEV.S(Pcfu43[[#This Row],[R1]:[R3]])/AVERAGE(Pcfu43[[#This Row],[R1]:[R3]])</f>
        <v>5.2378280087892408E-2</v>
      </c>
      <c r="V72" s="102"/>
      <c r="W72" s="7"/>
      <c r="X72" t="s">
        <v>841</v>
      </c>
    </row>
    <row r="73" spans="1:24" x14ac:dyDescent="0.15">
      <c r="A73" t="s">
        <v>842</v>
      </c>
      <c r="B73" t="s">
        <v>843</v>
      </c>
      <c r="C73" s="4"/>
      <c r="D73" t="s">
        <v>86</v>
      </c>
      <c r="E73" s="3">
        <v>2</v>
      </c>
      <c r="G73">
        <v>0.3</v>
      </c>
      <c r="H73" s="5">
        <v>5.7</v>
      </c>
      <c r="I73" s="3" t="s">
        <v>170</v>
      </c>
      <c r="J73" s="59">
        <v>44991</v>
      </c>
      <c r="K73" s="59"/>
      <c r="L73" s="59" t="e" cm="1">
        <f t="array" ref="L73">INDEX($J$4:J1163, MATCH(1,(A73=$A$4:A1161)*("Y"=$K$4:K1163),0))</f>
        <v>#N/A</v>
      </c>
      <c r="M73" s="1">
        <v>1000000</v>
      </c>
      <c r="N73">
        <v>104</v>
      </c>
      <c r="O73">
        <v>95</v>
      </c>
      <c r="Q73" s="6">
        <f>(SUM(Pcfu43[[#This Row],[R1]:[R3]]))/(Pcfu43[[#This Row],[No. Reps]]*0.015)*Pcfu43[[#This Row],[Best DF]]</f>
        <v>6633333333.333334</v>
      </c>
      <c r="R73" s="1">
        <f>_xlfn.STDEV.S(Pcfu43[[#This Row],[R1]:[R3]])/0.015*Pcfu43[[#This Row],[Best DF]]</f>
        <v>424264068.71192855</v>
      </c>
      <c r="S73" s="6">
        <f>Pcfu43[[#This Row],[CFU/mL]]*Pcfu43[[#This Row],[mL]]/Pcfu43[[#This Row],[grams]]</f>
        <v>126033333333.33336</v>
      </c>
      <c r="T73" s="1">
        <f>Pcfu43[[#This Row],[SD CFU/mL]]*Pcfu43[[#This Row],[mL]]/Pcfu43[[#This Row],[grams]]</f>
        <v>8061017305.5266428</v>
      </c>
      <c r="U73" s="7">
        <f>_xlfn.STDEV.S(Pcfu43[[#This Row],[R1]:[R3]])/AVERAGE(Pcfu43[[#This Row],[R1]:[R3]])</f>
        <v>6.3959407343506816E-2</v>
      </c>
      <c r="V73" s="102"/>
      <c r="W73" s="7"/>
      <c r="X73" t="s">
        <v>841</v>
      </c>
    </row>
    <row r="74" spans="1:24" x14ac:dyDescent="0.15">
      <c r="A74" t="s">
        <v>844</v>
      </c>
      <c r="B74" t="s">
        <v>843</v>
      </c>
      <c r="C74" s="4"/>
      <c r="D74" t="s">
        <v>86</v>
      </c>
      <c r="E74" s="3">
        <v>2</v>
      </c>
      <c r="G74">
        <v>0.3</v>
      </c>
      <c r="H74" s="5">
        <v>5.7</v>
      </c>
      <c r="I74" s="3" t="s">
        <v>170</v>
      </c>
      <c r="J74" s="59">
        <v>44991</v>
      </c>
      <c r="K74" s="59"/>
      <c r="L74" s="59" t="e" cm="1">
        <f t="array" ref="L74">INDEX($J$4:J1164, MATCH(1,(A74=$A$4:A1162)*("Y"=$K$4:K1164),0))</f>
        <v>#N/A</v>
      </c>
      <c r="M74" s="1">
        <v>1000000</v>
      </c>
      <c r="N74">
        <v>113</v>
      </c>
      <c r="O74">
        <v>109</v>
      </c>
      <c r="Q74" s="6">
        <f>(SUM(Pcfu43[[#This Row],[R1]:[R3]]))/(Pcfu43[[#This Row],[No. Reps]]*0.015)*Pcfu43[[#This Row],[Best DF]]</f>
        <v>7400000000</v>
      </c>
      <c r="R74" s="1">
        <f>_xlfn.STDEV.S(Pcfu43[[#This Row],[R1]:[R3]])/0.015*Pcfu43[[#This Row],[Best DF]]</f>
        <v>188561808.31641269</v>
      </c>
      <c r="S74" s="6">
        <f>Pcfu43[[#This Row],[CFU/mL]]*Pcfu43[[#This Row],[mL]]/Pcfu43[[#This Row],[grams]]</f>
        <v>140600000000</v>
      </c>
      <c r="T74" s="1">
        <f>Pcfu43[[#This Row],[SD CFU/mL]]*Pcfu43[[#This Row],[mL]]/Pcfu43[[#This Row],[grams]]</f>
        <v>3582674358.0118413</v>
      </c>
      <c r="U74" s="7">
        <f>_xlfn.STDEV.S(Pcfu43[[#This Row],[R1]:[R3]])/AVERAGE(Pcfu43[[#This Row],[R1]:[R3]])</f>
        <v>2.5481325448163877E-2</v>
      </c>
      <c r="V74" s="102"/>
      <c r="W74" s="7"/>
      <c r="X74" t="s">
        <v>841</v>
      </c>
    </row>
    <row r="75" spans="1:24" x14ac:dyDescent="0.15">
      <c r="A75" t="s">
        <v>845</v>
      </c>
      <c r="B75" t="s">
        <v>843</v>
      </c>
      <c r="C75" s="4"/>
      <c r="D75" t="s">
        <v>86</v>
      </c>
      <c r="E75" s="3">
        <v>2</v>
      </c>
      <c r="G75">
        <v>0.3</v>
      </c>
      <c r="H75" s="5">
        <v>5.7</v>
      </c>
      <c r="I75" s="3" t="s">
        <v>170</v>
      </c>
      <c r="J75" s="59">
        <v>44991</v>
      </c>
      <c r="K75" s="59"/>
      <c r="L75" s="59" t="e" cm="1">
        <f t="array" ref="L75">INDEX($J$4:J1165, MATCH(1,(A75=$A$4:A1163)*("Y"=$K$4:K1165),0))</f>
        <v>#N/A</v>
      </c>
      <c r="M75" s="1">
        <v>1000000</v>
      </c>
      <c r="N75">
        <v>91</v>
      </c>
      <c r="O75">
        <v>88</v>
      </c>
      <c r="Q75" s="6">
        <f>(SUM(Pcfu43[[#This Row],[R1]:[R3]]))/(Pcfu43[[#This Row],[No. Reps]]*0.015)*Pcfu43[[#This Row],[Best DF]]</f>
        <v>5966666666.666667</v>
      </c>
      <c r="R75" s="1">
        <f>_xlfn.STDEV.S(Pcfu43[[#This Row],[R1]:[R3]])/0.015*Pcfu43[[#This Row],[Best DF]]</f>
        <v>141421356.23730952</v>
      </c>
      <c r="S75" s="6">
        <f>Pcfu43[[#This Row],[CFU/mL]]*Pcfu43[[#This Row],[mL]]/Pcfu43[[#This Row],[grams]]</f>
        <v>113366666666.66669</v>
      </c>
      <c r="T75" s="1">
        <f>Pcfu43[[#This Row],[SD CFU/mL]]*Pcfu43[[#This Row],[mL]]/Pcfu43[[#This Row],[grams]]</f>
        <v>2687005768.5088811</v>
      </c>
      <c r="U75" s="7">
        <f>_xlfn.STDEV.S(Pcfu43[[#This Row],[R1]:[R3]])/AVERAGE(Pcfu43[[#This Row],[R1]:[R3]])</f>
        <v>2.3701903279996005E-2</v>
      </c>
      <c r="V75" s="102"/>
      <c r="W75" s="7"/>
      <c r="X75" t="s">
        <v>841</v>
      </c>
    </row>
    <row r="76" spans="1:24" x14ac:dyDescent="0.15">
      <c r="A76" t="s">
        <v>846</v>
      </c>
      <c r="B76" t="s">
        <v>843</v>
      </c>
      <c r="C76" s="4"/>
      <c r="D76" t="s">
        <v>86</v>
      </c>
      <c r="E76" s="3">
        <v>2</v>
      </c>
      <c r="G76">
        <v>0.3</v>
      </c>
      <c r="H76" s="5">
        <v>5.7</v>
      </c>
      <c r="I76" s="3" t="s">
        <v>170</v>
      </c>
      <c r="J76" s="59">
        <v>44991</v>
      </c>
      <c r="K76" s="59"/>
      <c r="L76" s="59" t="e" cm="1">
        <f t="array" ref="L76">INDEX($J$4:J1166, MATCH(1,(A76=$A$4:A1164)*("Y"=$K$4:K1166),0))</f>
        <v>#N/A</v>
      </c>
      <c r="M76" s="1">
        <v>1000000</v>
      </c>
      <c r="N76">
        <v>94</v>
      </c>
      <c r="O76">
        <v>99</v>
      </c>
      <c r="Q76" s="6">
        <f>(SUM(Pcfu43[[#This Row],[R1]:[R3]]))/(Pcfu43[[#This Row],[No. Reps]]*0.015)*Pcfu43[[#This Row],[Best DF]]</f>
        <v>6433333333.333334</v>
      </c>
      <c r="R76" s="1">
        <f>_xlfn.STDEV.S(Pcfu43[[#This Row],[R1]:[R3]])/0.015*Pcfu43[[#This Row],[Best DF]]</f>
        <v>235702260.39551586</v>
      </c>
      <c r="S76" s="6">
        <f>Pcfu43[[#This Row],[CFU/mL]]*Pcfu43[[#This Row],[mL]]/Pcfu43[[#This Row],[grams]]</f>
        <v>122233333333.33336</v>
      </c>
      <c r="T76" s="1">
        <f>Pcfu43[[#This Row],[SD CFU/mL]]*Pcfu43[[#This Row],[mL]]/Pcfu43[[#This Row],[grams]]</f>
        <v>4478342947.514802</v>
      </c>
      <c r="U76" s="7">
        <f>_xlfn.STDEV.S(Pcfu43[[#This Row],[R1]:[R3]])/AVERAGE(Pcfu43[[#This Row],[R1]:[R3]])</f>
        <v>3.6637657056297804E-2</v>
      </c>
      <c r="V76" s="102"/>
      <c r="W76" s="7"/>
      <c r="X76" t="s">
        <v>841</v>
      </c>
    </row>
    <row r="77" spans="1:24" x14ac:dyDescent="0.15">
      <c r="A77" t="s">
        <v>840</v>
      </c>
      <c r="B77" t="s">
        <v>564</v>
      </c>
      <c r="C77" s="4"/>
      <c r="D77" t="s">
        <v>86</v>
      </c>
      <c r="E77" s="3">
        <v>2</v>
      </c>
      <c r="G77">
        <v>0.3</v>
      </c>
      <c r="H77" s="5">
        <v>5.7</v>
      </c>
      <c r="I77" s="3" t="s">
        <v>170</v>
      </c>
      <c r="J77" s="59">
        <v>44991</v>
      </c>
      <c r="K77" s="59"/>
      <c r="L77" s="59" t="e" cm="1">
        <f t="array" ref="L77">INDEX($J$4:J1167, MATCH(1,(A77=$A$4:A1165)*("Y"=$K$4:K1167),0))</f>
        <v>#N/A</v>
      </c>
      <c r="M77" s="1">
        <v>10000000</v>
      </c>
      <c r="N77">
        <v>43</v>
      </c>
      <c r="O77">
        <v>32</v>
      </c>
      <c r="Q77" s="6">
        <f>(SUM(Pcfu43[[#This Row],[R1]:[R3]]))/(Pcfu43[[#This Row],[No. Reps]]*0.015)*Pcfu43[[#This Row],[Best DF]]</f>
        <v>25000000000</v>
      </c>
      <c r="R77" s="1">
        <f>_xlfn.STDEV.S(Pcfu43[[#This Row],[R1]:[R3]])/0.015*Pcfu43[[#This Row],[Best DF]]</f>
        <v>5185449728.7013483</v>
      </c>
      <c r="S77" s="6">
        <f>Pcfu43[[#This Row],[CFU/mL]]*Pcfu43[[#This Row],[mL]]/Pcfu43[[#This Row],[grams]]</f>
        <v>475000000000</v>
      </c>
      <c r="T77" s="1">
        <f>Pcfu43[[#This Row],[SD CFU/mL]]*Pcfu43[[#This Row],[mL]]/Pcfu43[[#This Row],[grams]]</f>
        <v>98523544845.325623</v>
      </c>
      <c r="U77" s="7">
        <f>_xlfn.STDEV.S(Pcfu43[[#This Row],[R1]:[R3]])/AVERAGE(Pcfu43[[#This Row],[R1]:[R3]])</f>
        <v>0.20741798914805393</v>
      </c>
      <c r="V77" s="102"/>
      <c r="W77" s="7"/>
      <c r="X77" t="s">
        <v>847</v>
      </c>
    </row>
    <row r="78" spans="1:24" x14ac:dyDescent="0.15">
      <c r="A78" t="s">
        <v>842</v>
      </c>
      <c r="B78" t="s">
        <v>843</v>
      </c>
      <c r="C78" s="4"/>
      <c r="D78" t="s">
        <v>86</v>
      </c>
      <c r="E78" s="3">
        <v>2</v>
      </c>
      <c r="G78">
        <v>0.3</v>
      </c>
      <c r="H78" s="5">
        <v>5.7</v>
      </c>
      <c r="I78" s="3" t="s">
        <v>170</v>
      </c>
      <c r="J78" s="59">
        <v>44991</v>
      </c>
      <c r="K78" s="59"/>
      <c r="L78" s="59" t="e" cm="1">
        <f t="array" ref="L78">INDEX($J$4:J1168, MATCH(1,(A78=$A$4:A1166)*("Y"=$K$4:K1168),0))</f>
        <v>#N/A</v>
      </c>
      <c r="M78" s="1">
        <v>1000000</v>
      </c>
      <c r="N78">
        <v>100</v>
      </c>
      <c r="O78">
        <v>130</v>
      </c>
      <c r="Q78" s="6">
        <f>(SUM(Pcfu43[[#This Row],[R1]:[R3]]))/(Pcfu43[[#This Row],[No. Reps]]*0.015)*Pcfu43[[#This Row],[Best DF]]</f>
        <v>7666666666.666667</v>
      </c>
      <c r="R78" s="1">
        <f>_xlfn.STDEV.S(Pcfu43[[#This Row],[R1]:[R3]])/0.015*Pcfu43[[#This Row],[Best DF]]</f>
        <v>1414213562.373095</v>
      </c>
      <c r="S78" s="6">
        <f>Pcfu43[[#This Row],[CFU/mL]]*Pcfu43[[#This Row],[mL]]/Pcfu43[[#This Row],[grams]]</f>
        <v>145666666666.66669</v>
      </c>
      <c r="T78" s="1">
        <f>Pcfu43[[#This Row],[SD CFU/mL]]*Pcfu43[[#This Row],[mL]]/Pcfu43[[#This Row],[grams]]</f>
        <v>26870057685.088806</v>
      </c>
      <c r="U78" s="7">
        <f>_xlfn.STDEV.S(Pcfu43[[#This Row],[R1]:[R3]])/AVERAGE(Pcfu43[[#This Row],[R1]:[R3]])</f>
        <v>0.18446263857040371</v>
      </c>
      <c r="V78" s="102"/>
      <c r="W78" s="7"/>
      <c r="X78" t="s">
        <v>847</v>
      </c>
    </row>
    <row r="79" spans="1:24" x14ac:dyDescent="0.15">
      <c r="A79" t="s">
        <v>844</v>
      </c>
      <c r="B79" t="s">
        <v>843</v>
      </c>
      <c r="C79" s="4"/>
      <c r="D79" t="s">
        <v>86</v>
      </c>
      <c r="E79" s="3">
        <v>2</v>
      </c>
      <c r="G79">
        <v>0.3</v>
      </c>
      <c r="H79" s="5">
        <v>5.7</v>
      </c>
      <c r="I79" s="3" t="s">
        <v>170</v>
      </c>
      <c r="J79" s="59">
        <v>44991</v>
      </c>
      <c r="K79" s="59"/>
      <c r="L79" s="59" t="e" cm="1">
        <f t="array" ref="L79">INDEX($J$4:J1169, MATCH(1,(A79=$A$4:A1167)*("Y"=$K$4:K1169),0))</f>
        <v>#N/A</v>
      </c>
      <c r="M79" s="1">
        <v>1000000</v>
      </c>
      <c r="N79">
        <v>94</v>
      </c>
      <c r="O79">
        <v>112</v>
      </c>
      <c r="Q79" s="6">
        <f>(SUM(Pcfu43[[#This Row],[R1]:[R3]]))/(Pcfu43[[#This Row],[No. Reps]]*0.015)*Pcfu43[[#This Row],[Best DF]]</f>
        <v>6866666666.666667</v>
      </c>
      <c r="R79" s="1">
        <f>_xlfn.STDEV.S(Pcfu43[[#This Row],[R1]:[R3]])/0.015*Pcfu43[[#This Row],[Best DF]]</f>
        <v>848528137.42385709</v>
      </c>
      <c r="S79" s="6">
        <f>Pcfu43[[#This Row],[CFU/mL]]*Pcfu43[[#This Row],[mL]]/Pcfu43[[#This Row],[grams]]</f>
        <v>130466666666.66667</v>
      </c>
      <c r="T79" s="1">
        <f>Pcfu43[[#This Row],[SD CFU/mL]]*Pcfu43[[#This Row],[mL]]/Pcfu43[[#This Row],[grams]]</f>
        <v>16122034611.053286</v>
      </c>
      <c r="U79" s="7">
        <f>_xlfn.STDEV.S(Pcfu43[[#This Row],[R1]:[R3]])/AVERAGE(Pcfu43[[#This Row],[R1]:[R3]])</f>
        <v>0.12357205884813452</v>
      </c>
      <c r="V79" s="102"/>
      <c r="W79" s="7"/>
      <c r="X79" t="s">
        <v>847</v>
      </c>
    </row>
    <row r="80" spans="1:24" x14ac:dyDescent="0.15">
      <c r="A80" t="s">
        <v>845</v>
      </c>
      <c r="B80" t="s">
        <v>843</v>
      </c>
      <c r="C80" s="4"/>
      <c r="D80" t="s">
        <v>86</v>
      </c>
      <c r="E80" s="3">
        <v>2</v>
      </c>
      <c r="G80">
        <v>0.3</v>
      </c>
      <c r="H80" s="5">
        <v>5.7</v>
      </c>
      <c r="I80" s="3" t="s">
        <v>170</v>
      </c>
      <c r="J80" s="59">
        <v>44991</v>
      </c>
      <c r="K80" s="59"/>
      <c r="L80" s="59" t="e" cm="1">
        <f t="array" ref="L80">INDEX($J$4:J1170, MATCH(1,(A80=$A$4:A1168)*("Y"=$K$4:K1170),0))</f>
        <v>#N/A</v>
      </c>
      <c r="M80" s="1">
        <v>1000000</v>
      </c>
      <c r="N80">
        <v>95</v>
      </c>
      <c r="O80">
        <v>95</v>
      </c>
      <c r="Q80" s="6">
        <f>(SUM(Pcfu43[[#This Row],[R1]:[R3]]))/(Pcfu43[[#This Row],[No. Reps]]*0.015)*Pcfu43[[#This Row],[Best DF]]</f>
        <v>6333333333.333334</v>
      </c>
      <c r="R80" s="1">
        <f>_xlfn.STDEV.S(Pcfu43[[#This Row],[R1]:[R3]])/0.015*Pcfu43[[#This Row],[Best DF]]</f>
        <v>0</v>
      </c>
      <c r="S80" s="6">
        <f>Pcfu43[[#This Row],[CFU/mL]]*Pcfu43[[#This Row],[mL]]/Pcfu43[[#This Row],[grams]]</f>
        <v>120333333333.33336</v>
      </c>
      <c r="T80" s="1">
        <f>Pcfu43[[#This Row],[SD CFU/mL]]*Pcfu43[[#This Row],[mL]]/Pcfu43[[#This Row],[grams]]</f>
        <v>0</v>
      </c>
      <c r="U80" s="7">
        <f>_xlfn.STDEV.S(Pcfu43[[#This Row],[R1]:[R3]])/AVERAGE(Pcfu43[[#This Row],[R1]:[R3]])</f>
        <v>0</v>
      </c>
      <c r="V80" s="102"/>
      <c r="W80" s="7"/>
      <c r="X80" t="s">
        <v>847</v>
      </c>
    </row>
    <row r="81" spans="1:24" x14ac:dyDescent="0.15">
      <c r="A81" t="s">
        <v>846</v>
      </c>
      <c r="B81" t="s">
        <v>843</v>
      </c>
      <c r="C81" s="4"/>
      <c r="D81" t="s">
        <v>86</v>
      </c>
      <c r="E81" s="3">
        <v>2</v>
      </c>
      <c r="G81">
        <v>0.3</v>
      </c>
      <c r="H81" s="5">
        <v>5.7</v>
      </c>
      <c r="I81" s="3" t="s">
        <v>170</v>
      </c>
      <c r="J81" s="59">
        <v>44991</v>
      </c>
      <c r="K81" s="59"/>
      <c r="L81" s="59" t="e" cm="1">
        <f t="array" ref="L81">INDEX($J$4:J1171, MATCH(1,(A81=$A$4:A1169)*("Y"=$K$4:K1171),0))</f>
        <v>#N/A</v>
      </c>
      <c r="M81" s="1">
        <v>1000000</v>
      </c>
      <c r="N81">
        <v>99</v>
      </c>
      <c r="O81">
        <v>103</v>
      </c>
      <c r="Q81" s="6">
        <f>(SUM(Pcfu43[[#This Row],[R1]:[R3]]))/(Pcfu43[[#This Row],[No. Reps]]*0.015)*Pcfu43[[#This Row],[Best DF]]</f>
        <v>6733333333.333334</v>
      </c>
      <c r="R81" s="1">
        <f>_xlfn.STDEV.S(Pcfu43[[#This Row],[R1]:[R3]])/0.015*Pcfu43[[#This Row],[Best DF]]</f>
        <v>188561808.31641269</v>
      </c>
      <c r="S81" s="6">
        <f>Pcfu43[[#This Row],[CFU/mL]]*Pcfu43[[#This Row],[mL]]/Pcfu43[[#This Row],[grams]]</f>
        <v>127933333333.33336</v>
      </c>
      <c r="T81" s="1">
        <f>Pcfu43[[#This Row],[SD CFU/mL]]*Pcfu43[[#This Row],[mL]]/Pcfu43[[#This Row],[grams]]</f>
        <v>3582674358.0118413</v>
      </c>
      <c r="U81" s="7">
        <f>_xlfn.STDEV.S(Pcfu43[[#This Row],[R1]:[R3]])/AVERAGE(Pcfu43[[#This Row],[R1]:[R3]])</f>
        <v>2.8004228957883071E-2</v>
      </c>
      <c r="V81" s="102"/>
      <c r="W81" s="7"/>
      <c r="X81" t="s">
        <v>847</v>
      </c>
    </row>
    <row r="82" spans="1:24" x14ac:dyDescent="0.15">
      <c r="A82" t="s">
        <v>848</v>
      </c>
      <c r="B82" t="s">
        <v>564</v>
      </c>
      <c r="C82" s="4"/>
      <c r="D82" t="s">
        <v>194</v>
      </c>
      <c r="E82" s="3">
        <v>2</v>
      </c>
      <c r="G82">
        <v>0.3</v>
      </c>
      <c r="H82" s="5">
        <v>5.7</v>
      </c>
      <c r="I82" s="3" t="s">
        <v>170</v>
      </c>
      <c r="J82" s="59">
        <v>44992</v>
      </c>
      <c r="K82" s="59"/>
      <c r="L82" s="59" t="e" cm="1">
        <f t="array" ref="L82">INDEX($J$4:J1172, MATCH(1,(A82=$A$4:A1170)*("Y"=$K$4:K1172),0))</f>
        <v>#N/A</v>
      </c>
      <c r="M82" s="1">
        <v>100000</v>
      </c>
      <c r="N82">
        <v>88</v>
      </c>
      <c r="O82">
        <v>98</v>
      </c>
      <c r="Q82" s="6">
        <f>(SUM(Pcfu43[[#This Row],[R1]:[R3]]))/(Pcfu43[[#This Row],[No. Reps]]*0.015)*Pcfu43[[#This Row],[Best DF]]</f>
        <v>620000000</v>
      </c>
      <c r="R82" s="1">
        <f>_xlfn.STDEV.S(Pcfu43[[#This Row],[R1]:[R3]])/0.015*Pcfu43[[#This Row],[Best DF]]</f>
        <v>47140452.079103172</v>
      </c>
      <c r="S82" s="6">
        <f>Pcfu43[[#This Row],[CFU/mL]]*Pcfu43[[#This Row],[mL]]/Pcfu43[[#This Row],[grams]]</f>
        <v>11780000000</v>
      </c>
      <c r="T82" s="1">
        <f>Pcfu43[[#This Row],[SD CFU/mL]]*Pcfu43[[#This Row],[mL]]/Pcfu43[[#This Row],[grams]]</f>
        <v>895668589.50296032</v>
      </c>
      <c r="U82" s="7">
        <f>_xlfn.STDEV.S(Pcfu43[[#This Row],[R1]:[R3]])/AVERAGE(Pcfu43[[#This Row],[R1]:[R3]])</f>
        <v>7.6032987224359957E-2</v>
      </c>
      <c r="V82" s="102"/>
      <c r="W82" s="7"/>
      <c r="X82" t="s">
        <v>841</v>
      </c>
    </row>
    <row r="83" spans="1:24" x14ac:dyDescent="0.15">
      <c r="A83" t="s">
        <v>592</v>
      </c>
      <c r="B83" t="s">
        <v>328</v>
      </c>
      <c r="C83" s="4"/>
      <c r="D83" t="s">
        <v>86</v>
      </c>
      <c r="E83" s="3">
        <v>2</v>
      </c>
      <c r="G83">
        <v>0.3</v>
      </c>
      <c r="H83" s="5">
        <v>5.7</v>
      </c>
      <c r="I83" s="3" t="s">
        <v>170</v>
      </c>
      <c r="J83" s="59">
        <v>44993</v>
      </c>
      <c r="K83" s="59"/>
      <c r="L83" s="59" t="e" cm="1">
        <f t="array" ref="L83">INDEX($J$4:J1173, MATCH(1,(A83=$A$4:A1171)*("Y"=$K$4:K1173),0))</f>
        <v>#N/A</v>
      </c>
      <c r="M83" s="1">
        <v>1000000</v>
      </c>
      <c r="N83">
        <v>24</v>
      </c>
      <c r="O83">
        <v>32</v>
      </c>
      <c r="Q83" s="6">
        <f>(SUM(Pcfu43[[#This Row],[R1]:[R3]]))/(Pcfu43[[#This Row],[No. Reps]]*0.015)*Pcfu43[[#This Row],[Best DF]]</f>
        <v>1866666666.6666667</v>
      </c>
      <c r="R83" s="1">
        <f>_xlfn.STDEV.S(Pcfu43[[#This Row],[R1]:[R3]])/0.015*Pcfu43[[#This Row],[Best DF]]</f>
        <v>377123616.63282537</v>
      </c>
      <c r="S83" s="6">
        <f>Pcfu43[[#This Row],[CFU/mL]]*Pcfu43[[#This Row],[mL]]/Pcfu43[[#This Row],[grams]]</f>
        <v>35466666666.666672</v>
      </c>
      <c r="T83" s="1">
        <f>Pcfu43[[#This Row],[SD CFU/mL]]*Pcfu43[[#This Row],[mL]]/Pcfu43[[#This Row],[grams]]</f>
        <v>7165348716.0236826</v>
      </c>
      <c r="U83" s="7">
        <f>_xlfn.STDEV.S(Pcfu43[[#This Row],[R1]:[R3]])/AVERAGE(Pcfu43[[#This Row],[R1]:[R3]])</f>
        <v>0.20203050891044216</v>
      </c>
      <c r="V83" s="102"/>
      <c r="W83" s="7"/>
      <c r="X83" t="s">
        <v>841</v>
      </c>
    </row>
    <row r="84" spans="1:24" x14ac:dyDescent="0.15">
      <c r="A84" t="s">
        <v>595</v>
      </c>
      <c r="B84" t="s">
        <v>328</v>
      </c>
      <c r="C84" s="4"/>
      <c r="D84" t="s">
        <v>86</v>
      </c>
      <c r="E84" s="3">
        <v>2</v>
      </c>
      <c r="G84">
        <v>0.3</v>
      </c>
      <c r="H84" s="5">
        <v>5.7</v>
      </c>
      <c r="I84" s="3" t="s">
        <v>170</v>
      </c>
      <c r="J84" s="59">
        <v>44993</v>
      </c>
      <c r="K84" s="59"/>
      <c r="L84" s="59" t="e" cm="1">
        <f t="array" ref="L84">INDEX($J$4:J1174, MATCH(1,(A84=$A$4:A1172)*("Y"=$K$4:K1174),0))</f>
        <v>#N/A</v>
      </c>
      <c r="M84" s="1">
        <v>1000000</v>
      </c>
      <c r="N84">
        <v>52</v>
      </c>
      <c r="O84">
        <v>56</v>
      </c>
      <c r="Q84" s="6">
        <f>(SUM(Pcfu43[[#This Row],[R1]:[R3]]))/(Pcfu43[[#This Row],[No. Reps]]*0.015)*Pcfu43[[#This Row],[Best DF]]</f>
        <v>3600000000</v>
      </c>
      <c r="R84" s="1">
        <f>_xlfn.STDEV.S(Pcfu43[[#This Row],[R1]:[R3]])/0.015*Pcfu43[[#This Row],[Best DF]]</f>
        <v>188561808.31641269</v>
      </c>
      <c r="S84" s="6">
        <f>Pcfu43[[#This Row],[CFU/mL]]*Pcfu43[[#This Row],[mL]]/Pcfu43[[#This Row],[grams]]</f>
        <v>68400000000</v>
      </c>
      <c r="T84" s="1">
        <f>Pcfu43[[#This Row],[SD CFU/mL]]*Pcfu43[[#This Row],[mL]]/Pcfu43[[#This Row],[grams]]</f>
        <v>3582674358.0118413</v>
      </c>
      <c r="U84" s="7">
        <f>_xlfn.STDEV.S(Pcfu43[[#This Row],[R1]:[R3]])/AVERAGE(Pcfu43[[#This Row],[R1]:[R3]])</f>
        <v>5.2378280087892415E-2</v>
      </c>
      <c r="V84" s="102"/>
      <c r="W84" s="7"/>
      <c r="X84" t="s">
        <v>841</v>
      </c>
    </row>
    <row r="85" spans="1:24" x14ac:dyDescent="0.15">
      <c r="A85" t="s">
        <v>849</v>
      </c>
      <c r="B85" t="s">
        <v>648</v>
      </c>
      <c r="C85" s="4"/>
      <c r="D85" t="s">
        <v>86</v>
      </c>
      <c r="E85" s="3">
        <v>2</v>
      </c>
      <c r="G85">
        <v>0.3</v>
      </c>
      <c r="H85" s="5">
        <v>5.7</v>
      </c>
      <c r="I85" s="3" t="s">
        <v>170</v>
      </c>
      <c r="J85" s="59">
        <v>44993</v>
      </c>
      <c r="K85" s="59"/>
      <c r="L85" s="59" t="e" cm="1">
        <f t="array" ref="L85">INDEX($J$4:J1175, MATCH(1,(A85=$A$4:A1173)*("Y"=$K$4:K1175),0))</f>
        <v>#N/A</v>
      </c>
      <c r="M85" s="1">
        <v>1000000</v>
      </c>
      <c r="N85">
        <v>106</v>
      </c>
      <c r="O85">
        <v>103</v>
      </c>
      <c r="Q85" s="6">
        <f>(SUM(Pcfu43[[#This Row],[R1]:[R3]]))/(Pcfu43[[#This Row],[No. Reps]]*0.015)*Pcfu43[[#This Row],[Best DF]]</f>
        <v>6966666666.666667</v>
      </c>
      <c r="R85" s="1">
        <f>_xlfn.STDEV.S(Pcfu43[[#This Row],[R1]:[R3]])/0.015*Pcfu43[[#This Row],[Best DF]]</f>
        <v>141421356.23730952</v>
      </c>
      <c r="S85" s="6">
        <f>Pcfu43[[#This Row],[CFU/mL]]*Pcfu43[[#This Row],[mL]]/Pcfu43[[#This Row],[grams]]</f>
        <v>132366666666.66667</v>
      </c>
      <c r="T85" s="1">
        <f>Pcfu43[[#This Row],[SD CFU/mL]]*Pcfu43[[#This Row],[mL]]/Pcfu43[[#This Row],[grams]]</f>
        <v>2687005768.5088811</v>
      </c>
      <c r="U85" s="7">
        <f>_xlfn.STDEV.S(Pcfu43[[#This Row],[R1]:[R3]])/AVERAGE(Pcfu43[[#This Row],[R1]:[R3]])</f>
        <v>2.0299716206312369E-2</v>
      </c>
      <c r="V85" s="102"/>
      <c r="W85" s="7"/>
      <c r="X85" t="s">
        <v>841</v>
      </c>
    </row>
    <row r="86" spans="1:24" x14ac:dyDescent="0.15">
      <c r="A86" t="s">
        <v>850</v>
      </c>
      <c r="B86" t="s">
        <v>648</v>
      </c>
      <c r="C86" s="4"/>
      <c r="D86" t="s">
        <v>86</v>
      </c>
      <c r="E86" s="3">
        <v>2</v>
      </c>
      <c r="G86">
        <v>0.3</v>
      </c>
      <c r="H86" s="5">
        <v>5.7</v>
      </c>
      <c r="I86" s="3" t="s">
        <v>170</v>
      </c>
      <c r="J86" s="59">
        <v>44993</v>
      </c>
      <c r="K86" s="59"/>
      <c r="L86" s="59" t="e" cm="1">
        <f t="array" ref="L86">INDEX($J$4:J1176, MATCH(1,(A86=$A$4:A1174)*("Y"=$K$4:K1176),0))</f>
        <v>#N/A</v>
      </c>
      <c r="M86" s="1">
        <v>1000000</v>
      </c>
      <c r="N86">
        <v>118</v>
      </c>
      <c r="O86">
        <v>114</v>
      </c>
      <c r="Q86" s="6">
        <f>(SUM(Pcfu43[[#This Row],[R1]:[R3]]))/(Pcfu43[[#This Row],[No. Reps]]*0.015)*Pcfu43[[#This Row],[Best DF]]</f>
        <v>7733333333.333334</v>
      </c>
      <c r="R86" s="1">
        <f>_xlfn.STDEV.S(Pcfu43[[#This Row],[R1]:[R3]])/0.015*Pcfu43[[#This Row],[Best DF]]</f>
        <v>188561808.31641269</v>
      </c>
      <c r="S86" s="6">
        <f>Pcfu43[[#This Row],[CFU/mL]]*Pcfu43[[#This Row],[mL]]/Pcfu43[[#This Row],[grams]]</f>
        <v>146933333333.33337</v>
      </c>
      <c r="T86" s="1">
        <f>Pcfu43[[#This Row],[SD CFU/mL]]*Pcfu43[[#This Row],[mL]]/Pcfu43[[#This Row],[grams]]</f>
        <v>3582674358.0118413</v>
      </c>
      <c r="U86" s="7">
        <f>_xlfn.STDEV.S(Pcfu43[[#This Row],[R1]:[R3]])/AVERAGE(Pcfu43[[#This Row],[R1]:[R3]])</f>
        <v>2.4382992454708537E-2</v>
      </c>
      <c r="V86" s="102"/>
      <c r="W86" s="7"/>
      <c r="X86" t="s">
        <v>841</v>
      </c>
    </row>
    <row r="87" spans="1:24" x14ac:dyDescent="0.15">
      <c r="A87" t="s">
        <v>851</v>
      </c>
      <c r="B87" t="s">
        <v>648</v>
      </c>
      <c r="C87" s="4"/>
      <c r="D87" t="s">
        <v>86</v>
      </c>
      <c r="E87" s="3">
        <v>2</v>
      </c>
      <c r="G87">
        <v>0.3</v>
      </c>
      <c r="H87" s="5">
        <v>5.7</v>
      </c>
      <c r="I87" s="3" t="s">
        <v>170</v>
      </c>
      <c r="J87" s="59">
        <v>44993</v>
      </c>
      <c r="K87" s="59"/>
      <c r="L87" s="59" t="e" cm="1">
        <f t="array" ref="L87">INDEX($J$4:J1177, MATCH(1,(A87=$A$4:A1175)*("Y"=$K$4:K1177),0))</f>
        <v>#N/A</v>
      </c>
      <c r="M87" s="1">
        <v>1000000</v>
      </c>
      <c r="N87">
        <v>108</v>
      </c>
      <c r="O87">
        <v>89</v>
      </c>
      <c r="Q87" s="6">
        <f>(SUM(Pcfu43[[#This Row],[R1]:[R3]]))/(Pcfu43[[#This Row],[No. Reps]]*0.015)*Pcfu43[[#This Row],[Best DF]]</f>
        <v>6566666666.666667</v>
      </c>
      <c r="R87" s="1">
        <f>_xlfn.STDEV.S(Pcfu43[[#This Row],[R1]:[R3]])/0.015*Pcfu43[[#This Row],[Best DF]]</f>
        <v>895668589.50296021</v>
      </c>
      <c r="S87" s="6">
        <f>Pcfu43[[#This Row],[CFU/mL]]*Pcfu43[[#This Row],[mL]]/Pcfu43[[#This Row],[grams]]</f>
        <v>124766666666.66667</v>
      </c>
      <c r="T87" s="1">
        <f>Pcfu43[[#This Row],[SD CFU/mL]]*Pcfu43[[#This Row],[mL]]/Pcfu43[[#This Row],[grams]]</f>
        <v>17017703200.556244</v>
      </c>
      <c r="U87" s="7">
        <f>_xlfn.STDEV.S(Pcfu43[[#This Row],[R1]:[R3]])/AVERAGE(Pcfu43[[#This Row],[R1]:[R3]])</f>
        <v>0.1363962319040041</v>
      </c>
      <c r="V87" s="102"/>
      <c r="W87" s="7"/>
      <c r="X87" t="s">
        <v>841</v>
      </c>
    </row>
    <row r="88" spans="1:24" x14ac:dyDescent="0.15">
      <c r="A88" t="s">
        <v>852</v>
      </c>
      <c r="B88" t="s">
        <v>648</v>
      </c>
      <c r="C88" s="4"/>
      <c r="D88" t="s">
        <v>86</v>
      </c>
      <c r="E88" s="3">
        <v>2</v>
      </c>
      <c r="G88">
        <v>0.3</v>
      </c>
      <c r="H88" s="5">
        <v>5.7</v>
      </c>
      <c r="I88" s="3" t="s">
        <v>170</v>
      </c>
      <c r="J88" s="59">
        <v>44993</v>
      </c>
      <c r="K88" s="59"/>
      <c r="L88" s="59" t="e" cm="1">
        <f t="array" ref="L88">INDEX($J$4:J1178, MATCH(1,(A88=$A$4:A1176)*("Y"=$K$4:K1178),0))</f>
        <v>#N/A</v>
      </c>
      <c r="M88" s="1">
        <v>10000000</v>
      </c>
      <c r="N88">
        <v>32</v>
      </c>
      <c r="O88">
        <v>31</v>
      </c>
      <c r="Q88" s="6">
        <f>(SUM(Pcfu43[[#This Row],[R1]:[R3]]))/(Pcfu43[[#This Row],[No. Reps]]*0.015)*Pcfu43[[#This Row],[Best DF]]</f>
        <v>21000000000</v>
      </c>
      <c r="R88" s="1">
        <f>_xlfn.STDEV.S(Pcfu43[[#This Row],[R1]:[R3]])/0.015*Pcfu43[[#This Row],[Best DF]]</f>
        <v>471404520.79103172</v>
      </c>
      <c r="S88" s="6">
        <f>Pcfu43[[#This Row],[CFU/mL]]*Pcfu43[[#This Row],[mL]]/Pcfu43[[#This Row],[grams]]</f>
        <v>399000000000</v>
      </c>
      <c r="T88" s="1">
        <f>Pcfu43[[#This Row],[SD CFU/mL]]*Pcfu43[[#This Row],[mL]]/Pcfu43[[#This Row],[grams]]</f>
        <v>8956685895.029604</v>
      </c>
      <c r="U88" s="7">
        <f>_xlfn.STDEV.S(Pcfu43[[#This Row],[R1]:[R3]])/AVERAGE(Pcfu43[[#This Row],[R1]:[R3]])</f>
        <v>2.2447834323382463E-2</v>
      </c>
      <c r="V88" s="102"/>
      <c r="W88" s="7"/>
      <c r="X88" t="s">
        <v>841</v>
      </c>
    </row>
    <row r="89" spans="1:24" x14ac:dyDescent="0.15">
      <c r="A89" t="s">
        <v>853</v>
      </c>
      <c r="B89" t="s">
        <v>648</v>
      </c>
      <c r="C89" s="4"/>
      <c r="D89" t="s">
        <v>86</v>
      </c>
      <c r="E89" s="3">
        <v>2</v>
      </c>
      <c r="G89">
        <v>0.3</v>
      </c>
      <c r="H89" s="5">
        <v>5.7</v>
      </c>
      <c r="I89" s="3" t="s">
        <v>170</v>
      </c>
      <c r="J89" s="59">
        <v>44993</v>
      </c>
      <c r="K89" s="59"/>
      <c r="L89" s="59" t="e" cm="1">
        <f t="array" ref="L89">INDEX($J$4:J1179, MATCH(1,(A89=$A$4:A1177)*("Y"=$K$4:K1179),0))</f>
        <v>#N/A</v>
      </c>
      <c r="M89" s="1">
        <v>10000000</v>
      </c>
      <c r="N89">
        <v>30</v>
      </c>
      <c r="O89">
        <v>29</v>
      </c>
      <c r="Q89" s="6">
        <f>(SUM(Pcfu43[[#This Row],[R1]:[R3]]))/(Pcfu43[[#This Row],[No. Reps]]*0.015)*Pcfu43[[#This Row],[Best DF]]</f>
        <v>19666666666.666668</v>
      </c>
      <c r="R89" s="1">
        <f>_xlfn.STDEV.S(Pcfu43[[#This Row],[R1]:[R3]])/0.015*Pcfu43[[#This Row],[Best DF]]</f>
        <v>471404520.79103172</v>
      </c>
      <c r="S89" s="6">
        <f>Pcfu43[[#This Row],[CFU/mL]]*Pcfu43[[#This Row],[mL]]/Pcfu43[[#This Row],[grams]]</f>
        <v>373666666666.66675</v>
      </c>
      <c r="T89" s="1">
        <f>Pcfu43[[#This Row],[SD CFU/mL]]*Pcfu43[[#This Row],[mL]]/Pcfu43[[#This Row],[grams]]</f>
        <v>8956685895.029604</v>
      </c>
      <c r="U89" s="7">
        <f>_xlfn.STDEV.S(Pcfu43[[#This Row],[R1]:[R3]])/AVERAGE(Pcfu43[[#This Row],[R1]:[R3]])</f>
        <v>2.3969721396154154E-2</v>
      </c>
      <c r="V89" s="102"/>
      <c r="W89" s="7"/>
      <c r="X89" t="s">
        <v>841</v>
      </c>
    </row>
    <row r="90" spans="1:24" x14ac:dyDescent="0.15">
      <c r="A90" t="s">
        <v>667</v>
      </c>
      <c r="B90" t="s">
        <v>854</v>
      </c>
      <c r="C90" s="4"/>
      <c r="D90" t="s">
        <v>194</v>
      </c>
      <c r="E90" s="3">
        <v>1</v>
      </c>
      <c r="G90">
        <v>0.3</v>
      </c>
      <c r="H90" s="5">
        <v>5.7</v>
      </c>
      <c r="I90" s="3" t="s">
        <v>170</v>
      </c>
      <c r="J90" s="59">
        <v>44993</v>
      </c>
      <c r="K90" s="59"/>
      <c r="L90" s="59" t="e" cm="1">
        <f t="array" ref="L90">INDEX($J$4:J1180, MATCH(1,(A90=$A$4:A1178)*("Y"=$K$4:K1180),0))</f>
        <v>#N/A</v>
      </c>
      <c r="M90" s="1">
        <v>1000000</v>
      </c>
      <c r="N90">
        <v>122</v>
      </c>
      <c r="O90">
        <v>127</v>
      </c>
      <c r="P90">
        <v>122</v>
      </c>
      <c r="Q90" s="6">
        <f>(SUM(Pcfu43[[#This Row],[R1]:[R3]]))/(Pcfu43[[#This Row],[No. Reps]]*0.015)*Pcfu43[[#This Row],[Best DF]]</f>
        <v>24733333333.333336</v>
      </c>
      <c r="R90" s="1">
        <f>_xlfn.STDEV.S(Pcfu43[[#This Row],[R1]:[R3]])/0.015*Pcfu43[[#This Row],[Best DF]]</f>
        <v>192450089.72987527</v>
      </c>
      <c r="S90" s="6">
        <f>Pcfu43[[#This Row],[CFU/mL]]*Pcfu43[[#This Row],[mL]]/Pcfu43[[#This Row],[grams]]</f>
        <v>469933333333.33344</v>
      </c>
      <c r="T90" s="1">
        <f>Pcfu43[[#This Row],[SD CFU/mL]]*Pcfu43[[#This Row],[mL]]/Pcfu43[[#This Row],[grams]]</f>
        <v>3656551704.86763</v>
      </c>
      <c r="U90" s="7">
        <f>_xlfn.STDEV.S(Pcfu43[[#This Row],[R1]:[R3]])/AVERAGE(Pcfu43[[#This Row],[R1]:[R3]])</f>
        <v>2.3343002797424219E-2</v>
      </c>
      <c r="V90" s="102"/>
      <c r="W90" s="7"/>
      <c r="X90" t="s">
        <v>841</v>
      </c>
    </row>
    <row r="91" spans="1:24" x14ac:dyDescent="0.15">
      <c r="A91" t="s">
        <v>667</v>
      </c>
      <c r="B91" t="s">
        <v>855</v>
      </c>
      <c r="C91" s="4"/>
      <c r="D91" t="s">
        <v>194</v>
      </c>
      <c r="E91" s="3">
        <v>1</v>
      </c>
      <c r="G91">
        <v>0.3</v>
      </c>
      <c r="H91" s="5">
        <v>5.7</v>
      </c>
      <c r="I91" s="3" t="s">
        <v>170</v>
      </c>
      <c r="J91" s="59">
        <v>44993</v>
      </c>
      <c r="K91" s="59"/>
      <c r="L91" s="59" t="e" cm="1">
        <f t="array" ref="L91">INDEX($J$4:J1181, MATCH(1,(A91=$A$4:A1179)*("Y"=$K$4:K1181),0))</f>
        <v>#N/A</v>
      </c>
      <c r="M91" s="1">
        <v>1000000</v>
      </c>
      <c r="N91">
        <v>127</v>
      </c>
      <c r="Q91" s="6">
        <f>(SUM(Pcfu43[[#This Row],[R1]:[R3]]))/(Pcfu43[[#This Row],[No. Reps]]*0.015)*Pcfu43[[#This Row],[Best DF]]</f>
        <v>8466666666.6666679</v>
      </c>
      <c r="R91" s="1" t="e">
        <f>_xlfn.STDEV.S(Pcfu43[[#This Row],[R1]:[R3]])/0.015*Pcfu43[[#This Row],[Best DF]]</f>
        <v>#DIV/0!</v>
      </c>
      <c r="S91" s="6">
        <f>Pcfu43[[#This Row],[CFU/mL]]*Pcfu43[[#This Row],[mL]]/Pcfu43[[#This Row],[grams]]</f>
        <v>160866666666.66669</v>
      </c>
      <c r="T91" s="1" t="e">
        <f>Pcfu43[[#This Row],[SD CFU/mL]]*Pcfu43[[#This Row],[mL]]/Pcfu43[[#This Row],[grams]]</f>
        <v>#DIV/0!</v>
      </c>
      <c r="U91" s="7" t="e">
        <f>_xlfn.STDEV.S(Pcfu43[[#This Row],[R1]:[R3]])/AVERAGE(Pcfu43[[#This Row],[R1]:[R3]])</f>
        <v>#DIV/0!</v>
      </c>
      <c r="V91" s="102"/>
      <c r="W91" s="7"/>
      <c r="X91" t="s">
        <v>841</v>
      </c>
    </row>
    <row r="92" spans="1:24" x14ac:dyDescent="0.15">
      <c r="A92" t="s">
        <v>667</v>
      </c>
      <c r="B92" t="s">
        <v>856</v>
      </c>
      <c r="C92" s="4"/>
      <c r="D92" t="s">
        <v>194</v>
      </c>
      <c r="E92" s="3">
        <v>1</v>
      </c>
      <c r="G92">
        <v>0.3</v>
      </c>
      <c r="H92" s="5">
        <v>5.7</v>
      </c>
      <c r="I92" s="3" t="s">
        <v>170</v>
      </c>
      <c r="J92" s="59">
        <v>44993</v>
      </c>
      <c r="K92" s="59"/>
      <c r="L92" s="59" t="e" cm="1">
        <f t="array" ref="L92">INDEX($J$4:J1182, MATCH(1,(A92=$A$4:A1180)*("Y"=$K$4:K1182),0))</f>
        <v>#N/A</v>
      </c>
      <c r="M92" s="1">
        <v>1000000</v>
      </c>
      <c r="N92">
        <v>122</v>
      </c>
      <c r="Q92" s="6">
        <f>(SUM(Pcfu43[[#This Row],[R1]:[R3]]))/(Pcfu43[[#This Row],[No. Reps]]*0.015)*Pcfu43[[#This Row],[Best DF]]</f>
        <v>8133333333.333334</v>
      </c>
      <c r="R92" s="1" t="e">
        <f>_xlfn.STDEV.S(Pcfu43[[#This Row],[R1]:[R3]])/0.015*Pcfu43[[#This Row],[Best DF]]</f>
        <v>#DIV/0!</v>
      </c>
      <c r="S92" s="6">
        <f>Pcfu43[[#This Row],[CFU/mL]]*Pcfu43[[#This Row],[mL]]/Pcfu43[[#This Row],[grams]]</f>
        <v>154533333333.33337</v>
      </c>
      <c r="T92" s="1" t="e">
        <f>Pcfu43[[#This Row],[SD CFU/mL]]*Pcfu43[[#This Row],[mL]]/Pcfu43[[#This Row],[grams]]</f>
        <v>#DIV/0!</v>
      </c>
      <c r="U92" s="7" t="e">
        <f>_xlfn.STDEV.S(Pcfu43[[#This Row],[R1]:[R3]])/AVERAGE(Pcfu43[[#This Row],[R1]:[R3]])</f>
        <v>#DIV/0!</v>
      </c>
      <c r="V92" s="102"/>
      <c r="W92" s="7"/>
      <c r="X92" t="s">
        <v>841</v>
      </c>
    </row>
    <row r="93" spans="1:24" x14ac:dyDescent="0.15">
      <c r="A93" t="s">
        <v>668</v>
      </c>
      <c r="B93" t="s">
        <v>854</v>
      </c>
      <c r="C93" s="4"/>
      <c r="D93" t="s">
        <v>194</v>
      </c>
      <c r="E93" s="3">
        <v>1</v>
      </c>
      <c r="G93">
        <v>0.3</v>
      </c>
      <c r="H93" s="5">
        <v>5.7</v>
      </c>
      <c r="I93" s="3" t="s">
        <v>170</v>
      </c>
      <c r="J93" s="59">
        <v>44993</v>
      </c>
      <c r="K93" s="59"/>
      <c r="L93" s="59" t="e" cm="1">
        <f t="array" ref="L93">INDEX($J$4:J1183, MATCH(1,(A93=$A$4:A1181)*("Y"=$K$4:K1183),0))</f>
        <v>#N/A</v>
      </c>
      <c r="M93" s="1">
        <v>1000000</v>
      </c>
      <c r="N93">
        <v>73</v>
      </c>
      <c r="O93">
        <v>70</v>
      </c>
      <c r="P93">
        <v>87</v>
      </c>
      <c r="Q93" s="6">
        <f>(SUM(Pcfu43[[#This Row],[R1]:[R3]]))/(Pcfu43[[#This Row],[No. Reps]]*0.015)*Pcfu43[[#This Row],[Best DF]]</f>
        <v>15333333333.333334</v>
      </c>
      <c r="R93" s="1">
        <f>_xlfn.STDEV.S(Pcfu43[[#This Row],[R1]:[R3]])/0.015*Pcfu43[[#This Row],[Best DF]]</f>
        <v>604918115.05849791</v>
      </c>
      <c r="S93" s="6">
        <f>Pcfu43[[#This Row],[CFU/mL]]*Pcfu43[[#This Row],[mL]]/Pcfu43[[#This Row],[grams]]</f>
        <v>291333333333.33337</v>
      </c>
      <c r="T93" s="1">
        <f>Pcfu43[[#This Row],[SD CFU/mL]]*Pcfu43[[#This Row],[mL]]/Pcfu43[[#This Row],[grams]]</f>
        <v>11493444186.111462</v>
      </c>
      <c r="U93" s="7">
        <f>_xlfn.STDEV.S(Pcfu43[[#This Row],[R1]:[R3]])/AVERAGE(Pcfu43[[#This Row],[R1]:[R3]])</f>
        <v>0.11835354425057565</v>
      </c>
      <c r="V93" s="102"/>
      <c r="W93" s="7"/>
      <c r="X93" t="s">
        <v>841</v>
      </c>
    </row>
    <row r="94" spans="1:24" x14ac:dyDescent="0.15">
      <c r="A94" t="s">
        <v>668</v>
      </c>
      <c r="B94" t="s">
        <v>855</v>
      </c>
      <c r="C94" s="4"/>
      <c r="D94" t="s">
        <v>194</v>
      </c>
      <c r="E94" s="3">
        <v>1</v>
      </c>
      <c r="G94">
        <v>0.3</v>
      </c>
      <c r="H94" s="5">
        <v>5.7</v>
      </c>
      <c r="I94" s="3" t="s">
        <v>170</v>
      </c>
      <c r="J94" s="59">
        <v>44993</v>
      </c>
      <c r="K94" s="59"/>
      <c r="L94" s="59" t="e" cm="1">
        <f t="array" ref="L94">INDEX($J$4:J1184, MATCH(1,(A94=$A$4:A1182)*("Y"=$K$4:K1184),0))</f>
        <v>#N/A</v>
      </c>
      <c r="M94" s="1">
        <v>1000000</v>
      </c>
      <c r="N94">
        <v>70</v>
      </c>
      <c r="Q94" s="6">
        <f>(SUM(Pcfu43[[#This Row],[R1]:[R3]]))/(Pcfu43[[#This Row],[No. Reps]]*0.015)*Pcfu43[[#This Row],[Best DF]]</f>
        <v>4666666666.666667</v>
      </c>
      <c r="R94" s="1" t="e">
        <f>_xlfn.STDEV.S(Pcfu43[[#This Row],[R1]:[R3]])/0.015*Pcfu43[[#This Row],[Best DF]]</f>
        <v>#DIV/0!</v>
      </c>
      <c r="S94" s="6">
        <f>Pcfu43[[#This Row],[CFU/mL]]*Pcfu43[[#This Row],[mL]]/Pcfu43[[#This Row],[grams]]</f>
        <v>88666666666.666687</v>
      </c>
      <c r="T94" s="1" t="e">
        <f>Pcfu43[[#This Row],[SD CFU/mL]]*Pcfu43[[#This Row],[mL]]/Pcfu43[[#This Row],[grams]]</f>
        <v>#DIV/0!</v>
      </c>
      <c r="U94" s="7" t="e">
        <f>_xlfn.STDEV.S(Pcfu43[[#This Row],[R1]:[R3]])/AVERAGE(Pcfu43[[#This Row],[R1]:[R3]])</f>
        <v>#DIV/0!</v>
      </c>
      <c r="V94" s="102"/>
      <c r="W94" s="7"/>
      <c r="X94" t="s">
        <v>841</v>
      </c>
    </row>
    <row r="95" spans="1:24" x14ac:dyDescent="0.15">
      <c r="A95" t="s">
        <v>668</v>
      </c>
      <c r="B95" t="s">
        <v>856</v>
      </c>
      <c r="C95" s="4"/>
      <c r="D95" t="s">
        <v>194</v>
      </c>
      <c r="E95" s="3">
        <v>1</v>
      </c>
      <c r="G95">
        <v>0.3</v>
      </c>
      <c r="H95" s="5">
        <v>5.7</v>
      </c>
      <c r="I95" s="3" t="s">
        <v>170</v>
      </c>
      <c r="J95" s="59">
        <v>44993</v>
      </c>
      <c r="K95" s="59"/>
      <c r="L95" s="59" t="e" cm="1">
        <f t="array" ref="L95">INDEX($J$4:J1185, MATCH(1,(A95=$A$4:A1183)*("Y"=$K$4:K1185),0))</f>
        <v>#N/A</v>
      </c>
      <c r="M95" s="1">
        <v>1000000</v>
      </c>
      <c r="N95">
        <v>87</v>
      </c>
      <c r="Q95" s="6">
        <f>(SUM(Pcfu43[[#This Row],[R1]:[R3]]))/(Pcfu43[[#This Row],[No. Reps]]*0.015)*Pcfu43[[#This Row],[Best DF]]</f>
        <v>5800000000</v>
      </c>
      <c r="R95" s="1" t="e">
        <f>_xlfn.STDEV.S(Pcfu43[[#This Row],[R1]:[R3]])/0.015*Pcfu43[[#This Row],[Best DF]]</f>
        <v>#DIV/0!</v>
      </c>
      <c r="S95" s="6">
        <f>Pcfu43[[#This Row],[CFU/mL]]*Pcfu43[[#This Row],[mL]]/Pcfu43[[#This Row],[grams]]</f>
        <v>110200000000</v>
      </c>
      <c r="T95" s="1" t="e">
        <f>Pcfu43[[#This Row],[SD CFU/mL]]*Pcfu43[[#This Row],[mL]]/Pcfu43[[#This Row],[grams]]</f>
        <v>#DIV/0!</v>
      </c>
      <c r="U95" s="7" t="e">
        <f>_xlfn.STDEV.S(Pcfu43[[#This Row],[R1]:[R3]])/AVERAGE(Pcfu43[[#This Row],[R1]:[R3]])</f>
        <v>#DIV/0!</v>
      </c>
      <c r="V95" s="102"/>
      <c r="W95" s="7"/>
      <c r="X95" t="s">
        <v>841</v>
      </c>
    </row>
    <row r="96" spans="1:24" x14ac:dyDescent="0.15">
      <c r="A96" t="s">
        <v>592</v>
      </c>
      <c r="B96" t="s">
        <v>854</v>
      </c>
      <c r="C96" s="4"/>
      <c r="D96" t="s">
        <v>194</v>
      </c>
      <c r="E96" s="3">
        <v>1</v>
      </c>
      <c r="G96">
        <v>0.3</v>
      </c>
      <c r="H96" s="5">
        <v>5.7</v>
      </c>
      <c r="I96" s="3" t="s">
        <v>170</v>
      </c>
      <c r="J96" s="59">
        <v>44993</v>
      </c>
      <c r="K96" s="59"/>
      <c r="L96" s="59" t="e" cm="1">
        <f t="array" ref="L96">INDEX($J$4:J1186, MATCH(1,(A96=$A$4:A1184)*("Y"=$K$4:K1186),0))</f>
        <v>#N/A</v>
      </c>
      <c r="M96" s="1">
        <v>1000000</v>
      </c>
      <c r="N96">
        <v>56</v>
      </c>
      <c r="O96">
        <v>61</v>
      </c>
      <c r="P96">
        <v>98</v>
      </c>
      <c r="Q96" s="6">
        <f>(SUM(Pcfu43[[#This Row],[R1]:[R3]]))/(Pcfu43[[#This Row],[No. Reps]]*0.015)*Pcfu43[[#This Row],[Best DF]]</f>
        <v>14333333333.333334</v>
      </c>
      <c r="R96" s="1">
        <f>_xlfn.STDEV.S(Pcfu43[[#This Row],[R1]:[R3]])/0.015*Pcfu43[[#This Row],[Best DF]]</f>
        <v>1529463716.2284229</v>
      </c>
      <c r="S96" s="6">
        <f>Pcfu43[[#This Row],[CFU/mL]]*Pcfu43[[#This Row],[mL]]/Pcfu43[[#This Row],[grams]]</f>
        <v>272333333333.33334</v>
      </c>
      <c r="T96" s="1">
        <f>Pcfu43[[#This Row],[SD CFU/mL]]*Pcfu43[[#This Row],[mL]]/Pcfu43[[#This Row],[grams]]</f>
        <v>29059810608.340034</v>
      </c>
      <c r="U96" s="7">
        <f>_xlfn.STDEV.S(Pcfu43[[#This Row],[R1]:[R3]])/AVERAGE(Pcfu43[[#This Row],[R1]:[R3]])</f>
        <v>0.32012031269897223</v>
      </c>
      <c r="V96" s="102"/>
      <c r="W96" s="7"/>
      <c r="X96" t="s">
        <v>841</v>
      </c>
    </row>
    <row r="97" spans="1:24" x14ac:dyDescent="0.15">
      <c r="A97" t="s">
        <v>592</v>
      </c>
      <c r="B97" t="s">
        <v>855</v>
      </c>
      <c r="C97" s="4"/>
      <c r="D97" t="s">
        <v>194</v>
      </c>
      <c r="E97" s="3">
        <v>1</v>
      </c>
      <c r="G97">
        <v>0.3</v>
      </c>
      <c r="H97" s="5">
        <v>5.7</v>
      </c>
      <c r="I97" s="3" t="s">
        <v>170</v>
      </c>
      <c r="J97" s="59">
        <v>44993</v>
      </c>
      <c r="K97" s="59"/>
      <c r="L97" s="59" t="e" cm="1">
        <f t="array" ref="L97">INDEX($J$4:J1187, MATCH(1,(A97=$A$4:A1185)*("Y"=$K$4:K1187),0))</f>
        <v>#N/A</v>
      </c>
      <c r="M97" s="1">
        <v>1000000</v>
      </c>
      <c r="N97">
        <v>61</v>
      </c>
      <c r="Q97" s="6">
        <f>(SUM(Pcfu43[[#This Row],[R1]:[R3]]))/(Pcfu43[[#This Row],[No. Reps]]*0.015)*Pcfu43[[#This Row],[Best DF]]</f>
        <v>4066666666.666667</v>
      </c>
      <c r="R97" s="1" t="e">
        <f>_xlfn.STDEV.S(Pcfu43[[#This Row],[R1]:[R3]])/0.015*Pcfu43[[#This Row],[Best DF]]</f>
        <v>#DIV/0!</v>
      </c>
      <c r="S97" s="6">
        <f>Pcfu43[[#This Row],[CFU/mL]]*Pcfu43[[#This Row],[mL]]/Pcfu43[[#This Row],[grams]]</f>
        <v>77266666666.666687</v>
      </c>
      <c r="T97" s="1" t="e">
        <f>Pcfu43[[#This Row],[SD CFU/mL]]*Pcfu43[[#This Row],[mL]]/Pcfu43[[#This Row],[grams]]</f>
        <v>#DIV/0!</v>
      </c>
      <c r="U97" s="7" t="e">
        <f>_xlfn.STDEV.S(Pcfu43[[#This Row],[R1]:[R3]])/AVERAGE(Pcfu43[[#This Row],[R1]:[R3]])</f>
        <v>#DIV/0!</v>
      </c>
      <c r="V97" s="102"/>
      <c r="W97" s="7"/>
      <c r="X97" t="s">
        <v>841</v>
      </c>
    </row>
    <row r="98" spans="1:24" x14ac:dyDescent="0.15">
      <c r="A98" t="s">
        <v>592</v>
      </c>
      <c r="B98" t="s">
        <v>856</v>
      </c>
      <c r="C98" s="4"/>
      <c r="D98" t="s">
        <v>194</v>
      </c>
      <c r="E98" s="3">
        <v>1</v>
      </c>
      <c r="G98">
        <v>0.3</v>
      </c>
      <c r="H98" s="5">
        <v>5.7</v>
      </c>
      <c r="I98" s="3" t="s">
        <v>170</v>
      </c>
      <c r="J98" s="59">
        <v>44993</v>
      </c>
      <c r="K98" s="59"/>
      <c r="L98" s="59" t="e" cm="1">
        <f t="array" ref="L98">INDEX($J$4:J1188, MATCH(1,(A98=$A$4:A1186)*("Y"=$K$4:K1188),0))</f>
        <v>#N/A</v>
      </c>
      <c r="M98" s="1">
        <v>1000000</v>
      </c>
      <c r="N98">
        <v>98</v>
      </c>
      <c r="Q98" s="6">
        <f>(SUM(Pcfu43[[#This Row],[R1]:[R3]]))/(Pcfu43[[#This Row],[No. Reps]]*0.015)*Pcfu43[[#This Row],[Best DF]]</f>
        <v>6533333333.333334</v>
      </c>
      <c r="R98" s="1" t="e">
        <f>_xlfn.STDEV.S(Pcfu43[[#This Row],[R1]:[R3]])/0.015*Pcfu43[[#This Row],[Best DF]]</f>
        <v>#DIV/0!</v>
      </c>
      <c r="S98" s="6">
        <f>Pcfu43[[#This Row],[CFU/mL]]*Pcfu43[[#This Row],[mL]]/Pcfu43[[#This Row],[grams]]</f>
        <v>124133333333.33336</v>
      </c>
      <c r="T98" s="1" t="e">
        <f>Pcfu43[[#This Row],[SD CFU/mL]]*Pcfu43[[#This Row],[mL]]/Pcfu43[[#This Row],[grams]]</f>
        <v>#DIV/0!</v>
      </c>
      <c r="U98" s="7" t="e">
        <f>_xlfn.STDEV.S(Pcfu43[[#This Row],[R1]:[R3]])/AVERAGE(Pcfu43[[#This Row],[R1]:[R3]])</f>
        <v>#DIV/0!</v>
      </c>
      <c r="V98" s="102"/>
      <c r="W98" s="7"/>
      <c r="X98" t="s">
        <v>841</v>
      </c>
    </row>
    <row r="99" spans="1:24" x14ac:dyDescent="0.15">
      <c r="A99" t="s">
        <v>595</v>
      </c>
      <c r="B99" t="s">
        <v>854</v>
      </c>
      <c r="C99" s="4"/>
      <c r="D99" t="s">
        <v>194</v>
      </c>
      <c r="E99" s="3">
        <v>1</v>
      </c>
      <c r="G99">
        <v>0.3</v>
      </c>
      <c r="H99" s="5">
        <v>5.7</v>
      </c>
      <c r="I99" s="3" t="s">
        <v>170</v>
      </c>
      <c r="J99" s="59">
        <v>44993</v>
      </c>
      <c r="K99" s="59"/>
      <c r="L99" s="59" t="e" cm="1">
        <f t="array" ref="L99">INDEX($J$4:J1189, MATCH(1,(A99=$A$4:A1187)*("Y"=$K$4:K1189),0))</f>
        <v>#N/A</v>
      </c>
      <c r="M99" s="1">
        <v>1000000</v>
      </c>
      <c r="N99">
        <v>42</v>
      </c>
      <c r="O99">
        <v>38</v>
      </c>
      <c r="P99">
        <v>47</v>
      </c>
      <c r="Q99" s="6">
        <f>(SUM(Pcfu43[[#This Row],[R1]:[R3]]))/(Pcfu43[[#This Row],[No. Reps]]*0.015)*Pcfu43[[#This Row],[Best DF]]</f>
        <v>8466666666.6666679</v>
      </c>
      <c r="R99" s="1">
        <f>_xlfn.STDEV.S(Pcfu43[[#This Row],[R1]:[R3]])/0.015*Pcfu43[[#This Row],[Best DF]]</f>
        <v>300616650.18819296</v>
      </c>
      <c r="S99" s="6">
        <f>Pcfu43[[#This Row],[CFU/mL]]*Pcfu43[[#This Row],[mL]]/Pcfu43[[#This Row],[grams]]</f>
        <v>160866666666.66669</v>
      </c>
      <c r="T99" s="1">
        <f>Pcfu43[[#This Row],[SD CFU/mL]]*Pcfu43[[#This Row],[mL]]/Pcfu43[[#This Row],[grams]]</f>
        <v>5711716353.5756674</v>
      </c>
      <c r="U99" s="7">
        <f>_xlfn.STDEV.S(Pcfu43[[#This Row],[R1]:[R3]])/AVERAGE(Pcfu43[[#This Row],[R1]:[R3]])</f>
        <v>0.10651771069660379</v>
      </c>
      <c r="V99" s="102"/>
      <c r="W99" s="7"/>
      <c r="X99" t="s">
        <v>841</v>
      </c>
    </row>
    <row r="100" spans="1:24" x14ac:dyDescent="0.15">
      <c r="A100" t="s">
        <v>595</v>
      </c>
      <c r="B100" t="s">
        <v>855</v>
      </c>
      <c r="C100" s="4"/>
      <c r="D100" t="s">
        <v>194</v>
      </c>
      <c r="E100" s="3">
        <v>1</v>
      </c>
      <c r="G100">
        <v>0.3</v>
      </c>
      <c r="H100" s="5">
        <v>5.7</v>
      </c>
      <c r="I100" s="3" t="s">
        <v>170</v>
      </c>
      <c r="J100" s="59">
        <v>44993</v>
      </c>
      <c r="K100" s="59"/>
      <c r="L100" s="59" t="e" cm="1">
        <f t="array" ref="L100">INDEX($J$4:J1190, MATCH(1,(A100=$A$4:A1188)*("Y"=$K$4:K1190),0))</f>
        <v>#N/A</v>
      </c>
      <c r="M100" s="1">
        <v>1000000</v>
      </c>
      <c r="N100">
        <v>38</v>
      </c>
      <c r="Q100" s="6">
        <f>(SUM(Pcfu43[[#This Row],[R1]:[R3]]))/(Pcfu43[[#This Row],[No. Reps]]*0.015)*Pcfu43[[#This Row],[Best DF]]</f>
        <v>2533333333.3333335</v>
      </c>
      <c r="R100" s="1" t="e">
        <f>_xlfn.STDEV.S(Pcfu43[[#This Row],[R1]:[R3]])/0.015*Pcfu43[[#This Row],[Best DF]]</f>
        <v>#DIV/0!</v>
      </c>
      <c r="S100" s="6">
        <f>Pcfu43[[#This Row],[CFU/mL]]*Pcfu43[[#This Row],[mL]]/Pcfu43[[#This Row],[grams]]</f>
        <v>48133333333.333344</v>
      </c>
      <c r="T100" s="1" t="e">
        <f>Pcfu43[[#This Row],[SD CFU/mL]]*Pcfu43[[#This Row],[mL]]/Pcfu43[[#This Row],[grams]]</f>
        <v>#DIV/0!</v>
      </c>
      <c r="U100" s="7" t="e">
        <f>_xlfn.STDEV.S(Pcfu43[[#This Row],[R1]:[R3]])/AVERAGE(Pcfu43[[#This Row],[R1]:[R3]])</f>
        <v>#DIV/0!</v>
      </c>
      <c r="V100" s="102"/>
      <c r="W100" s="7"/>
      <c r="X100" t="s">
        <v>841</v>
      </c>
    </row>
    <row r="101" spans="1:24" x14ac:dyDescent="0.15">
      <c r="A101" t="s">
        <v>595</v>
      </c>
      <c r="B101" t="s">
        <v>856</v>
      </c>
      <c r="C101" s="4"/>
      <c r="D101" t="s">
        <v>194</v>
      </c>
      <c r="E101" s="3">
        <v>1</v>
      </c>
      <c r="G101">
        <v>0.3</v>
      </c>
      <c r="H101" s="5">
        <v>5.7</v>
      </c>
      <c r="I101" s="3" t="s">
        <v>170</v>
      </c>
      <c r="J101" s="59">
        <v>44993</v>
      </c>
      <c r="K101" s="59"/>
      <c r="L101" s="59" t="e" cm="1">
        <f t="array" ref="L101">INDEX($J$4:J1191, MATCH(1,(A101=$A$4:A1189)*("Y"=$K$4:K1191),0))</f>
        <v>#N/A</v>
      </c>
      <c r="M101" s="1">
        <v>1000000</v>
      </c>
      <c r="N101">
        <v>47</v>
      </c>
      <c r="Q101" s="6">
        <f>(SUM(Pcfu43[[#This Row],[R1]:[R3]]))/(Pcfu43[[#This Row],[No. Reps]]*0.015)*Pcfu43[[#This Row],[Best DF]]</f>
        <v>3133333333.3333335</v>
      </c>
      <c r="R101" s="1" t="e">
        <f>_xlfn.STDEV.S(Pcfu43[[#This Row],[R1]:[R3]])/0.015*Pcfu43[[#This Row],[Best DF]]</f>
        <v>#DIV/0!</v>
      </c>
      <c r="S101" s="6">
        <f>Pcfu43[[#This Row],[CFU/mL]]*Pcfu43[[#This Row],[mL]]/Pcfu43[[#This Row],[grams]]</f>
        <v>59533333333.333336</v>
      </c>
      <c r="T101" s="1" t="e">
        <f>Pcfu43[[#This Row],[SD CFU/mL]]*Pcfu43[[#This Row],[mL]]/Pcfu43[[#This Row],[grams]]</f>
        <v>#DIV/0!</v>
      </c>
      <c r="U101" s="7" t="e">
        <f>_xlfn.STDEV.S(Pcfu43[[#This Row],[R1]:[R3]])/AVERAGE(Pcfu43[[#This Row],[R1]:[R3]])</f>
        <v>#DIV/0!</v>
      </c>
      <c r="V101" s="102"/>
      <c r="W101" s="7"/>
      <c r="X101" t="s">
        <v>841</v>
      </c>
    </row>
    <row r="102" spans="1:24" x14ac:dyDescent="0.15">
      <c r="A102" t="s">
        <v>625</v>
      </c>
      <c r="C102" s="4"/>
      <c r="D102" t="s">
        <v>194</v>
      </c>
      <c r="E102" s="3">
        <v>3</v>
      </c>
      <c r="G102">
        <v>0.3</v>
      </c>
      <c r="H102" s="5">
        <v>5.7</v>
      </c>
      <c r="I102" s="3" t="s">
        <v>170</v>
      </c>
      <c r="J102" s="59">
        <v>44994</v>
      </c>
      <c r="K102" s="59"/>
      <c r="L102" s="59" t="e" cm="1">
        <f t="array" ref="L102">INDEX($J$4:J1192, MATCH(1,(A102=$A$4:A1190)*("Y"=$K$4:K1192),0))</f>
        <v>#N/A</v>
      </c>
      <c r="M102" s="1">
        <v>10000000</v>
      </c>
      <c r="N102">
        <v>35</v>
      </c>
      <c r="O102">
        <v>34</v>
      </c>
      <c r="P102">
        <v>33</v>
      </c>
      <c r="Q102" s="6">
        <f>(SUM(Pcfu43[[#This Row],[R1]:[R3]]))/(Pcfu43[[#This Row],[No. Reps]]*0.015)*Pcfu43[[#This Row],[Best DF]]</f>
        <v>22666666666.666668</v>
      </c>
      <c r="R102" s="1">
        <f>_xlfn.STDEV.S(Pcfu43[[#This Row],[R1]:[R3]])/0.015*Pcfu43[[#This Row],[Best DF]]</f>
        <v>666666666.66666675</v>
      </c>
      <c r="S102" s="6">
        <f>Pcfu43[[#This Row],[CFU/mL]]*Pcfu43[[#This Row],[mL]]/Pcfu43[[#This Row],[grams]]</f>
        <v>430666666666.66675</v>
      </c>
      <c r="T102" s="1">
        <f>Pcfu43[[#This Row],[SD CFU/mL]]*Pcfu43[[#This Row],[mL]]/Pcfu43[[#This Row],[grams]]</f>
        <v>12666666666.666668</v>
      </c>
      <c r="U102" s="7">
        <f>_xlfn.STDEV.S(Pcfu43[[#This Row],[R1]:[R3]])/AVERAGE(Pcfu43[[#This Row],[R1]:[R3]])</f>
        <v>2.9411764705882353E-2</v>
      </c>
      <c r="V102" s="102"/>
      <c r="W102" s="7"/>
      <c r="X102" t="s">
        <v>841</v>
      </c>
    </row>
    <row r="103" spans="1:24" x14ac:dyDescent="0.15">
      <c r="A103" t="s">
        <v>626</v>
      </c>
      <c r="C103" s="4"/>
      <c r="D103" t="s">
        <v>194</v>
      </c>
      <c r="E103" s="3">
        <v>3</v>
      </c>
      <c r="G103">
        <v>0.3</v>
      </c>
      <c r="H103" s="5">
        <v>5.7</v>
      </c>
      <c r="I103" s="3" t="s">
        <v>170</v>
      </c>
      <c r="J103" s="59">
        <v>44994</v>
      </c>
      <c r="K103" s="59"/>
      <c r="L103" s="59" t="e" cm="1">
        <f t="array" ref="L103">INDEX($J$4:J1193, MATCH(1,(A103=$A$4:A1191)*("Y"=$K$4:K1193),0))</f>
        <v>#N/A</v>
      </c>
      <c r="M103" s="1">
        <v>10000000</v>
      </c>
      <c r="N103">
        <v>39</v>
      </c>
      <c r="O103">
        <v>30</v>
      </c>
      <c r="P103">
        <v>30</v>
      </c>
      <c r="Q103" s="6">
        <f>(SUM(Pcfu43[[#This Row],[R1]:[R3]]))/(Pcfu43[[#This Row],[No. Reps]]*0.015)*Pcfu43[[#This Row],[Best DF]]</f>
        <v>22000000000</v>
      </c>
      <c r="R103" s="1">
        <f>_xlfn.STDEV.S(Pcfu43[[#This Row],[R1]:[R3]])/0.015*Pcfu43[[#This Row],[Best DF]]</f>
        <v>3464101615.1377549</v>
      </c>
      <c r="S103" s="6">
        <f>Pcfu43[[#This Row],[CFU/mL]]*Pcfu43[[#This Row],[mL]]/Pcfu43[[#This Row],[grams]]</f>
        <v>418000000000</v>
      </c>
      <c r="T103" s="1">
        <f>Pcfu43[[#This Row],[SD CFU/mL]]*Pcfu43[[#This Row],[mL]]/Pcfu43[[#This Row],[grams]]</f>
        <v>65817930687.61734</v>
      </c>
      <c r="U103" s="7">
        <f>_xlfn.STDEV.S(Pcfu43[[#This Row],[R1]:[R3]])/AVERAGE(Pcfu43[[#This Row],[R1]:[R3]])</f>
        <v>0.1574591643244434</v>
      </c>
      <c r="V103" s="102"/>
      <c r="W103" s="7"/>
      <c r="X103" t="s">
        <v>841</v>
      </c>
    </row>
    <row r="104" spans="1:24" x14ac:dyDescent="0.15">
      <c r="A104" t="s">
        <v>627</v>
      </c>
      <c r="C104" s="4"/>
      <c r="D104" t="s">
        <v>194</v>
      </c>
      <c r="E104" s="3">
        <v>3</v>
      </c>
      <c r="G104">
        <v>0.3</v>
      </c>
      <c r="H104" s="5">
        <v>5.7</v>
      </c>
      <c r="I104" s="3" t="s">
        <v>170</v>
      </c>
      <c r="J104" s="59">
        <v>44994</v>
      </c>
      <c r="K104" s="59"/>
      <c r="L104" s="59" t="e" cm="1">
        <f t="array" ref="L104">INDEX($J$4:J1194, MATCH(1,(A104=$A$4:A1192)*("Y"=$K$4:K1194),0))</f>
        <v>#N/A</v>
      </c>
      <c r="M104" s="1">
        <v>1000000</v>
      </c>
      <c r="N104">
        <v>98</v>
      </c>
      <c r="O104">
        <v>101</v>
      </c>
      <c r="P104">
        <v>98</v>
      </c>
      <c r="Q104" s="6">
        <f>(SUM(Pcfu43[[#This Row],[R1]:[R3]]))/(Pcfu43[[#This Row],[No. Reps]]*0.015)*Pcfu43[[#This Row],[Best DF]]</f>
        <v>6600000000</v>
      </c>
      <c r="R104" s="1">
        <f>_xlfn.STDEV.S(Pcfu43[[#This Row],[R1]:[R3]])/0.015*Pcfu43[[#This Row],[Best DF]]</f>
        <v>115470053.83792515</v>
      </c>
      <c r="S104" s="6">
        <f>Pcfu43[[#This Row],[CFU/mL]]*Pcfu43[[#This Row],[mL]]/Pcfu43[[#This Row],[grams]]</f>
        <v>125400000000</v>
      </c>
      <c r="T104" s="1">
        <f>Pcfu43[[#This Row],[SD CFU/mL]]*Pcfu43[[#This Row],[mL]]/Pcfu43[[#This Row],[grams]]</f>
        <v>2193931022.920578</v>
      </c>
      <c r="U104" s="7">
        <f>_xlfn.STDEV.S(Pcfu43[[#This Row],[R1]:[R3]])/AVERAGE(Pcfu43[[#This Row],[R1]:[R3]])</f>
        <v>1.749546270271593E-2</v>
      </c>
      <c r="V104" s="102"/>
      <c r="W104" s="7"/>
      <c r="X104" t="s">
        <v>841</v>
      </c>
    </row>
    <row r="105" spans="1:24" x14ac:dyDescent="0.15">
      <c r="A105" t="s">
        <v>624</v>
      </c>
      <c r="C105" s="4"/>
      <c r="D105" t="s">
        <v>194</v>
      </c>
      <c r="E105" s="3">
        <v>2</v>
      </c>
      <c r="G105">
        <v>0.3</v>
      </c>
      <c r="H105" s="5">
        <v>5.7</v>
      </c>
      <c r="I105" s="3" t="s">
        <v>170</v>
      </c>
      <c r="J105" s="59">
        <v>44994</v>
      </c>
      <c r="K105" s="59"/>
      <c r="L105" s="59" t="e" cm="1">
        <f t="array" ref="L105">INDEX($J$4:J1195, MATCH(1,(A105=$A$4:A1193)*("Y"=$K$4:K1195),0))</f>
        <v>#N/A</v>
      </c>
      <c r="M105" s="1">
        <v>10000000</v>
      </c>
      <c r="N105">
        <v>29</v>
      </c>
      <c r="O105">
        <v>33</v>
      </c>
      <c r="Q105" s="6">
        <f>(SUM(Pcfu43[[#This Row],[R1]:[R3]]))/(Pcfu43[[#This Row],[No. Reps]]*0.015)*Pcfu43[[#This Row],[Best DF]]</f>
        <v>20666666666.666668</v>
      </c>
      <c r="R105" s="1">
        <f>_xlfn.STDEV.S(Pcfu43[[#This Row],[R1]:[R3]])/0.015*Pcfu43[[#This Row],[Best DF]]</f>
        <v>1885618083.1641269</v>
      </c>
      <c r="S105" s="6">
        <f>Pcfu43[[#This Row],[CFU/mL]]*Pcfu43[[#This Row],[mL]]/Pcfu43[[#This Row],[grams]]</f>
        <v>392666666666.66675</v>
      </c>
      <c r="T105" s="1">
        <f>Pcfu43[[#This Row],[SD CFU/mL]]*Pcfu43[[#This Row],[mL]]/Pcfu43[[#This Row],[grams]]</f>
        <v>35826743580.118416</v>
      </c>
      <c r="U105" s="7">
        <f>_xlfn.STDEV.S(Pcfu43[[#This Row],[R1]:[R3]])/AVERAGE(Pcfu43[[#This Row],[R1]:[R3]])</f>
        <v>9.1239584669231946E-2</v>
      </c>
      <c r="V105" s="102"/>
      <c r="W105" s="7"/>
      <c r="X105" t="s">
        <v>841</v>
      </c>
    </row>
    <row r="106" spans="1:24" x14ac:dyDescent="0.15">
      <c r="A106" t="s">
        <v>625</v>
      </c>
      <c r="C106" s="4"/>
      <c r="D106" t="s">
        <v>194</v>
      </c>
      <c r="E106" s="3">
        <v>3</v>
      </c>
      <c r="G106">
        <v>0.3</v>
      </c>
      <c r="H106" s="5">
        <v>5.7</v>
      </c>
      <c r="I106" s="3" t="s">
        <v>170</v>
      </c>
      <c r="J106" s="59">
        <v>44994</v>
      </c>
      <c r="K106" s="59"/>
      <c r="L106" s="59" t="e" cm="1">
        <f t="array" ref="L106">INDEX($J$4:J1196, MATCH(1,(A106=$A$4:A1194)*("Y"=$K$4:K1196),0))</f>
        <v>#N/A</v>
      </c>
      <c r="M106" s="1">
        <v>10000000</v>
      </c>
      <c r="N106">
        <v>40</v>
      </c>
      <c r="O106">
        <v>34</v>
      </c>
      <c r="P106">
        <v>49</v>
      </c>
      <c r="Q106" s="6">
        <f>(SUM(Pcfu43[[#This Row],[R1]:[R3]]))/(Pcfu43[[#This Row],[No. Reps]]*0.015)*Pcfu43[[#This Row],[Best DF]]</f>
        <v>27333333333.333336</v>
      </c>
      <c r="R106" s="1">
        <f>_xlfn.STDEV.S(Pcfu43[[#This Row],[R1]:[R3]])/0.015*Pcfu43[[#This Row],[Best DF]]</f>
        <v>5033222956.847167</v>
      </c>
      <c r="S106" s="6">
        <f>Pcfu43[[#This Row],[CFU/mL]]*Pcfu43[[#This Row],[mL]]/Pcfu43[[#This Row],[grams]]</f>
        <v>519333333333.33344</v>
      </c>
      <c r="T106" s="1">
        <f>Pcfu43[[#This Row],[SD CFU/mL]]*Pcfu43[[#This Row],[mL]]/Pcfu43[[#This Row],[grams]]</f>
        <v>95631236180.096191</v>
      </c>
      <c r="U106" s="7">
        <f>_xlfn.STDEV.S(Pcfu43[[#This Row],[R1]:[R3]])/AVERAGE(Pcfu43[[#This Row],[R1]:[R3]])</f>
        <v>0.18414230329928657</v>
      </c>
      <c r="V106" s="102"/>
      <c r="W106" s="7"/>
      <c r="X106" t="s">
        <v>847</v>
      </c>
    </row>
    <row r="107" spans="1:24" x14ac:dyDescent="0.15">
      <c r="A107" t="s">
        <v>626</v>
      </c>
      <c r="C107" s="4"/>
      <c r="D107" t="s">
        <v>194</v>
      </c>
      <c r="E107" s="3">
        <v>3</v>
      </c>
      <c r="G107">
        <v>0.3</v>
      </c>
      <c r="H107" s="5">
        <v>5.7</v>
      </c>
      <c r="I107" s="3" t="s">
        <v>170</v>
      </c>
      <c r="J107" s="59">
        <v>44994</v>
      </c>
      <c r="K107" s="59"/>
      <c r="L107" s="59" t="e" cm="1">
        <f t="array" ref="L107">INDEX($J$4:J1197, MATCH(1,(A107=$A$4:A1195)*("Y"=$K$4:K1197),0))</f>
        <v>#N/A</v>
      </c>
      <c r="M107" s="1">
        <v>10000000</v>
      </c>
      <c r="N107">
        <v>40</v>
      </c>
      <c r="O107">
        <v>32</v>
      </c>
      <c r="P107">
        <v>44</v>
      </c>
      <c r="Q107" s="6">
        <f>(SUM(Pcfu43[[#This Row],[R1]:[R3]]))/(Pcfu43[[#This Row],[No. Reps]]*0.015)*Pcfu43[[#This Row],[Best DF]]</f>
        <v>25777777777.777779</v>
      </c>
      <c r="R107" s="1">
        <f>_xlfn.STDEV.S(Pcfu43[[#This Row],[R1]:[R3]])/0.015*Pcfu43[[#This Row],[Best DF]]</f>
        <v>4073400617.7385335</v>
      </c>
      <c r="S107" s="6">
        <f>Pcfu43[[#This Row],[CFU/mL]]*Pcfu43[[#This Row],[mL]]/Pcfu43[[#This Row],[grams]]</f>
        <v>489777777777.77783</v>
      </c>
      <c r="T107" s="1">
        <f>Pcfu43[[#This Row],[SD CFU/mL]]*Pcfu43[[#This Row],[mL]]/Pcfu43[[#This Row],[grams]]</f>
        <v>77394611737.03215</v>
      </c>
      <c r="U107" s="7">
        <f>_xlfn.STDEV.S(Pcfu43[[#This Row],[R1]:[R3]])/AVERAGE(Pcfu43[[#This Row],[R1]:[R3]])</f>
        <v>0.15801985155020171</v>
      </c>
      <c r="V107" s="102"/>
      <c r="W107" s="7"/>
      <c r="X107" t="s">
        <v>847</v>
      </c>
    </row>
    <row r="108" spans="1:24" x14ac:dyDescent="0.15">
      <c r="A108" t="s">
        <v>627</v>
      </c>
      <c r="C108" s="4"/>
      <c r="D108" t="s">
        <v>194</v>
      </c>
      <c r="E108" s="3">
        <v>3</v>
      </c>
      <c r="G108">
        <v>0.3</v>
      </c>
      <c r="H108" s="5">
        <v>5.7</v>
      </c>
      <c r="I108" s="3" t="s">
        <v>170</v>
      </c>
      <c r="J108" s="59">
        <v>44994</v>
      </c>
      <c r="K108" s="59"/>
      <c r="L108" s="59" t="e" cm="1">
        <f t="array" ref="L108">INDEX($J$4:J1198, MATCH(1,(A108=$A$4:A1196)*("Y"=$K$4:K1198),0))</f>
        <v>#N/A</v>
      </c>
      <c r="M108" s="1">
        <v>1000000</v>
      </c>
      <c r="N108">
        <v>108</v>
      </c>
      <c r="O108">
        <v>102</v>
      </c>
      <c r="P108">
        <v>99</v>
      </c>
      <c r="Q108" s="6">
        <f>(SUM(Pcfu43[[#This Row],[R1]:[R3]]))/(Pcfu43[[#This Row],[No. Reps]]*0.015)*Pcfu43[[#This Row],[Best DF]]</f>
        <v>6866666666.666667</v>
      </c>
      <c r="R108" s="1">
        <f>_xlfn.STDEV.S(Pcfu43[[#This Row],[R1]:[R3]])/0.015*Pcfu43[[#This Row],[Best DF]]</f>
        <v>305505046.33038932</v>
      </c>
      <c r="S108" s="6">
        <f>Pcfu43[[#This Row],[CFU/mL]]*Pcfu43[[#This Row],[mL]]/Pcfu43[[#This Row],[grams]]</f>
        <v>130466666666.66667</v>
      </c>
      <c r="T108" s="1">
        <f>Pcfu43[[#This Row],[SD CFU/mL]]*Pcfu43[[#This Row],[mL]]/Pcfu43[[#This Row],[grams]]</f>
        <v>5804595880.2773981</v>
      </c>
      <c r="U108" s="7">
        <f>_xlfn.STDEV.S(Pcfu43[[#This Row],[R1]:[R3]])/AVERAGE(Pcfu43[[#This Row],[R1]:[R3]])</f>
        <v>4.4491026164619807E-2</v>
      </c>
      <c r="V108" s="102"/>
      <c r="W108" s="7"/>
      <c r="X108" t="s">
        <v>847</v>
      </c>
    </row>
    <row r="109" spans="1:24" x14ac:dyDescent="0.15">
      <c r="A109" t="s">
        <v>624</v>
      </c>
      <c r="C109" s="4"/>
      <c r="D109" t="s">
        <v>194</v>
      </c>
      <c r="E109" s="3">
        <v>2</v>
      </c>
      <c r="G109">
        <v>0.3</v>
      </c>
      <c r="H109" s="5">
        <v>5.7</v>
      </c>
      <c r="I109" s="3" t="s">
        <v>170</v>
      </c>
      <c r="J109" s="59">
        <v>44994</v>
      </c>
      <c r="K109" s="59"/>
      <c r="L109" s="59" t="e" cm="1">
        <f t="array" ref="L109">INDEX($J$4:J1199, MATCH(1,(A109=$A$4:A1197)*("Y"=$K$4:K1199),0))</f>
        <v>#N/A</v>
      </c>
      <c r="M109" s="1">
        <v>10000000</v>
      </c>
      <c r="N109">
        <v>30</v>
      </c>
      <c r="O109">
        <v>32</v>
      </c>
      <c r="Q109" s="6">
        <f>(SUM(Pcfu43[[#This Row],[R1]:[R3]]))/(Pcfu43[[#This Row],[No. Reps]]*0.015)*Pcfu43[[#This Row],[Best DF]]</f>
        <v>20666666666.666668</v>
      </c>
      <c r="R109" s="1">
        <f>_xlfn.STDEV.S(Pcfu43[[#This Row],[R1]:[R3]])/0.015*Pcfu43[[#This Row],[Best DF]]</f>
        <v>942809041.58206344</v>
      </c>
      <c r="S109" s="6">
        <f>Pcfu43[[#This Row],[CFU/mL]]*Pcfu43[[#This Row],[mL]]/Pcfu43[[#This Row],[grams]]</f>
        <v>392666666666.66675</v>
      </c>
      <c r="T109" s="1">
        <f>Pcfu43[[#This Row],[SD CFU/mL]]*Pcfu43[[#This Row],[mL]]/Pcfu43[[#This Row],[grams]]</f>
        <v>17913371790.059208</v>
      </c>
      <c r="U109" s="7">
        <f>_xlfn.STDEV.S(Pcfu43[[#This Row],[R1]:[R3]])/AVERAGE(Pcfu43[[#This Row],[R1]:[R3]])</f>
        <v>4.5619792334615973E-2</v>
      </c>
      <c r="V109" s="102"/>
      <c r="W109" s="7"/>
      <c r="X109" t="s">
        <v>847</v>
      </c>
    </row>
    <row r="110" spans="1:24" x14ac:dyDescent="0.15">
      <c r="A110" t="s">
        <v>628</v>
      </c>
      <c r="C110" s="4"/>
      <c r="D110" t="s">
        <v>86</v>
      </c>
      <c r="E110" s="3">
        <v>2</v>
      </c>
      <c r="G110">
        <v>0.3</v>
      </c>
      <c r="H110" s="5">
        <v>5.7</v>
      </c>
      <c r="I110" s="3" t="s">
        <v>170</v>
      </c>
      <c r="J110" s="59">
        <v>44995</v>
      </c>
      <c r="K110" s="59"/>
      <c r="L110" s="59" t="e" cm="1">
        <f t="array" ref="L110">INDEX($J$4:J1200, MATCH(1,(A110=$A$4:A1198)*("Y"=$K$4:K1200),0))</f>
        <v>#N/A</v>
      </c>
      <c r="M110" s="1">
        <v>10000000</v>
      </c>
      <c r="N110">
        <v>24</v>
      </c>
      <c r="O110">
        <v>19</v>
      </c>
      <c r="Q110" s="6">
        <f>(SUM(Pcfu43[[#This Row],[R1]:[R3]]))/(Pcfu43[[#This Row],[No. Reps]]*0.015)*Pcfu43[[#This Row],[Best DF]]</f>
        <v>14333333333.333334</v>
      </c>
      <c r="R110" s="1">
        <f>_xlfn.STDEV.S(Pcfu43[[#This Row],[R1]:[R3]])/0.015*Pcfu43[[#This Row],[Best DF]]</f>
        <v>2357022603.9551587</v>
      </c>
      <c r="S110" s="6">
        <f>Pcfu43[[#This Row],[CFU/mL]]*Pcfu43[[#This Row],[mL]]/Pcfu43[[#This Row],[grams]]</f>
        <v>272333333333.33334</v>
      </c>
      <c r="T110" s="1">
        <f>Pcfu43[[#This Row],[SD CFU/mL]]*Pcfu43[[#This Row],[mL]]/Pcfu43[[#This Row],[grams]]</f>
        <v>44783429475.148018</v>
      </c>
      <c r="U110" s="7">
        <f>_xlfn.STDEV.S(Pcfu43[[#This Row],[R1]:[R3]])/AVERAGE(Pcfu43[[#This Row],[R1]:[R3]])</f>
        <v>0.16444343748524362</v>
      </c>
      <c r="V110" s="102"/>
      <c r="W110" s="7"/>
      <c r="X110" t="s">
        <v>841</v>
      </c>
    </row>
    <row r="111" spans="1:24" x14ac:dyDescent="0.15">
      <c r="A111" t="s">
        <v>629</v>
      </c>
      <c r="C111" s="4"/>
      <c r="D111" t="s">
        <v>86</v>
      </c>
      <c r="E111" s="3">
        <v>2</v>
      </c>
      <c r="G111">
        <v>0.3</v>
      </c>
      <c r="H111" s="5">
        <v>5.7</v>
      </c>
      <c r="I111" s="3" t="s">
        <v>170</v>
      </c>
      <c r="J111" s="59">
        <v>44995</v>
      </c>
      <c r="K111" s="59"/>
      <c r="L111" s="59" t="e" cm="1">
        <f t="array" ref="L111">INDEX($J$4:J1201, MATCH(1,(A111=$A$4:A1199)*("Y"=$K$4:K1201),0))</f>
        <v>#N/A</v>
      </c>
      <c r="M111" s="1">
        <v>10000000</v>
      </c>
      <c r="N111">
        <v>16</v>
      </c>
      <c r="O111">
        <v>20</v>
      </c>
      <c r="Q111" s="6">
        <f>(SUM(Pcfu43[[#This Row],[R1]:[R3]]))/(Pcfu43[[#This Row],[No. Reps]]*0.015)*Pcfu43[[#This Row],[Best DF]]</f>
        <v>12000000000</v>
      </c>
      <c r="R111" s="1">
        <f>_xlfn.STDEV.S(Pcfu43[[#This Row],[R1]:[R3]])/0.015*Pcfu43[[#This Row],[Best DF]]</f>
        <v>1885618083.1641269</v>
      </c>
      <c r="S111" s="6">
        <f>Pcfu43[[#This Row],[CFU/mL]]*Pcfu43[[#This Row],[mL]]/Pcfu43[[#This Row],[grams]]</f>
        <v>228000000000</v>
      </c>
      <c r="T111" s="1">
        <f>Pcfu43[[#This Row],[SD CFU/mL]]*Pcfu43[[#This Row],[mL]]/Pcfu43[[#This Row],[grams]]</f>
        <v>35826743580.118416</v>
      </c>
      <c r="U111" s="7">
        <f>_xlfn.STDEV.S(Pcfu43[[#This Row],[R1]:[R3]])/AVERAGE(Pcfu43[[#This Row],[R1]:[R3]])</f>
        <v>0.15713484026367724</v>
      </c>
      <c r="V111" s="102"/>
      <c r="W111" s="7"/>
      <c r="X111" t="s">
        <v>841</v>
      </c>
    </row>
    <row r="112" spans="1:24" x14ac:dyDescent="0.15">
      <c r="A112" t="s">
        <v>630</v>
      </c>
      <c r="C112" s="4"/>
      <c r="D112" t="s">
        <v>86</v>
      </c>
      <c r="E112" s="3">
        <v>2</v>
      </c>
      <c r="G112">
        <v>0.3</v>
      </c>
      <c r="H112" s="5">
        <v>5.7</v>
      </c>
      <c r="I112" s="3" t="s">
        <v>170</v>
      </c>
      <c r="J112" s="59">
        <v>44995</v>
      </c>
      <c r="K112" s="59"/>
      <c r="L112" s="59" t="e" cm="1">
        <f t="array" ref="L112">INDEX($J$4:J1202, MATCH(1,(A112=$A$4:A1200)*("Y"=$K$4:K1202),0))</f>
        <v>#N/A</v>
      </c>
      <c r="M112" s="1">
        <v>10000000</v>
      </c>
      <c r="N112">
        <v>20</v>
      </c>
      <c r="O112">
        <v>32</v>
      </c>
      <c r="Q112" s="6">
        <f>(SUM(Pcfu43[[#This Row],[R1]:[R3]]))/(Pcfu43[[#This Row],[No. Reps]]*0.015)*Pcfu43[[#This Row],[Best DF]]</f>
        <v>17333333333.333336</v>
      </c>
      <c r="R112" s="1">
        <f>_xlfn.STDEV.S(Pcfu43[[#This Row],[R1]:[R3]])/0.015*Pcfu43[[#This Row],[Best DF]]</f>
        <v>5656854249.4923801</v>
      </c>
      <c r="S112" s="6">
        <f>Pcfu43[[#This Row],[CFU/mL]]*Pcfu43[[#This Row],[mL]]/Pcfu43[[#This Row],[grams]]</f>
        <v>329333333333.33337</v>
      </c>
      <c r="T112" s="1">
        <f>Pcfu43[[#This Row],[SD CFU/mL]]*Pcfu43[[#This Row],[mL]]/Pcfu43[[#This Row],[grams]]</f>
        <v>107480230740.35522</v>
      </c>
      <c r="U112" s="7">
        <f>_xlfn.STDEV.S(Pcfu43[[#This Row],[R1]:[R3]])/AVERAGE(Pcfu43[[#This Row],[R1]:[R3]])</f>
        <v>0.32635697593225266</v>
      </c>
      <c r="V112" s="102"/>
      <c r="W112" s="7"/>
      <c r="X112" t="s">
        <v>841</v>
      </c>
    </row>
    <row r="113" spans="1:24" x14ac:dyDescent="0.15">
      <c r="A113" t="s">
        <v>631</v>
      </c>
      <c r="C113" s="4"/>
      <c r="D113" t="s">
        <v>86</v>
      </c>
      <c r="E113" s="3">
        <v>2</v>
      </c>
      <c r="G113">
        <v>0.3</v>
      </c>
      <c r="H113" s="5">
        <v>5.7</v>
      </c>
      <c r="I113" s="3" t="s">
        <v>170</v>
      </c>
      <c r="J113" s="59">
        <v>44995</v>
      </c>
      <c r="K113" s="59"/>
      <c r="L113" s="59" t="e" cm="1">
        <f t="array" ref="L113">INDEX($J$4:J1203, MATCH(1,(A113=$A$4:A1201)*("Y"=$K$4:K1203),0))</f>
        <v>#N/A</v>
      </c>
      <c r="M113" s="1">
        <v>10000000</v>
      </c>
      <c r="N113">
        <v>22</v>
      </c>
      <c r="O113">
        <v>19</v>
      </c>
      <c r="Q113" s="6">
        <f>(SUM(Pcfu43[[#This Row],[R1]:[R3]]))/(Pcfu43[[#This Row],[No. Reps]]*0.015)*Pcfu43[[#This Row],[Best DF]]</f>
        <v>13666666666.666668</v>
      </c>
      <c r="R113" s="1">
        <f>_xlfn.STDEV.S(Pcfu43[[#This Row],[R1]:[R3]])/0.015*Pcfu43[[#This Row],[Best DF]]</f>
        <v>1414213562.373095</v>
      </c>
      <c r="S113" s="6">
        <f>Pcfu43[[#This Row],[CFU/mL]]*Pcfu43[[#This Row],[mL]]/Pcfu43[[#This Row],[grams]]</f>
        <v>259666666666.66672</v>
      </c>
      <c r="T113" s="1">
        <f>Pcfu43[[#This Row],[SD CFU/mL]]*Pcfu43[[#This Row],[mL]]/Pcfu43[[#This Row],[grams]]</f>
        <v>26870057685.088806</v>
      </c>
      <c r="U113" s="7">
        <f>_xlfn.STDEV.S(Pcfu43[[#This Row],[R1]:[R3]])/AVERAGE(Pcfu43[[#This Row],[R1]:[R3]])</f>
        <v>0.10347904114925084</v>
      </c>
      <c r="V113" s="102"/>
      <c r="W113" s="7"/>
      <c r="X113" t="s">
        <v>841</v>
      </c>
    </row>
    <row r="114" spans="1:24" x14ac:dyDescent="0.15">
      <c r="A114" t="s">
        <v>632</v>
      </c>
      <c r="C114" s="4"/>
      <c r="D114" t="s">
        <v>86</v>
      </c>
      <c r="E114" s="3">
        <v>2</v>
      </c>
      <c r="G114">
        <v>0.3</v>
      </c>
      <c r="H114" s="5">
        <v>5.7</v>
      </c>
      <c r="I114" s="3" t="s">
        <v>170</v>
      </c>
      <c r="J114" s="59">
        <v>44995</v>
      </c>
      <c r="K114" s="59"/>
      <c r="L114" s="59" t="e" cm="1">
        <f t="array" ref="L114">INDEX($J$4:J1204, MATCH(1,(A114=$A$4:A1202)*("Y"=$K$4:K1204),0))</f>
        <v>#N/A</v>
      </c>
      <c r="M114" s="1">
        <v>10000000</v>
      </c>
      <c r="N114">
        <v>32</v>
      </c>
      <c r="O114">
        <v>27</v>
      </c>
      <c r="Q114" s="6">
        <f>(SUM(Pcfu43[[#This Row],[R1]:[R3]]))/(Pcfu43[[#This Row],[No. Reps]]*0.015)*Pcfu43[[#This Row],[Best DF]]</f>
        <v>19666666666.666668</v>
      </c>
      <c r="R114" s="1">
        <f>_xlfn.STDEV.S(Pcfu43[[#This Row],[R1]:[R3]])/0.015*Pcfu43[[#This Row],[Best DF]]</f>
        <v>2357022603.9551587</v>
      </c>
      <c r="S114" s="6">
        <f>Pcfu43[[#This Row],[CFU/mL]]*Pcfu43[[#This Row],[mL]]/Pcfu43[[#This Row],[grams]]</f>
        <v>373666666666.66675</v>
      </c>
      <c r="T114" s="1">
        <f>Pcfu43[[#This Row],[SD CFU/mL]]*Pcfu43[[#This Row],[mL]]/Pcfu43[[#This Row],[grams]]</f>
        <v>44783429475.148018</v>
      </c>
      <c r="U114" s="7">
        <f>_xlfn.STDEV.S(Pcfu43[[#This Row],[R1]:[R3]])/AVERAGE(Pcfu43[[#This Row],[R1]:[R3]])</f>
        <v>0.11984860698077077</v>
      </c>
      <c r="V114" s="102"/>
      <c r="W114" s="7"/>
      <c r="X114" t="s">
        <v>841</v>
      </c>
    </row>
    <row r="115" spans="1:24" x14ac:dyDescent="0.15">
      <c r="A115" t="s">
        <v>628</v>
      </c>
      <c r="C115" s="4"/>
      <c r="D115" t="s">
        <v>86</v>
      </c>
      <c r="E115" s="3">
        <v>2</v>
      </c>
      <c r="G115">
        <v>0.3</v>
      </c>
      <c r="H115" s="5">
        <v>5.7</v>
      </c>
      <c r="I115" s="3" t="s">
        <v>170</v>
      </c>
      <c r="J115" s="59">
        <v>44995</v>
      </c>
      <c r="K115" s="59"/>
      <c r="L115" s="59" t="e" cm="1">
        <f t="array" ref="L115">INDEX($J$4:J1205, MATCH(1,(A115=$A$4:A1203)*("Y"=$K$4:K1205),0))</f>
        <v>#N/A</v>
      </c>
      <c r="M115" s="1">
        <v>10000000</v>
      </c>
      <c r="N115">
        <v>24</v>
      </c>
      <c r="O115">
        <v>11</v>
      </c>
      <c r="Q115" s="6">
        <f>(SUM(Pcfu43[[#This Row],[R1]:[R3]]))/(Pcfu43[[#This Row],[No. Reps]]*0.015)*Pcfu43[[#This Row],[Best DF]]</f>
        <v>11666666666.666668</v>
      </c>
      <c r="R115" s="1">
        <f>_xlfn.STDEV.S(Pcfu43[[#This Row],[R1]:[R3]])/0.015*Pcfu43[[#This Row],[Best DF]]</f>
        <v>6128258770.283412</v>
      </c>
      <c r="S115" s="6">
        <f>Pcfu43[[#This Row],[CFU/mL]]*Pcfu43[[#This Row],[mL]]/Pcfu43[[#This Row],[grams]]</f>
        <v>221666666666.66669</v>
      </c>
      <c r="T115" s="1">
        <f>Pcfu43[[#This Row],[SD CFU/mL]]*Pcfu43[[#This Row],[mL]]/Pcfu43[[#This Row],[grams]]</f>
        <v>116436916635.38483</v>
      </c>
      <c r="U115" s="7">
        <f>_xlfn.STDEV.S(Pcfu43[[#This Row],[R1]:[R3]])/AVERAGE(Pcfu43[[#This Row],[R1]:[R3]])</f>
        <v>0.52527932316714954</v>
      </c>
      <c r="V115" s="102"/>
      <c r="W115" s="7"/>
      <c r="X115" t="s">
        <v>847</v>
      </c>
    </row>
    <row r="116" spans="1:24" x14ac:dyDescent="0.15">
      <c r="A116" t="s">
        <v>629</v>
      </c>
      <c r="C116" s="4"/>
      <c r="D116" t="s">
        <v>86</v>
      </c>
      <c r="E116" s="3">
        <v>2</v>
      </c>
      <c r="G116">
        <v>0.3</v>
      </c>
      <c r="H116" s="5">
        <v>5.7</v>
      </c>
      <c r="I116" s="3" t="s">
        <v>170</v>
      </c>
      <c r="J116" s="59">
        <v>44995</v>
      </c>
      <c r="K116" s="59"/>
      <c r="L116" s="59" t="e" cm="1">
        <f t="array" ref="L116">INDEX($J$4:J1206, MATCH(1,(A116=$A$4:A1204)*("Y"=$K$4:K1206),0))</f>
        <v>#N/A</v>
      </c>
      <c r="M116" s="1">
        <v>10000000</v>
      </c>
      <c r="N116">
        <v>23</v>
      </c>
      <c r="O116">
        <v>19</v>
      </c>
      <c r="Q116" s="6">
        <f>(SUM(Pcfu43[[#This Row],[R1]:[R3]]))/(Pcfu43[[#This Row],[No. Reps]]*0.015)*Pcfu43[[#This Row],[Best DF]]</f>
        <v>14000000000</v>
      </c>
      <c r="R116" s="1">
        <f>_xlfn.STDEV.S(Pcfu43[[#This Row],[R1]:[R3]])/0.015*Pcfu43[[#This Row],[Best DF]]</f>
        <v>1885618083.1641269</v>
      </c>
      <c r="S116" s="6">
        <f>Pcfu43[[#This Row],[CFU/mL]]*Pcfu43[[#This Row],[mL]]/Pcfu43[[#This Row],[grams]]</f>
        <v>266000000000</v>
      </c>
      <c r="T116" s="1">
        <f>Pcfu43[[#This Row],[SD CFU/mL]]*Pcfu43[[#This Row],[mL]]/Pcfu43[[#This Row],[grams]]</f>
        <v>35826743580.118416</v>
      </c>
      <c r="U116" s="7">
        <f>_xlfn.STDEV.S(Pcfu43[[#This Row],[R1]:[R3]])/AVERAGE(Pcfu43[[#This Row],[R1]:[R3]])</f>
        <v>0.13468700594029479</v>
      </c>
      <c r="V116" s="102"/>
      <c r="W116" s="7"/>
      <c r="X116" t="s">
        <v>847</v>
      </c>
    </row>
    <row r="117" spans="1:24" x14ac:dyDescent="0.15">
      <c r="A117" t="s">
        <v>630</v>
      </c>
      <c r="C117" s="4"/>
      <c r="D117" t="s">
        <v>86</v>
      </c>
      <c r="E117" s="3">
        <v>2</v>
      </c>
      <c r="G117">
        <v>0.3</v>
      </c>
      <c r="H117" s="5">
        <v>5.7</v>
      </c>
      <c r="I117" s="3" t="s">
        <v>170</v>
      </c>
      <c r="J117" s="59">
        <v>44995</v>
      </c>
      <c r="K117" s="59"/>
      <c r="L117" s="59" t="e" cm="1">
        <f t="array" ref="L117">INDEX($J$4:J1207, MATCH(1,(A117=$A$4:A1205)*("Y"=$K$4:K1207),0))</f>
        <v>#N/A</v>
      </c>
      <c r="M117" s="1">
        <v>10000000</v>
      </c>
      <c r="N117">
        <v>22</v>
      </c>
      <c r="O117">
        <v>44</v>
      </c>
      <c r="Q117" s="6">
        <f>(SUM(Pcfu43[[#This Row],[R1]:[R3]]))/(Pcfu43[[#This Row],[No. Reps]]*0.015)*Pcfu43[[#This Row],[Best DF]]</f>
        <v>22000000000</v>
      </c>
      <c r="R117" s="1">
        <f>_xlfn.STDEV.S(Pcfu43[[#This Row],[R1]:[R3]])/0.015*Pcfu43[[#This Row],[Best DF]]</f>
        <v>10370899457.402697</v>
      </c>
      <c r="S117" s="6">
        <f>Pcfu43[[#This Row],[CFU/mL]]*Pcfu43[[#This Row],[mL]]/Pcfu43[[#This Row],[grams]]</f>
        <v>418000000000</v>
      </c>
      <c r="T117" s="1">
        <f>Pcfu43[[#This Row],[SD CFU/mL]]*Pcfu43[[#This Row],[mL]]/Pcfu43[[#This Row],[grams]]</f>
        <v>197047089690.65125</v>
      </c>
      <c r="U117" s="7">
        <f>_xlfn.STDEV.S(Pcfu43[[#This Row],[R1]:[R3]])/AVERAGE(Pcfu43[[#This Row],[R1]:[R3]])</f>
        <v>0.47140452079103168</v>
      </c>
      <c r="V117" s="102"/>
      <c r="W117" s="7"/>
      <c r="X117" t="s">
        <v>847</v>
      </c>
    </row>
    <row r="118" spans="1:24" x14ac:dyDescent="0.15">
      <c r="A118" t="s">
        <v>631</v>
      </c>
      <c r="C118" s="4"/>
      <c r="D118" t="s">
        <v>86</v>
      </c>
      <c r="E118" s="3">
        <v>2</v>
      </c>
      <c r="G118">
        <v>0.3</v>
      </c>
      <c r="H118" s="5">
        <v>5.7</v>
      </c>
      <c r="I118" s="3" t="s">
        <v>170</v>
      </c>
      <c r="J118" s="59">
        <v>44995</v>
      </c>
      <c r="K118" s="59"/>
      <c r="L118" s="59" t="e" cm="1">
        <f t="array" ref="L118">INDEX($J$4:J1208, MATCH(1,(A118=$A$4:A1206)*("Y"=$K$4:K1208),0))</f>
        <v>#N/A</v>
      </c>
      <c r="M118" s="1">
        <v>10000000</v>
      </c>
      <c r="N118">
        <v>25</v>
      </c>
      <c r="O118">
        <v>20</v>
      </c>
      <c r="Q118" s="6">
        <f>(SUM(Pcfu43[[#This Row],[R1]:[R3]]))/(Pcfu43[[#This Row],[No. Reps]]*0.015)*Pcfu43[[#This Row],[Best DF]]</f>
        <v>15000000000</v>
      </c>
      <c r="R118" s="1">
        <f>_xlfn.STDEV.S(Pcfu43[[#This Row],[R1]:[R3]])/0.015*Pcfu43[[#This Row],[Best DF]]</f>
        <v>2357022603.9551587</v>
      </c>
      <c r="S118" s="6">
        <f>Pcfu43[[#This Row],[CFU/mL]]*Pcfu43[[#This Row],[mL]]/Pcfu43[[#This Row],[grams]]</f>
        <v>285000000000</v>
      </c>
      <c r="T118" s="1">
        <f>Pcfu43[[#This Row],[SD CFU/mL]]*Pcfu43[[#This Row],[mL]]/Pcfu43[[#This Row],[grams]]</f>
        <v>44783429475.148018</v>
      </c>
      <c r="U118" s="7">
        <f>_xlfn.STDEV.S(Pcfu43[[#This Row],[R1]:[R3]])/AVERAGE(Pcfu43[[#This Row],[R1]:[R3]])</f>
        <v>0.15713484026367724</v>
      </c>
      <c r="V118" s="102"/>
      <c r="W118" s="7"/>
      <c r="X118" t="s">
        <v>847</v>
      </c>
    </row>
    <row r="119" spans="1:24" x14ac:dyDescent="0.15">
      <c r="A119" t="s">
        <v>632</v>
      </c>
      <c r="C119" s="4"/>
      <c r="D119" t="s">
        <v>86</v>
      </c>
      <c r="E119" s="3">
        <v>2</v>
      </c>
      <c r="G119">
        <v>0.3</v>
      </c>
      <c r="H119" s="5">
        <v>5.7</v>
      </c>
      <c r="I119" s="3" t="s">
        <v>170</v>
      </c>
      <c r="J119" s="59">
        <v>44995</v>
      </c>
      <c r="K119" s="59"/>
      <c r="L119" s="59" t="e" cm="1">
        <f t="array" ref="L119">INDEX($J$4:J1209, MATCH(1,(A119=$A$4:A1207)*("Y"=$K$4:K1209),0))</f>
        <v>#N/A</v>
      </c>
      <c r="M119" s="1">
        <v>10000000</v>
      </c>
      <c r="N119">
        <v>40</v>
      </c>
      <c r="O119">
        <v>38</v>
      </c>
      <c r="Q119" s="6">
        <f>(SUM(Pcfu43[[#This Row],[R1]:[R3]]))/(Pcfu43[[#This Row],[No. Reps]]*0.015)*Pcfu43[[#This Row],[Best DF]]</f>
        <v>26000000000</v>
      </c>
      <c r="R119" s="1">
        <f>_xlfn.STDEV.S(Pcfu43[[#This Row],[R1]:[R3]])/0.015*Pcfu43[[#This Row],[Best DF]]</f>
        <v>942809041.58206344</v>
      </c>
      <c r="S119" s="6">
        <f>Pcfu43[[#This Row],[CFU/mL]]*Pcfu43[[#This Row],[mL]]/Pcfu43[[#This Row],[grams]]</f>
        <v>494000000000</v>
      </c>
      <c r="T119" s="1">
        <f>Pcfu43[[#This Row],[SD CFU/mL]]*Pcfu43[[#This Row],[mL]]/Pcfu43[[#This Row],[grams]]</f>
        <v>17913371790.059208</v>
      </c>
      <c r="U119" s="7">
        <f>_xlfn.STDEV.S(Pcfu43[[#This Row],[R1]:[R3]])/AVERAGE(Pcfu43[[#This Row],[R1]:[R3]])</f>
        <v>3.6261886214694748E-2</v>
      </c>
      <c r="V119" s="102"/>
      <c r="W119" s="7"/>
      <c r="X119" t="s">
        <v>847</v>
      </c>
    </row>
    <row r="120" spans="1:24" x14ac:dyDescent="0.15">
      <c r="A120" t="s">
        <v>628</v>
      </c>
      <c r="C120" s="4"/>
      <c r="D120" t="s">
        <v>86</v>
      </c>
      <c r="E120" s="3">
        <v>2</v>
      </c>
      <c r="G120">
        <v>0.3</v>
      </c>
      <c r="H120" s="5">
        <v>5.7</v>
      </c>
      <c r="I120" s="3" t="s">
        <v>170</v>
      </c>
      <c r="J120" s="59">
        <v>44999</v>
      </c>
      <c r="K120" s="59"/>
      <c r="L120" s="59" t="e" cm="1">
        <f t="array" ref="L120">INDEX($J$4:J1210, MATCH(1,(A120=$A$4:A1208)*("Y"=$K$4:K1210),0))</f>
        <v>#N/A</v>
      </c>
      <c r="M120" s="1">
        <v>10000000</v>
      </c>
      <c r="N120">
        <v>20</v>
      </c>
      <c r="O120">
        <v>21</v>
      </c>
      <c r="Q120" s="6">
        <f>(SUM(Pcfu43[[#This Row],[R1]:[R3]]))/(Pcfu43[[#This Row],[No. Reps]]*0.015)*Pcfu43[[#This Row],[Best DF]]</f>
        <v>13666666666.666668</v>
      </c>
      <c r="R120" s="1">
        <f>_xlfn.STDEV.S(Pcfu43[[#This Row],[R1]:[R3]])/0.015*Pcfu43[[#This Row],[Best DF]]</f>
        <v>471404520.79103172</v>
      </c>
      <c r="S120" s="6">
        <f>Pcfu43[[#This Row],[CFU/mL]]*Pcfu43[[#This Row],[mL]]/Pcfu43[[#This Row],[grams]]</f>
        <v>259666666666.66672</v>
      </c>
      <c r="T120" s="1">
        <f>Pcfu43[[#This Row],[SD CFU/mL]]*Pcfu43[[#This Row],[mL]]/Pcfu43[[#This Row],[grams]]</f>
        <v>8956685895.029604</v>
      </c>
      <c r="U120" s="7">
        <f>_xlfn.STDEV.S(Pcfu43[[#This Row],[R1]:[R3]])/AVERAGE(Pcfu43[[#This Row],[R1]:[R3]])</f>
        <v>3.4493013716416956E-2</v>
      </c>
      <c r="V120" s="102"/>
      <c r="W120" s="7"/>
      <c r="X120" t="s">
        <v>841</v>
      </c>
    </row>
    <row r="121" spans="1:24" x14ac:dyDescent="0.15">
      <c r="A121" t="s">
        <v>629</v>
      </c>
      <c r="C121" s="4"/>
      <c r="D121" t="s">
        <v>86</v>
      </c>
      <c r="E121" s="3">
        <v>2</v>
      </c>
      <c r="G121">
        <v>0.3</v>
      </c>
      <c r="H121" s="5">
        <v>5.7</v>
      </c>
      <c r="I121" s="3" t="s">
        <v>170</v>
      </c>
      <c r="J121" s="59">
        <v>44999</v>
      </c>
      <c r="K121" s="59"/>
      <c r="L121" s="59" t="e" cm="1">
        <f t="array" ref="L121">INDEX($J$4:J1211, MATCH(1,(A121=$A$4:A1209)*("Y"=$K$4:K1211),0))</f>
        <v>#N/A</v>
      </c>
      <c r="M121" s="1">
        <v>10000000</v>
      </c>
      <c r="N121">
        <v>22</v>
      </c>
      <c r="O121">
        <v>23</v>
      </c>
      <c r="Q121" s="6">
        <f>(SUM(Pcfu43[[#This Row],[R1]:[R3]]))/(Pcfu43[[#This Row],[No. Reps]]*0.015)*Pcfu43[[#This Row],[Best DF]]</f>
        <v>15000000000</v>
      </c>
      <c r="R121" s="1">
        <f>_xlfn.STDEV.S(Pcfu43[[#This Row],[R1]:[R3]])/0.015*Pcfu43[[#This Row],[Best DF]]</f>
        <v>471404520.79103172</v>
      </c>
      <c r="S121" s="6">
        <f>Pcfu43[[#This Row],[CFU/mL]]*Pcfu43[[#This Row],[mL]]/Pcfu43[[#This Row],[grams]]</f>
        <v>285000000000</v>
      </c>
      <c r="T121" s="1">
        <f>Pcfu43[[#This Row],[SD CFU/mL]]*Pcfu43[[#This Row],[mL]]/Pcfu43[[#This Row],[grams]]</f>
        <v>8956685895.029604</v>
      </c>
      <c r="U121" s="7">
        <f>_xlfn.STDEV.S(Pcfu43[[#This Row],[R1]:[R3]])/AVERAGE(Pcfu43[[#This Row],[R1]:[R3]])</f>
        <v>3.1426968052735448E-2</v>
      </c>
      <c r="V121" s="102"/>
      <c r="W121" s="7"/>
      <c r="X121" t="s">
        <v>841</v>
      </c>
    </row>
    <row r="122" spans="1:24" x14ac:dyDescent="0.15">
      <c r="A122" t="s">
        <v>630</v>
      </c>
      <c r="C122" s="4"/>
      <c r="D122" t="s">
        <v>86</v>
      </c>
      <c r="E122" s="3">
        <v>2</v>
      </c>
      <c r="G122">
        <v>0.3</v>
      </c>
      <c r="H122" s="5">
        <v>5.7</v>
      </c>
      <c r="I122" s="3" t="s">
        <v>170</v>
      </c>
      <c r="J122" s="59">
        <v>44999</v>
      </c>
      <c r="K122" s="59"/>
      <c r="L122" s="59" t="e" cm="1">
        <f t="array" ref="L122">INDEX($J$4:J1212, MATCH(1,(A122=$A$4:A1210)*("Y"=$K$4:K1212),0))</f>
        <v>#N/A</v>
      </c>
      <c r="M122" s="1">
        <v>10000000</v>
      </c>
      <c r="N122">
        <v>15</v>
      </c>
      <c r="O122">
        <v>49</v>
      </c>
      <c r="Q122" s="6">
        <f>(SUM(Pcfu43[[#This Row],[R1]:[R3]]))/(Pcfu43[[#This Row],[No. Reps]]*0.015)*Pcfu43[[#This Row],[Best DF]]</f>
        <v>21333333333.333336</v>
      </c>
      <c r="R122" s="1">
        <f>_xlfn.STDEV.S(Pcfu43[[#This Row],[R1]:[R3]])/0.015*Pcfu43[[#This Row],[Best DF]]</f>
        <v>16027753706.895079</v>
      </c>
      <c r="S122" s="6">
        <f>Pcfu43[[#This Row],[CFU/mL]]*Pcfu43[[#This Row],[mL]]/Pcfu43[[#This Row],[grams]]</f>
        <v>405333333333.33337</v>
      </c>
      <c r="T122" s="1">
        <f>Pcfu43[[#This Row],[SD CFU/mL]]*Pcfu43[[#This Row],[mL]]/Pcfu43[[#This Row],[grams]]</f>
        <v>304527320431.00653</v>
      </c>
      <c r="U122" s="7">
        <f>_xlfn.STDEV.S(Pcfu43[[#This Row],[R1]:[R3]])/AVERAGE(Pcfu43[[#This Row],[R1]:[R3]])</f>
        <v>0.75130095501070671</v>
      </c>
      <c r="V122" s="102"/>
      <c r="W122" s="7"/>
      <c r="X122" t="s">
        <v>841</v>
      </c>
    </row>
    <row r="123" spans="1:24" x14ac:dyDescent="0.15">
      <c r="A123" t="s">
        <v>631</v>
      </c>
      <c r="C123" s="4"/>
      <c r="D123" t="s">
        <v>86</v>
      </c>
      <c r="E123" s="3">
        <v>2</v>
      </c>
      <c r="G123">
        <v>0.3</v>
      </c>
      <c r="H123" s="5">
        <v>5.7</v>
      </c>
      <c r="I123" s="3" t="s">
        <v>170</v>
      </c>
      <c r="J123" s="59">
        <v>44999</v>
      </c>
      <c r="K123" s="59"/>
      <c r="L123" s="59" t="e" cm="1">
        <f t="array" ref="L123">INDEX($J$4:J1213, MATCH(1,(A123=$A$4:A1211)*("Y"=$K$4:K1213),0))</f>
        <v>#N/A</v>
      </c>
      <c r="M123" s="1">
        <v>10000000</v>
      </c>
      <c r="N123">
        <v>15</v>
      </c>
      <c r="O123">
        <v>17</v>
      </c>
      <c r="Q123" s="6">
        <f>(SUM(Pcfu43[[#This Row],[R1]:[R3]]))/(Pcfu43[[#This Row],[No. Reps]]*0.015)*Pcfu43[[#This Row],[Best DF]]</f>
        <v>10666666666.666668</v>
      </c>
      <c r="R123" s="1">
        <f>_xlfn.STDEV.S(Pcfu43[[#This Row],[R1]:[R3]])/0.015*Pcfu43[[#This Row],[Best DF]]</f>
        <v>942809041.58206344</v>
      </c>
      <c r="S123" s="6">
        <f>Pcfu43[[#This Row],[CFU/mL]]*Pcfu43[[#This Row],[mL]]/Pcfu43[[#This Row],[grams]]</f>
        <v>202666666666.66669</v>
      </c>
      <c r="T123" s="1">
        <f>Pcfu43[[#This Row],[SD CFU/mL]]*Pcfu43[[#This Row],[mL]]/Pcfu43[[#This Row],[grams]]</f>
        <v>17913371790.059208</v>
      </c>
      <c r="U123" s="7">
        <f>_xlfn.STDEV.S(Pcfu43[[#This Row],[R1]:[R3]])/AVERAGE(Pcfu43[[#This Row],[R1]:[R3]])</f>
        <v>8.8388347648318447E-2</v>
      </c>
      <c r="V123" s="102"/>
      <c r="W123" s="7"/>
      <c r="X123" t="s">
        <v>841</v>
      </c>
    </row>
    <row r="124" spans="1:24" x14ac:dyDescent="0.15">
      <c r="A124" t="s">
        <v>632</v>
      </c>
      <c r="C124" s="4"/>
      <c r="D124" t="s">
        <v>86</v>
      </c>
      <c r="E124" s="3">
        <v>2</v>
      </c>
      <c r="G124">
        <v>0.3</v>
      </c>
      <c r="H124" s="5">
        <v>5.7</v>
      </c>
      <c r="I124" s="3" t="s">
        <v>170</v>
      </c>
      <c r="J124" s="59">
        <v>44999</v>
      </c>
      <c r="K124" s="59"/>
      <c r="L124" s="59" t="e" cm="1">
        <f t="array" ref="L124">INDEX($J$4:J1214, MATCH(1,(A124=$A$4:A1212)*("Y"=$K$4:K1214),0))</f>
        <v>#N/A</v>
      </c>
      <c r="M124" s="1">
        <v>10000000</v>
      </c>
      <c r="N124">
        <v>34</v>
      </c>
      <c r="O124">
        <v>28</v>
      </c>
      <c r="Q124" s="6">
        <f>(SUM(Pcfu43[[#This Row],[R1]:[R3]]))/(Pcfu43[[#This Row],[No. Reps]]*0.015)*Pcfu43[[#This Row],[Best DF]]</f>
        <v>20666666666.666668</v>
      </c>
      <c r="R124" s="1">
        <f>_xlfn.STDEV.S(Pcfu43[[#This Row],[R1]:[R3]])/0.015*Pcfu43[[#This Row],[Best DF]]</f>
        <v>2828427124.7461901</v>
      </c>
      <c r="S124" s="6">
        <f>Pcfu43[[#This Row],[CFU/mL]]*Pcfu43[[#This Row],[mL]]/Pcfu43[[#This Row],[grams]]</f>
        <v>392666666666.66675</v>
      </c>
      <c r="T124" s="1">
        <f>Pcfu43[[#This Row],[SD CFU/mL]]*Pcfu43[[#This Row],[mL]]/Pcfu43[[#This Row],[grams]]</f>
        <v>53740115370.177612</v>
      </c>
      <c r="U124" s="7">
        <f>_xlfn.STDEV.S(Pcfu43[[#This Row],[R1]:[R3]])/AVERAGE(Pcfu43[[#This Row],[R1]:[R3]])</f>
        <v>0.1368593770038479</v>
      </c>
      <c r="V124" s="102"/>
      <c r="W124" s="7"/>
      <c r="X124" t="s">
        <v>841</v>
      </c>
    </row>
    <row r="125" spans="1:24" x14ac:dyDescent="0.15">
      <c r="A125" t="s">
        <v>628</v>
      </c>
      <c r="C125" s="4"/>
      <c r="D125" t="s">
        <v>86</v>
      </c>
      <c r="E125" s="3">
        <v>2</v>
      </c>
      <c r="G125">
        <v>0.3</v>
      </c>
      <c r="H125" s="5">
        <v>5.7</v>
      </c>
      <c r="I125" s="3" t="s">
        <v>170</v>
      </c>
      <c r="J125" s="59">
        <v>44999</v>
      </c>
      <c r="K125" s="59"/>
      <c r="L125" s="59" t="e" cm="1">
        <f t="array" ref="L125">INDEX($J$4:J1215, MATCH(1,(A125=$A$4:A1213)*("Y"=$K$4:K1215),0))</f>
        <v>#N/A</v>
      </c>
      <c r="M125" s="1">
        <v>10000000</v>
      </c>
      <c r="N125">
        <v>15</v>
      </c>
      <c r="O125">
        <v>16</v>
      </c>
      <c r="Q125" s="6">
        <f>(SUM(Pcfu43[[#This Row],[R1]:[R3]]))/(Pcfu43[[#This Row],[No. Reps]]*0.015)*Pcfu43[[#This Row],[Best DF]]</f>
        <v>10333333333.333334</v>
      </c>
      <c r="R125" s="1">
        <f>_xlfn.STDEV.S(Pcfu43[[#This Row],[R1]:[R3]])/0.015*Pcfu43[[#This Row],[Best DF]]</f>
        <v>471404520.79103172</v>
      </c>
      <c r="S125" s="6">
        <f>Pcfu43[[#This Row],[CFU/mL]]*Pcfu43[[#This Row],[mL]]/Pcfu43[[#This Row],[grams]]</f>
        <v>196333333333.33337</v>
      </c>
      <c r="T125" s="1">
        <f>Pcfu43[[#This Row],[SD CFU/mL]]*Pcfu43[[#This Row],[mL]]/Pcfu43[[#This Row],[grams]]</f>
        <v>8956685895.029604</v>
      </c>
      <c r="U125" s="7">
        <f>_xlfn.STDEV.S(Pcfu43[[#This Row],[R1]:[R3]])/AVERAGE(Pcfu43[[#This Row],[R1]:[R3]])</f>
        <v>4.5619792334615973E-2</v>
      </c>
      <c r="V125" s="102"/>
      <c r="W125" s="7"/>
      <c r="X125" t="s">
        <v>847</v>
      </c>
    </row>
    <row r="126" spans="1:24" x14ac:dyDescent="0.15">
      <c r="A126" t="s">
        <v>629</v>
      </c>
      <c r="C126" s="4"/>
      <c r="D126" t="s">
        <v>86</v>
      </c>
      <c r="E126" s="3">
        <v>2</v>
      </c>
      <c r="G126">
        <v>0.3</v>
      </c>
      <c r="H126" s="5">
        <v>5.7</v>
      </c>
      <c r="I126" s="3" t="s">
        <v>170</v>
      </c>
      <c r="J126" s="59">
        <v>44999</v>
      </c>
      <c r="K126" s="59"/>
      <c r="L126" s="59" t="e" cm="1">
        <f t="array" ref="L126">INDEX($J$4:J1216, MATCH(1,(A126=$A$4:A1214)*("Y"=$K$4:K1216),0))</f>
        <v>#N/A</v>
      </c>
      <c r="M126" s="1">
        <v>10000000</v>
      </c>
      <c r="N126">
        <v>20</v>
      </c>
      <c r="O126">
        <v>21</v>
      </c>
      <c r="Q126" s="6">
        <f>(SUM(Pcfu43[[#This Row],[R1]:[R3]]))/(Pcfu43[[#This Row],[No. Reps]]*0.015)*Pcfu43[[#This Row],[Best DF]]</f>
        <v>13666666666.666668</v>
      </c>
      <c r="R126" s="1">
        <f>_xlfn.STDEV.S(Pcfu43[[#This Row],[R1]:[R3]])/0.015*Pcfu43[[#This Row],[Best DF]]</f>
        <v>471404520.79103172</v>
      </c>
      <c r="S126" s="6">
        <f>Pcfu43[[#This Row],[CFU/mL]]*Pcfu43[[#This Row],[mL]]/Pcfu43[[#This Row],[grams]]</f>
        <v>259666666666.66672</v>
      </c>
      <c r="T126" s="1">
        <f>Pcfu43[[#This Row],[SD CFU/mL]]*Pcfu43[[#This Row],[mL]]/Pcfu43[[#This Row],[grams]]</f>
        <v>8956685895.029604</v>
      </c>
      <c r="U126" s="7">
        <f>_xlfn.STDEV.S(Pcfu43[[#This Row],[R1]:[R3]])/AVERAGE(Pcfu43[[#This Row],[R1]:[R3]])</f>
        <v>3.4493013716416956E-2</v>
      </c>
      <c r="V126" s="102"/>
      <c r="W126" s="7"/>
      <c r="X126" t="s">
        <v>847</v>
      </c>
    </row>
    <row r="127" spans="1:24" x14ac:dyDescent="0.15">
      <c r="A127" t="s">
        <v>630</v>
      </c>
      <c r="C127" s="4"/>
      <c r="D127" t="s">
        <v>86</v>
      </c>
      <c r="E127" s="3">
        <v>2</v>
      </c>
      <c r="G127">
        <v>0.3</v>
      </c>
      <c r="H127" s="5">
        <v>5.7</v>
      </c>
      <c r="I127" s="3" t="s">
        <v>170</v>
      </c>
      <c r="J127" s="59">
        <v>44999</v>
      </c>
      <c r="K127" s="59"/>
      <c r="L127" s="59" t="e" cm="1">
        <f t="array" ref="L127">INDEX($J$4:J1217, MATCH(1,(A127=$A$4:A1215)*("Y"=$K$4:K1217),0))</f>
        <v>#N/A</v>
      </c>
      <c r="M127" s="1">
        <v>10000000</v>
      </c>
      <c r="N127">
        <v>12</v>
      </c>
      <c r="O127">
        <v>56</v>
      </c>
      <c r="Q127" s="6">
        <f>(SUM(Pcfu43[[#This Row],[R1]:[R3]]))/(Pcfu43[[#This Row],[No. Reps]]*0.015)*Pcfu43[[#This Row],[Best DF]]</f>
        <v>22666666666.666668</v>
      </c>
      <c r="R127" s="1">
        <f>_xlfn.STDEV.S(Pcfu43[[#This Row],[R1]:[R3]])/0.015*Pcfu43[[#This Row],[Best DF]]</f>
        <v>20741798914.805393</v>
      </c>
      <c r="S127" s="6">
        <f>Pcfu43[[#This Row],[CFU/mL]]*Pcfu43[[#This Row],[mL]]/Pcfu43[[#This Row],[grams]]</f>
        <v>430666666666.66675</v>
      </c>
      <c r="T127" s="1">
        <f>Pcfu43[[#This Row],[SD CFU/mL]]*Pcfu43[[#This Row],[mL]]/Pcfu43[[#This Row],[grams]]</f>
        <v>394094179381.30249</v>
      </c>
      <c r="U127" s="7">
        <f>_xlfn.STDEV.S(Pcfu43[[#This Row],[R1]:[R3]])/AVERAGE(Pcfu43[[#This Row],[R1]:[R3]])</f>
        <v>0.91507936388847322</v>
      </c>
      <c r="V127" s="102"/>
      <c r="W127" s="7"/>
      <c r="X127" t="s">
        <v>847</v>
      </c>
    </row>
    <row r="128" spans="1:24" x14ac:dyDescent="0.15">
      <c r="A128" t="s">
        <v>631</v>
      </c>
      <c r="C128" s="4"/>
      <c r="D128" t="s">
        <v>86</v>
      </c>
      <c r="E128" s="3">
        <v>2</v>
      </c>
      <c r="G128">
        <v>0.3</v>
      </c>
      <c r="H128" s="5">
        <v>5.7</v>
      </c>
      <c r="I128" s="3" t="s">
        <v>170</v>
      </c>
      <c r="J128" s="59">
        <v>44999</v>
      </c>
      <c r="K128" s="59"/>
      <c r="L128" s="59" t="e" cm="1">
        <f t="array" ref="L128">INDEX($J$4:J1218, MATCH(1,(A128=$A$4:A1216)*("Y"=$K$4:K1218),0))</f>
        <v>#N/A</v>
      </c>
      <c r="M128" s="1">
        <v>10000000</v>
      </c>
      <c r="N128">
        <v>17</v>
      </c>
      <c r="O128">
        <v>11</v>
      </c>
      <c r="Q128" s="6">
        <f>(SUM(Pcfu43[[#This Row],[R1]:[R3]]))/(Pcfu43[[#This Row],[No. Reps]]*0.015)*Pcfu43[[#This Row],[Best DF]]</f>
        <v>9333333333.333334</v>
      </c>
      <c r="R128" s="1">
        <f>_xlfn.STDEV.S(Pcfu43[[#This Row],[R1]:[R3]])/0.015*Pcfu43[[#This Row],[Best DF]]</f>
        <v>2828427124.7461901</v>
      </c>
      <c r="S128" s="6">
        <f>Pcfu43[[#This Row],[CFU/mL]]*Pcfu43[[#This Row],[mL]]/Pcfu43[[#This Row],[grams]]</f>
        <v>177333333333.33337</v>
      </c>
      <c r="T128" s="1">
        <f>Pcfu43[[#This Row],[SD CFU/mL]]*Pcfu43[[#This Row],[mL]]/Pcfu43[[#This Row],[grams]]</f>
        <v>53740115370.177612</v>
      </c>
      <c r="U128" s="7">
        <f>_xlfn.STDEV.S(Pcfu43[[#This Row],[R1]:[R3]])/AVERAGE(Pcfu43[[#This Row],[R1]:[R3]])</f>
        <v>0.30304576336566319</v>
      </c>
      <c r="V128" s="102"/>
      <c r="W128" s="7"/>
      <c r="X128" t="s">
        <v>847</v>
      </c>
    </row>
    <row r="129" spans="1:24" x14ac:dyDescent="0.15">
      <c r="A129" t="s">
        <v>632</v>
      </c>
      <c r="C129" s="4"/>
      <c r="D129" t="s">
        <v>86</v>
      </c>
      <c r="E129" s="3">
        <v>2</v>
      </c>
      <c r="G129">
        <v>0.3</v>
      </c>
      <c r="H129" s="5">
        <v>5.7</v>
      </c>
      <c r="I129" s="3" t="s">
        <v>170</v>
      </c>
      <c r="J129" s="59">
        <v>44999</v>
      </c>
      <c r="K129" s="59"/>
      <c r="L129" s="59" t="e" cm="1">
        <f t="array" ref="L129">INDEX($J$4:J1219, MATCH(1,(A129=$A$4:A1217)*("Y"=$K$4:K1219),0))</f>
        <v>#N/A</v>
      </c>
      <c r="M129" s="1">
        <v>10000000</v>
      </c>
      <c r="N129">
        <v>37</v>
      </c>
      <c r="O129">
        <v>41</v>
      </c>
      <c r="Q129" s="6">
        <f>(SUM(Pcfu43[[#This Row],[R1]:[R3]]))/(Pcfu43[[#This Row],[No. Reps]]*0.015)*Pcfu43[[#This Row],[Best DF]]</f>
        <v>26000000000</v>
      </c>
      <c r="R129" s="1">
        <f>_xlfn.STDEV.S(Pcfu43[[#This Row],[R1]:[R3]])/0.015*Pcfu43[[#This Row],[Best DF]]</f>
        <v>1885618083.1641269</v>
      </c>
      <c r="S129" s="6">
        <f>Pcfu43[[#This Row],[CFU/mL]]*Pcfu43[[#This Row],[mL]]/Pcfu43[[#This Row],[grams]]</f>
        <v>494000000000</v>
      </c>
      <c r="T129" s="1">
        <f>Pcfu43[[#This Row],[SD CFU/mL]]*Pcfu43[[#This Row],[mL]]/Pcfu43[[#This Row],[grams]]</f>
        <v>35826743580.118416</v>
      </c>
      <c r="U129" s="7">
        <f>_xlfn.STDEV.S(Pcfu43[[#This Row],[R1]:[R3]])/AVERAGE(Pcfu43[[#This Row],[R1]:[R3]])</f>
        <v>7.2523772429389496E-2</v>
      </c>
      <c r="V129" s="102"/>
      <c r="W129" s="7"/>
      <c r="X129" t="s">
        <v>847</v>
      </c>
    </row>
    <row r="130" spans="1:24" x14ac:dyDescent="0.15">
      <c r="A130" t="s">
        <v>625</v>
      </c>
      <c r="C130" s="4"/>
      <c r="D130" t="s">
        <v>194</v>
      </c>
      <c r="E130" s="3">
        <v>3</v>
      </c>
      <c r="G130">
        <v>0.3</v>
      </c>
      <c r="H130" s="5">
        <v>5.7</v>
      </c>
      <c r="I130" s="3" t="s">
        <v>170</v>
      </c>
      <c r="J130" s="59">
        <v>44999</v>
      </c>
      <c r="K130" s="59"/>
      <c r="L130" s="59" t="e" cm="1">
        <f t="array" ref="L130">INDEX($J$4:J1220, MATCH(1,(A130=$A$4:A1218)*("Y"=$K$4:K1220),0))</f>
        <v>#N/A</v>
      </c>
      <c r="M130" s="1">
        <v>10000000</v>
      </c>
      <c r="N130">
        <v>26</v>
      </c>
      <c r="O130">
        <v>35</v>
      </c>
      <c r="P130">
        <v>30</v>
      </c>
      <c r="Q130" s="6">
        <f>(SUM(Pcfu43[[#This Row],[R1]:[R3]]))/(Pcfu43[[#This Row],[No. Reps]]*0.015)*Pcfu43[[#This Row],[Best DF]]</f>
        <v>20222222222.222225</v>
      </c>
      <c r="R130" s="1">
        <f>_xlfn.STDEV.S(Pcfu43[[#This Row],[R1]:[R3]])/0.015*Pcfu43[[#This Row],[Best DF]]</f>
        <v>3006166501.8819242</v>
      </c>
      <c r="S130" s="6">
        <f>Pcfu43[[#This Row],[CFU/mL]]*Pcfu43[[#This Row],[mL]]/Pcfu43[[#This Row],[grams]]</f>
        <v>384222222222.22229</v>
      </c>
      <c r="T130" s="1">
        <f>Pcfu43[[#This Row],[SD CFU/mL]]*Pcfu43[[#This Row],[mL]]/Pcfu43[[#This Row],[grams]]</f>
        <v>57117163535.756561</v>
      </c>
      <c r="U130" s="7">
        <f>_xlfn.STDEV.S(Pcfu43[[#This Row],[R1]:[R3]])/AVERAGE(Pcfu43[[#This Row],[R1]:[R3]])</f>
        <v>0.14865658525789735</v>
      </c>
      <c r="V130" s="102"/>
      <c r="W130" s="7"/>
      <c r="X130" t="s">
        <v>841</v>
      </c>
    </row>
    <row r="131" spans="1:24" x14ac:dyDescent="0.15">
      <c r="A131" t="s">
        <v>626</v>
      </c>
      <c r="C131" s="4"/>
      <c r="D131" t="s">
        <v>194</v>
      </c>
      <c r="E131" s="3">
        <v>3</v>
      </c>
      <c r="G131">
        <v>0.3</v>
      </c>
      <c r="H131" s="5">
        <v>5.7</v>
      </c>
      <c r="I131" s="3" t="s">
        <v>170</v>
      </c>
      <c r="J131" s="59">
        <v>44999</v>
      </c>
      <c r="K131" s="59"/>
      <c r="L131" s="59" t="e" cm="1">
        <f t="array" ref="L131">INDEX($J$4:J1221, MATCH(1,(A131=$A$4:A1219)*("Y"=$K$4:K1221),0))</f>
        <v>#N/A</v>
      </c>
      <c r="M131" s="1">
        <v>10000000</v>
      </c>
      <c r="N131">
        <v>27</v>
      </c>
      <c r="O131">
        <v>31</v>
      </c>
      <c r="P131">
        <v>25</v>
      </c>
      <c r="Q131" s="6">
        <f>(SUM(Pcfu43[[#This Row],[R1]:[R3]]))/(Pcfu43[[#This Row],[No. Reps]]*0.015)*Pcfu43[[#This Row],[Best DF]]</f>
        <v>18444444444.444447</v>
      </c>
      <c r="R131" s="1">
        <f>_xlfn.STDEV.S(Pcfu43[[#This Row],[R1]:[R3]])/0.015*Pcfu43[[#This Row],[Best DF]]</f>
        <v>2036700308.8692625</v>
      </c>
      <c r="S131" s="6">
        <f>Pcfu43[[#This Row],[CFU/mL]]*Pcfu43[[#This Row],[mL]]/Pcfu43[[#This Row],[grams]]</f>
        <v>350444444444.44452</v>
      </c>
      <c r="T131" s="1">
        <f>Pcfu43[[#This Row],[SD CFU/mL]]*Pcfu43[[#This Row],[mL]]/Pcfu43[[#This Row],[grams]]</f>
        <v>38697305868.515991</v>
      </c>
      <c r="U131" s="7">
        <f>_xlfn.STDEV.S(Pcfu43[[#This Row],[R1]:[R3]])/AVERAGE(Pcfu43[[#This Row],[R1]:[R3]])</f>
        <v>0.11042351072182748</v>
      </c>
      <c r="V131" s="102"/>
      <c r="W131" s="7"/>
      <c r="X131" t="s">
        <v>841</v>
      </c>
    </row>
    <row r="132" spans="1:24" x14ac:dyDescent="0.15">
      <c r="A132" t="s">
        <v>627</v>
      </c>
      <c r="C132" s="4"/>
      <c r="D132" t="s">
        <v>194</v>
      </c>
      <c r="E132" s="3">
        <v>3</v>
      </c>
      <c r="G132">
        <v>0.3</v>
      </c>
      <c r="H132" s="5">
        <v>5.7</v>
      </c>
      <c r="I132" s="3" t="s">
        <v>170</v>
      </c>
      <c r="J132" s="59">
        <v>44999</v>
      </c>
      <c r="K132" s="59"/>
      <c r="L132" s="59" t="e" cm="1">
        <f t="array" ref="L132">INDEX($J$4:J1222, MATCH(1,(A132=$A$4:A1220)*("Y"=$K$4:K1222),0))</f>
        <v>#N/A</v>
      </c>
      <c r="M132" s="1">
        <v>10000000</v>
      </c>
      <c r="N132">
        <v>54</v>
      </c>
      <c r="O132">
        <v>14</v>
      </c>
      <c r="P132">
        <v>15</v>
      </c>
      <c r="Q132" s="6">
        <f>(SUM(Pcfu43[[#This Row],[R1]:[R3]]))/(Pcfu43[[#This Row],[No. Reps]]*0.015)*Pcfu43[[#This Row],[Best DF]]</f>
        <v>18444444444.444447</v>
      </c>
      <c r="R132" s="1">
        <f>_xlfn.STDEV.S(Pcfu43[[#This Row],[R1]:[R3]])/0.015*Pcfu43[[#This Row],[Best DF]]</f>
        <v>15207210765.267221</v>
      </c>
      <c r="S132" s="6">
        <f>Pcfu43[[#This Row],[CFU/mL]]*Pcfu43[[#This Row],[mL]]/Pcfu43[[#This Row],[grams]]</f>
        <v>350444444444.44452</v>
      </c>
      <c r="T132" s="1">
        <f>Pcfu43[[#This Row],[SD CFU/mL]]*Pcfu43[[#This Row],[mL]]/Pcfu43[[#This Row],[grams]]</f>
        <v>288937004540.07721</v>
      </c>
      <c r="U132" s="7">
        <f>_xlfn.STDEV.S(Pcfu43[[#This Row],[R1]:[R3]])/AVERAGE(Pcfu43[[#This Row],[R1]:[R3]])</f>
        <v>0.82448733064701796</v>
      </c>
      <c r="V132" s="102"/>
      <c r="W132" s="7"/>
      <c r="X132" t="s">
        <v>841</v>
      </c>
    </row>
    <row r="133" spans="1:24" x14ac:dyDescent="0.15">
      <c r="A133" t="s">
        <v>624</v>
      </c>
      <c r="C133" s="4"/>
      <c r="D133" t="s">
        <v>194</v>
      </c>
      <c r="E133" s="3">
        <v>3</v>
      </c>
      <c r="G133">
        <v>0.3</v>
      </c>
      <c r="H133" s="5">
        <v>5.7</v>
      </c>
      <c r="I133" s="3" t="s">
        <v>170</v>
      </c>
      <c r="J133" s="59">
        <v>44999</v>
      </c>
      <c r="K133" s="59"/>
      <c r="L133" s="59" t="e" cm="1">
        <f t="array" ref="L133">INDEX($J$4:J1223, MATCH(1,(A133=$A$4:A1221)*("Y"=$K$4:K1223),0))</f>
        <v>#N/A</v>
      </c>
      <c r="M133" s="1">
        <v>10000000</v>
      </c>
      <c r="N133">
        <v>34</v>
      </c>
      <c r="O133">
        <v>27</v>
      </c>
      <c r="P133">
        <v>22</v>
      </c>
      <c r="Q133" s="6">
        <f>(SUM(Pcfu43[[#This Row],[R1]:[R3]]))/(Pcfu43[[#This Row],[No. Reps]]*0.015)*Pcfu43[[#This Row],[Best DF]]</f>
        <v>18444444444.444447</v>
      </c>
      <c r="R133" s="1">
        <f>_xlfn.STDEV.S(Pcfu43[[#This Row],[R1]:[R3]])/0.015*Pcfu43[[#This Row],[Best DF]]</f>
        <v>4018475848.8944683</v>
      </c>
      <c r="S133" s="6">
        <f>Pcfu43[[#This Row],[CFU/mL]]*Pcfu43[[#This Row],[mL]]/Pcfu43[[#This Row],[grams]]</f>
        <v>350444444444.44452</v>
      </c>
      <c r="T133" s="1">
        <f>Pcfu43[[#This Row],[SD CFU/mL]]*Pcfu43[[#This Row],[mL]]/Pcfu43[[#This Row],[grams]]</f>
        <v>76351041128.994904</v>
      </c>
      <c r="U133" s="7">
        <f>_xlfn.STDEV.S(Pcfu43[[#This Row],[R1]:[R3]])/AVERAGE(Pcfu43[[#This Row],[R1]:[R3]])</f>
        <v>0.21786917253042296</v>
      </c>
      <c r="V133" s="102"/>
      <c r="W133" s="7"/>
      <c r="X133" t="s">
        <v>841</v>
      </c>
    </row>
    <row r="134" spans="1:24" x14ac:dyDescent="0.15">
      <c r="A134" t="s">
        <v>857</v>
      </c>
      <c r="B134" t="s">
        <v>854</v>
      </c>
      <c r="C134" s="4"/>
      <c r="D134" t="s">
        <v>194</v>
      </c>
      <c r="E134" s="3">
        <v>1</v>
      </c>
      <c r="G134">
        <v>0.3</v>
      </c>
      <c r="H134" s="5">
        <v>5.7</v>
      </c>
      <c r="I134" s="3" t="s">
        <v>170</v>
      </c>
      <c r="J134" s="59">
        <v>45000</v>
      </c>
      <c r="K134" s="59"/>
      <c r="L134" s="59" t="e" cm="1">
        <f t="array" ref="L134">INDEX($J$4:J1224, MATCH(1,(A134=$A$4:A1222)*("Y"=$K$4:K1224),0))</f>
        <v>#N/A</v>
      </c>
      <c r="M134" s="1">
        <v>100000</v>
      </c>
      <c r="N134">
        <v>120</v>
      </c>
      <c r="O134">
        <v>102</v>
      </c>
      <c r="P134">
        <v>96</v>
      </c>
      <c r="Q134" s="6">
        <f>(SUM(Pcfu43[[#This Row],[R1]:[R3]]))/(Pcfu43[[#This Row],[No. Reps]]*0.015)*Pcfu43[[#This Row],[Best DF]]</f>
        <v>2120000000</v>
      </c>
      <c r="R134" s="1">
        <f>_xlfn.STDEV.S(Pcfu43[[#This Row],[R1]:[R3]])/0.015*Pcfu43[[#This Row],[Best DF]]</f>
        <v>83266639.97864531</v>
      </c>
      <c r="S134" s="6">
        <f>Pcfu43[[#This Row],[CFU/mL]]*Pcfu43[[#This Row],[mL]]/Pcfu43[[#This Row],[grams]]</f>
        <v>40280000000</v>
      </c>
      <c r="T134" s="1">
        <f>Pcfu43[[#This Row],[SD CFU/mL]]*Pcfu43[[#This Row],[mL]]/Pcfu43[[#This Row],[grams]]</f>
        <v>1582066159.5942609</v>
      </c>
      <c r="U134" s="7">
        <f>_xlfn.STDEV.S(Pcfu43[[#This Row],[R1]:[R3]])/AVERAGE(Pcfu43[[#This Row],[R1]:[R3]])</f>
        <v>0.11783015091317732</v>
      </c>
      <c r="V134" s="102"/>
      <c r="W134" s="7"/>
      <c r="X134" t="s">
        <v>841</v>
      </c>
    </row>
    <row r="135" spans="1:24" x14ac:dyDescent="0.15">
      <c r="A135" t="s">
        <v>857</v>
      </c>
      <c r="B135" t="s">
        <v>855</v>
      </c>
      <c r="C135" s="4"/>
      <c r="D135" t="s">
        <v>194</v>
      </c>
      <c r="E135" s="3">
        <v>1</v>
      </c>
      <c r="G135">
        <v>0.3</v>
      </c>
      <c r="H135" s="5">
        <v>5.7</v>
      </c>
      <c r="I135" s="3" t="s">
        <v>170</v>
      </c>
      <c r="J135" s="59">
        <v>45000</v>
      </c>
      <c r="K135" s="59"/>
      <c r="L135" s="59" t="e" cm="1">
        <f t="array" ref="L135">INDEX($J$4:J1225, MATCH(1,(A135=$A$4:A1223)*("Y"=$K$4:K1225),0))</f>
        <v>#N/A</v>
      </c>
      <c r="M135" s="1">
        <v>100000</v>
      </c>
      <c r="N135">
        <v>102</v>
      </c>
      <c r="Q135" s="6">
        <f>(SUM(Pcfu43[[#This Row],[R1]:[R3]]))/(Pcfu43[[#This Row],[No. Reps]]*0.015)*Pcfu43[[#This Row],[Best DF]]</f>
        <v>680000000</v>
      </c>
      <c r="R135" s="1" t="e">
        <f>_xlfn.STDEV.S(Pcfu43[[#This Row],[R1]:[R3]])/0.015*Pcfu43[[#This Row],[Best DF]]</f>
        <v>#DIV/0!</v>
      </c>
      <c r="S135" s="6">
        <f>Pcfu43[[#This Row],[CFU/mL]]*Pcfu43[[#This Row],[mL]]/Pcfu43[[#This Row],[grams]]</f>
        <v>12920000000</v>
      </c>
      <c r="T135" s="1" t="e">
        <f>Pcfu43[[#This Row],[SD CFU/mL]]*Pcfu43[[#This Row],[mL]]/Pcfu43[[#This Row],[grams]]</f>
        <v>#DIV/0!</v>
      </c>
      <c r="U135" s="7" t="e">
        <f>_xlfn.STDEV.S(Pcfu43[[#This Row],[R1]:[R3]])/AVERAGE(Pcfu43[[#This Row],[R1]:[R3]])</f>
        <v>#DIV/0!</v>
      </c>
      <c r="V135" s="102"/>
      <c r="W135" s="7"/>
      <c r="X135" t="s">
        <v>841</v>
      </c>
    </row>
    <row r="136" spans="1:24" x14ac:dyDescent="0.15">
      <c r="A136" t="s">
        <v>857</v>
      </c>
      <c r="B136" t="s">
        <v>856</v>
      </c>
      <c r="C136" s="4"/>
      <c r="D136" t="s">
        <v>194</v>
      </c>
      <c r="E136" s="3">
        <v>1</v>
      </c>
      <c r="G136">
        <v>0.3</v>
      </c>
      <c r="H136" s="5">
        <v>5.7</v>
      </c>
      <c r="I136" s="3" t="s">
        <v>170</v>
      </c>
      <c r="J136" s="59">
        <v>45000</v>
      </c>
      <c r="K136" s="59"/>
      <c r="L136" s="59" t="e" cm="1">
        <f t="array" ref="L136">INDEX($J$4:J1226, MATCH(1,(A136=$A$4:A1224)*("Y"=$K$4:K1226),0))</f>
        <v>#N/A</v>
      </c>
      <c r="M136" s="1">
        <v>100000</v>
      </c>
      <c r="N136">
        <v>96</v>
      </c>
      <c r="Q136" s="6">
        <f>(SUM(Pcfu43[[#This Row],[R1]:[R3]]))/(Pcfu43[[#This Row],[No. Reps]]*0.015)*Pcfu43[[#This Row],[Best DF]]</f>
        <v>640000000</v>
      </c>
      <c r="R136" s="1" t="e">
        <f>_xlfn.STDEV.S(Pcfu43[[#This Row],[R1]:[R3]])/0.015*Pcfu43[[#This Row],[Best DF]]</f>
        <v>#DIV/0!</v>
      </c>
      <c r="S136" s="6">
        <f>Pcfu43[[#This Row],[CFU/mL]]*Pcfu43[[#This Row],[mL]]/Pcfu43[[#This Row],[grams]]</f>
        <v>12160000000</v>
      </c>
      <c r="T136" s="1" t="e">
        <f>Pcfu43[[#This Row],[SD CFU/mL]]*Pcfu43[[#This Row],[mL]]/Pcfu43[[#This Row],[grams]]</f>
        <v>#DIV/0!</v>
      </c>
      <c r="U136" s="7" t="e">
        <f>_xlfn.STDEV.S(Pcfu43[[#This Row],[R1]:[R3]])/AVERAGE(Pcfu43[[#This Row],[R1]:[R3]])</f>
        <v>#DIV/0!</v>
      </c>
      <c r="V136" s="102"/>
      <c r="W136" s="7"/>
      <c r="X136" t="s">
        <v>841</v>
      </c>
    </row>
    <row r="137" spans="1:24" x14ac:dyDescent="0.15">
      <c r="A137" t="s">
        <v>858</v>
      </c>
      <c r="B137" t="s">
        <v>854</v>
      </c>
      <c r="C137" s="4"/>
      <c r="D137" t="s">
        <v>194</v>
      </c>
      <c r="E137" s="3">
        <v>1</v>
      </c>
      <c r="G137">
        <v>0.3</v>
      </c>
      <c r="H137" s="5">
        <v>5.7</v>
      </c>
      <c r="I137" s="3" t="s">
        <v>170</v>
      </c>
      <c r="J137" s="59">
        <v>45000</v>
      </c>
      <c r="K137" s="59"/>
      <c r="L137" s="59" t="e" cm="1">
        <f t="array" ref="L137">INDEX($J$4:J1227, MATCH(1,(A137=$A$4:A1225)*("Y"=$K$4:K1227),0))</f>
        <v>#N/A</v>
      </c>
      <c r="M137" s="1">
        <v>100000</v>
      </c>
      <c r="N137">
        <v>108</v>
      </c>
      <c r="O137">
        <v>95</v>
      </c>
      <c r="P137">
        <v>118</v>
      </c>
      <c r="Q137" s="6">
        <f>(SUM(Pcfu43[[#This Row],[R1]:[R3]]))/(Pcfu43[[#This Row],[No. Reps]]*0.015)*Pcfu43[[#This Row],[Best DF]]</f>
        <v>2140000000</v>
      </c>
      <c r="R137" s="1">
        <f>_xlfn.STDEV.S(Pcfu43[[#This Row],[R1]:[R3]])/0.015*Pcfu43[[#This Row],[Best DF]]</f>
        <v>76883750.631138653</v>
      </c>
      <c r="S137" s="6">
        <f>Pcfu43[[#This Row],[CFU/mL]]*Pcfu43[[#This Row],[mL]]/Pcfu43[[#This Row],[grams]]</f>
        <v>40660000000</v>
      </c>
      <c r="T137" s="1">
        <f>Pcfu43[[#This Row],[SD CFU/mL]]*Pcfu43[[#This Row],[mL]]/Pcfu43[[#This Row],[grams]]</f>
        <v>1460791261.9916344</v>
      </c>
      <c r="U137" s="7">
        <f>_xlfn.STDEV.S(Pcfu43[[#This Row],[R1]:[R3]])/AVERAGE(Pcfu43[[#This Row],[R1]:[R3]])</f>
        <v>0.10778095882869904</v>
      </c>
      <c r="V137" s="102"/>
      <c r="W137" s="7"/>
      <c r="X137" t="s">
        <v>841</v>
      </c>
    </row>
    <row r="138" spans="1:24" x14ac:dyDescent="0.15">
      <c r="A138" t="s">
        <v>858</v>
      </c>
      <c r="B138" t="s">
        <v>855</v>
      </c>
      <c r="C138" s="4"/>
      <c r="D138" t="s">
        <v>194</v>
      </c>
      <c r="E138" s="3">
        <v>1</v>
      </c>
      <c r="G138">
        <v>0.3</v>
      </c>
      <c r="H138" s="5">
        <v>5.7</v>
      </c>
      <c r="I138" s="3" t="s">
        <v>170</v>
      </c>
      <c r="J138" s="59">
        <v>45000</v>
      </c>
      <c r="K138" s="59"/>
      <c r="L138" s="59" t="e" cm="1">
        <f t="array" ref="L138">INDEX($J$4:J1228, MATCH(1,(A138=$A$4:A1226)*("Y"=$K$4:K1228),0))</f>
        <v>#N/A</v>
      </c>
      <c r="M138" s="1">
        <v>100000</v>
      </c>
      <c r="N138">
        <v>95</v>
      </c>
      <c r="Q138" s="6">
        <f>(SUM(Pcfu43[[#This Row],[R1]:[R3]]))/(Pcfu43[[#This Row],[No. Reps]]*0.015)*Pcfu43[[#This Row],[Best DF]]</f>
        <v>633333333.33333337</v>
      </c>
      <c r="R138" s="1" t="e">
        <f>_xlfn.STDEV.S(Pcfu43[[#This Row],[R1]:[R3]])/0.015*Pcfu43[[#This Row],[Best DF]]</f>
        <v>#DIV/0!</v>
      </c>
      <c r="S138" s="6">
        <f>Pcfu43[[#This Row],[CFU/mL]]*Pcfu43[[#This Row],[mL]]/Pcfu43[[#This Row],[grams]]</f>
        <v>12033333333.333336</v>
      </c>
      <c r="T138" s="1" t="e">
        <f>Pcfu43[[#This Row],[SD CFU/mL]]*Pcfu43[[#This Row],[mL]]/Pcfu43[[#This Row],[grams]]</f>
        <v>#DIV/0!</v>
      </c>
      <c r="U138" s="7" t="e">
        <f>_xlfn.STDEV.S(Pcfu43[[#This Row],[R1]:[R3]])/AVERAGE(Pcfu43[[#This Row],[R1]:[R3]])</f>
        <v>#DIV/0!</v>
      </c>
      <c r="V138" s="102"/>
      <c r="W138" s="7"/>
      <c r="X138" t="s">
        <v>841</v>
      </c>
    </row>
    <row r="139" spans="1:24" x14ac:dyDescent="0.15">
      <c r="A139" t="s">
        <v>858</v>
      </c>
      <c r="B139" t="s">
        <v>856</v>
      </c>
      <c r="C139" s="4"/>
      <c r="D139" t="s">
        <v>194</v>
      </c>
      <c r="E139" s="3">
        <v>1</v>
      </c>
      <c r="G139">
        <v>0.3</v>
      </c>
      <c r="H139" s="5">
        <v>5.7</v>
      </c>
      <c r="I139" s="3" t="s">
        <v>170</v>
      </c>
      <c r="J139" s="59">
        <v>45000</v>
      </c>
      <c r="K139" s="59"/>
      <c r="L139" s="59" t="e" cm="1">
        <f t="array" ref="L139">INDEX($J$4:J1229, MATCH(1,(A139=$A$4:A1227)*("Y"=$K$4:K1229),0))</f>
        <v>#N/A</v>
      </c>
      <c r="M139" s="1">
        <v>100000</v>
      </c>
      <c r="N139">
        <v>118</v>
      </c>
      <c r="Q139" s="6">
        <f>(SUM(Pcfu43[[#This Row],[R1]:[R3]]))/(Pcfu43[[#This Row],[No. Reps]]*0.015)*Pcfu43[[#This Row],[Best DF]]</f>
        <v>786666666.66666675</v>
      </c>
      <c r="R139" s="1" t="e">
        <f>_xlfn.STDEV.S(Pcfu43[[#This Row],[R1]:[R3]])/0.015*Pcfu43[[#This Row],[Best DF]]</f>
        <v>#DIV/0!</v>
      </c>
      <c r="S139" s="6">
        <f>Pcfu43[[#This Row],[CFU/mL]]*Pcfu43[[#This Row],[mL]]/Pcfu43[[#This Row],[grams]]</f>
        <v>14946666666.66667</v>
      </c>
      <c r="T139" s="1" t="e">
        <f>Pcfu43[[#This Row],[SD CFU/mL]]*Pcfu43[[#This Row],[mL]]/Pcfu43[[#This Row],[grams]]</f>
        <v>#DIV/0!</v>
      </c>
      <c r="U139" s="7" t="e">
        <f>_xlfn.STDEV.S(Pcfu43[[#This Row],[R1]:[R3]])/AVERAGE(Pcfu43[[#This Row],[R1]:[R3]])</f>
        <v>#DIV/0!</v>
      </c>
      <c r="V139" s="102"/>
      <c r="W139" s="7"/>
      <c r="X139" t="s">
        <v>841</v>
      </c>
    </row>
    <row r="140" spans="1:24" x14ac:dyDescent="0.15">
      <c r="A140" t="s">
        <v>859</v>
      </c>
      <c r="B140" t="s">
        <v>854</v>
      </c>
      <c r="C140" s="4"/>
      <c r="D140" t="s">
        <v>194</v>
      </c>
      <c r="E140" s="3">
        <v>1</v>
      </c>
      <c r="G140">
        <v>0.3</v>
      </c>
      <c r="H140" s="5">
        <v>5.7</v>
      </c>
      <c r="I140" s="3" t="s">
        <v>170</v>
      </c>
      <c r="J140" s="59">
        <v>45000</v>
      </c>
      <c r="K140" s="59"/>
      <c r="L140" s="59" t="e" cm="1">
        <f t="array" ref="L140">INDEX($J$4:J1230, MATCH(1,(A140=$A$4:A1228)*("Y"=$K$4:K1230),0))</f>
        <v>#N/A</v>
      </c>
      <c r="M140" s="1">
        <v>1000000</v>
      </c>
      <c r="N140">
        <v>147</v>
      </c>
      <c r="O140">
        <v>146</v>
      </c>
      <c r="P140">
        <v>125</v>
      </c>
      <c r="Q140" s="6">
        <f>(SUM(Pcfu43[[#This Row],[R1]:[R3]]))/(Pcfu43[[#This Row],[No. Reps]]*0.015)*Pcfu43[[#This Row],[Best DF]]</f>
        <v>27866666666.666668</v>
      </c>
      <c r="R140" s="1">
        <f>_xlfn.STDEV.S(Pcfu43[[#This Row],[R1]:[R3]])/0.015*Pcfu43[[#This Row],[Best DF]]</f>
        <v>828206451.27040982</v>
      </c>
      <c r="S140" s="6">
        <f>Pcfu43[[#This Row],[CFU/mL]]*Pcfu43[[#This Row],[mL]]/Pcfu43[[#This Row],[grams]]</f>
        <v>529466666666.66669</v>
      </c>
      <c r="T140" s="1">
        <f>Pcfu43[[#This Row],[SD CFU/mL]]*Pcfu43[[#This Row],[mL]]/Pcfu43[[#This Row],[grams]]</f>
        <v>15735922574.137787</v>
      </c>
      <c r="U140" s="7">
        <f>_xlfn.STDEV.S(Pcfu43[[#This Row],[R1]:[R3]])/AVERAGE(Pcfu43[[#This Row],[R1]:[R3]])</f>
        <v>8.9160981596096742E-2</v>
      </c>
      <c r="V140" s="102"/>
      <c r="W140" s="7"/>
      <c r="X140" t="s">
        <v>841</v>
      </c>
    </row>
    <row r="141" spans="1:24" x14ac:dyDescent="0.15">
      <c r="A141" t="s">
        <v>859</v>
      </c>
      <c r="B141" t="s">
        <v>855</v>
      </c>
      <c r="C141" s="4"/>
      <c r="D141" t="s">
        <v>194</v>
      </c>
      <c r="E141" s="3">
        <v>1</v>
      </c>
      <c r="G141">
        <v>0.3</v>
      </c>
      <c r="H141" s="5">
        <v>5.7</v>
      </c>
      <c r="I141" s="3" t="s">
        <v>170</v>
      </c>
      <c r="J141" s="59">
        <v>45000</v>
      </c>
      <c r="K141" s="59"/>
      <c r="L141" s="59" t="e" cm="1">
        <f t="array" ref="L141">INDEX($J$4:J1231, MATCH(1,(A141=$A$4:A1229)*("Y"=$K$4:K1231),0))</f>
        <v>#N/A</v>
      </c>
      <c r="M141" s="1">
        <v>1000000</v>
      </c>
      <c r="N141">
        <v>146</v>
      </c>
      <c r="Q141" s="6">
        <f>(SUM(Pcfu43[[#This Row],[R1]:[R3]]))/(Pcfu43[[#This Row],[No. Reps]]*0.015)*Pcfu43[[#This Row],[Best DF]]</f>
        <v>9733333333.333334</v>
      </c>
      <c r="R141" s="1" t="e">
        <f>_xlfn.STDEV.S(Pcfu43[[#This Row],[R1]:[R3]])/0.015*Pcfu43[[#This Row],[Best DF]]</f>
        <v>#DIV/0!</v>
      </c>
      <c r="S141" s="6">
        <f>Pcfu43[[#This Row],[CFU/mL]]*Pcfu43[[#This Row],[mL]]/Pcfu43[[#This Row],[grams]]</f>
        <v>184933333333.33337</v>
      </c>
      <c r="T141" s="1" t="e">
        <f>Pcfu43[[#This Row],[SD CFU/mL]]*Pcfu43[[#This Row],[mL]]/Pcfu43[[#This Row],[grams]]</f>
        <v>#DIV/0!</v>
      </c>
      <c r="U141" s="7" t="e">
        <f>_xlfn.STDEV.S(Pcfu43[[#This Row],[R1]:[R3]])/AVERAGE(Pcfu43[[#This Row],[R1]:[R3]])</f>
        <v>#DIV/0!</v>
      </c>
      <c r="V141" s="102"/>
      <c r="W141" s="7"/>
      <c r="X141" t="s">
        <v>841</v>
      </c>
    </row>
    <row r="142" spans="1:24" x14ac:dyDescent="0.15">
      <c r="A142" t="s">
        <v>859</v>
      </c>
      <c r="B142" t="s">
        <v>856</v>
      </c>
      <c r="C142" s="4"/>
      <c r="D142" t="s">
        <v>194</v>
      </c>
      <c r="E142" s="3">
        <v>1</v>
      </c>
      <c r="G142">
        <v>0.3</v>
      </c>
      <c r="H142" s="5">
        <v>5.7</v>
      </c>
      <c r="I142" s="3" t="s">
        <v>170</v>
      </c>
      <c r="J142" s="59">
        <v>45000</v>
      </c>
      <c r="K142" s="59"/>
      <c r="L142" s="59" t="e" cm="1">
        <f t="array" ref="L142">INDEX($J$4:J1232, MATCH(1,(A142=$A$4:A1230)*("Y"=$K$4:K1232),0))</f>
        <v>#N/A</v>
      </c>
      <c r="M142" s="1">
        <v>1000000</v>
      </c>
      <c r="N142">
        <v>125</v>
      </c>
      <c r="Q142" s="6">
        <f>(SUM(Pcfu43[[#This Row],[R1]:[R3]]))/(Pcfu43[[#This Row],[No. Reps]]*0.015)*Pcfu43[[#This Row],[Best DF]]</f>
        <v>8333333333.333334</v>
      </c>
      <c r="R142" s="1" t="e">
        <f>_xlfn.STDEV.S(Pcfu43[[#This Row],[R1]:[R3]])/0.015*Pcfu43[[#This Row],[Best DF]]</f>
        <v>#DIV/0!</v>
      </c>
      <c r="S142" s="6">
        <f>Pcfu43[[#This Row],[CFU/mL]]*Pcfu43[[#This Row],[mL]]/Pcfu43[[#This Row],[grams]]</f>
        <v>158333333333.33337</v>
      </c>
      <c r="T142" s="1" t="e">
        <f>Pcfu43[[#This Row],[SD CFU/mL]]*Pcfu43[[#This Row],[mL]]/Pcfu43[[#This Row],[grams]]</f>
        <v>#DIV/0!</v>
      </c>
      <c r="U142" s="7" t="e">
        <f>_xlfn.STDEV.S(Pcfu43[[#This Row],[R1]:[R3]])/AVERAGE(Pcfu43[[#This Row],[R1]:[R3]])</f>
        <v>#DIV/0!</v>
      </c>
      <c r="V142" s="102"/>
      <c r="W142" s="7"/>
      <c r="X142" t="s">
        <v>841</v>
      </c>
    </row>
    <row r="143" spans="1:24" x14ac:dyDescent="0.15">
      <c r="A143" t="s">
        <v>860</v>
      </c>
      <c r="B143" t="s">
        <v>854</v>
      </c>
      <c r="C143" s="4"/>
      <c r="D143" t="s">
        <v>194</v>
      </c>
      <c r="E143" s="3">
        <v>1</v>
      </c>
      <c r="G143">
        <v>0.3</v>
      </c>
      <c r="H143" s="5">
        <v>5.7</v>
      </c>
      <c r="I143" s="3" t="s">
        <v>170</v>
      </c>
      <c r="J143" s="59">
        <v>45000</v>
      </c>
      <c r="K143" s="59"/>
      <c r="L143" s="59" t="e" cm="1">
        <f t="array" ref="L143">INDEX($J$4:J1233, MATCH(1,(A143=$A$4:A1231)*("Y"=$K$4:K1233),0))</f>
        <v>#N/A</v>
      </c>
      <c r="M143" s="1">
        <v>100000</v>
      </c>
      <c r="N143">
        <v>148</v>
      </c>
      <c r="O143">
        <v>158</v>
      </c>
      <c r="P143">
        <v>140</v>
      </c>
      <c r="Q143" s="6">
        <f>(SUM(Pcfu43[[#This Row],[R1]:[R3]]))/(Pcfu43[[#This Row],[No. Reps]]*0.015)*Pcfu43[[#This Row],[Best DF]]</f>
        <v>2973333333.3333335</v>
      </c>
      <c r="R143" s="1">
        <f>_xlfn.STDEV.S(Pcfu43[[#This Row],[R1]:[R3]])/0.015*Pcfu43[[#This Row],[Best DF]]</f>
        <v>60123330.037638597</v>
      </c>
      <c r="S143" s="6">
        <f>Pcfu43[[#This Row],[CFU/mL]]*Pcfu43[[#This Row],[mL]]/Pcfu43[[#This Row],[grams]]</f>
        <v>56493333333.333344</v>
      </c>
      <c r="T143" s="1">
        <f>Pcfu43[[#This Row],[SD CFU/mL]]*Pcfu43[[#This Row],[mL]]/Pcfu43[[#This Row],[grams]]</f>
        <v>1142343270.7151334</v>
      </c>
      <c r="U143" s="7">
        <f>_xlfn.STDEV.S(Pcfu43[[#This Row],[R1]:[R3]])/AVERAGE(Pcfu43[[#This Row],[R1]:[R3]])</f>
        <v>6.0662552728559117E-2</v>
      </c>
      <c r="V143" s="102"/>
      <c r="W143" s="7"/>
      <c r="X143" t="s">
        <v>841</v>
      </c>
    </row>
    <row r="144" spans="1:24" x14ac:dyDescent="0.15">
      <c r="A144" t="s">
        <v>860</v>
      </c>
      <c r="B144" t="s">
        <v>855</v>
      </c>
      <c r="C144" s="4"/>
      <c r="D144" t="s">
        <v>194</v>
      </c>
      <c r="E144" s="3">
        <v>1</v>
      </c>
      <c r="G144">
        <v>0.3</v>
      </c>
      <c r="H144" s="5">
        <v>5.7</v>
      </c>
      <c r="I144" s="3" t="s">
        <v>170</v>
      </c>
      <c r="J144" s="59">
        <v>45000</v>
      </c>
      <c r="K144" s="59"/>
      <c r="L144" s="59" t="e" cm="1">
        <f t="array" ref="L144">INDEX($J$4:J1234, MATCH(1,(A144=$A$4:A1232)*("Y"=$K$4:K1234),0))</f>
        <v>#N/A</v>
      </c>
      <c r="M144" s="1">
        <v>100000</v>
      </c>
      <c r="N144">
        <v>158</v>
      </c>
      <c r="Q144" s="6">
        <f>(SUM(Pcfu43[[#This Row],[R1]:[R3]]))/(Pcfu43[[#This Row],[No. Reps]]*0.015)*Pcfu43[[#This Row],[Best DF]]</f>
        <v>1053333333.3333334</v>
      </c>
      <c r="R144" s="1" t="e">
        <f>_xlfn.STDEV.S(Pcfu43[[#This Row],[R1]:[R3]])/0.015*Pcfu43[[#This Row],[Best DF]]</f>
        <v>#DIV/0!</v>
      </c>
      <c r="S144" s="6">
        <f>Pcfu43[[#This Row],[CFU/mL]]*Pcfu43[[#This Row],[mL]]/Pcfu43[[#This Row],[grams]]</f>
        <v>20013333333.333336</v>
      </c>
      <c r="T144" s="1" t="e">
        <f>Pcfu43[[#This Row],[SD CFU/mL]]*Pcfu43[[#This Row],[mL]]/Pcfu43[[#This Row],[grams]]</f>
        <v>#DIV/0!</v>
      </c>
      <c r="U144" s="7" t="e">
        <f>_xlfn.STDEV.S(Pcfu43[[#This Row],[R1]:[R3]])/AVERAGE(Pcfu43[[#This Row],[R1]:[R3]])</f>
        <v>#DIV/0!</v>
      </c>
      <c r="V144" s="102"/>
      <c r="W144" s="7"/>
      <c r="X144" t="s">
        <v>841</v>
      </c>
    </row>
    <row r="145" spans="1:24" x14ac:dyDescent="0.15">
      <c r="A145" t="s">
        <v>860</v>
      </c>
      <c r="B145" t="s">
        <v>856</v>
      </c>
      <c r="C145" s="4"/>
      <c r="D145" t="s">
        <v>194</v>
      </c>
      <c r="E145" s="3">
        <v>1</v>
      </c>
      <c r="G145">
        <v>0.3</v>
      </c>
      <c r="H145" s="5">
        <v>5.7</v>
      </c>
      <c r="I145" s="3" t="s">
        <v>170</v>
      </c>
      <c r="J145" s="59">
        <v>45000</v>
      </c>
      <c r="K145" s="59"/>
      <c r="L145" s="59" t="e" cm="1">
        <f t="array" ref="L145">INDEX($J$4:J1235, MATCH(1,(A145=$A$4:A1233)*("Y"=$K$4:K1235),0))</f>
        <v>#N/A</v>
      </c>
      <c r="M145" s="1">
        <v>100000</v>
      </c>
      <c r="N145">
        <v>140</v>
      </c>
      <c r="Q145" s="6">
        <f>(SUM(Pcfu43[[#This Row],[R1]:[R3]]))/(Pcfu43[[#This Row],[No. Reps]]*0.015)*Pcfu43[[#This Row],[Best DF]]</f>
        <v>933333333.33333337</v>
      </c>
      <c r="R145" s="1" t="e">
        <f>_xlfn.STDEV.S(Pcfu43[[#This Row],[R1]:[R3]])/0.015*Pcfu43[[#This Row],[Best DF]]</f>
        <v>#DIV/0!</v>
      </c>
      <c r="S145" s="6">
        <f>Pcfu43[[#This Row],[CFU/mL]]*Pcfu43[[#This Row],[mL]]/Pcfu43[[#This Row],[grams]]</f>
        <v>17733333333.333336</v>
      </c>
      <c r="T145" s="1" t="e">
        <f>Pcfu43[[#This Row],[SD CFU/mL]]*Pcfu43[[#This Row],[mL]]/Pcfu43[[#This Row],[grams]]</f>
        <v>#DIV/0!</v>
      </c>
      <c r="U145" s="7" t="e">
        <f>_xlfn.STDEV.S(Pcfu43[[#This Row],[R1]:[R3]])/AVERAGE(Pcfu43[[#This Row],[R1]:[R3]])</f>
        <v>#DIV/0!</v>
      </c>
      <c r="V145" s="102"/>
      <c r="W145" s="7"/>
      <c r="X145" t="s">
        <v>841</v>
      </c>
    </row>
    <row r="146" spans="1:24" x14ac:dyDescent="0.15">
      <c r="A146" t="s">
        <v>861</v>
      </c>
      <c r="B146" t="s">
        <v>854</v>
      </c>
      <c r="C146" s="4"/>
      <c r="D146" t="s">
        <v>194</v>
      </c>
      <c r="E146" s="3">
        <v>1</v>
      </c>
      <c r="G146">
        <v>0.3</v>
      </c>
      <c r="H146" s="5">
        <v>5.7</v>
      </c>
      <c r="I146" s="3" t="s">
        <v>170</v>
      </c>
      <c r="J146" s="59">
        <v>45000</v>
      </c>
      <c r="K146" s="59"/>
      <c r="L146" s="59" t="e" cm="1">
        <f t="array" ref="L146">INDEX($J$4:J1236, MATCH(1,(A146=$A$4:A1234)*("Y"=$K$4:K1236),0))</f>
        <v>#N/A</v>
      </c>
      <c r="M146" s="1">
        <v>10000000</v>
      </c>
      <c r="N146">
        <v>20</v>
      </c>
      <c r="O146">
        <v>20</v>
      </c>
      <c r="P146">
        <v>18</v>
      </c>
      <c r="Q146" s="6">
        <f>(SUM(Pcfu43[[#This Row],[R1]:[R3]]))/(Pcfu43[[#This Row],[No. Reps]]*0.015)*Pcfu43[[#This Row],[Best DF]]</f>
        <v>38666666666.666672</v>
      </c>
      <c r="R146" s="1">
        <f>_xlfn.STDEV.S(Pcfu43[[#This Row],[R1]:[R3]])/0.015*Pcfu43[[#This Row],[Best DF]]</f>
        <v>769800358.91950095</v>
      </c>
      <c r="S146" s="6">
        <f>Pcfu43[[#This Row],[CFU/mL]]*Pcfu43[[#This Row],[mL]]/Pcfu43[[#This Row],[grams]]</f>
        <v>734666666666.66675</v>
      </c>
      <c r="T146" s="1">
        <f>Pcfu43[[#This Row],[SD CFU/mL]]*Pcfu43[[#This Row],[mL]]/Pcfu43[[#This Row],[grams]]</f>
        <v>14626206819.47052</v>
      </c>
      <c r="U146" s="7">
        <f>_xlfn.STDEV.S(Pcfu43[[#This Row],[R1]:[R3]])/AVERAGE(Pcfu43[[#This Row],[R1]:[R3]])</f>
        <v>5.972588991616818E-2</v>
      </c>
      <c r="V146" s="102"/>
      <c r="W146" s="7"/>
      <c r="X146" t="s">
        <v>841</v>
      </c>
    </row>
    <row r="147" spans="1:24" x14ac:dyDescent="0.15">
      <c r="A147" t="s">
        <v>861</v>
      </c>
      <c r="B147" t="s">
        <v>855</v>
      </c>
      <c r="C147" s="4"/>
      <c r="D147" t="s">
        <v>194</v>
      </c>
      <c r="E147" s="3">
        <v>1</v>
      </c>
      <c r="G147">
        <v>0.3</v>
      </c>
      <c r="H147" s="5">
        <v>5.7</v>
      </c>
      <c r="I147" s="3" t="s">
        <v>170</v>
      </c>
      <c r="J147" s="59">
        <v>45000</v>
      </c>
      <c r="K147" s="59"/>
      <c r="L147" s="59" t="e" cm="1">
        <f t="array" ref="L147">INDEX($J$4:J1237, MATCH(1,(A147=$A$4:A1235)*("Y"=$K$4:K1237),0))</f>
        <v>#N/A</v>
      </c>
      <c r="M147" s="1">
        <v>10000000</v>
      </c>
      <c r="N147">
        <v>20</v>
      </c>
      <c r="Q147" s="6">
        <f>(SUM(Pcfu43[[#This Row],[R1]:[R3]]))/(Pcfu43[[#This Row],[No. Reps]]*0.015)*Pcfu43[[#This Row],[Best DF]]</f>
        <v>13333333333.333334</v>
      </c>
      <c r="R147" s="1" t="e">
        <f>_xlfn.STDEV.S(Pcfu43[[#This Row],[R1]:[R3]])/0.015*Pcfu43[[#This Row],[Best DF]]</f>
        <v>#DIV/0!</v>
      </c>
      <c r="S147" s="6">
        <f>Pcfu43[[#This Row],[CFU/mL]]*Pcfu43[[#This Row],[mL]]/Pcfu43[[#This Row],[grams]]</f>
        <v>253333333333.33334</v>
      </c>
      <c r="T147" s="1" t="e">
        <f>Pcfu43[[#This Row],[SD CFU/mL]]*Pcfu43[[#This Row],[mL]]/Pcfu43[[#This Row],[grams]]</f>
        <v>#DIV/0!</v>
      </c>
      <c r="U147" s="7" t="e">
        <f>_xlfn.STDEV.S(Pcfu43[[#This Row],[R1]:[R3]])/AVERAGE(Pcfu43[[#This Row],[R1]:[R3]])</f>
        <v>#DIV/0!</v>
      </c>
      <c r="V147" s="102"/>
      <c r="W147" s="7"/>
      <c r="X147" t="s">
        <v>841</v>
      </c>
    </row>
    <row r="148" spans="1:24" x14ac:dyDescent="0.15">
      <c r="A148" t="s">
        <v>861</v>
      </c>
      <c r="B148" t="s">
        <v>856</v>
      </c>
      <c r="C148" s="4"/>
      <c r="D148" t="s">
        <v>194</v>
      </c>
      <c r="E148" s="3">
        <v>1</v>
      </c>
      <c r="G148">
        <v>0.3</v>
      </c>
      <c r="H148" s="5">
        <v>5.7</v>
      </c>
      <c r="I148" s="3" t="s">
        <v>170</v>
      </c>
      <c r="J148" s="59">
        <v>45000</v>
      </c>
      <c r="K148" s="59"/>
      <c r="L148" s="59" t="e" cm="1">
        <f t="array" ref="L148">INDEX($J$4:J1238, MATCH(1,(A148=$A$4:A1236)*("Y"=$K$4:K1238),0))</f>
        <v>#N/A</v>
      </c>
      <c r="M148" s="1">
        <v>10000000</v>
      </c>
      <c r="N148">
        <v>18</v>
      </c>
      <c r="Q148" s="6">
        <f>(SUM(Pcfu43[[#This Row],[R1]:[R3]]))/(Pcfu43[[#This Row],[No. Reps]]*0.015)*Pcfu43[[#This Row],[Best DF]]</f>
        <v>12000000000</v>
      </c>
      <c r="R148" s="1" t="e">
        <f>_xlfn.STDEV.S(Pcfu43[[#This Row],[R1]:[R3]])/0.015*Pcfu43[[#This Row],[Best DF]]</f>
        <v>#DIV/0!</v>
      </c>
      <c r="S148" s="6">
        <f>Pcfu43[[#This Row],[CFU/mL]]*Pcfu43[[#This Row],[mL]]/Pcfu43[[#This Row],[grams]]</f>
        <v>228000000000</v>
      </c>
      <c r="T148" s="1" t="e">
        <f>Pcfu43[[#This Row],[SD CFU/mL]]*Pcfu43[[#This Row],[mL]]/Pcfu43[[#This Row],[grams]]</f>
        <v>#DIV/0!</v>
      </c>
      <c r="U148" s="7" t="e">
        <f>_xlfn.STDEV.S(Pcfu43[[#This Row],[R1]:[R3]])/AVERAGE(Pcfu43[[#This Row],[R1]:[R3]])</f>
        <v>#DIV/0!</v>
      </c>
      <c r="V148" s="102"/>
      <c r="W148" s="7"/>
      <c r="X148" t="s">
        <v>841</v>
      </c>
    </row>
    <row r="149" spans="1:24" ht="15" x14ac:dyDescent="0.2">
      <c r="A149" s="55" t="s">
        <v>669</v>
      </c>
      <c r="B149" s="55" t="s">
        <v>727</v>
      </c>
      <c r="C149" s="4"/>
      <c r="D149" t="s">
        <v>86</v>
      </c>
      <c r="E149" s="3">
        <v>2</v>
      </c>
      <c r="G149">
        <v>0.3</v>
      </c>
      <c r="H149" s="5">
        <v>5.7</v>
      </c>
      <c r="I149" s="3" t="s">
        <v>170</v>
      </c>
      <c r="J149" s="59">
        <v>45001</v>
      </c>
      <c r="K149" s="59"/>
      <c r="L149" s="59" t="e" cm="1">
        <f t="array" ref="L149">INDEX($J$4:J1239, MATCH(1,(A149=$A$4:A1237)*("Y"=$K$4:K1239),0))</f>
        <v>#N/A</v>
      </c>
      <c r="M149" s="1">
        <v>1000000</v>
      </c>
      <c r="N149">
        <v>98</v>
      </c>
      <c r="O149">
        <v>82</v>
      </c>
      <c r="Q149" s="6">
        <f>(SUM(Pcfu43[[#This Row],[R1]:[R3]]))/(Pcfu43[[#This Row],[No. Reps]]*0.015)*Pcfu43[[#This Row],[Best DF]]</f>
        <v>6000000000</v>
      </c>
      <c r="R149" s="1">
        <f>_xlfn.STDEV.S(Pcfu43[[#This Row],[R1]:[R3]])/0.015*Pcfu43[[#This Row],[Best DF]]</f>
        <v>754247233.26565075</v>
      </c>
      <c r="S149" s="6">
        <f>Pcfu43[[#This Row],[CFU/mL]]*Pcfu43[[#This Row],[mL]]/Pcfu43[[#This Row],[grams]]</f>
        <v>114000000000</v>
      </c>
      <c r="T149" s="1">
        <f>Pcfu43[[#This Row],[SD CFU/mL]]*Pcfu43[[#This Row],[mL]]/Pcfu43[[#This Row],[grams]]</f>
        <v>14330697432.047365</v>
      </c>
      <c r="U149" s="7">
        <f>_xlfn.STDEV.S(Pcfu43[[#This Row],[R1]:[R3]])/AVERAGE(Pcfu43[[#This Row],[R1]:[R3]])</f>
        <v>0.12570787221094179</v>
      </c>
      <c r="V149" s="102">
        <v>0.29099999999999998</v>
      </c>
      <c r="W149" s="7"/>
      <c r="X149" t="s">
        <v>493</v>
      </c>
    </row>
    <row r="150" spans="1:24" ht="15" x14ac:dyDescent="0.2">
      <c r="A150" s="55" t="s">
        <v>670</v>
      </c>
      <c r="B150" s="55" t="s">
        <v>727</v>
      </c>
      <c r="C150" s="4"/>
      <c r="D150" t="s">
        <v>86</v>
      </c>
      <c r="E150" s="3">
        <v>2</v>
      </c>
      <c r="G150">
        <v>0.3</v>
      </c>
      <c r="H150" s="5">
        <v>5.7</v>
      </c>
      <c r="I150" s="3" t="s">
        <v>170</v>
      </c>
      <c r="J150" s="59">
        <v>45001</v>
      </c>
      <c r="K150" s="59"/>
      <c r="L150" s="59" t="e" cm="1">
        <f t="array" ref="L150">INDEX($J$4:J1240, MATCH(1,(A150=$A$4:A1238)*("Y"=$K$4:K1240),0))</f>
        <v>#N/A</v>
      </c>
      <c r="M150" s="1">
        <v>1000000</v>
      </c>
      <c r="N150">
        <v>76</v>
      </c>
      <c r="O150">
        <v>82</v>
      </c>
      <c r="Q150" s="6">
        <f>(SUM(Pcfu43[[#This Row],[R1]:[R3]]))/(Pcfu43[[#This Row],[No. Reps]]*0.015)*Pcfu43[[#This Row],[Best DF]]</f>
        <v>5266666666.666667</v>
      </c>
      <c r="R150" s="1">
        <f>_xlfn.STDEV.S(Pcfu43[[#This Row],[R1]:[R3]])/0.015*Pcfu43[[#This Row],[Best DF]]</f>
        <v>282842712.47461903</v>
      </c>
      <c r="S150" s="6">
        <f>Pcfu43[[#This Row],[CFU/mL]]*Pcfu43[[#This Row],[mL]]/Pcfu43[[#This Row],[grams]]</f>
        <v>100066666666.66669</v>
      </c>
      <c r="T150" s="1">
        <f>Pcfu43[[#This Row],[SD CFU/mL]]*Pcfu43[[#This Row],[mL]]/Pcfu43[[#This Row],[grams]]</f>
        <v>5374011537.0177622</v>
      </c>
      <c r="U150" s="7">
        <f>_xlfn.STDEV.S(Pcfu43[[#This Row],[R1]:[R3]])/AVERAGE(Pcfu43[[#This Row],[R1]:[R3]])</f>
        <v>5.3704312495180817E-2</v>
      </c>
      <c r="V150" s="102">
        <v>0.25700000000000001</v>
      </c>
      <c r="W150" s="7"/>
      <c r="X150" t="s">
        <v>385</v>
      </c>
    </row>
    <row r="151" spans="1:24" ht="15" x14ac:dyDescent="0.2">
      <c r="A151" s="55" t="s">
        <v>862</v>
      </c>
      <c r="B151" s="55" t="s">
        <v>727</v>
      </c>
      <c r="C151" s="4"/>
      <c r="D151" t="s">
        <v>86</v>
      </c>
      <c r="E151" s="3">
        <v>2</v>
      </c>
      <c r="G151">
        <v>0.3</v>
      </c>
      <c r="H151" s="5">
        <v>5.7</v>
      </c>
      <c r="I151" s="3" t="s">
        <v>170</v>
      </c>
      <c r="J151" s="59">
        <v>45001</v>
      </c>
      <c r="K151" s="59"/>
      <c r="L151" s="59" t="e" cm="1">
        <f t="array" ref="L151">INDEX($J$4:J1241, MATCH(1,(A151=$A$4:A1239)*("Y"=$K$4:K1241),0))</f>
        <v>#N/A</v>
      </c>
      <c r="M151" s="1">
        <v>1000000</v>
      </c>
      <c r="N151">
        <v>76</v>
      </c>
      <c r="O151">
        <v>75</v>
      </c>
      <c r="Q151" s="6">
        <f>(SUM(Pcfu43[[#This Row],[R1]:[R3]]))/(Pcfu43[[#This Row],[No. Reps]]*0.015)*Pcfu43[[#This Row],[Best DF]]</f>
        <v>5033333333.333334</v>
      </c>
      <c r="R151" s="1">
        <f>_xlfn.STDEV.S(Pcfu43[[#This Row],[R1]:[R3]])/0.015*Pcfu43[[#This Row],[Best DF]]</f>
        <v>47140452.079103172</v>
      </c>
      <c r="S151" s="6">
        <f>Pcfu43[[#This Row],[CFU/mL]]*Pcfu43[[#This Row],[mL]]/Pcfu43[[#This Row],[grams]]</f>
        <v>95633333333.333344</v>
      </c>
      <c r="T151" s="1">
        <f>Pcfu43[[#This Row],[SD CFU/mL]]*Pcfu43[[#This Row],[mL]]/Pcfu43[[#This Row],[grams]]</f>
        <v>895668589.50296032</v>
      </c>
      <c r="U151" s="7">
        <f>_xlfn.STDEV.S(Pcfu43[[#This Row],[R1]:[R3]])/AVERAGE(Pcfu43[[#This Row],[R1]:[R3]])</f>
        <v>9.36565273094765E-3</v>
      </c>
      <c r="V151" s="102">
        <v>0.28100000000000003</v>
      </c>
      <c r="W151" s="7"/>
      <c r="X151" t="s">
        <v>863</v>
      </c>
    </row>
    <row r="152" spans="1:24" ht="15" x14ac:dyDescent="0.2">
      <c r="A152" s="55" t="s">
        <v>864</v>
      </c>
      <c r="B152" s="55" t="s">
        <v>727</v>
      </c>
      <c r="C152" s="4"/>
      <c r="D152" t="s">
        <v>86</v>
      </c>
      <c r="E152" s="3">
        <v>2</v>
      </c>
      <c r="G152">
        <v>0.3</v>
      </c>
      <c r="H152" s="5">
        <v>5.7</v>
      </c>
      <c r="I152" s="3" t="s">
        <v>170</v>
      </c>
      <c r="J152" s="59">
        <v>45001</v>
      </c>
      <c r="K152" s="59"/>
      <c r="L152" s="59" t="e" cm="1">
        <f t="array" ref="L152">INDEX($J$4:J1242, MATCH(1,(A152=$A$4:A1240)*("Y"=$K$4:K1242),0))</f>
        <v>#N/A</v>
      </c>
      <c r="M152" s="1">
        <v>1000000</v>
      </c>
      <c r="N152">
        <v>72</v>
      </c>
      <c r="O152">
        <v>71</v>
      </c>
      <c r="Q152" s="6">
        <f>(SUM(Pcfu43[[#This Row],[R1]:[R3]]))/(Pcfu43[[#This Row],[No. Reps]]*0.015)*Pcfu43[[#This Row],[Best DF]]</f>
        <v>4766666666.666667</v>
      </c>
      <c r="R152" s="1">
        <f>_xlfn.STDEV.S(Pcfu43[[#This Row],[R1]:[R3]])/0.015*Pcfu43[[#This Row],[Best DF]]</f>
        <v>47140452.079103172</v>
      </c>
      <c r="S152" s="6">
        <f>Pcfu43[[#This Row],[CFU/mL]]*Pcfu43[[#This Row],[mL]]/Pcfu43[[#This Row],[grams]]</f>
        <v>90566666666.666687</v>
      </c>
      <c r="T152" s="1">
        <f>Pcfu43[[#This Row],[SD CFU/mL]]*Pcfu43[[#This Row],[mL]]/Pcfu43[[#This Row],[grams]]</f>
        <v>895668589.50296032</v>
      </c>
      <c r="U152" s="7">
        <f>_xlfn.STDEV.S(Pcfu43[[#This Row],[R1]:[R3]])/AVERAGE(Pcfu43[[#This Row],[R1]:[R3]])</f>
        <v>9.889605331280386E-3</v>
      </c>
      <c r="V152" s="102">
        <v>0.124</v>
      </c>
      <c r="W152" s="7"/>
      <c r="X152" t="s">
        <v>865</v>
      </c>
    </row>
    <row r="153" spans="1:24" ht="15" x14ac:dyDescent="0.2">
      <c r="A153" s="55" t="s">
        <v>866</v>
      </c>
      <c r="B153" s="55" t="s">
        <v>727</v>
      </c>
      <c r="C153" s="4"/>
      <c r="D153" t="s">
        <v>86</v>
      </c>
      <c r="E153" s="3">
        <v>2</v>
      </c>
      <c r="G153">
        <v>0.3</v>
      </c>
      <c r="H153" s="5">
        <v>5.7</v>
      </c>
      <c r="I153" s="3" t="s">
        <v>170</v>
      </c>
      <c r="J153" s="59">
        <v>45001</v>
      </c>
      <c r="K153" s="59"/>
      <c r="L153" s="59" t="e" cm="1">
        <f t="array" ref="L153">INDEX($J$4:J1243, MATCH(1,(A153=$A$4:A1241)*("Y"=$K$4:K1243),0))</f>
        <v>#N/A</v>
      </c>
      <c r="M153" s="1">
        <v>1000000</v>
      </c>
      <c r="N153">
        <v>63</v>
      </c>
      <c r="O153">
        <v>64</v>
      </c>
      <c r="Q153" s="6">
        <f>(SUM(Pcfu43[[#This Row],[R1]:[R3]]))/(Pcfu43[[#This Row],[No. Reps]]*0.015)*Pcfu43[[#This Row],[Best DF]]</f>
        <v>4233333333.333334</v>
      </c>
      <c r="R153" s="1">
        <f>_xlfn.STDEV.S(Pcfu43[[#This Row],[R1]:[R3]])/0.015*Pcfu43[[#This Row],[Best DF]]</f>
        <v>47140452.079103172</v>
      </c>
      <c r="S153" s="6">
        <f>Pcfu43[[#This Row],[CFU/mL]]*Pcfu43[[#This Row],[mL]]/Pcfu43[[#This Row],[grams]]</f>
        <v>80433333333.333344</v>
      </c>
      <c r="T153" s="1">
        <f>Pcfu43[[#This Row],[SD CFU/mL]]*Pcfu43[[#This Row],[mL]]/Pcfu43[[#This Row],[grams]]</f>
        <v>895668589.50296032</v>
      </c>
      <c r="U153" s="7">
        <f>_xlfn.STDEV.S(Pcfu43[[#This Row],[R1]:[R3]])/AVERAGE(Pcfu43[[#This Row],[R1]:[R3]])</f>
        <v>1.1135539861205473E-2</v>
      </c>
      <c r="V153" s="102">
        <v>0.33100000000000002</v>
      </c>
      <c r="W153" s="7"/>
      <c r="X153" t="s">
        <v>867</v>
      </c>
    </row>
    <row r="154" spans="1:24" ht="15" x14ac:dyDescent="0.2">
      <c r="A154" s="55" t="s">
        <v>868</v>
      </c>
      <c r="B154" s="55" t="s">
        <v>727</v>
      </c>
      <c r="C154" s="4"/>
      <c r="D154" t="s">
        <v>86</v>
      </c>
      <c r="E154" s="3">
        <v>2</v>
      </c>
      <c r="G154">
        <v>0.3</v>
      </c>
      <c r="H154" s="5">
        <v>5.7</v>
      </c>
      <c r="I154" s="3" t="s">
        <v>170</v>
      </c>
      <c r="J154" s="59">
        <v>45001</v>
      </c>
      <c r="K154" s="59"/>
      <c r="L154" s="59" t="e" cm="1">
        <f t="array" ref="L154">INDEX($J$4:J1244, MATCH(1,(A154=$A$4:A1242)*("Y"=$K$4:K1244),0))</f>
        <v>#N/A</v>
      </c>
      <c r="M154" s="1">
        <v>1000000</v>
      </c>
      <c r="N154">
        <v>47</v>
      </c>
      <c r="O154">
        <v>54</v>
      </c>
      <c r="Q154" s="6">
        <f>(SUM(Pcfu43[[#This Row],[R1]:[R3]]))/(Pcfu43[[#This Row],[No. Reps]]*0.015)*Pcfu43[[#This Row],[Best DF]]</f>
        <v>3366666666.666667</v>
      </c>
      <c r="R154" s="1">
        <f>_xlfn.STDEV.S(Pcfu43[[#This Row],[R1]:[R3]])/0.015*Pcfu43[[#This Row],[Best DF]]</f>
        <v>329983164.5537222</v>
      </c>
      <c r="S154" s="6">
        <f>Pcfu43[[#This Row],[CFU/mL]]*Pcfu43[[#This Row],[mL]]/Pcfu43[[#This Row],[grams]]</f>
        <v>63966666666.666679</v>
      </c>
      <c r="T154" s="1">
        <f>Pcfu43[[#This Row],[SD CFU/mL]]*Pcfu43[[#This Row],[mL]]/Pcfu43[[#This Row],[grams]]</f>
        <v>6269680126.5207224</v>
      </c>
      <c r="U154" s="7">
        <f>_xlfn.STDEV.S(Pcfu43[[#This Row],[R1]:[R3]])/AVERAGE(Pcfu43[[#This Row],[R1]:[R3]])</f>
        <v>9.8014801352590747E-2</v>
      </c>
      <c r="V154" s="102">
        <v>0.33300000000000002</v>
      </c>
      <c r="W154" s="7"/>
      <c r="X154" t="s">
        <v>869</v>
      </c>
    </row>
    <row r="155" spans="1:24" ht="15" x14ac:dyDescent="0.2">
      <c r="A155" s="55" t="s">
        <v>870</v>
      </c>
      <c r="B155" s="55" t="s">
        <v>727</v>
      </c>
      <c r="C155" s="4"/>
      <c r="D155" t="s">
        <v>86</v>
      </c>
      <c r="E155" s="3">
        <v>2</v>
      </c>
      <c r="G155">
        <v>0.3</v>
      </c>
      <c r="H155" s="5">
        <v>5.7</v>
      </c>
      <c r="I155" s="3" t="s">
        <v>170</v>
      </c>
      <c r="J155" s="59">
        <v>45001</v>
      </c>
      <c r="K155" s="59"/>
      <c r="L155" s="59" t="e" cm="1">
        <f t="array" ref="L155">INDEX($J$4:J1245, MATCH(1,(A155=$A$4:A1243)*("Y"=$K$4:K1245),0))</f>
        <v>#N/A</v>
      </c>
      <c r="M155" s="1">
        <v>1000000</v>
      </c>
      <c r="N155">
        <v>82</v>
      </c>
      <c r="O155">
        <v>80</v>
      </c>
      <c r="Q155" s="6">
        <f>(SUM(Pcfu43[[#This Row],[R1]:[R3]]))/(Pcfu43[[#This Row],[No. Reps]]*0.015)*Pcfu43[[#This Row],[Best DF]]</f>
        <v>5400000000</v>
      </c>
      <c r="R155" s="1">
        <f>_xlfn.STDEV.S(Pcfu43[[#This Row],[R1]:[R3]])/0.015*Pcfu43[[#This Row],[Best DF]]</f>
        <v>94280904.158206344</v>
      </c>
      <c r="S155" s="6">
        <f>Pcfu43[[#This Row],[CFU/mL]]*Pcfu43[[#This Row],[mL]]/Pcfu43[[#This Row],[grams]]</f>
        <v>102600000000</v>
      </c>
      <c r="T155" s="1">
        <f>Pcfu43[[#This Row],[SD CFU/mL]]*Pcfu43[[#This Row],[mL]]/Pcfu43[[#This Row],[grams]]</f>
        <v>1791337179.0059206</v>
      </c>
      <c r="U155" s="7">
        <f>_xlfn.STDEV.S(Pcfu43[[#This Row],[R1]:[R3]])/AVERAGE(Pcfu43[[#This Row],[R1]:[R3]])</f>
        <v>1.7459426695964137E-2</v>
      </c>
      <c r="V155" s="102">
        <v>0.25800000000000001</v>
      </c>
      <c r="W155" s="7"/>
      <c r="X155" t="s">
        <v>871</v>
      </c>
    </row>
    <row r="156" spans="1:24" ht="15" x14ac:dyDescent="0.2">
      <c r="A156" s="55" t="s">
        <v>872</v>
      </c>
      <c r="B156" s="55" t="s">
        <v>727</v>
      </c>
      <c r="C156" s="4"/>
      <c r="D156" t="s">
        <v>86</v>
      </c>
      <c r="E156" s="3">
        <v>2</v>
      </c>
      <c r="G156">
        <v>0.3</v>
      </c>
      <c r="H156" s="5">
        <v>5.7</v>
      </c>
      <c r="I156" s="3" t="s">
        <v>170</v>
      </c>
      <c r="J156" s="59">
        <v>45001</v>
      </c>
      <c r="K156" s="59"/>
      <c r="L156" s="59" t="e" cm="1">
        <f t="array" ref="L156">INDEX($J$4:J1246, MATCH(1,(A156=$A$4:A1244)*("Y"=$K$4:K1246),0))</f>
        <v>#N/A</v>
      </c>
      <c r="M156" s="1">
        <v>1000000</v>
      </c>
      <c r="N156">
        <v>105</v>
      </c>
      <c r="O156">
        <v>106</v>
      </c>
      <c r="Q156" s="6">
        <f>(SUM(Pcfu43[[#This Row],[R1]:[R3]]))/(Pcfu43[[#This Row],[No. Reps]]*0.015)*Pcfu43[[#This Row],[Best DF]]</f>
        <v>7033333333.333334</v>
      </c>
      <c r="R156" s="1">
        <f>_xlfn.STDEV.S(Pcfu43[[#This Row],[R1]:[R3]])/0.015*Pcfu43[[#This Row],[Best DF]]</f>
        <v>47140452.079103172</v>
      </c>
      <c r="S156" s="1">
        <f>_xlfn.STDEV.S(Pcfu43[[#This Row],[R1]:[R3]])/0.015*Pcfu43[[#This Row],[R1]]</f>
        <v>4949.7474683058326</v>
      </c>
      <c r="T156" s="1">
        <f>Pcfu43[[#This Row],[SD CFU/mL]]*Pcfu43[[#This Row],[mL]]/Pcfu43[[#This Row],[grams]]</f>
        <v>895668589.50296032</v>
      </c>
      <c r="U156" s="7">
        <f>_xlfn.STDEV.S(Pcfu43[[#This Row],[R1]:[R3]])/AVERAGE(Pcfu43[[#This Row],[R1]:[R3]])</f>
        <v>6.7024339448961854E-3</v>
      </c>
      <c r="V156" s="102">
        <v>0.127</v>
      </c>
      <c r="W156" s="7"/>
      <c r="X156" t="s">
        <v>873</v>
      </c>
    </row>
    <row r="157" spans="1:24" x14ac:dyDescent="0.15">
      <c r="A157" t="s">
        <v>874</v>
      </c>
      <c r="B157" t="s">
        <v>729</v>
      </c>
      <c r="C157" s="4"/>
      <c r="D157" t="s">
        <v>86</v>
      </c>
      <c r="E157" s="3">
        <v>3</v>
      </c>
      <c r="G157">
        <v>0.3</v>
      </c>
      <c r="H157" s="5">
        <v>5.7</v>
      </c>
      <c r="I157" s="3" t="s">
        <v>170</v>
      </c>
      <c r="J157" s="59">
        <v>45002</v>
      </c>
      <c r="K157" s="59"/>
      <c r="L157" s="59" t="e" cm="1">
        <f t="array" ref="L157">INDEX($J$4:J1247, MATCH(1,(A157=$A$4:A1245)*("Y"=$K$4:K1247),0))</f>
        <v>#N/A</v>
      </c>
      <c r="M157" s="1">
        <v>1000000</v>
      </c>
      <c r="N157">
        <v>77</v>
      </c>
      <c r="O157">
        <v>94</v>
      </c>
      <c r="P157">
        <v>106</v>
      </c>
      <c r="Q157" s="6">
        <f>(SUM(Pcfu43[[#This Row],[R1]:[R3]]))/(Pcfu43[[#This Row],[No. Reps]]*0.015)*Pcfu43[[#This Row],[Best DF]]</f>
        <v>6155555555.5555553</v>
      </c>
      <c r="R157" s="1">
        <f>_xlfn.STDEV.S(Pcfu43[[#This Row],[R1]:[R3]])/0.015*Pcfu43[[#This Row],[Best DF]]</f>
        <v>971444133.08419669</v>
      </c>
      <c r="S157" s="6">
        <f>Pcfu43[[#This Row],[CFU/mL]]*Pcfu43[[#This Row],[mL]]/Pcfu43[[#This Row],[grams]]</f>
        <v>116955555555.55556</v>
      </c>
      <c r="T157" s="1">
        <f>Pcfu43[[#This Row],[SD CFU/mL]]*Pcfu43[[#This Row],[mL]]/Pcfu43[[#This Row],[grams]]</f>
        <v>18457438528.599739</v>
      </c>
      <c r="U157" s="7">
        <f>_xlfn.STDEV.S(Pcfu43[[#This Row],[R1]:[R3]])/AVERAGE(Pcfu43[[#This Row],[R1]:[R3]])</f>
        <v>0.15781583389454459</v>
      </c>
      <c r="V157" s="102"/>
      <c r="W157" s="7"/>
    </row>
    <row r="158" spans="1:24" x14ac:dyDescent="0.15">
      <c r="A158" t="s">
        <v>875</v>
      </c>
      <c r="B158" t="s">
        <v>729</v>
      </c>
      <c r="C158" s="4"/>
      <c r="D158" t="s">
        <v>86</v>
      </c>
      <c r="E158" s="3">
        <v>3</v>
      </c>
      <c r="G158">
        <v>0.3</v>
      </c>
      <c r="H158" s="5">
        <v>5.7</v>
      </c>
      <c r="I158" s="3" t="s">
        <v>170</v>
      </c>
      <c r="J158" s="59">
        <v>45002</v>
      </c>
      <c r="K158" s="59"/>
      <c r="L158" s="59" t="e" cm="1">
        <f t="array" ref="L158">INDEX($J$4:J1248, MATCH(1,(A158=$A$4:A1246)*("Y"=$K$4:K1248),0))</f>
        <v>#N/A</v>
      </c>
      <c r="M158" s="1">
        <v>1000000</v>
      </c>
      <c r="N158">
        <v>71</v>
      </c>
      <c r="O158">
        <v>87</v>
      </c>
      <c r="P158">
        <v>87</v>
      </c>
      <c r="Q158" s="6">
        <f>(SUM(Pcfu43[[#This Row],[R1]:[R3]]))/(Pcfu43[[#This Row],[No. Reps]]*0.015)*Pcfu43[[#This Row],[Best DF]]</f>
        <v>5444444444.4444447</v>
      </c>
      <c r="R158" s="1">
        <f>_xlfn.STDEV.S(Pcfu43[[#This Row],[R1]:[R3]])/0.015*Pcfu43[[#This Row],[Best DF]]</f>
        <v>615840287.13560092</v>
      </c>
      <c r="S158" s="6">
        <f>Pcfu43[[#This Row],[CFU/mL]]*Pcfu43[[#This Row],[mL]]/Pcfu43[[#This Row],[grams]]</f>
        <v>103444444444.44446</v>
      </c>
      <c r="T158" s="1">
        <f>Pcfu43[[#This Row],[SD CFU/mL]]*Pcfu43[[#This Row],[mL]]/Pcfu43[[#This Row],[grams]]</f>
        <v>11700965455.576418</v>
      </c>
      <c r="U158" s="7">
        <f>_xlfn.STDEV.S(Pcfu43[[#This Row],[R1]:[R3]])/AVERAGE(Pcfu43[[#This Row],[R1]:[R3]])</f>
        <v>0.1131135221269471</v>
      </c>
      <c r="V158" s="102"/>
      <c r="W158" s="7"/>
    </row>
    <row r="159" spans="1:24" x14ac:dyDescent="0.15">
      <c r="A159" t="s">
        <v>876</v>
      </c>
      <c r="B159" t="s">
        <v>729</v>
      </c>
      <c r="C159" s="4"/>
      <c r="D159" t="s">
        <v>86</v>
      </c>
      <c r="E159" s="3">
        <v>3</v>
      </c>
      <c r="G159">
        <v>0.3</v>
      </c>
      <c r="H159" s="5">
        <v>5.7</v>
      </c>
      <c r="I159" s="3" t="s">
        <v>170</v>
      </c>
      <c r="J159" s="59">
        <v>45002</v>
      </c>
      <c r="K159" s="59"/>
      <c r="L159" s="59" t="e" cm="1">
        <f t="array" ref="L159">INDEX($J$4:J1249, MATCH(1,(A159=$A$4:A1247)*("Y"=$K$4:K1249),0))</f>
        <v>#N/A</v>
      </c>
      <c r="M159" s="1">
        <v>1000000</v>
      </c>
      <c r="N159">
        <v>79</v>
      </c>
      <c r="O159">
        <v>80</v>
      </c>
      <c r="P159">
        <v>81</v>
      </c>
      <c r="Q159" s="6">
        <f>(SUM(Pcfu43[[#This Row],[R1]:[R3]]))/(Pcfu43[[#This Row],[No. Reps]]*0.015)*Pcfu43[[#This Row],[Best DF]]</f>
        <v>5333333333.333334</v>
      </c>
      <c r="R159" s="1">
        <f>_xlfn.STDEV.S(Pcfu43[[#This Row],[R1]:[R3]])/0.015*Pcfu43[[#This Row],[Best DF]]</f>
        <v>66666666.666666672</v>
      </c>
      <c r="S159" s="6">
        <f>Pcfu43[[#This Row],[CFU/mL]]*Pcfu43[[#This Row],[mL]]/Pcfu43[[#This Row],[grams]]</f>
        <v>101333333333.33334</v>
      </c>
      <c r="T159" s="1">
        <f>Pcfu43[[#This Row],[SD CFU/mL]]*Pcfu43[[#This Row],[mL]]/Pcfu43[[#This Row],[grams]]</f>
        <v>1266666666.666667</v>
      </c>
      <c r="U159" s="7">
        <f>_xlfn.STDEV.S(Pcfu43[[#This Row],[R1]:[R3]])/AVERAGE(Pcfu43[[#This Row],[R1]:[R3]])</f>
        <v>1.2500000000000001E-2</v>
      </c>
      <c r="V159" s="102"/>
      <c r="W159" s="7"/>
    </row>
    <row r="160" spans="1:24" x14ac:dyDescent="0.15">
      <c r="A160" t="s">
        <v>877</v>
      </c>
      <c r="B160" t="s">
        <v>729</v>
      </c>
      <c r="C160" s="4"/>
      <c r="D160" t="s">
        <v>86</v>
      </c>
      <c r="E160" s="3">
        <v>3</v>
      </c>
      <c r="G160">
        <v>0.3</v>
      </c>
      <c r="H160" s="5">
        <v>5.7</v>
      </c>
      <c r="I160" s="3" t="s">
        <v>170</v>
      </c>
      <c r="J160" s="59">
        <v>45002</v>
      </c>
      <c r="K160" s="59"/>
      <c r="L160" s="59" t="e" cm="1">
        <f t="array" ref="L160">INDEX($J$4:J1250, MATCH(1,(A160=$A$4:A1248)*("Y"=$K$4:K1250),0))</f>
        <v>#N/A</v>
      </c>
      <c r="M160" s="1">
        <v>1000000</v>
      </c>
      <c r="N160">
        <v>72</v>
      </c>
      <c r="O160">
        <v>71</v>
      </c>
      <c r="P160">
        <v>65</v>
      </c>
      <c r="Q160" s="6">
        <f>(SUM(Pcfu43[[#This Row],[R1]:[R3]]))/(Pcfu43[[#This Row],[No. Reps]]*0.015)*Pcfu43[[#This Row],[Best DF]]</f>
        <v>4622222222.2222223</v>
      </c>
      <c r="R160" s="1">
        <f>_xlfn.STDEV.S(Pcfu43[[#This Row],[R1]:[R3]])/0.015*Pcfu43[[#This Row],[Best DF]]</f>
        <v>252395926.48001218</v>
      </c>
      <c r="S160" s="6">
        <f>Pcfu43[[#This Row],[CFU/mL]]*Pcfu43[[#This Row],[mL]]/Pcfu43[[#This Row],[grams]]</f>
        <v>87822222222.222229</v>
      </c>
      <c r="T160" s="1">
        <f>Pcfu43[[#This Row],[SD CFU/mL]]*Pcfu43[[#This Row],[mL]]/Pcfu43[[#This Row],[grams]]</f>
        <v>4795522603.1202316</v>
      </c>
      <c r="U160" s="7">
        <f>_xlfn.STDEV.S(Pcfu43[[#This Row],[R1]:[R3]])/AVERAGE(Pcfu43[[#This Row],[R1]:[R3]])</f>
        <v>5.4604887940387252E-2</v>
      </c>
      <c r="V160" s="102"/>
      <c r="W160" s="7"/>
    </row>
    <row r="161" spans="1:24" x14ac:dyDescent="0.15">
      <c r="A161" t="s">
        <v>878</v>
      </c>
      <c r="B161" t="s">
        <v>729</v>
      </c>
      <c r="C161" s="4"/>
      <c r="D161" t="s">
        <v>86</v>
      </c>
      <c r="E161" s="3">
        <v>3</v>
      </c>
      <c r="G161">
        <v>0.3</v>
      </c>
      <c r="H161" s="5">
        <v>5.7</v>
      </c>
      <c r="I161" s="3" t="s">
        <v>170</v>
      </c>
      <c r="J161" s="59">
        <v>45002</v>
      </c>
      <c r="K161" s="59"/>
      <c r="L161" s="59" t="e" cm="1">
        <f t="array" ref="L161">INDEX($J$4:J1251, MATCH(1,(A161=$A$4:A1249)*("Y"=$K$4:K1251),0))</f>
        <v>#N/A</v>
      </c>
      <c r="M161" s="1">
        <v>1000000</v>
      </c>
      <c r="N161">
        <v>57</v>
      </c>
      <c r="O161">
        <v>52</v>
      </c>
      <c r="P161">
        <v>61</v>
      </c>
      <c r="Q161" s="6">
        <f>(SUM(Pcfu43[[#This Row],[R1]:[R3]]))/(Pcfu43[[#This Row],[No. Reps]]*0.015)*Pcfu43[[#This Row],[Best DF]]</f>
        <v>3777777777.7777777</v>
      </c>
      <c r="R161" s="1">
        <f>_xlfn.STDEV.S(Pcfu43[[#This Row],[R1]:[R3]])/0.015*Pcfu43[[#This Row],[Best DF]]</f>
        <v>300616650.18819296</v>
      </c>
      <c r="S161" s="6">
        <f>Pcfu43[[#This Row],[CFU/mL]]*Pcfu43[[#This Row],[mL]]/Pcfu43[[#This Row],[grams]]</f>
        <v>71777777777.777771</v>
      </c>
      <c r="T161" s="1">
        <f>Pcfu43[[#This Row],[SD CFU/mL]]*Pcfu43[[#This Row],[mL]]/Pcfu43[[#This Row],[grams]]</f>
        <v>5711716353.5756674</v>
      </c>
      <c r="U161" s="7">
        <f>_xlfn.STDEV.S(Pcfu43[[#This Row],[R1]:[R3]])/AVERAGE(Pcfu43[[#This Row],[R1]:[R3]])</f>
        <v>7.957499563805108E-2</v>
      </c>
      <c r="V161" s="102"/>
      <c r="W161" s="7"/>
    </row>
    <row r="162" spans="1:24" x14ac:dyDescent="0.15">
      <c r="A162" t="s">
        <v>879</v>
      </c>
      <c r="B162" t="s">
        <v>729</v>
      </c>
      <c r="C162" s="4"/>
      <c r="D162" t="s">
        <v>86</v>
      </c>
      <c r="E162" s="3">
        <v>3</v>
      </c>
      <c r="G162">
        <v>0.3</v>
      </c>
      <c r="H162" s="5">
        <v>5.7</v>
      </c>
      <c r="I162" s="3" t="s">
        <v>170</v>
      </c>
      <c r="J162" s="59">
        <v>45002</v>
      </c>
      <c r="K162" s="59"/>
      <c r="L162" s="59" t="e" cm="1">
        <f t="array" ref="L162">INDEX($J$4:J1252, MATCH(1,(A162=$A$4:A1250)*("Y"=$K$4:K1252),0))</f>
        <v>#N/A</v>
      </c>
      <c r="M162" s="1">
        <v>1000000</v>
      </c>
      <c r="N162">
        <v>53</v>
      </c>
      <c r="O162">
        <v>37</v>
      </c>
      <c r="P162">
        <v>41</v>
      </c>
      <c r="Q162" s="6">
        <f>(SUM(Pcfu43[[#This Row],[R1]:[R3]]))/(Pcfu43[[#This Row],[No. Reps]]*0.015)*Pcfu43[[#This Row],[Best DF]]</f>
        <v>2911111111.1111112</v>
      </c>
      <c r="R162" s="1">
        <f>_xlfn.STDEV.S(Pcfu43[[#This Row],[R1]:[R3]])/0.015*Pcfu43[[#This Row],[Best DF]]</f>
        <v>555110933.19096923</v>
      </c>
      <c r="S162" s="6">
        <f>Pcfu43[[#This Row],[CFU/mL]]*Pcfu43[[#This Row],[mL]]/Pcfu43[[#This Row],[grams]]</f>
        <v>55311111111.111115</v>
      </c>
      <c r="T162" s="1">
        <f>Pcfu43[[#This Row],[SD CFU/mL]]*Pcfu43[[#This Row],[mL]]/Pcfu43[[#This Row],[grams]]</f>
        <v>10547107730.628416</v>
      </c>
      <c r="U162" s="7">
        <f>_xlfn.STDEV.S(Pcfu43[[#This Row],[R1]:[R3]])/AVERAGE(Pcfu43[[#This Row],[R1]:[R3]])</f>
        <v>0.19068696178315739</v>
      </c>
      <c r="V162" s="102"/>
      <c r="W162" s="7"/>
    </row>
    <row r="163" spans="1:24" x14ac:dyDescent="0.15">
      <c r="A163" t="s">
        <v>880</v>
      </c>
      <c r="B163" t="s">
        <v>729</v>
      </c>
      <c r="C163" s="4"/>
      <c r="D163" t="s">
        <v>86</v>
      </c>
      <c r="E163" s="3">
        <v>3</v>
      </c>
      <c r="G163">
        <v>0.3</v>
      </c>
      <c r="H163" s="5">
        <v>5.7</v>
      </c>
      <c r="I163" s="3" t="s">
        <v>170</v>
      </c>
      <c r="J163" s="59">
        <v>45002</v>
      </c>
      <c r="K163" s="59"/>
      <c r="L163" s="59" t="e" cm="1">
        <f t="array" ref="L163">INDEX($J$4:J1253, MATCH(1,(A163=$A$4:A1251)*("Y"=$K$4:K1253),0))</f>
        <v>#N/A</v>
      </c>
      <c r="M163" s="1">
        <v>1000000</v>
      </c>
      <c r="N163">
        <v>72</v>
      </c>
      <c r="O163">
        <v>70</v>
      </c>
      <c r="P163">
        <v>76</v>
      </c>
      <c r="Q163" s="6">
        <f>(SUM(Pcfu43[[#This Row],[R1]:[R3]]))/(Pcfu43[[#This Row],[No. Reps]]*0.015)*Pcfu43[[#This Row],[Best DF]]</f>
        <v>4844444444.4444447</v>
      </c>
      <c r="R163" s="1">
        <f>_xlfn.STDEV.S(Pcfu43[[#This Row],[R1]:[R3]])/0.015*Pcfu43[[#This Row],[Best DF]]</f>
        <v>203670030.8869262</v>
      </c>
      <c r="S163" s="6">
        <f>Pcfu43[[#This Row],[CFU/mL]]*Pcfu43[[#This Row],[mL]]/Pcfu43[[#This Row],[grams]]</f>
        <v>92044444444.444458</v>
      </c>
      <c r="T163" s="1">
        <f>Pcfu43[[#This Row],[SD CFU/mL]]*Pcfu43[[#This Row],[mL]]/Pcfu43[[#This Row],[grams]]</f>
        <v>3869730586.8515978</v>
      </c>
      <c r="U163" s="7">
        <f>_xlfn.STDEV.S(Pcfu43[[#This Row],[R1]:[R3]])/AVERAGE(Pcfu43[[#This Row],[R1]:[R3]])</f>
        <v>4.2041978852805868E-2</v>
      </c>
      <c r="V163" s="102"/>
      <c r="W163" s="7"/>
    </row>
    <row r="164" spans="1:24" x14ac:dyDescent="0.15">
      <c r="A164" t="s">
        <v>881</v>
      </c>
      <c r="B164" t="s">
        <v>729</v>
      </c>
      <c r="C164" s="4"/>
      <c r="D164" t="s">
        <v>86</v>
      </c>
      <c r="E164" s="3">
        <v>3</v>
      </c>
      <c r="G164">
        <v>0.3</v>
      </c>
      <c r="H164" s="5">
        <v>5.7</v>
      </c>
      <c r="I164" s="3" t="s">
        <v>170</v>
      </c>
      <c r="J164" s="59">
        <v>45002</v>
      </c>
      <c r="K164" s="59"/>
      <c r="L164" s="59" t="e" cm="1">
        <f t="array" ref="L164">INDEX($J$4:J1254, MATCH(1,(A164=$A$4:A1252)*("Y"=$K$4:K1254),0))</f>
        <v>#N/A</v>
      </c>
      <c r="M164" s="1">
        <v>1000000</v>
      </c>
      <c r="N164">
        <v>85</v>
      </c>
      <c r="O164">
        <v>86</v>
      </c>
      <c r="P164">
        <v>82</v>
      </c>
      <c r="Q164" s="6">
        <f>(SUM(Pcfu43[[#This Row],[R1]:[R3]]))/(Pcfu43[[#This Row],[No. Reps]]*0.015)*Pcfu43[[#This Row],[Best DF]]</f>
        <v>5622222222.2222223</v>
      </c>
      <c r="R164" s="1">
        <f>_xlfn.STDEV.S(Pcfu43[[#This Row],[R1]:[R3]])/0.015*Pcfu43[[#This Row],[Best DF]]</f>
        <v>138777733.29774219</v>
      </c>
      <c r="S164" s="6">
        <f>Pcfu43[[#This Row],[CFU/mL]]*Pcfu43[[#This Row],[mL]]/Pcfu43[[#This Row],[grams]]</f>
        <v>106822222222.22223</v>
      </c>
      <c r="T164" s="1">
        <f>Pcfu43[[#This Row],[SD CFU/mL]]*Pcfu43[[#This Row],[mL]]/Pcfu43[[#This Row],[grams]]</f>
        <v>2636776932.6571016</v>
      </c>
      <c r="U164" s="7">
        <f>_xlfn.STDEV.S(Pcfu43[[#This Row],[R1]:[R3]])/AVERAGE(Pcfu43[[#This Row],[R1]:[R3]])</f>
        <v>2.4683786554934386E-2</v>
      </c>
      <c r="V164" s="102"/>
      <c r="W164" s="7"/>
    </row>
    <row r="165" spans="1:24" x14ac:dyDescent="0.15">
      <c r="A165" t="s">
        <v>447</v>
      </c>
      <c r="B165" t="s">
        <v>882</v>
      </c>
      <c r="C165" s="4"/>
      <c r="D165" t="s">
        <v>37</v>
      </c>
      <c r="E165" s="3">
        <v>3</v>
      </c>
      <c r="G165">
        <v>0.3</v>
      </c>
      <c r="H165" s="5">
        <v>5.7</v>
      </c>
      <c r="I165" s="3" t="s">
        <v>170</v>
      </c>
      <c r="J165" s="59">
        <v>45005</v>
      </c>
      <c r="K165" s="59"/>
      <c r="L165" s="59" t="e" cm="1">
        <f t="array" ref="L165">INDEX($J$4:J1255, MATCH(1,(A165=$A$4:A1253)*("Y"=$K$4:K1255),0))</f>
        <v>#N/A</v>
      </c>
      <c r="M165" s="1">
        <v>1000000</v>
      </c>
      <c r="N165">
        <v>22</v>
      </c>
      <c r="O165">
        <v>26</v>
      </c>
      <c r="P165">
        <v>22</v>
      </c>
      <c r="Q165" s="6">
        <f>(SUM(Pcfu43[[#This Row],[R1]:[R3]]))/(Pcfu43[[#This Row],[No. Reps]]*0.015)*Pcfu43[[#This Row],[Best DF]]</f>
        <v>1555555555.5555556</v>
      </c>
      <c r="R165" s="1">
        <f>_xlfn.STDEV.S(Pcfu43[[#This Row],[R1]:[R3]])/0.015*Pcfu43[[#This Row],[Best DF]]</f>
        <v>153960071.78390023</v>
      </c>
      <c r="S165" s="6">
        <f>Pcfu43[[#This Row],[CFU/mL]]*Pcfu43[[#This Row],[mL]]/Pcfu43[[#This Row],[grams]]</f>
        <v>29555555555.555561</v>
      </c>
      <c r="T165" s="1">
        <f>Pcfu43[[#This Row],[SD CFU/mL]]*Pcfu43[[#This Row],[mL]]/Pcfu43[[#This Row],[grams]]</f>
        <v>2925241363.8941045</v>
      </c>
      <c r="U165" s="7">
        <f>_xlfn.STDEV.S(Pcfu43[[#This Row],[R1]:[R3]])/AVERAGE(Pcfu43[[#This Row],[R1]:[R3]])</f>
        <v>9.8974331861078721E-2</v>
      </c>
      <c r="V165" s="102">
        <v>0.25700000000000001</v>
      </c>
      <c r="W165" s="7"/>
      <c r="X165" t="s">
        <v>385</v>
      </c>
    </row>
    <row r="166" spans="1:24" x14ac:dyDescent="0.15">
      <c r="A166" t="s">
        <v>448</v>
      </c>
      <c r="B166" t="s">
        <v>882</v>
      </c>
      <c r="C166" s="4"/>
      <c r="D166" t="s">
        <v>37</v>
      </c>
      <c r="E166" s="3">
        <v>3</v>
      </c>
      <c r="G166">
        <v>0.3</v>
      </c>
      <c r="H166" s="5">
        <v>5.7</v>
      </c>
      <c r="I166" s="3" t="s">
        <v>170</v>
      </c>
      <c r="J166" s="59">
        <v>45005</v>
      </c>
      <c r="K166" s="59"/>
      <c r="L166" s="59" t="e" cm="1">
        <f t="array" ref="L166">INDEX($J$4:J1256, MATCH(1,(A166=$A$4:A1254)*("Y"=$K$4:K1256),0))</f>
        <v>#N/A</v>
      </c>
      <c r="M166" s="1">
        <v>100000</v>
      </c>
      <c r="N166">
        <v>11</v>
      </c>
      <c r="O166">
        <v>11</v>
      </c>
      <c r="P166">
        <v>11</v>
      </c>
      <c r="Q166" s="6">
        <f>(SUM(Pcfu43[[#This Row],[R1]:[R3]]))/(Pcfu43[[#This Row],[No. Reps]]*0.015)*Pcfu43[[#This Row],[Best DF]]</f>
        <v>73333333.333333343</v>
      </c>
      <c r="R166" s="1">
        <f>_xlfn.STDEV.S(Pcfu43[[#This Row],[R1]:[R3]])/0.015*Pcfu43[[#This Row],[Best DF]]</f>
        <v>0</v>
      </c>
      <c r="S166" s="6">
        <f>Pcfu43[[#This Row],[CFU/mL]]*Pcfu43[[#This Row],[mL]]/Pcfu43[[#This Row],[grams]]</f>
        <v>1393333333.3333335</v>
      </c>
      <c r="T166" s="1">
        <f>Pcfu43[[#This Row],[SD CFU/mL]]*Pcfu43[[#This Row],[mL]]/Pcfu43[[#This Row],[grams]]</f>
        <v>0</v>
      </c>
      <c r="U166" s="7">
        <f>_xlfn.STDEV.S(Pcfu43[[#This Row],[R1]:[R3]])/AVERAGE(Pcfu43[[#This Row],[R1]:[R3]])</f>
        <v>0</v>
      </c>
      <c r="V166" s="102">
        <v>0.17299999999999999</v>
      </c>
      <c r="W166" s="7"/>
      <c r="X166" t="s">
        <v>883</v>
      </c>
    </row>
    <row r="167" spans="1:24" x14ac:dyDescent="0.15">
      <c r="A167" t="s">
        <v>447</v>
      </c>
      <c r="B167" t="s">
        <v>482</v>
      </c>
      <c r="C167" s="4"/>
      <c r="D167" t="s">
        <v>37</v>
      </c>
      <c r="E167" s="3">
        <v>3</v>
      </c>
      <c r="G167">
        <v>0.3</v>
      </c>
      <c r="H167" s="5">
        <v>5.7</v>
      </c>
      <c r="I167" s="3" t="s">
        <v>170</v>
      </c>
      <c r="J167" s="59">
        <v>45005</v>
      </c>
      <c r="K167" s="59"/>
      <c r="L167" s="59" t="e" cm="1">
        <f t="array" ref="L167">INDEX($J$4:J1257, MATCH(1,(A167=$A$4:A1255)*("Y"=$K$4:K1257),0))</f>
        <v>#N/A</v>
      </c>
      <c r="M167" s="1">
        <v>100000</v>
      </c>
      <c r="N167">
        <v>90</v>
      </c>
      <c r="O167">
        <v>110</v>
      </c>
      <c r="P167">
        <v>110</v>
      </c>
      <c r="Q167" s="6">
        <f>(SUM(Pcfu43[[#This Row],[R1]:[R3]]))/(Pcfu43[[#This Row],[No. Reps]]*0.015)*Pcfu43[[#This Row],[Best DF]]</f>
        <v>688888888.88888896</v>
      </c>
      <c r="R167" s="1">
        <f>_xlfn.STDEV.S(Pcfu43[[#This Row],[R1]:[R3]])/0.015*Pcfu43[[#This Row],[Best DF]]</f>
        <v>76980035.891950116</v>
      </c>
      <c r="S167" s="6">
        <f>Pcfu43[[#This Row],[CFU/mL]]*Pcfu43[[#This Row],[mL]]/Pcfu43[[#This Row],[grams]]</f>
        <v>13088888888.888891</v>
      </c>
      <c r="T167" s="1">
        <f>Pcfu43[[#This Row],[SD CFU/mL]]*Pcfu43[[#This Row],[mL]]/Pcfu43[[#This Row],[grams]]</f>
        <v>1462620681.9470522</v>
      </c>
      <c r="U167" s="7">
        <f>_xlfn.STDEV.S(Pcfu43[[#This Row],[R1]:[R3]])/AVERAGE(Pcfu43[[#This Row],[R1]:[R3]])</f>
        <v>0.11174521339154049</v>
      </c>
      <c r="V167" s="102">
        <v>0.26900000000000002</v>
      </c>
      <c r="W167" s="7"/>
      <c r="X167" t="s">
        <v>884</v>
      </c>
    </row>
    <row r="168" spans="1:24" x14ac:dyDescent="0.15">
      <c r="A168" t="s">
        <v>448</v>
      </c>
      <c r="B168" t="s">
        <v>482</v>
      </c>
      <c r="C168" s="4"/>
      <c r="D168" t="s">
        <v>37</v>
      </c>
      <c r="E168" s="3">
        <v>3</v>
      </c>
      <c r="G168">
        <v>0.3</v>
      </c>
      <c r="H168" s="5">
        <v>5.7</v>
      </c>
      <c r="I168" s="3" t="s">
        <v>170</v>
      </c>
      <c r="J168" s="59">
        <v>45005</v>
      </c>
      <c r="K168" s="59"/>
      <c r="L168" s="59" t="e" cm="1">
        <f t="array" ref="L168">INDEX($J$4:J1258, MATCH(1,(A168=$A$4:A1256)*("Y"=$K$4:K1258),0))</f>
        <v>#N/A</v>
      </c>
      <c r="M168" s="1">
        <v>100000</v>
      </c>
      <c r="N168">
        <v>29</v>
      </c>
      <c r="O168">
        <v>31</v>
      </c>
      <c r="P168">
        <v>28</v>
      </c>
      <c r="Q168" s="6">
        <f>(SUM(Pcfu43[[#This Row],[R1]:[R3]]))/(Pcfu43[[#This Row],[No. Reps]]*0.015)*Pcfu43[[#This Row],[Best DF]]</f>
        <v>195555555.55555555</v>
      </c>
      <c r="R168" s="1">
        <f>_xlfn.STDEV.S(Pcfu43[[#This Row],[R1]:[R3]])/0.015*Pcfu43[[#This Row],[Best DF]]</f>
        <v>10183501.54434631</v>
      </c>
      <c r="S168" s="6">
        <f>Pcfu43[[#This Row],[CFU/mL]]*Pcfu43[[#This Row],[mL]]/Pcfu43[[#This Row],[grams]]</f>
        <v>3715555555.5555558</v>
      </c>
      <c r="T168" s="1">
        <f>Pcfu43[[#This Row],[SD CFU/mL]]*Pcfu43[[#This Row],[mL]]/Pcfu43[[#This Row],[grams]]</f>
        <v>193486529.3425799</v>
      </c>
      <c r="U168" s="7">
        <f>_xlfn.STDEV.S(Pcfu43[[#This Row],[R1]:[R3]])/AVERAGE(Pcfu43[[#This Row],[R1]:[R3]])</f>
        <v>5.2074723806316364E-2</v>
      </c>
      <c r="V168" s="102">
        <v>0.249</v>
      </c>
      <c r="W168" s="7"/>
      <c r="X168" t="s">
        <v>885</v>
      </c>
    </row>
    <row r="169" spans="1:24" x14ac:dyDescent="0.15">
      <c r="A169" t="s">
        <v>448</v>
      </c>
      <c r="B169" t="s">
        <v>593</v>
      </c>
      <c r="C169" s="4"/>
      <c r="D169" t="s">
        <v>37</v>
      </c>
      <c r="E169" s="3">
        <v>3</v>
      </c>
      <c r="G169">
        <v>0.3</v>
      </c>
      <c r="H169" s="5">
        <v>5.7</v>
      </c>
      <c r="I169" s="3" t="s">
        <v>170</v>
      </c>
      <c r="J169" s="59">
        <v>45005</v>
      </c>
      <c r="K169" s="59"/>
      <c r="L169" s="59" t="e" cm="1">
        <f t="array" ref="L169">INDEX($J$4:J1259, MATCH(1,(A169=$A$4:A1257)*("Y"=$K$4:K1259),0))</f>
        <v>#N/A</v>
      </c>
      <c r="M169" s="1">
        <v>1000000</v>
      </c>
      <c r="N169">
        <v>168</v>
      </c>
      <c r="O169">
        <v>174</v>
      </c>
      <c r="P169">
        <v>153</v>
      </c>
      <c r="Q169" s="6">
        <f>(SUM(Pcfu43[[#This Row],[R1]:[R3]]))/(Pcfu43[[#This Row],[No. Reps]]*0.015)*Pcfu43[[#This Row],[Best DF]]</f>
        <v>11000000000</v>
      </c>
      <c r="R169" s="1">
        <f>_xlfn.STDEV.S(Pcfu43[[#This Row],[R1]:[R3]])/0.015*Pcfu43[[#This Row],[Best DF]]</f>
        <v>721110255.09279799</v>
      </c>
      <c r="S169" s="6">
        <f>Pcfu43[[#This Row],[CFU/mL]]*Pcfu43[[#This Row],[mL]]/Pcfu43[[#This Row],[grams]]</f>
        <v>209000000000</v>
      </c>
      <c r="T169" s="1">
        <f>Pcfu43[[#This Row],[SD CFU/mL]]*Pcfu43[[#This Row],[mL]]/Pcfu43[[#This Row],[grams]]</f>
        <v>13701094846.763163</v>
      </c>
      <c r="U169" s="7">
        <f>_xlfn.STDEV.S(Pcfu43[[#This Row],[R1]:[R3]])/AVERAGE(Pcfu43[[#This Row],[R1]:[R3]])</f>
        <v>6.5555477735708897E-2</v>
      </c>
      <c r="V169" s="102">
        <v>0.13600000000000001</v>
      </c>
      <c r="W169" s="7"/>
      <c r="X169" t="s">
        <v>886</v>
      </c>
    </row>
    <row r="170" spans="1:24" x14ac:dyDescent="0.15">
      <c r="A170" t="s">
        <v>447</v>
      </c>
      <c r="B170" t="s">
        <v>526</v>
      </c>
      <c r="C170" s="4"/>
      <c r="D170" t="s">
        <v>37</v>
      </c>
      <c r="E170" s="3">
        <v>3</v>
      </c>
      <c r="G170">
        <v>0.3</v>
      </c>
      <c r="H170" s="5">
        <v>5.7</v>
      </c>
      <c r="I170" s="3" t="s">
        <v>170</v>
      </c>
      <c r="J170" s="59">
        <v>45005</v>
      </c>
      <c r="K170" s="59"/>
      <c r="L170" s="59" t="e" cm="1">
        <f t="array" ref="L170">INDEX($J$4:J1260, MATCH(1,(A170=$A$4:A1258)*("Y"=$K$4:K1260),0))</f>
        <v>#N/A</v>
      </c>
      <c r="M170" s="1">
        <v>1000000</v>
      </c>
      <c r="N170">
        <v>30</v>
      </c>
      <c r="O170">
        <v>34</v>
      </c>
      <c r="P170">
        <v>27</v>
      </c>
      <c r="Q170" s="6">
        <f>(SUM(Pcfu43[[#This Row],[R1]:[R3]]))/(Pcfu43[[#This Row],[No. Reps]]*0.015)*Pcfu43[[#This Row],[Best DF]]</f>
        <v>2022222222.2222223</v>
      </c>
      <c r="R170" s="1">
        <f>_xlfn.STDEV.S(Pcfu43[[#This Row],[R1]:[R3]])/0.015*Pcfu43[[#This Row],[Best DF]]</f>
        <v>234125638.95228311</v>
      </c>
      <c r="S170" s="6">
        <f>Pcfu43[[#This Row],[CFU/mL]]*Pcfu43[[#This Row],[mL]]/Pcfu43[[#This Row],[grams]]</f>
        <v>38422222222.222229</v>
      </c>
      <c r="T170" s="1">
        <f>Pcfu43[[#This Row],[SD CFU/mL]]*Pcfu43[[#This Row],[mL]]/Pcfu43[[#This Row],[grams]]</f>
        <v>4448387140.093379</v>
      </c>
      <c r="U170" s="7">
        <f>_xlfn.STDEV.S(Pcfu43[[#This Row],[R1]:[R3]])/AVERAGE(Pcfu43[[#This Row],[R1]:[R3]])</f>
        <v>0.11577641486651363</v>
      </c>
      <c r="V170" s="102">
        <v>0.26700000000000002</v>
      </c>
      <c r="W170" s="7"/>
      <c r="X170" t="s">
        <v>452</v>
      </c>
    </row>
    <row r="171" spans="1:24" x14ac:dyDescent="0.15">
      <c r="A171" t="s">
        <v>448</v>
      </c>
      <c r="B171" t="s">
        <v>526</v>
      </c>
      <c r="C171" s="4"/>
      <c r="D171" t="s">
        <v>37</v>
      </c>
      <c r="E171" s="3">
        <v>3</v>
      </c>
      <c r="G171">
        <v>0.3</v>
      </c>
      <c r="H171" s="5">
        <v>5.7</v>
      </c>
      <c r="I171" s="3" t="s">
        <v>170</v>
      </c>
      <c r="J171" s="59">
        <v>45005</v>
      </c>
      <c r="K171" s="59"/>
      <c r="L171" s="59" t="e" cm="1">
        <f t="array" ref="L171">INDEX($J$4:J1261, MATCH(1,(A171=$A$4:A1259)*("Y"=$K$4:K1261),0))</f>
        <v>#N/A</v>
      </c>
      <c r="M171" s="1">
        <v>1000000</v>
      </c>
      <c r="N171">
        <v>82</v>
      </c>
      <c r="O171">
        <v>68</v>
      </c>
      <c r="P171">
        <v>72</v>
      </c>
      <c r="Q171" s="6">
        <f>(SUM(Pcfu43[[#This Row],[R1]:[R3]]))/(Pcfu43[[#This Row],[No. Reps]]*0.015)*Pcfu43[[#This Row],[Best DF]]</f>
        <v>4933333333.333334</v>
      </c>
      <c r="R171" s="1">
        <f>_xlfn.STDEV.S(Pcfu43[[#This Row],[R1]:[R3]])/0.015*Pcfu43[[#This Row],[Best DF]]</f>
        <v>480740170.06186521</v>
      </c>
      <c r="S171" s="6">
        <f>Pcfu43[[#This Row],[CFU/mL]]*Pcfu43[[#This Row],[mL]]/Pcfu43[[#This Row],[grams]]</f>
        <v>93733333333.333344</v>
      </c>
      <c r="T171" s="1">
        <f>Pcfu43[[#This Row],[SD CFU/mL]]*Pcfu43[[#This Row],[mL]]/Pcfu43[[#This Row],[grams]]</f>
        <v>9134063231.1754398</v>
      </c>
      <c r="U171" s="7">
        <f>_xlfn.STDEV.S(Pcfu43[[#This Row],[R1]:[R3]])/AVERAGE(Pcfu43[[#This Row],[R1]:[R3]])</f>
        <v>9.7447331769296999E-2</v>
      </c>
      <c r="V171" s="102">
        <v>0.19</v>
      </c>
      <c r="W171" s="7"/>
      <c r="X171" t="s">
        <v>559</v>
      </c>
    </row>
    <row r="172" spans="1:24" x14ac:dyDescent="0.15">
      <c r="A172" t="s">
        <v>887</v>
      </c>
      <c r="B172" t="s">
        <v>564</v>
      </c>
      <c r="C172" s="4"/>
      <c r="D172" t="s">
        <v>86</v>
      </c>
      <c r="E172" s="3">
        <v>3</v>
      </c>
      <c r="G172">
        <v>0.3</v>
      </c>
      <c r="H172" s="5">
        <v>5.7</v>
      </c>
      <c r="I172" s="3" t="s">
        <v>170</v>
      </c>
      <c r="J172" s="59">
        <v>45006</v>
      </c>
      <c r="K172" s="59"/>
      <c r="L172" s="59" t="e" cm="1">
        <f t="array" ref="L172">INDEX($J$4:J1262, MATCH(1,(A172=$A$4:A1260)*("Y"=$K$4:K1262),0))</f>
        <v>#N/A</v>
      </c>
      <c r="M172" s="1">
        <v>10000000</v>
      </c>
      <c r="N172">
        <v>52</v>
      </c>
      <c r="O172">
        <v>52</v>
      </c>
      <c r="P172">
        <v>42</v>
      </c>
      <c r="Q172" s="6">
        <f>(SUM(Pcfu43[[#This Row],[R1]:[R3]]))/(Pcfu43[[#This Row],[No. Reps]]*0.015)*Pcfu43[[#This Row],[Best DF]]</f>
        <v>32444444444.444443</v>
      </c>
      <c r="R172" s="1">
        <f>_xlfn.STDEV.S(Pcfu43[[#This Row],[R1]:[R3]])/0.015*Pcfu43[[#This Row],[Best DF]]</f>
        <v>3849001794.5975056</v>
      </c>
      <c r="S172" s="6">
        <f>Pcfu43[[#This Row],[CFU/mL]]*Pcfu43[[#This Row],[mL]]/Pcfu43[[#This Row],[grams]]</f>
        <v>616444444444.44446</v>
      </c>
      <c r="T172" s="1">
        <f>Pcfu43[[#This Row],[SD CFU/mL]]*Pcfu43[[#This Row],[mL]]/Pcfu43[[#This Row],[grams]]</f>
        <v>73131034097.352615</v>
      </c>
      <c r="U172" s="7">
        <f>_xlfn.STDEV.S(Pcfu43[[#This Row],[R1]:[R3]])/AVERAGE(Pcfu43[[#This Row],[R1]:[R3]])</f>
        <v>0.11863361695677244</v>
      </c>
      <c r="V172" s="102"/>
      <c r="W172" s="7"/>
    </row>
    <row r="173" spans="1:24" x14ac:dyDescent="0.15">
      <c r="A173" t="s">
        <v>888</v>
      </c>
      <c r="B173" t="s">
        <v>564</v>
      </c>
      <c r="C173" s="4"/>
      <c r="D173" t="s">
        <v>86</v>
      </c>
      <c r="E173" s="3">
        <v>3</v>
      </c>
      <c r="G173">
        <v>0.3</v>
      </c>
      <c r="H173" s="5">
        <v>5.7</v>
      </c>
      <c r="I173" s="3" t="s">
        <v>170</v>
      </c>
      <c r="J173" s="59">
        <v>45006</v>
      </c>
      <c r="K173" s="59"/>
      <c r="L173" s="59" t="e" cm="1">
        <f t="array" ref="L173">INDEX($J$4:J1263, MATCH(1,(A173=$A$4:A1261)*("Y"=$K$4:K1263),0))</f>
        <v>#N/A</v>
      </c>
      <c r="M173" s="1">
        <v>10000000</v>
      </c>
      <c r="N173">
        <v>38</v>
      </c>
      <c r="O173">
        <v>62</v>
      </c>
      <c r="P173">
        <v>46</v>
      </c>
      <c r="Q173" s="6">
        <f>(SUM(Pcfu43[[#This Row],[R1]:[R3]]))/(Pcfu43[[#This Row],[No. Reps]]*0.015)*Pcfu43[[#This Row],[Best DF]]</f>
        <v>32444444444.444443</v>
      </c>
      <c r="R173" s="1">
        <f>_xlfn.STDEV.S(Pcfu43[[#This Row],[R1]:[R3]])/0.015*Pcfu43[[#This Row],[Best DF]]</f>
        <v>8146801235.4770527</v>
      </c>
      <c r="S173" s="6">
        <f>Pcfu43[[#This Row],[CFU/mL]]*Pcfu43[[#This Row],[mL]]/Pcfu43[[#This Row],[grams]]</f>
        <v>616444444444.44446</v>
      </c>
      <c r="T173" s="1">
        <f>Pcfu43[[#This Row],[SD CFU/mL]]*Pcfu43[[#This Row],[mL]]/Pcfu43[[#This Row],[grams]]</f>
        <v>154789223474.064</v>
      </c>
      <c r="U173" s="7">
        <f>_xlfn.STDEV.S(Pcfu43[[#This Row],[R1]:[R3]])/AVERAGE(Pcfu43[[#This Row],[R1]:[R3]])</f>
        <v>0.25110003807977221</v>
      </c>
      <c r="V173" s="102"/>
      <c r="W173" s="7"/>
    </row>
    <row r="174" spans="1:24" x14ac:dyDescent="0.15">
      <c r="A174" t="s">
        <v>889</v>
      </c>
      <c r="B174" t="s">
        <v>564</v>
      </c>
      <c r="C174" s="4"/>
      <c r="D174" t="s">
        <v>86</v>
      </c>
      <c r="E174" s="3">
        <v>3</v>
      </c>
      <c r="G174">
        <v>0.3</v>
      </c>
      <c r="H174" s="5">
        <v>5.7</v>
      </c>
      <c r="I174" s="3" t="s">
        <v>170</v>
      </c>
      <c r="J174" s="59">
        <v>45006</v>
      </c>
      <c r="K174" s="59"/>
      <c r="L174" s="59" t="e" cm="1">
        <f t="array" ref="L174">INDEX($J$4:J1264, MATCH(1,(A174=$A$4:A1262)*("Y"=$K$4:K1264),0))</f>
        <v>#N/A</v>
      </c>
      <c r="M174" s="1">
        <v>10000000</v>
      </c>
      <c r="N174">
        <v>54</v>
      </c>
      <c r="O174">
        <v>58</v>
      </c>
      <c r="P174">
        <v>45</v>
      </c>
      <c r="Q174" s="6">
        <f>(SUM(Pcfu43[[#This Row],[R1]:[R3]]))/(Pcfu43[[#This Row],[No. Reps]]*0.015)*Pcfu43[[#This Row],[Best DF]]</f>
        <v>34888888888.888893</v>
      </c>
      <c r="R174" s="1">
        <f>_xlfn.STDEV.S(Pcfu43[[#This Row],[R1]:[R3]])/0.015*Pcfu43[[#This Row],[Best DF]]</f>
        <v>4438885412.3195801</v>
      </c>
      <c r="S174" s="6">
        <f>Pcfu43[[#This Row],[CFU/mL]]*Pcfu43[[#This Row],[mL]]/Pcfu43[[#This Row],[grams]]</f>
        <v>662888888888.88904</v>
      </c>
      <c r="T174" s="1">
        <f>Pcfu43[[#This Row],[SD CFU/mL]]*Pcfu43[[#This Row],[mL]]/Pcfu43[[#This Row],[grams]]</f>
        <v>84338822834.072021</v>
      </c>
      <c r="U174" s="7">
        <f>_xlfn.STDEV.S(Pcfu43[[#This Row],[R1]:[R3]])/AVERAGE(Pcfu43[[#This Row],[R1]:[R3]])</f>
        <v>0.12722919971616631</v>
      </c>
      <c r="V174" s="102"/>
      <c r="W174" s="7"/>
    </row>
    <row r="175" spans="1:24" x14ac:dyDescent="0.15">
      <c r="A175" t="s">
        <v>890</v>
      </c>
      <c r="B175" t="s">
        <v>564</v>
      </c>
      <c r="C175" s="4"/>
      <c r="D175" t="s">
        <v>86</v>
      </c>
      <c r="E175" s="3">
        <v>3</v>
      </c>
      <c r="G175">
        <v>0.3</v>
      </c>
      <c r="H175" s="5">
        <v>5.7</v>
      </c>
      <c r="I175" s="3" t="s">
        <v>170</v>
      </c>
      <c r="J175" s="59">
        <v>45006</v>
      </c>
      <c r="K175" s="59"/>
      <c r="L175" s="59" t="e" cm="1">
        <f t="array" ref="L175">INDEX($J$4:J1265, MATCH(1,(A175=$A$4:A1263)*("Y"=$K$4:K1265),0))</f>
        <v>#N/A</v>
      </c>
      <c r="M175" s="1">
        <v>10000000</v>
      </c>
      <c r="N175">
        <v>48</v>
      </c>
      <c r="O175">
        <v>42</v>
      </c>
      <c r="P175">
        <v>45</v>
      </c>
      <c r="Q175" s="6">
        <f>(SUM(Pcfu43[[#This Row],[R1]:[R3]]))/(Pcfu43[[#This Row],[No. Reps]]*0.015)*Pcfu43[[#This Row],[Best DF]]</f>
        <v>30000000000</v>
      </c>
      <c r="R175" s="1">
        <f>_xlfn.STDEV.S(Pcfu43[[#This Row],[R1]:[R3]])/0.015*Pcfu43[[#This Row],[Best DF]]</f>
        <v>2000000000</v>
      </c>
      <c r="S175" s="6">
        <f>Pcfu43[[#This Row],[CFU/mL]]*Pcfu43[[#This Row],[mL]]/Pcfu43[[#This Row],[grams]]</f>
        <v>570000000000</v>
      </c>
      <c r="T175" s="1">
        <f>Pcfu43[[#This Row],[SD CFU/mL]]*Pcfu43[[#This Row],[mL]]/Pcfu43[[#This Row],[grams]]</f>
        <v>38000000000</v>
      </c>
      <c r="U175" s="7">
        <f>_xlfn.STDEV.S(Pcfu43[[#This Row],[R1]:[R3]])/AVERAGE(Pcfu43[[#This Row],[R1]:[R3]])</f>
        <v>6.6666666666666666E-2</v>
      </c>
      <c r="V175" s="102"/>
      <c r="W175" s="7"/>
    </row>
    <row r="176" spans="1:24" x14ac:dyDescent="0.15">
      <c r="A176" t="s">
        <v>891</v>
      </c>
      <c r="B176" t="s">
        <v>482</v>
      </c>
      <c r="C176" s="4"/>
      <c r="D176" t="s">
        <v>86</v>
      </c>
      <c r="E176" s="3">
        <v>3</v>
      </c>
      <c r="G176">
        <v>0.3</v>
      </c>
      <c r="H176" s="5">
        <v>5.7</v>
      </c>
      <c r="I176" s="3" t="s">
        <v>170</v>
      </c>
      <c r="J176" s="59">
        <v>45006</v>
      </c>
      <c r="K176" s="59"/>
      <c r="L176" s="59" t="e" cm="1">
        <f t="array" ref="L176">INDEX($J$4:J1266, MATCH(1,(A176=$A$4:A1264)*("Y"=$K$4:K1266),0))</f>
        <v>#N/A</v>
      </c>
      <c r="M176" s="1">
        <v>1000000</v>
      </c>
      <c r="N176">
        <v>67</v>
      </c>
      <c r="O176">
        <v>40</v>
      </c>
      <c r="P176">
        <v>54</v>
      </c>
      <c r="Q176" s="6">
        <f>(SUM(Pcfu43[[#This Row],[R1]:[R3]]))/(Pcfu43[[#This Row],[No. Reps]]*0.015)*Pcfu43[[#This Row],[Best DF]]</f>
        <v>3577777777.7777777</v>
      </c>
      <c r="R176" s="1">
        <f>_xlfn.STDEV.S(Pcfu43[[#This Row],[R1]:[R3]])/0.015*Pcfu43[[#This Row],[Best DF]]</f>
        <v>900205737.8012923</v>
      </c>
      <c r="S176" s="6">
        <f>Pcfu43[[#This Row],[CFU/mL]]*Pcfu43[[#This Row],[mL]]/Pcfu43[[#This Row],[grams]]</f>
        <v>67977777777.777779</v>
      </c>
      <c r="T176" s="1">
        <f>Pcfu43[[#This Row],[SD CFU/mL]]*Pcfu43[[#This Row],[mL]]/Pcfu43[[#This Row],[grams]]</f>
        <v>17103909018.224554</v>
      </c>
      <c r="U176" s="7">
        <f>_xlfn.STDEV.S(Pcfu43[[#This Row],[R1]:[R3]])/AVERAGE(Pcfu43[[#This Row],[R1]:[R3]])</f>
        <v>0.25161029938545437</v>
      </c>
      <c r="V176" s="102">
        <v>0.27700000000000002</v>
      </c>
      <c r="W176" s="7"/>
      <c r="X176" t="s">
        <v>892</v>
      </c>
    </row>
    <row r="177" spans="1:24" x14ac:dyDescent="0.15">
      <c r="A177" t="s">
        <v>893</v>
      </c>
      <c r="B177" t="s">
        <v>482</v>
      </c>
      <c r="C177" s="4"/>
      <c r="D177" t="s">
        <v>86</v>
      </c>
      <c r="E177" s="3">
        <v>3</v>
      </c>
      <c r="G177">
        <v>0.3</v>
      </c>
      <c r="H177" s="5">
        <v>5.7</v>
      </c>
      <c r="I177" s="3" t="s">
        <v>170</v>
      </c>
      <c r="J177" s="59">
        <v>45006</v>
      </c>
      <c r="K177" s="59"/>
      <c r="L177" s="59" t="e" cm="1">
        <f t="array" ref="L177">INDEX($J$4:J1267, MATCH(1,(A177=$A$4:A1265)*("Y"=$K$4:K1267),0))</f>
        <v>#N/A</v>
      </c>
      <c r="M177" s="1">
        <v>1000000</v>
      </c>
      <c r="N177">
        <v>32</v>
      </c>
      <c r="O177">
        <v>23</v>
      </c>
      <c r="P177">
        <v>23</v>
      </c>
      <c r="Q177" s="6">
        <f>(SUM(Pcfu43[[#This Row],[R1]:[R3]]))/(Pcfu43[[#This Row],[No. Reps]]*0.015)*Pcfu43[[#This Row],[Best DF]]</f>
        <v>1733333333.3333335</v>
      </c>
      <c r="R177" s="1">
        <f>_xlfn.STDEV.S(Pcfu43[[#This Row],[R1]:[R3]])/0.015*Pcfu43[[#This Row],[Best DF]]</f>
        <v>346410161.51377553</v>
      </c>
      <c r="S177" s="6">
        <f>Pcfu43[[#This Row],[CFU/mL]]*Pcfu43[[#This Row],[mL]]/Pcfu43[[#This Row],[grams]]</f>
        <v>32933333333.33334</v>
      </c>
      <c r="T177" s="1">
        <f>Pcfu43[[#This Row],[SD CFU/mL]]*Pcfu43[[#This Row],[mL]]/Pcfu43[[#This Row],[grams]]</f>
        <v>6581793068.761735</v>
      </c>
      <c r="U177" s="7">
        <f>_xlfn.STDEV.S(Pcfu43[[#This Row],[R1]:[R3]])/AVERAGE(Pcfu43[[#This Row],[R1]:[R3]])</f>
        <v>0.19985201625794738</v>
      </c>
      <c r="V177" s="102">
        <v>0.27400000000000002</v>
      </c>
      <c r="W177" s="7"/>
      <c r="X177" t="s">
        <v>894</v>
      </c>
    </row>
    <row r="178" spans="1:24" x14ac:dyDescent="0.15">
      <c r="A178" t="s">
        <v>895</v>
      </c>
      <c r="B178" t="s">
        <v>482</v>
      </c>
      <c r="C178" s="4"/>
      <c r="D178" t="s">
        <v>86</v>
      </c>
      <c r="E178" s="3">
        <v>2</v>
      </c>
      <c r="G178">
        <v>0.3</v>
      </c>
      <c r="H178" s="5">
        <v>5.7</v>
      </c>
      <c r="I178" s="3" t="s">
        <v>170</v>
      </c>
      <c r="J178" s="59">
        <v>45006</v>
      </c>
      <c r="K178" s="59"/>
      <c r="L178" s="59" t="e" cm="1">
        <f t="array" ref="L178">INDEX($J$4:J1268, MATCH(1,(A178=$A$4:A1266)*("Y"=$K$4:K1268),0))</f>
        <v>#N/A</v>
      </c>
      <c r="M178" s="1">
        <v>1000000</v>
      </c>
      <c r="N178">
        <v>23</v>
      </c>
      <c r="O178">
        <v>19</v>
      </c>
      <c r="Q178" s="6">
        <f>(SUM(Pcfu43[[#This Row],[R1]:[R3]]))/(Pcfu43[[#This Row],[No. Reps]]*0.015)*Pcfu43[[#This Row],[Best DF]]</f>
        <v>1400000000</v>
      </c>
      <c r="R178" s="1">
        <f>_xlfn.STDEV.S(Pcfu43[[#This Row],[R1]:[R3]])/0.015*Pcfu43[[#This Row],[Best DF]]</f>
        <v>188561808.31641269</v>
      </c>
      <c r="S178" s="6">
        <f>Pcfu43[[#This Row],[CFU/mL]]*Pcfu43[[#This Row],[mL]]/Pcfu43[[#This Row],[grams]]</f>
        <v>26600000000</v>
      </c>
      <c r="T178" s="1">
        <f>Pcfu43[[#This Row],[SD CFU/mL]]*Pcfu43[[#This Row],[mL]]/Pcfu43[[#This Row],[grams]]</f>
        <v>3582674358.0118413</v>
      </c>
      <c r="U178" s="7">
        <f>_xlfn.STDEV.S(Pcfu43[[#This Row],[R1]:[R3]])/AVERAGE(Pcfu43[[#This Row],[R1]:[R3]])</f>
        <v>0.13468700594029479</v>
      </c>
      <c r="V178" s="102">
        <v>0.251</v>
      </c>
      <c r="W178" s="7"/>
      <c r="X178" t="s">
        <v>896</v>
      </c>
    </row>
    <row r="179" spans="1:24" x14ac:dyDescent="0.15">
      <c r="A179" t="s">
        <v>897</v>
      </c>
      <c r="B179" t="s">
        <v>482</v>
      </c>
      <c r="C179" s="4"/>
      <c r="D179" t="s">
        <v>86</v>
      </c>
      <c r="E179" s="3">
        <v>3</v>
      </c>
      <c r="G179">
        <v>0.3</v>
      </c>
      <c r="H179" s="5">
        <v>5.7</v>
      </c>
      <c r="I179" s="3" t="s">
        <v>170</v>
      </c>
      <c r="J179" s="59">
        <v>45006</v>
      </c>
      <c r="K179" s="59"/>
      <c r="L179" s="59" t="e" cm="1">
        <f t="array" ref="L179">INDEX($J$4:J1269, MATCH(1,(A179=$A$4:A1267)*("Y"=$K$4:K1269),0))</f>
        <v>#N/A</v>
      </c>
      <c r="M179" s="1">
        <v>1000000</v>
      </c>
      <c r="N179">
        <v>23</v>
      </c>
      <c r="O179">
        <v>16</v>
      </c>
      <c r="P179">
        <v>26</v>
      </c>
      <c r="Q179" s="6">
        <f>(SUM(Pcfu43[[#This Row],[R1]:[R3]]))/(Pcfu43[[#This Row],[No. Reps]]*0.015)*Pcfu43[[#This Row],[Best DF]]</f>
        <v>1444444444.4444447</v>
      </c>
      <c r="R179" s="1">
        <f>_xlfn.STDEV.S(Pcfu43[[#This Row],[R1]:[R3]])/0.015*Pcfu43[[#This Row],[Best DF]]</f>
        <v>342106762.62979251</v>
      </c>
      <c r="S179" s="6">
        <f>Pcfu43[[#This Row],[CFU/mL]]*Pcfu43[[#This Row],[mL]]/Pcfu43[[#This Row],[grams]]</f>
        <v>27444444444.44445</v>
      </c>
      <c r="T179" s="1">
        <f>Pcfu43[[#This Row],[SD CFU/mL]]*Pcfu43[[#This Row],[mL]]/Pcfu43[[#This Row],[grams]]</f>
        <v>6500028489.9660578</v>
      </c>
      <c r="U179" s="7">
        <f>_xlfn.STDEV.S(Pcfu43[[#This Row],[R1]:[R3]])/AVERAGE(Pcfu43[[#This Row],[R1]:[R3]])</f>
        <v>0.2368431433590871</v>
      </c>
      <c r="V179" s="102">
        <v>0.25800000000000001</v>
      </c>
      <c r="W179" s="7"/>
      <c r="X179" t="s">
        <v>871</v>
      </c>
    </row>
    <row r="180" spans="1:24" x14ac:dyDescent="0.15">
      <c r="A180" t="s">
        <v>898</v>
      </c>
      <c r="B180" t="s">
        <v>482</v>
      </c>
      <c r="C180" s="4"/>
      <c r="D180" t="s">
        <v>86</v>
      </c>
      <c r="E180" s="3">
        <v>3</v>
      </c>
      <c r="G180">
        <v>0.3</v>
      </c>
      <c r="H180" s="5">
        <v>5.7</v>
      </c>
      <c r="I180" s="3" t="s">
        <v>170</v>
      </c>
      <c r="J180" s="59">
        <v>45006</v>
      </c>
      <c r="K180" s="59"/>
      <c r="L180" s="59" t="e" cm="1">
        <f t="array" ref="L180">INDEX($J$4:J1270, MATCH(1,(A180=$A$4:A1268)*("Y"=$K$4:K1270),0))</f>
        <v>#N/A</v>
      </c>
      <c r="M180" s="1">
        <v>1000000</v>
      </c>
      <c r="N180">
        <v>74</v>
      </c>
      <c r="O180">
        <v>73</v>
      </c>
      <c r="P180">
        <v>67</v>
      </c>
      <c r="Q180" s="6">
        <f>(SUM(Pcfu43[[#This Row],[R1]:[R3]]))/(Pcfu43[[#This Row],[No. Reps]]*0.015)*Pcfu43[[#This Row],[Best DF]]</f>
        <v>4755555555.5555553</v>
      </c>
      <c r="R180" s="1">
        <f>_xlfn.STDEV.S(Pcfu43[[#This Row],[R1]:[R3]])/0.015*Pcfu43[[#This Row],[Best DF]]</f>
        <v>252395926.48001218</v>
      </c>
      <c r="S180" s="6">
        <f>Pcfu43[[#This Row],[CFU/mL]]*Pcfu43[[#This Row],[mL]]/Pcfu43[[#This Row],[grams]]</f>
        <v>90355555555.555557</v>
      </c>
      <c r="T180" s="1">
        <f>Pcfu43[[#This Row],[SD CFU/mL]]*Pcfu43[[#This Row],[mL]]/Pcfu43[[#This Row],[grams]]</f>
        <v>4795522603.1202316</v>
      </c>
      <c r="U180" s="7">
        <f>_xlfn.STDEV.S(Pcfu43[[#This Row],[R1]:[R3]])/AVERAGE(Pcfu43[[#This Row],[R1]:[R3]])</f>
        <v>5.3073909773834339E-2</v>
      </c>
      <c r="V180" s="102">
        <v>0.26300000000000001</v>
      </c>
      <c r="W180" s="7"/>
      <c r="X180" t="s">
        <v>899</v>
      </c>
    </row>
    <row r="181" spans="1:24" x14ac:dyDescent="0.15">
      <c r="A181" t="s">
        <v>900</v>
      </c>
      <c r="B181" t="s">
        <v>482</v>
      </c>
      <c r="C181" s="4"/>
      <c r="D181" t="s">
        <v>86</v>
      </c>
      <c r="E181" s="3">
        <v>3</v>
      </c>
      <c r="G181">
        <v>0.3</v>
      </c>
      <c r="H181" s="5">
        <v>5.7</v>
      </c>
      <c r="I181" s="3" t="s">
        <v>170</v>
      </c>
      <c r="J181" s="59">
        <v>45006</v>
      </c>
      <c r="K181" s="59"/>
      <c r="L181" s="59" t="e" cm="1">
        <f t="array" ref="L181">INDEX($J$4:J1271, MATCH(1,(A181=$A$4:A1269)*("Y"=$K$4:K1271),0))</f>
        <v>#N/A</v>
      </c>
      <c r="M181" s="1">
        <v>1000000</v>
      </c>
      <c r="N181">
        <v>58</v>
      </c>
      <c r="O181">
        <v>68</v>
      </c>
      <c r="P181">
        <v>65</v>
      </c>
      <c r="Q181" s="6">
        <f>(SUM(Pcfu43[[#This Row],[R1]:[R3]]))/(Pcfu43[[#This Row],[No. Reps]]*0.015)*Pcfu43[[#This Row],[Best DF]]</f>
        <v>4244444444.4444442</v>
      </c>
      <c r="R181" s="1">
        <f>_xlfn.STDEV.S(Pcfu43[[#This Row],[R1]:[R3]])/0.015*Pcfu43[[#This Row],[Best DF]]</f>
        <v>342106762.62979227</v>
      </c>
      <c r="S181" s="6">
        <f>Pcfu43[[#This Row],[CFU/mL]]*Pcfu43[[#This Row],[mL]]/Pcfu43[[#This Row],[grams]]</f>
        <v>80644444444.444443</v>
      </c>
      <c r="T181" s="1">
        <f>Pcfu43[[#This Row],[SD CFU/mL]]*Pcfu43[[#This Row],[mL]]/Pcfu43[[#This Row],[grams]]</f>
        <v>6500028489.966053</v>
      </c>
      <c r="U181" s="7">
        <f>_xlfn.STDEV.S(Pcfu43[[#This Row],[R1]:[R3]])/AVERAGE(Pcfu43[[#This Row],[R1]:[R3]])</f>
        <v>8.060106972953221E-2</v>
      </c>
      <c r="V181" s="102">
        <v>0.253</v>
      </c>
      <c r="W181" s="7"/>
      <c r="X181" t="s">
        <v>901</v>
      </c>
    </row>
    <row r="182" spans="1:24" x14ac:dyDescent="0.15">
      <c r="A182" t="s">
        <v>902</v>
      </c>
      <c r="B182" t="s">
        <v>482</v>
      </c>
      <c r="C182" s="4"/>
      <c r="D182" t="s">
        <v>86</v>
      </c>
      <c r="E182" s="3">
        <v>3</v>
      </c>
      <c r="G182">
        <v>0.3</v>
      </c>
      <c r="H182" s="5">
        <v>5.7</v>
      </c>
      <c r="I182" s="3" t="s">
        <v>170</v>
      </c>
      <c r="J182" s="59">
        <v>45006</v>
      </c>
      <c r="K182" s="59"/>
      <c r="L182" s="59" t="e" cm="1">
        <f t="array" ref="L182">INDEX($J$4:J1272, MATCH(1,(A182=$A$4:A1270)*("Y"=$K$4:K1272),0))</f>
        <v>#N/A</v>
      </c>
      <c r="M182" s="1">
        <v>1000000</v>
      </c>
      <c r="N182">
        <v>22</v>
      </c>
      <c r="O182">
        <v>26</v>
      </c>
      <c r="P182">
        <v>33</v>
      </c>
      <c r="Q182" s="6">
        <f>(SUM(Pcfu43[[#This Row],[R1]:[R3]]))/(Pcfu43[[#This Row],[No. Reps]]*0.015)*Pcfu43[[#This Row],[Best DF]]</f>
        <v>1800000000</v>
      </c>
      <c r="R182" s="1">
        <f>_xlfn.STDEV.S(Pcfu43[[#This Row],[R1]:[R3]])/0.015*Pcfu43[[#This Row],[Best DF]]</f>
        <v>371184290.85533476</v>
      </c>
      <c r="S182" s="6">
        <f>Pcfu43[[#This Row],[CFU/mL]]*Pcfu43[[#This Row],[mL]]/Pcfu43[[#This Row],[grams]]</f>
        <v>34200000000</v>
      </c>
      <c r="T182" s="1">
        <f>Pcfu43[[#This Row],[SD CFU/mL]]*Pcfu43[[#This Row],[mL]]/Pcfu43[[#This Row],[grams]]</f>
        <v>7052501526.2513609</v>
      </c>
      <c r="U182" s="7">
        <f>_xlfn.STDEV.S(Pcfu43[[#This Row],[R1]:[R3]])/AVERAGE(Pcfu43[[#This Row],[R1]:[R3]])</f>
        <v>0.20621349491963042</v>
      </c>
      <c r="V182" s="102">
        <v>0.23599999999999999</v>
      </c>
      <c r="W182" s="7"/>
      <c r="X182" t="s">
        <v>903</v>
      </c>
    </row>
    <row r="183" spans="1:24" x14ac:dyDescent="0.15">
      <c r="A183" t="s">
        <v>904</v>
      </c>
      <c r="B183" t="s">
        <v>854</v>
      </c>
      <c r="C183" s="4"/>
      <c r="D183" t="s">
        <v>86</v>
      </c>
      <c r="E183" s="3">
        <v>3</v>
      </c>
      <c r="G183">
        <v>0.3</v>
      </c>
      <c r="H183" s="5">
        <v>5.7</v>
      </c>
      <c r="I183" s="3" t="s">
        <v>170</v>
      </c>
      <c r="J183" s="59">
        <v>45007</v>
      </c>
      <c r="K183" s="59"/>
      <c r="L183" s="59" t="e" cm="1">
        <f t="array" ref="L183">INDEX($J$4:J1273, MATCH(1,(A183=$A$4:A1271)*("Y"=$K$4:K1273),0))</f>
        <v>#N/A</v>
      </c>
      <c r="M183" s="1">
        <v>1000000</v>
      </c>
      <c r="N183">
        <v>83</v>
      </c>
      <c r="O183">
        <v>101</v>
      </c>
      <c r="P183">
        <v>74</v>
      </c>
      <c r="Q183" s="6">
        <f>(SUM(Pcfu43[[#This Row],[R1]:[R3]]))/(Pcfu43[[#This Row],[No. Reps]]*0.015)*Pcfu43[[#This Row],[Best DF]]</f>
        <v>5733333333.333334</v>
      </c>
      <c r="R183" s="1">
        <f>_xlfn.STDEV.S(Pcfu43[[#This Row],[R1]:[R3]])/0.015*Pcfu43[[#This Row],[Best DF]]</f>
        <v>916515138.99116814</v>
      </c>
      <c r="S183" s="6">
        <f>Pcfu43[[#This Row],[CFU/mL]]*Pcfu43[[#This Row],[mL]]/Pcfu43[[#This Row],[grams]]</f>
        <v>108933333333.33334</v>
      </c>
      <c r="T183" s="1">
        <f>Pcfu43[[#This Row],[SD CFU/mL]]*Pcfu43[[#This Row],[mL]]/Pcfu43[[#This Row],[grams]]</f>
        <v>17413787640.832195</v>
      </c>
      <c r="U183" s="7">
        <f>_xlfn.STDEV.S(Pcfu43[[#This Row],[R1]:[R3]])/AVERAGE(Pcfu43[[#This Row],[R1]:[R3]])</f>
        <v>0.15985729168450605</v>
      </c>
      <c r="V183" s="102"/>
      <c r="W183" s="7"/>
    </row>
    <row r="184" spans="1:24" x14ac:dyDescent="0.15">
      <c r="A184" t="s">
        <v>904</v>
      </c>
      <c r="B184" t="s">
        <v>855</v>
      </c>
      <c r="C184" s="4"/>
      <c r="D184" t="s">
        <v>86</v>
      </c>
      <c r="E184" s="3">
        <v>1</v>
      </c>
      <c r="G184">
        <v>0.3</v>
      </c>
      <c r="H184" s="5">
        <v>5.7</v>
      </c>
      <c r="I184" s="3" t="s">
        <v>170</v>
      </c>
      <c r="J184" s="59">
        <v>45007</v>
      </c>
      <c r="K184" s="59"/>
      <c r="L184" s="59" t="e" cm="1">
        <f t="array" ref="L184">INDEX($J$4:J1274, MATCH(1,(A184=$A$4:A1272)*("Y"=$K$4:K1274),0))</f>
        <v>#N/A</v>
      </c>
      <c r="M184" s="1">
        <v>1000000</v>
      </c>
      <c r="N184">
        <v>101</v>
      </c>
      <c r="Q184" s="6">
        <f>(SUM(Pcfu43[[#This Row],[R1]:[R3]]))/(Pcfu43[[#This Row],[No. Reps]]*0.015)*Pcfu43[[#This Row],[Best DF]]</f>
        <v>6733333333.333334</v>
      </c>
      <c r="R184" s="1" t="e">
        <f>_xlfn.STDEV.S(Pcfu43[[#This Row],[R1]:[R3]])/0.015*Pcfu43[[#This Row],[Best DF]]</f>
        <v>#DIV/0!</v>
      </c>
      <c r="S184" s="6">
        <f>Pcfu43[[#This Row],[CFU/mL]]*Pcfu43[[#This Row],[mL]]/Pcfu43[[#This Row],[grams]]</f>
        <v>127933333333.33336</v>
      </c>
      <c r="T184" s="1" t="e">
        <f>Pcfu43[[#This Row],[SD CFU/mL]]*Pcfu43[[#This Row],[mL]]/Pcfu43[[#This Row],[grams]]</f>
        <v>#DIV/0!</v>
      </c>
      <c r="U184" s="7" t="e">
        <f>_xlfn.STDEV.S(Pcfu43[[#This Row],[R1]:[R3]])/AVERAGE(Pcfu43[[#This Row],[R1]:[R3]])</f>
        <v>#DIV/0!</v>
      </c>
      <c r="V184" s="102"/>
      <c r="W184" s="7"/>
    </row>
    <row r="185" spans="1:24" x14ac:dyDescent="0.15">
      <c r="A185" t="s">
        <v>904</v>
      </c>
      <c r="B185" t="s">
        <v>856</v>
      </c>
      <c r="C185" s="4"/>
      <c r="D185" t="s">
        <v>86</v>
      </c>
      <c r="E185" s="3">
        <v>1</v>
      </c>
      <c r="G185">
        <v>0.3</v>
      </c>
      <c r="H185" s="5">
        <v>5.7</v>
      </c>
      <c r="I185" s="3" t="s">
        <v>170</v>
      </c>
      <c r="J185" s="59">
        <v>45007</v>
      </c>
      <c r="K185" s="59"/>
      <c r="L185" s="59" t="e" cm="1">
        <f t="array" ref="L185">INDEX($J$4:J1275, MATCH(1,(A185=$A$4:A1273)*("Y"=$K$4:K1275),0))</f>
        <v>#N/A</v>
      </c>
      <c r="M185" s="1">
        <v>1000000</v>
      </c>
      <c r="N185">
        <v>74</v>
      </c>
      <c r="Q185" s="6">
        <f>(SUM(Pcfu43[[#This Row],[R1]:[R3]]))/(Pcfu43[[#This Row],[No. Reps]]*0.015)*Pcfu43[[#This Row],[Best DF]]</f>
        <v>4933333333.333334</v>
      </c>
      <c r="R185" s="1" t="e">
        <f>_xlfn.STDEV.S(Pcfu43[[#This Row],[R1]:[R3]])/0.015*Pcfu43[[#This Row],[Best DF]]</f>
        <v>#DIV/0!</v>
      </c>
      <c r="S185" s="6">
        <f>Pcfu43[[#This Row],[CFU/mL]]*Pcfu43[[#This Row],[mL]]/Pcfu43[[#This Row],[grams]]</f>
        <v>93733333333.333344</v>
      </c>
      <c r="T185" s="1" t="e">
        <f>Pcfu43[[#This Row],[SD CFU/mL]]*Pcfu43[[#This Row],[mL]]/Pcfu43[[#This Row],[grams]]</f>
        <v>#DIV/0!</v>
      </c>
      <c r="U185" s="7" t="e">
        <f>_xlfn.STDEV.S(Pcfu43[[#This Row],[R1]:[R3]])/AVERAGE(Pcfu43[[#This Row],[R1]:[R3]])</f>
        <v>#DIV/0!</v>
      </c>
      <c r="V185" s="102"/>
      <c r="W185" s="7"/>
    </row>
    <row r="186" spans="1:24" x14ac:dyDescent="0.15">
      <c r="A186" t="s">
        <v>733</v>
      </c>
      <c r="B186" t="s">
        <v>854</v>
      </c>
      <c r="C186" s="4"/>
      <c r="D186" t="s">
        <v>86</v>
      </c>
      <c r="E186" s="3">
        <v>3</v>
      </c>
      <c r="G186">
        <v>0.3</v>
      </c>
      <c r="H186" s="5">
        <v>5.7</v>
      </c>
      <c r="I186" s="3" t="s">
        <v>170</v>
      </c>
      <c r="J186" s="59">
        <v>45007</v>
      </c>
      <c r="K186" s="59"/>
      <c r="L186" s="59" t="e" cm="1">
        <f t="array" ref="L186">INDEX($J$4:J1276, MATCH(1,(A186=$A$4:A1274)*("Y"=$K$4:K1276),0))</f>
        <v>#N/A</v>
      </c>
      <c r="M186" s="1">
        <v>1000000</v>
      </c>
      <c r="N186">
        <v>80</v>
      </c>
      <c r="O186">
        <v>78</v>
      </c>
      <c r="P186">
        <v>36</v>
      </c>
      <c r="Q186" s="6">
        <f>(SUM(Pcfu43[[#This Row],[R1]:[R3]]))/(Pcfu43[[#This Row],[No. Reps]]*0.015)*Pcfu43[[#This Row],[Best DF]]</f>
        <v>4311111111.1111116</v>
      </c>
      <c r="R186" s="1">
        <f>_xlfn.STDEV.S(Pcfu43[[#This Row],[R1]:[R3]])/0.015*Pcfu43[[#This Row],[Best DF]]</f>
        <v>1656412902.5408194</v>
      </c>
      <c r="S186" s="6">
        <f>Pcfu43[[#This Row],[CFU/mL]]*Pcfu43[[#This Row],[mL]]/Pcfu43[[#This Row],[grams]]</f>
        <v>81911111111.11113</v>
      </c>
      <c r="T186" s="1">
        <f>Pcfu43[[#This Row],[SD CFU/mL]]*Pcfu43[[#This Row],[mL]]/Pcfu43[[#This Row],[grams]]</f>
        <v>31471845148.275574</v>
      </c>
      <c r="U186" s="7">
        <f>_xlfn.STDEV.S(Pcfu43[[#This Row],[R1]:[R3]])/AVERAGE(Pcfu43[[#This Row],[R1]:[R3]])</f>
        <v>0.38421948770276737</v>
      </c>
      <c r="V186" s="102"/>
      <c r="W186" s="7"/>
    </row>
    <row r="187" spans="1:24" x14ac:dyDescent="0.15">
      <c r="A187" t="s">
        <v>733</v>
      </c>
      <c r="B187" t="s">
        <v>855</v>
      </c>
      <c r="C187" s="4"/>
      <c r="D187" t="s">
        <v>86</v>
      </c>
      <c r="E187" s="3">
        <v>1</v>
      </c>
      <c r="G187">
        <v>0.3</v>
      </c>
      <c r="H187" s="5">
        <v>5.7</v>
      </c>
      <c r="I187" s="3" t="s">
        <v>170</v>
      </c>
      <c r="J187" s="59">
        <v>45007</v>
      </c>
      <c r="K187" s="59"/>
      <c r="L187" s="59" t="e" cm="1">
        <f t="array" ref="L187">INDEX($J$4:J1277, MATCH(1,(A187=$A$4:A1275)*("Y"=$K$4:K1277),0))</f>
        <v>#N/A</v>
      </c>
      <c r="M187" s="1">
        <v>1000000</v>
      </c>
      <c r="N187">
        <v>78</v>
      </c>
      <c r="Q187" s="6">
        <f>(SUM(Pcfu43[[#This Row],[R1]:[R3]]))/(Pcfu43[[#This Row],[No. Reps]]*0.015)*Pcfu43[[#This Row],[Best DF]]</f>
        <v>5200000000</v>
      </c>
      <c r="R187" s="1" t="e">
        <f>_xlfn.STDEV.S(Pcfu43[[#This Row],[R1]:[R3]])/0.015*Pcfu43[[#This Row],[Best DF]]</f>
        <v>#DIV/0!</v>
      </c>
      <c r="S187" s="6">
        <f>Pcfu43[[#This Row],[CFU/mL]]*Pcfu43[[#This Row],[mL]]/Pcfu43[[#This Row],[grams]]</f>
        <v>98800000000</v>
      </c>
      <c r="T187" s="1" t="e">
        <f>Pcfu43[[#This Row],[SD CFU/mL]]*Pcfu43[[#This Row],[mL]]/Pcfu43[[#This Row],[grams]]</f>
        <v>#DIV/0!</v>
      </c>
      <c r="U187" s="7" t="e">
        <f>_xlfn.STDEV.S(Pcfu43[[#This Row],[R1]:[R3]])/AVERAGE(Pcfu43[[#This Row],[R1]:[R3]])</f>
        <v>#DIV/0!</v>
      </c>
      <c r="V187" s="102"/>
      <c r="W187" s="7"/>
    </row>
    <row r="188" spans="1:24" x14ac:dyDescent="0.15">
      <c r="A188" t="s">
        <v>733</v>
      </c>
      <c r="B188" t="s">
        <v>856</v>
      </c>
      <c r="C188" s="4"/>
      <c r="D188" t="s">
        <v>86</v>
      </c>
      <c r="E188" s="3">
        <v>1</v>
      </c>
      <c r="G188">
        <v>0.3</v>
      </c>
      <c r="H188" s="5">
        <v>5.7</v>
      </c>
      <c r="I188" s="3" t="s">
        <v>170</v>
      </c>
      <c r="J188" s="59">
        <v>45007</v>
      </c>
      <c r="K188" s="59"/>
      <c r="L188" s="59" t="e" cm="1">
        <f t="array" ref="L188">INDEX($J$4:J1278, MATCH(1,(A188=$A$4:A1276)*("Y"=$K$4:K1278),0))</f>
        <v>#N/A</v>
      </c>
      <c r="M188" s="1">
        <v>1000000</v>
      </c>
      <c r="N188">
        <v>36</v>
      </c>
      <c r="Q188" s="6">
        <f>(SUM(Pcfu43[[#This Row],[R1]:[R3]]))/(Pcfu43[[#This Row],[No. Reps]]*0.015)*Pcfu43[[#This Row],[Best DF]]</f>
        <v>2400000000</v>
      </c>
      <c r="R188" s="1" t="e">
        <f>_xlfn.STDEV.S(Pcfu43[[#This Row],[R1]:[R3]])/0.015*Pcfu43[[#This Row],[Best DF]]</f>
        <v>#DIV/0!</v>
      </c>
      <c r="S188" s="6">
        <f>Pcfu43[[#This Row],[CFU/mL]]*Pcfu43[[#This Row],[mL]]/Pcfu43[[#This Row],[grams]]</f>
        <v>45600000000</v>
      </c>
      <c r="T188" s="1" t="e">
        <f>Pcfu43[[#This Row],[SD CFU/mL]]*Pcfu43[[#This Row],[mL]]/Pcfu43[[#This Row],[grams]]</f>
        <v>#DIV/0!</v>
      </c>
      <c r="U188" s="7" t="e">
        <f>_xlfn.STDEV.S(Pcfu43[[#This Row],[R1]:[R3]])/AVERAGE(Pcfu43[[#This Row],[R1]:[R3]])</f>
        <v>#DIV/0!</v>
      </c>
      <c r="V188" s="102"/>
      <c r="W188" s="7"/>
    </row>
    <row r="189" spans="1:24" x14ac:dyDescent="0.15">
      <c r="A189" t="s">
        <v>734</v>
      </c>
      <c r="B189" t="s">
        <v>854</v>
      </c>
      <c r="C189" s="4"/>
      <c r="D189" t="s">
        <v>86</v>
      </c>
      <c r="E189" s="3">
        <v>3</v>
      </c>
      <c r="G189">
        <v>0.3</v>
      </c>
      <c r="H189" s="5">
        <v>5.7</v>
      </c>
      <c r="I189" s="3" t="s">
        <v>170</v>
      </c>
      <c r="J189" s="59">
        <v>45007</v>
      </c>
      <c r="K189" s="59"/>
      <c r="L189" s="59" t="e" cm="1">
        <f t="array" ref="L189">INDEX($J$4:J1279, MATCH(1,(A189=$A$4:A1277)*("Y"=$K$4:K1279),0))</f>
        <v>#N/A</v>
      </c>
      <c r="M189" s="1">
        <v>1000000</v>
      </c>
      <c r="N189">
        <v>65</v>
      </c>
      <c r="O189">
        <v>98</v>
      </c>
      <c r="P189">
        <v>99</v>
      </c>
      <c r="Q189" s="6">
        <f>(SUM(Pcfu43[[#This Row],[R1]:[R3]]))/(Pcfu43[[#This Row],[No. Reps]]*0.015)*Pcfu43[[#This Row],[Best DF]]</f>
        <v>5822222222.2222223</v>
      </c>
      <c r="R189" s="1">
        <f>_xlfn.STDEV.S(Pcfu43[[#This Row],[R1]:[R3]])/0.015*Pcfu43[[#This Row],[Best DF]]</f>
        <v>1289846387.6383522</v>
      </c>
      <c r="S189" s="6">
        <f>Pcfu43[[#This Row],[CFU/mL]]*Pcfu43[[#This Row],[mL]]/Pcfu43[[#This Row],[grams]]</f>
        <v>110622222222.22223</v>
      </c>
      <c r="T189" s="1">
        <f>Pcfu43[[#This Row],[SD CFU/mL]]*Pcfu43[[#This Row],[mL]]/Pcfu43[[#This Row],[grams]]</f>
        <v>24507081365.128693</v>
      </c>
      <c r="U189" s="7">
        <f>_xlfn.STDEV.S(Pcfu43[[#This Row],[R1]:[R3]])/AVERAGE(Pcfu43[[#This Row],[R1]:[R3]])</f>
        <v>0.22153850169361011</v>
      </c>
      <c r="V189" s="102"/>
      <c r="W189" s="7"/>
    </row>
    <row r="190" spans="1:24" x14ac:dyDescent="0.15">
      <c r="A190" t="s">
        <v>734</v>
      </c>
      <c r="B190" t="s">
        <v>855</v>
      </c>
      <c r="C190" s="4"/>
      <c r="D190" t="s">
        <v>86</v>
      </c>
      <c r="E190" s="3">
        <v>1</v>
      </c>
      <c r="G190">
        <v>0.3</v>
      </c>
      <c r="H190" s="5">
        <v>5.7</v>
      </c>
      <c r="I190" s="3" t="s">
        <v>170</v>
      </c>
      <c r="J190" s="59">
        <v>45007</v>
      </c>
      <c r="K190" s="59"/>
      <c r="L190" s="59" t="e" cm="1">
        <f t="array" ref="L190">INDEX($J$4:J1280, MATCH(1,(A190=$A$4:A1278)*("Y"=$K$4:K1280),0))</f>
        <v>#N/A</v>
      </c>
      <c r="M190" s="1">
        <v>1000000</v>
      </c>
      <c r="N190">
        <v>98</v>
      </c>
      <c r="Q190" s="6">
        <f>(SUM(Pcfu43[[#This Row],[R1]:[R3]]))/(Pcfu43[[#This Row],[No. Reps]]*0.015)*Pcfu43[[#This Row],[Best DF]]</f>
        <v>6533333333.333334</v>
      </c>
      <c r="R190" s="1" t="e">
        <f>_xlfn.STDEV.S(Pcfu43[[#This Row],[R1]:[R3]])/0.015*Pcfu43[[#This Row],[Best DF]]</f>
        <v>#DIV/0!</v>
      </c>
      <c r="S190" s="6">
        <f>Pcfu43[[#This Row],[CFU/mL]]*Pcfu43[[#This Row],[mL]]/Pcfu43[[#This Row],[grams]]</f>
        <v>124133333333.33336</v>
      </c>
      <c r="T190" s="1" t="e">
        <f>Pcfu43[[#This Row],[SD CFU/mL]]*Pcfu43[[#This Row],[mL]]/Pcfu43[[#This Row],[grams]]</f>
        <v>#DIV/0!</v>
      </c>
      <c r="U190" s="7" t="e">
        <f>_xlfn.STDEV.S(Pcfu43[[#This Row],[R1]:[R3]])/AVERAGE(Pcfu43[[#This Row],[R1]:[R3]])</f>
        <v>#DIV/0!</v>
      </c>
      <c r="V190" s="102"/>
      <c r="W190" s="7"/>
    </row>
    <row r="191" spans="1:24" x14ac:dyDescent="0.15">
      <c r="A191" t="s">
        <v>734</v>
      </c>
      <c r="B191" t="s">
        <v>856</v>
      </c>
      <c r="C191" s="4"/>
      <c r="D191" t="s">
        <v>86</v>
      </c>
      <c r="E191" s="3">
        <v>1</v>
      </c>
      <c r="G191">
        <v>0.3</v>
      </c>
      <c r="H191" s="5">
        <v>5.7</v>
      </c>
      <c r="I191" s="3" t="s">
        <v>170</v>
      </c>
      <c r="J191" s="59">
        <v>45007</v>
      </c>
      <c r="K191" s="59"/>
      <c r="L191" s="59" t="e" cm="1">
        <f t="array" ref="L191">INDEX($J$4:J1281, MATCH(1,(A191=$A$4:A1279)*("Y"=$K$4:K1281),0))</f>
        <v>#N/A</v>
      </c>
      <c r="M191" s="1">
        <v>1000000</v>
      </c>
      <c r="N191">
        <v>99</v>
      </c>
      <c r="Q191" s="6">
        <f>(SUM(Pcfu43[[#This Row],[R1]:[R3]]))/(Pcfu43[[#This Row],[No. Reps]]*0.015)*Pcfu43[[#This Row],[Best DF]]</f>
        <v>6600000000</v>
      </c>
      <c r="R191" s="1" t="e">
        <f>_xlfn.STDEV.S(Pcfu43[[#This Row],[R1]:[R3]])/0.015*Pcfu43[[#This Row],[Best DF]]</f>
        <v>#DIV/0!</v>
      </c>
      <c r="S191" s="6">
        <f>Pcfu43[[#This Row],[CFU/mL]]*Pcfu43[[#This Row],[mL]]/Pcfu43[[#This Row],[grams]]</f>
        <v>125400000000</v>
      </c>
      <c r="T191" s="1" t="e">
        <f>Pcfu43[[#This Row],[SD CFU/mL]]*Pcfu43[[#This Row],[mL]]/Pcfu43[[#This Row],[grams]]</f>
        <v>#DIV/0!</v>
      </c>
      <c r="U191" s="7" t="e">
        <f>_xlfn.STDEV.S(Pcfu43[[#This Row],[R1]:[R3]])/AVERAGE(Pcfu43[[#This Row],[R1]:[R3]])</f>
        <v>#DIV/0!</v>
      </c>
      <c r="V191" s="102"/>
      <c r="W191" s="7"/>
    </row>
    <row r="192" spans="1:24" x14ac:dyDescent="0.15">
      <c r="A192" t="s">
        <v>735</v>
      </c>
      <c r="B192" t="s">
        <v>854</v>
      </c>
      <c r="C192" s="4"/>
      <c r="D192" t="s">
        <v>86</v>
      </c>
      <c r="E192" s="3">
        <v>3</v>
      </c>
      <c r="G192">
        <v>0.3</v>
      </c>
      <c r="H192" s="5">
        <v>5.7</v>
      </c>
      <c r="I192" s="3" t="s">
        <v>170</v>
      </c>
      <c r="J192" s="59">
        <v>45007</v>
      </c>
      <c r="K192" s="59"/>
      <c r="L192" s="59" t="e" cm="1">
        <f t="array" ref="L192">INDEX($J$4:J1282, MATCH(1,(A192=$A$4:A1280)*("Y"=$K$4:K1282),0))</f>
        <v>#N/A</v>
      </c>
      <c r="M192" s="1">
        <v>1000000</v>
      </c>
      <c r="N192">
        <v>118</v>
      </c>
      <c r="O192">
        <v>87</v>
      </c>
      <c r="P192">
        <v>86</v>
      </c>
      <c r="Q192" s="6">
        <f>(SUM(Pcfu43[[#This Row],[R1]:[R3]]))/(Pcfu43[[#This Row],[No. Reps]]*0.015)*Pcfu43[[#This Row],[Best DF]]</f>
        <v>6466666666.666667</v>
      </c>
      <c r="R192" s="1">
        <f>_xlfn.STDEV.S(Pcfu43[[#This Row],[R1]:[R3]])/0.015*Pcfu43[[#This Row],[Best DF]]</f>
        <v>1212893693.2440169</v>
      </c>
      <c r="S192" s="6">
        <f>Pcfu43[[#This Row],[CFU/mL]]*Pcfu43[[#This Row],[mL]]/Pcfu43[[#This Row],[grams]]</f>
        <v>122866666666.66667</v>
      </c>
      <c r="T192" s="1">
        <f>Pcfu43[[#This Row],[SD CFU/mL]]*Pcfu43[[#This Row],[mL]]/Pcfu43[[#This Row],[grams]]</f>
        <v>23044980171.636322</v>
      </c>
      <c r="U192" s="7">
        <f>_xlfn.STDEV.S(Pcfu43[[#This Row],[R1]:[R3]])/AVERAGE(Pcfu43[[#This Row],[R1]:[R3]])</f>
        <v>0.18756088039855931</v>
      </c>
      <c r="V192" s="102"/>
      <c r="W192" s="7"/>
    </row>
    <row r="193" spans="1:24" x14ac:dyDescent="0.15">
      <c r="A193" t="s">
        <v>735</v>
      </c>
      <c r="B193" t="s">
        <v>855</v>
      </c>
      <c r="C193" s="4"/>
      <c r="D193" t="s">
        <v>86</v>
      </c>
      <c r="E193" s="3">
        <v>1</v>
      </c>
      <c r="G193">
        <v>0.3</v>
      </c>
      <c r="H193" s="5">
        <v>5.7</v>
      </c>
      <c r="I193" s="3" t="s">
        <v>170</v>
      </c>
      <c r="J193" s="59">
        <v>45007</v>
      </c>
      <c r="K193" s="59"/>
      <c r="L193" s="59" t="e" cm="1">
        <f t="array" ref="L193">INDEX($J$4:J1283, MATCH(1,(A193=$A$4:A1281)*("Y"=$K$4:K1283),0))</f>
        <v>#N/A</v>
      </c>
      <c r="M193" s="1">
        <v>1000000</v>
      </c>
      <c r="N193">
        <v>87</v>
      </c>
      <c r="Q193" s="6">
        <f>(SUM(Pcfu43[[#This Row],[R1]:[R3]]))/(Pcfu43[[#This Row],[No. Reps]]*0.015)*Pcfu43[[#This Row],[Best DF]]</f>
        <v>5800000000</v>
      </c>
      <c r="R193" s="1" t="e">
        <f>_xlfn.STDEV.S(Pcfu43[[#This Row],[R1]:[R3]])/0.015*Pcfu43[[#This Row],[Best DF]]</f>
        <v>#DIV/0!</v>
      </c>
      <c r="S193" s="6">
        <f>Pcfu43[[#This Row],[CFU/mL]]*Pcfu43[[#This Row],[mL]]/Pcfu43[[#This Row],[grams]]</f>
        <v>110200000000</v>
      </c>
      <c r="T193" s="1" t="e">
        <f>Pcfu43[[#This Row],[SD CFU/mL]]*Pcfu43[[#This Row],[mL]]/Pcfu43[[#This Row],[grams]]</f>
        <v>#DIV/0!</v>
      </c>
      <c r="U193" s="7" t="e">
        <f>_xlfn.STDEV.S(Pcfu43[[#This Row],[R1]:[R3]])/AVERAGE(Pcfu43[[#This Row],[R1]:[R3]])</f>
        <v>#DIV/0!</v>
      </c>
      <c r="V193" s="102"/>
      <c r="W193" s="7"/>
    </row>
    <row r="194" spans="1:24" x14ac:dyDescent="0.15">
      <c r="A194" t="s">
        <v>735</v>
      </c>
      <c r="B194" t="s">
        <v>856</v>
      </c>
      <c r="C194" s="4"/>
      <c r="D194" t="s">
        <v>86</v>
      </c>
      <c r="E194" s="3">
        <v>1</v>
      </c>
      <c r="G194">
        <v>0.3</v>
      </c>
      <c r="H194" s="5">
        <v>5.7</v>
      </c>
      <c r="I194" s="3" t="s">
        <v>170</v>
      </c>
      <c r="J194" s="59">
        <v>45007</v>
      </c>
      <c r="K194" s="59"/>
      <c r="L194" s="59" t="e" cm="1">
        <f t="array" ref="L194">INDEX($J$4:J1284, MATCH(1,(A194=$A$4:A1282)*("Y"=$K$4:K1284),0))</f>
        <v>#N/A</v>
      </c>
      <c r="M194" s="1">
        <v>1000000</v>
      </c>
      <c r="N194">
        <v>86</v>
      </c>
      <c r="Q194" s="6">
        <f>(SUM(Pcfu43[[#This Row],[R1]:[R3]]))/(Pcfu43[[#This Row],[No. Reps]]*0.015)*Pcfu43[[#This Row],[Best DF]]</f>
        <v>5733333333.333334</v>
      </c>
      <c r="R194" s="1" t="e">
        <f>_xlfn.STDEV.S(Pcfu43[[#This Row],[R1]:[R3]])/0.015*Pcfu43[[#This Row],[Best DF]]</f>
        <v>#DIV/0!</v>
      </c>
      <c r="S194" s="6">
        <f>Pcfu43[[#This Row],[CFU/mL]]*Pcfu43[[#This Row],[mL]]/Pcfu43[[#This Row],[grams]]</f>
        <v>108933333333.33334</v>
      </c>
      <c r="T194" s="1" t="e">
        <f>Pcfu43[[#This Row],[SD CFU/mL]]*Pcfu43[[#This Row],[mL]]/Pcfu43[[#This Row],[grams]]</f>
        <v>#DIV/0!</v>
      </c>
      <c r="U194" s="7" t="e">
        <f>_xlfn.STDEV.S(Pcfu43[[#This Row],[R1]:[R3]])/AVERAGE(Pcfu43[[#This Row],[R1]:[R3]])</f>
        <v>#DIV/0!</v>
      </c>
      <c r="V194" s="102"/>
      <c r="W194" s="7"/>
    </row>
    <row r="195" spans="1:24" x14ac:dyDescent="0.15">
      <c r="A195" t="s">
        <v>905</v>
      </c>
      <c r="C195" s="4"/>
      <c r="D195" t="s">
        <v>86</v>
      </c>
      <c r="E195" s="3">
        <v>2</v>
      </c>
      <c r="G195">
        <v>0.3</v>
      </c>
      <c r="H195" s="5">
        <v>5.7</v>
      </c>
      <c r="I195" s="3" t="s">
        <v>170</v>
      </c>
      <c r="J195" s="59">
        <v>45008</v>
      </c>
      <c r="K195" s="59"/>
      <c r="L195" s="59" t="e" cm="1">
        <f t="array" ref="L195">INDEX($J$4:J1285, MATCH(1,(A195=$A$4:A1283)*("Y"=$K$4:K1285),0))</f>
        <v>#N/A</v>
      </c>
      <c r="M195" s="1">
        <v>1000000</v>
      </c>
      <c r="N195">
        <v>88</v>
      </c>
      <c r="O195">
        <v>79</v>
      </c>
      <c r="Q195" s="6">
        <f>(SUM(Pcfu43[[#This Row],[R1]:[R3]]))/(Pcfu43[[#This Row],[No. Reps]]*0.015)*Pcfu43[[#This Row],[Best DF]]</f>
        <v>5566666666.666667</v>
      </c>
      <c r="R195" s="1">
        <f>_xlfn.STDEV.S(Pcfu43[[#This Row],[R1]:[R3]])/0.015*Pcfu43[[#This Row],[Best DF]]</f>
        <v>424264068.71192855</v>
      </c>
      <c r="S195" s="6">
        <f>Pcfu43[[#This Row],[CFU/mL]]*Pcfu43[[#This Row],[mL]]/Pcfu43[[#This Row],[grams]]</f>
        <v>105766666666.66669</v>
      </c>
      <c r="T195" s="1">
        <f>Pcfu43[[#This Row],[SD CFU/mL]]*Pcfu43[[#This Row],[mL]]/Pcfu43[[#This Row],[grams]]</f>
        <v>8061017305.5266428</v>
      </c>
      <c r="U195" s="7">
        <f>_xlfn.STDEV.S(Pcfu43[[#This Row],[R1]:[R3]])/AVERAGE(Pcfu43[[#This Row],[R1]:[R3]])</f>
        <v>7.6215102163819493E-2</v>
      </c>
      <c r="V195" s="102">
        <v>0.25700000000000001</v>
      </c>
      <c r="W195" s="7"/>
      <c r="X195" t="s">
        <v>385</v>
      </c>
    </row>
    <row r="196" spans="1:24" x14ac:dyDescent="0.15">
      <c r="A196" t="s">
        <v>498</v>
      </c>
      <c r="C196" s="4"/>
      <c r="D196" t="s">
        <v>86</v>
      </c>
      <c r="E196" s="3">
        <v>3</v>
      </c>
      <c r="G196">
        <v>0.3</v>
      </c>
      <c r="H196" s="5">
        <v>5.7</v>
      </c>
      <c r="I196" s="3" t="s">
        <v>170</v>
      </c>
      <c r="J196" s="59">
        <v>45008</v>
      </c>
      <c r="K196" s="59"/>
      <c r="L196" s="59" t="e" cm="1">
        <f t="array" ref="L196">INDEX($J$4:J1286, MATCH(1,(A196=$A$4:A1284)*("Y"=$K$4:K1286),0))</f>
        <v>#N/A</v>
      </c>
      <c r="M196" s="1">
        <v>1000000</v>
      </c>
      <c r="N196">
        <v>59</v>
      </c>
      <c r="O196">
        <v>62</v>
      </c>
      <c r="P196">
        <v>72</v>
      </c>
      <c r="Q196" s="6">
        <f>(SUM(Pcfu43[[#This Row],[R1]:[R3]]))/(Pcfu43[[#This Row],[No. Reps]]*0.015)*Pcfu43[[#This Row],[Best DF]]</f>
        <v>4288888888.8888888</v>
      </c>
      <c r="R196" s="1">
        <f>_xlfn.STDEV.S(Pcfu43[[#This Row],[R1]:[R3]])/0.015*Pcfu43[[#This Row],[Best DF]]</f>
        <v>453790619.0369364</v>
      </c>
      <c r="S196" s="6">
        <f>Pcfu43[[#This Row],[CFU/mL]]*Pcfu43[[#This Row],[mL]]/Pcfu43[[#This Row],[grams]]</f>
        <v>81488888888.888901</v>
      </c>
      <c r="T196" s="1">
        <f>Pcfu43[[#This Row],[SD CFU/mL]]*Pcfu43[[#This Row],[mL]]/Pcfu43[[#This Row],[grams]]</f>
        <v>8622021761.7017918</v>
      </c>
      <c r="U196" s="7">
        <f>_xlfn.STDEV.S(Pcfu43[[#This Row],[R1]:[R3]])/AVERAGE(Pcfu43[[#This Row],[R1]:[R3]])</f>
        <v>0.10580610288425979</v>
      </c>
      <c r="V196" s="102">
        <v>0.26300000000000001</v>
      </c>
      <c r="W196" s="7"/>
      <c r="X196" t="s">
        <v>899</v>
      </c>
    </row>
    <row r="197" spans="1:24" x14ac:dyDescent="0.15">
      <c r="A197" t="s">
        <v>500</v>
      </c>
      <c r="C197" s="4"/>
      <c r="D197" t="s">
        <v>86</v>
      </c>
      <c r="E197" s="3">
        <v>3</v>
      </c>
      <c r="G197">
        <v>0.3</v>
      </c>
      <c r="H197" s="5">
        <v>5.7</v>
      </c>
      <c r="I197" s="3" t="s">
        <v>170</v>
      </c>
      <c r="J197" s="59">
        <v>45008</v>
      </c>
      <c r="K197" s="59"/>
      <c r="L197" s="59" t="e" cm="1">
        <f t="array" ref="L197">INDEX($J$4:J1287, MATCH(1,(A197=$A$4:A1285)*("Y"=$K$4:K1287),0))</f>
        <v>#N/A</v>
      </c>
      <c r="M197" s="1">
        <v>1000000</v>
      </c>
      <c r="N197">
        <v>25</v>
      </c>
      <c r="O197">
        <v>38</v>
      </c>
      <c r="P197">
        <v>17</v>
      </c>
      <c r="Q197" s="6">
        <f>(SUM(Pcfu43[[#This Row],[R1]:[R3]]))/(Pcfu43[[#This Row],[No. Reps]]*0.015)*Pcfu43[[#This Row],[Best DF]]</f>
        <v>1777777777.7777779</v>
      </c>
      <c r="R197" s="1">
        <f>_xlfn.STDEV.S(Pcfu43[[#This Row],[R1]:[R3]])/0.015*Pcfu43[[#This Row],[Best DF]]</f>
        <v>706582804.24820638</v>
      </c>
      <c r="S197" s="6">
        <f>Pcfu43[[#This Row],[CFU/mL]]*Pcfu43[[#This Row],[mL]]/Pcfu43[[#This Row],[grams]]</f>
        <v>33777777777.777782</v>
      </c>
      <c r="T197" s="1">
        <f>Pcfu43[[#This Row],[SD CFU/mL]]*Pcfu43[[#This Row],[mL]]/Pcfu43[[#This Row],[grams]]</f>
        <v>13425073280.715921</v>
      </c>
      <c r="U197" s="7">
        <f>_xlfn.STDEV.S(Pcfu43[[#This Row],[R1]:[R3]])/AVERAGE(Pcfu43[[#This Row],[R1]:[R3]])</f>
        <v>0.39745282738961601</v>
      </c>
      <c r="V197" s="102">
        <v>0.245</v>
      </c>
      <c r="W197" s="7"/>
      <c r="X197" t="s">
        <v>906</v>
      </c>
    </row>
    <row r="198" spans="1:24" x14ac:dyDescent="0.15">
      <c r="A198" t="s">
        <v>502</v>
      </c>
      <c r="C198" s="4"/>
      <c r="D198" t="s">
        <v>86</v>
      </c>
      <c r="E198" s="3">
        <v>3</v>
      </c>
      <c r="G198">
        <v>0.3</v>
      </c>
      <c r="H198" s="5">
        <v>5.7</v>
      </c>
      <c r="I198" s="3" t="s">
        <v>170</v>
      </c>
      <c r="J198" s="59">
        <v>45008</v>
      </c>
      <c r="K198" s="59"/>
      <c r="L198" s="59" t="e" cm="1">
        <f t="array" ref="L198">INDEX($J$4:J1288, MATCH(1,(A198=$A$4:A1286)*("Y"=$K$4:K1288),0))</f>
        <v>#N/A</v>
      </c>
      <c r="M198" s="1">
        <v>1000000</v>
      </c>
      <c r="N198">
        <v>17</v>
      </c>
      <c r="O198">
        <v>16</v>
      </c>
      <c r="P198">
        <v>27</v>
      </c>
      <c r="Q198" s="6">
        <f>(SUM(Pcfu43[[#This Row],[R1]:[R3]]))/(Pcfu43[[#This Row],[No. Reps]]*0.015)*Pcfu43[[#This Row],[Best DF]]</f>
        <v>1333333333.3333335</v>
      </c>
      <c r="R198" s="1">
        <f>_xlfn.STDEV.S(Pcfu43[[#This Row],[R1]:[R3]])/0.015*Pcfu43[[#This Row],[Best DF]]</f>
        <v>405517502.01988131</v>
      </c>
      <c r="S198" s="6">
        <f>Pcfu43[[#This Row],[CFU/mL]]*Pcfu43[[#This Row],[mL]]/Pcfu43[[#This Row],[grams]]</f>
        <v>25333333333.333336</v>
      </c>
      <c r="T198" s="1">
        <f>Pcfu43[[#This Row],[SD CFU/mL]]*Pcfu43[[#This Row],[mL]]/Pcfu43[[#This Row],[grams]]</f>
        <v>7704832538.3777447</v>
      </c>
      <c r="U198" s="7">
        <f>_xlfn.STDEV.S(Pcfu43[[#This Row],[R1]:[R3]])/AVERAGE(Pcfu43[[#This Row],[R1]:[R3]])</f>
        <v>0.30413812651491096</v>
      </c>
      <c r="V198" s="102">
        <v>0.218</v>
      </c>
      <c r="W198" s="7"/>
      <c r="X198" t="s">
        <v>907</v>
      </c>
    </row>
    <row r="199" spans="1:24" x14ac:dyDescent="0.15">
      <c r="A199" t="s">
        <v>481</v>
      </c>
      <c r="C199" s="4"/>
      <c r="D199" t="s">
        <v>86</v>
      </c>
      <c r="E199" s="3">
        <v>3</v>
      </c>
      <c r="G199">
        <v>0.3</v>
      </c>
      <c r="H199" s="5">
        <v>5.7</v>
      </c>
      <c r="I199" s="3" t="s">
        <v>170</v>
      </c>
      <c r="J199" s="59">
        <v>45008</v>
      </c>
      <c r="K199" s="59"/>
      <c r="L199" s="59" t="e" cm="1">
        <f t="array" ref="L199">INDEX($J$4:J1289, MATCH(1,(A199=$A$4:A1287)*("Y"=$K$4:K1289),0))</f>
        <v>#N/A</v>
      </c>
      <c r="M199" s="1">
        <v>1000000</v>
      </c>
      <c r="N199">
        <v>20</v>
      </c>
      <c r="O199">
        <v>33</v>
      </c>
      <c r="P199">
        <v>20</v>
      </c>
      <c r="Q199" s="6">
        <f>(SUM(Pcfu43[[#This Row],[R1]:[R3]]))/(Pcfu43[[#This Row],[No. Reps]]*0.015)*Pcfu43[[#This Row],[Best DF]]</f>
        <v>1622222222.2222221</v>
      </c>
      <c r="R199" s="1">
        <f>_xlfn.STDEV.S(Pcfu43[[#This Row],[R1]:[R3]])/0.015*Pcfu43[[#This Row],[Best DF]]</f>
        <v>500370233.29767585</v>
      </c>
      <c r="S199" s="6">
        <f>Pcfu43[[#This Row],[CFU/mL]]*Pcfu43[[#This Row],[mL]]/Pcfu43[[#This Row],[grams]]</f>
        <v>30822222222.222221</v>
      </c>
      <c r="T199" s="1">
        <f>Pcfu43[[#This Row],[SD CFU/mL]]*Pcfu43[[#This Row],[mL]]/Pcfu43[[#This Row],[grams]]</f>
        <v>9507034432.6558418</v>
      </c>
      <c r="U199" s="7">
        <f>_xlfn.STDEV.S(Pcfu43[[#This Row],[R1]:[R3]])/AVERAGE(Pcfu43[[#This Row],[R1]:[R3]])</f>
        <v>0.3084474040876084</v>
      </c>
      <c r="V199" s="102">
        <v>0.314</v>
      </c>
      <c r="W199" s="7"/>
      <c r="X199" t="s">
        <v>908</v>
      </c>
    </row>
    <row r="200" spans="1:24" x14ac:dyDescent="0.15">
      <c r="A200" t="s">
        <v>486</v>
      </c>
      <c r="C200" s="4"/>
      <c r="D200" t="s">
        <v>86</v>
      </c>
      <c r="E200" s="3">
        <v>3</v>
      </c>
      <c r="G200">
        <v>0.3</v>
      </c>
      <c r="H200" s="5">
        <v>5.7</v>
      </c>
      <c r="I200" s="3" t="s">
        <v>170</v>
      </c>
      <c r="J200" s="59">
        <v>45008</v>
      </c>
      <c r="K200" s="59"/>
      <c r="L200" s="59" t="e" cm="1">
        <f t="array" ref="L200">INDEX($J$4:J1290, MATCH(1,(A200=$A$4:A1288)*("Y"=$K$4:K1290),0))</f>
        <v>#N/A</v>
      </c>
      <c r="M200" s="1">
        <v>1000000</v>
      </c>
      <c r="N200">
        <v>6</v>
      </c>
      <c r="O200">
        <v>9</v>
      </c>
      <c r="P200">
        <v>9</v>
      </c>
      <c r="Q200" s="6">
        <f>(SUM(Pcfu43[[#This Row],[R1]:[R3]]))/(Pcfu43[[#This Row],[No. Reps]]*0.015)*Pcfu43[[#This Row],[Best DF]]</f>
        <v>533333333.33333337</v>
      </c>
      <c r="R200" s="1">
        <f>_xlfn.STDEV.S(Pcfu43[[#This Row],[R1]:[R3]])/0.015*Pcfu43[[#This Row],[Best DF]]</f>
        <v>115470053.83792515</v>
      </c>
      <c r="S200" s="6">
        <f>Pcfu43[[#This Row],[CFU/mL]]*Pcfu43[[#This Row],[mL]]/Pcfu43[[#This Row],[grams]]</f>
        <v>10133333333.333336</v>
      </c>
      <c r="T200" s="1">
        <f>Pcfu43[[#This Row],[SD CFU/mL]]*Pcfu43[[#This Row],[mL]]/Pcfu43[[#This Row],[grams]]</f>
        <v>2193931022.920578</v>
      </c>
      <c r="U200" s="7">
        <f>_xlfn.STDEV.S(Pcfu43[[#This Row],[R1]:[R3]])/AVERAGE(Pcfu43[[#This Row],[R1]:[R3]])</f>
        <v>0.21650635094610965</v>
      </c>
      <c r="V200" s="102">
        <v>0.29699999999999999</v>
      </c>
      <c r="W200" s="7"/>
      <c r="X200" t="s">
        <v>483</v>
      </c>
    </row>
    <row r="201" spans="1:24" x14ac:dyDescent="0.15">
      <c r="A201" t="s">
        <v>490</v>
      </c>
      <c r="C201" s="4"/>
      <c r="D201" t="s">
        <v>86</v>
      </c>
      <c r="E201" s="3">
        <v>3</v>
      </c>
      <c r="G201">
        <v>0.3</v>
      </c>
      <c r="H201" s="5">
        <v>5.7</v>
      </c>
      <c r="I201" s="3" t="s">
        <v>170</v>
      </c>
      <c r="J201" s="59">
        <v>45008</v>
      </c>
      <c r="K201" s="59"/>
      <c r="L201" s="59" t="e" cm="1">
        <f t="array" ref="L201">INDEX($J$4:J1291, MATCH(1,(A201=$A$4:A1289)*("Y"=$K$4:K1291),0))</f>
        <v>#N/A</v>
      </c>
      <c r="M201" s="1">
        <v>1000000</v>
      </c>
      <c r="N201">
        <v>14</v>
      </c>
      <c r="O201">
        <v>23</v>
      </c>
      <c r="P201">
        <v>34</v>
      </c>
      <c r="Q201" s="6">
        <f>(SUM(Pcfu43[[#This Row],[R1]:[R3]]))/(Pcfu43[[#This Row],[No. Reps]]*0.015)*Pcfu43[[#This Row],[Best DF]]</f>
        <v>1577777777.7777779</v>
      </c>
      <c r="R201" s="1">
        <f>_xlfn.STDEV.S(Pcfu43[[#This Row],[R1]:[R3]])/0.015*Pcfu43[[#This Row],[Best DF]]</f>
        <v>667776853.39185429</v>
      </c>
      <c r="S201" s="6">
        <f>Pcfu43[[#This Row],[CFU/mL]]*Pcfu43[[#This Row],[mL]]/Pcfu43[[#This Row],[grams]]</f>
        <v>29977777777.777782</v>
      </c>
      <c r="T201" s="1">
        <f>Pcfu43[[#This Row],[SD CFU/mL]]*Pcfu43[[#This Row],[mL]]/Pcfu43[[#This Row],[grams]]</f>
        <v>12687760214.445232</v>
      </c>
      <c r="U201" s="7">
        <f>_xlfn.STDEV.S(Pcfu43[[#This Row],[R1]:[R3]])/AVERAGE(Pcfu43[[#This Row],[R1]:[R3]])</f>
        <v>0.42323885074131606</v>
      </c>
      <c r="V201" s="102">
        <v>0.33200000000000002</v>
      </c>
      <c r="W201" s="7"/>
      <c r="X201" t="s">
        <v>909</v>
      </c>
    </row>
    <row r="202" spans="1:24" x14ac:dyDescent="0.15">
      <c r="A202" t="s">
        <v>904</v>
      </c>
      <c r="B202" t="s">
        <v>910</v>
      </c>
      <c r="C202" s="4"/>
      <c r="D202" t="s">
        <v>86</v>
      </c>
      <c r="E202" s="3">
        <v>1</v>
      </c>
      <c r="G202">
        <v>0.3</v>
      </c>
      <c r="H202" s="5">
        <v>5.7</v>
      </c>
      <c r="I202" s="3" t="s">
        <v>170</v>
      </c>
      <c r="J202" s="59">
        <v>45008</v>
      </c>
      <c r="K202" s="59"/>
      <c r="L202" s="59" t="e" cm="1">
        <f t="array" ref="L202">INDEX($J$4:J1292, MATCH(1,(A202=$A$4:A1290)*("Y"=$K$4:K1292),0))</f>
        <v>#N/A</v>
      </c>
      <c r="M202" s="1">
        <v>1000000</v>
      </c>
      <c r="N202">
        <v>63</v>
      </c>
      <c r="Q202" s="6">
        <f>(SUM(Pcfu43[[#This Row],[R1]:[R3]]))/(Pcfu43[[#This Row],[No. Reps]]*0.015)*Pcfu43[[#This Row],[Best DF]]</f>
        <v>4200000000</v>
      </c>
      <c r="R202" s="1" t="e">
        <f>_xlfn.STDEV.S(Pcfu43[[#This Row],[R1]:[R3]])/0.015*Pcfu43[[#This Row],[Best DF]]</f>
        <v>#DIV/0!</v>
      </c>
      <c r="S202" s="6">
        <f>Pcfu43[[#This Row],[CFU/mL]]*Pcfu43[[#This Row],[mL]]/Pcfu43[[#This Row],[grams]]</f>
        <v>79800000000</v>
      </c>
      <c r="T202" s="1" t="e">
        <f>Pcfu43[[#This Row],[SD CFU/mL]]*Pcfu43[[#This Row],[mL]]/Pcfu43[[#This Row],[grams]]</f>
        <v>#DIV/0!</v>
      </c>
      <c r="U202" s="7" t="e">
        <f>_xlfn.STDEV.S(Pcfu43[[#This Row],[R1]:[R3]])/AVERAGE(Pcfu43[[#This Row],[R1]:[R3]])</f>
        <v>#DIV/0!</v>
      </c>
      <c r="V202" s="102"/>
      <c r="W202" s="7"/>
    </row>
    <row r="203" spans="1:24" x14ac:dyDescent="0.15">
      <c r="A203" t="s">
        <v>904</v>
      </c>
      <c r="B203" t="s">
        <v>911</v>
      </c>
      <c r="C203" s="4"/>
      <c r="D203" t="s">
        <v>86</v>
      </c>
      <c r="E203" s="3">
        <v>1</v>
      </c>
      <c r="G203">
        <v>0.3</v>
      </c>
      <c r="H203" s="5">
        <v>5.7</v>
      </c>
      <c r="I203" s="3" t="s">
        <v>170</v>
      </c>
      <c r="J203" s="59">
        <v>45008</v>
      </c>
      <c r="K203" s="59"/>
      <c r="L203" s="59" t="e" cm="1">
        <f t="array" ref="L203">INDEX($J$4:J1293, MATCH(1,(A203=$A$4:A1291)*("Y"=$K$4:K1293),0))</f>
        <v>#N/A</v>
      </c>
      <c r="M203" s="1">
        <v>1000000</v>
      </c>
      <c r="N203">
        <v>65</v>
      </c>
      <c r="Q203" s="6">
        <f>(SUM(Pcfu43[[#This Row],[R1]:[R3]]))/(Pcfu43[[#This Row],[No. Reps]]*0.015)*Pcfu43[[#This Row],[Best DF]]</f>
        <v>4333333333.333334</v>
      </c>
      <c r="R203" s="1" t="e">
        <f>_xlfn.STDEV.S(Pcfu43[[#This Row],[R1]:[R3]])/0.015*Pcfu43[[#This Row],[Best DF]]</f>
        <v>#DIV/0!</v>
      </c>
      <c r="S203" s="6">
        <f>Pcfu43[[#This Row],[CFU/mL]]*Pcfu43[[#This Row],[mL]]/Pcfu43[[#This Row],[grams]]</f>
        <v>82333333333.333344</v>
      </c>
      <c r="T203" s="1" t="e">
        <f>Pcfu43[[#This Row],[SD CFU/mL]]*Pcfu43[[#This Row],[mL]]/Pcfu43[[#This Row],[grams]]</f>
        <v>#DIV/0!</v>
      </c>
      <c r="U203" s="7" t="e">
        <f>_xlfn.STDEV.S(Pcfu43[[#This Row],[R1]:[R3]])/AVERAGE(Pcfu43[[#This Row],[R1]:[R3]])</f>
        <v>#DIV/0!</v>
      </c>
      <c r="V203" s="102"/>
      <c r="W203" s="7"/>
    </row>
    <row r="204" spans="1:24" x14ac:dyDescent="0.15">
      <c r="A204" t="s">
        <v>904</v>
      </c>
      <c r="B204" t="s">
        <v>912</v>
      </c>
      <c r="C204" s="4"/>
      <c r="D204" t="s">
        <v>86</v>
      </c>
      <c r="E204" s="3">
        <v>1</v>
      </c>
      <c r="G204">
        <v>0.3</v>
      </c>
      <c r="H204" s="5">
        <v>5.7</v>
      </c>
      <c r="I204" s="3" t="s">
        <v>170</v>
      </c>
      <c r="J204" s="59">
        <v>45008</v>
      </c>
      <c r="K204" s="59"/>
      <c r="L204" s="59" t="e" cm="1">
        <f t="array" ref="L204">INDEX($J$4:J1294, MATCH(1,(A204=$A$4:A1292)*("Y"=$K$4:K1294),0))</f>
        <v>#N/A</v>
      </c>
      <c r="M204" s="1">
        <v>1000000</v>
      </c>
      <c r="N204">
        <v>44</v>
      </c>
      <c r="Q204" s="6">
        <f>(SUM(Pcfu43[[#This Row],[R1]:[R3]]))/(Pcfu43[[#This Row],[No. Reps]]*0.015)*Pcfu43[[#This Row],[Best DF]]</f>
        <v>2933333333.3333335</v>
      </c>
      <c r="R204" s="1" t="e">
        <f>_xlfn.STDEV.S(Pcfu43[[#This Row],[R1]:[R3]])/0.015*Pcfu43[[#This Row],[Best DF]]</f>
        <v>#DIV/0!</v>
      </c>
      <c r="S204" s="6">
        <f>Pcfu43[[#This Row],[CFU/mL]]*Pcfu43[[#This Row],[mL]]/Pcfu43[[#This Row],[grams]]</f>
        <v>55733333333.333344</v>
      </c>
      <c r="T204" s="1" t="e">
        <f>Pcfu43[[#This Row],[SD CFU/mL]]*Pcfu43[[#This Row],[mL]]/Pcfu43[[#This Row],[grams]]</f>
        <v>#DIV/0!</v>
      </c>
      <c r="U204" s="7" t="e">
        <f>_xlfn.STDEV.S(Pcfu43[[#This Row],[R1]:[R3]])/AVERAGE(Pcfu43[[#This Row],[R1]:[R3]])</f>
        <v>#DIV/0!</v>
      </c>
      <c r="V204" s="102"/>
      <c r="W204" s="7"/>
    </row>
    <row r="205" spans="1:24" x14ac:dyDescent="0.15">
      <c r="A205" t="s">
        <v>733</v>
      </c>
      <c r="B205" t="s">
        <v>910</v>
      </c>
      <c r="C205" s="4"/>
      <c r="D205" t="s">
        <v>86</v>
      </c>
      <c r="E205" s="3">
        <v>1</v>
      </c>
      <c r="G205">
        <v>0.3</v>
      </c>
      <c r="H205" s="5">
        <v>5.7</v>
      </c>
      <c r="I205" s="3" t="s">
        <v>170</v>
      </c>
      <c r="J205" s="59">
        <v>45008</v>
      </c>
      <c r="K205" s="59"/>
      <c r="L205" s="59" t="e" cm="1">
        <f t="array" ref="L205">INDEX($J$4:J1295, MATCH(1,(A205=$A$4:A1293)*("Y"=$K$4:K1295),0))</f>
        <v>#N/A</v>
      </c>
      <c r="M205" s="1">
        <v>1000000</v>
      </c>
      <c r="N205">
        <v>16</v>
      </c>
      <c r="Q205" s="6">
        <f>(SUM(Pcfu43[[#This Row],[R1]:[R3]]))/(Pcfu43[[#This Row],[No. Reps]]*0.015)*Pcfu43[[#This Row],[Best DF]]</f>
        <v>1066666666.6666667</v>
      </c>
      <c r="R205" s="1" t="e">
        <f>_xlfn.STDEV.S(Pcfu43[[#This Row],[R1]:[R3]])/0.015*Pcfu43[[#This Row],[Best DF]]</f>
        <v>#DIV/0!</v>
      </c>
      <c r="S205" s="6">
        <f>Pcfu43[[#This Row],[CFU/mL]]*Pcfu43[[#This Row],[mL]]/Pcfu43[[#This Row],[grams]]</f>
        <v>20266666666.666672</v>
      </c>
      <c r="T205" s="1" t="e">
        <f>Pcfu43[[#This Row],[SD CFU/mL]]*Pcfu43[[#This Row],[mL]]/Pcfu43[[#This Row],[grams]]</f>
        <v>#DIV/0!</v>
      </c>
      <c r="U205" s="7" t="e">
        <f>_xlfn.STDEV.S(Pcfu43[[#This Row],[R1]:[R3]])/AVERAGE(Pcfu43[[#This Row],[R1]:[R3]])</f>
        <v>#DIV/0!</v>
      </c>
      <c r="V205" s="102"/>
      <c r="W205" s="7"/>
    </row>
    <row r="206" spans="1:24" x14ac:dyDescent="0.15">
      <c r="A206" t="s">
        <v>733</v>
      </c>
      <c r="B206" t="s">
        <v>911</v>
      </c>
      <c r="C206" s="4"/>
      <c r="D206" t="s">
        <v>86</v>
      </c>
      <c r="E206" s="3">
        <v>1</v>
      </c>
      <c r="G206">
        <v>0.3</v>
      </c>
      <c r="H206" s="5">
        <v>5.7</v>
      </c>
      <c r="I206" s="3" t="s">
        <v>170</v>
      </c>
      <c r="J206" s="59">
        <v>45008</v>
      </c>
      <c r="K206" s="59"/>
      <c r="L206" s="59" t="e" cm="1">
        <f t="array" ref="L206">INDEX($J$4:J1296, MATCH(1,(A206=$A$4:A1294)*("Y"=$K$4:K1296),0))</f>
        <v>#N/A</v>
      </c>
      <c r="M206" s="1">
        <v>1000000</v>
      </c>
      <c r="N206">
        <v>16</v>
      </c>
      <c r="Q206" s="6">
        <f>(SUM(Pcfu43[[#This Row],[R1]:[R3]]))/(Pcfu43[[#This Row],[No. Reps]]*0.015)*Pcfu43[[#This Row],[Best DF]]</f>
        <v>1066666666.6666667</v>
      </c>
      <c r="R206" s="1" t="e">
        <f>_xlfn.STDEV.S(Pcfu43[[#This Row],[R1]:[R3]])/0.015*Pcfu43[[#This Row],[Best DF]]</f>
        <v>#DIV/0!</v>
      </c>
      <c r="S206" s="6">
        <f>Pcfu43[[#This Row],[CFU/mL]]*Pcfu43[[#This Row],[mL]]/Pcfu43[[#This Row],[grams]]</f>
        <v>20266666666.666672</v>
      </c>
      <c r="T206" s="1" t="e">
        <f>Pcfu43[[#This Row],[SD CFU/mL]]*Pcfu43[[#This Row],[mL]]/Pcfu43[[#This Row],[grams]]</f>
        <v>#DIV/0!</v>
      </c>
      <c r="U206" s="7" t="e">
        <f>_xlfn.STDEV.S(Pcfu43[[#This Row],[R1]:[R3]])/AVERAGE(Pcfu43[[#This Row],[R1]:[R3]])</f>
        <v>#DIV/0!</v>
      </c>
      <c r="V206" s="102"/>
      <c r="W206" s="7"/>
    </row>
    <row r="207" spans="1:24" x14ac:dyDescent="0.15">
      <c r="A207" t="s">
        <v>733</v>
      </c>
      <c r="B207" t="s">
        <v>912</v>
      </c>
      <c r="C207" s="4"/>
      <c r="D207" t="s">
        <v>86</v>
      </c>
      <c r="E207" s="3">
        <v>1</v>
      </c>
      <c r="G207">
        <v>0.3</v>
      </c>
      <c r="H207" s="5">
        <v>5.7</v>
      </c>
      <c r="I207" s="3" t="s">
        <v>170</v>
      </c>
      <c r="J207" s="59">
        <v>45008</v>
      </c>
      <c r="K207" s="59"/>
      <c r="L207" s="59" t="e" cm="1">
        <f t="array" ref="L207">INDEX($J$4:J1297, MATCH(1,(A207=$A$4:A1295)*("Y"=$K$4:K1297),0))</f>
        <v>#N/A</v>
      </c>
      <c r="M207" s="1">
        <v>1000000</v>
      </c>
      <c r="N207">
        <v>6</v>
      </c>
      <c r="Q207" s="6">
        <f>(SUM(Pcfu43[[#This Row],[R1]:[R3]]))/(Pcfu43[[#This Row],[No. Reps]]*0.015)*Pcfu43[[#This Row],[Best DF]]</f>
        <v>400000000</v>
      </c>
      <c r="R207" s="1" t="e">
        <f>_xlfn.STDEV.S(Pcfu43[[#This Row],[R1]:[R3]])/0.015*Pcfu43[[#This Row],[Best DF]]</f>
        <v>#DIV/0!</v>
      </c>
      <c r="S207" s="6">
        <f>Pcfu43[[#This Row],[CFU/mL]]*Pcfu43[[#This Row],[mL]]/Pcfu43[[#This Row],[grams]]</f>
        <v>7600000000</v>
      </c>
      <c r="T207" s="1" t="e">
        <f>Pcfu43[[#This Row],[SD CFU/mL]]*Pcfu43[[#This Row],[mL]]/Pcfu43[[#This Row],[grams]]</f>
        <v>#DIV/0!</v>
      </c>
      <c r="U207" s="7" t="e">
        <f>_xlfn.STDEV.S(Pcfu43[[#This Row],[R1]:[R3]])/AVERAGE(Pcfu43[[#This Row],[R1]:[R3]])</f>
        <v>#DIV/0!</v>
      </c>
      <c r="V207" s="102"/>
      <c r="W207" s="7"/>
    </row>
    <row r="208" spans="1:24" x14ac:dyDescent="0.15">
      <c r="A208" t="s">
        <v>734</v>
      </c>
      <c r="B208" t="s">
        <v>910</v>
      </c>
      <c r="C208" s="4"/>
      <c r="D208" t="s">
        <v>86</v>
      </c>
      <c r="E208" s="3">
        <v>1</v>
      </c>
      <c r="G208">
        <v>0.3</v>
      </c>
      <c r="H208" s="5">
        <v>5.7</v>
      </c>
      <c r="I208" s="3" t="s">
        <v>170</v>
      </c>
      <c r="J208" s="59">
        <v>45008</v>
      </c>
      <c r="K208" s="59"/>
      <c r="L208" s="59" t="e" cm="1">
        <f t="array" ref="L208">INDEX($J$4:J1298, MATCH(1,(A208=$A$4:A1296)*("Y"=$K$4:K1298),0))</f>
        <v>#N/A</v>
      </c>
      <c r="M208" s="1">
        <v>1000000</v>
      </c>
      <c r="N208">
        <v>47</v>
      </c>
      <c r="Q208" s="6">
        <f>(SUM(Pcfu43[[#This Row],[R1]:[R3]]))/(Pcfu43[[#This Row],[No. Reps]]*0.015)*Pcfu43[[#This Row],[Best DF]]</f>
        <v>3133333333.3333335</v>
      </c>
      <c r="R208" s="1" t="e">
        <f>_xlfn.STDEV.S(Pcfu43[[#This Row],[R1]:[R3]])/0.015*Pcfu43[[#This Row],[Best DF]]</f>
        <v>#DIV/0!</v>
      </c>
      <c r="S208" s="6">
        <f>Pcfu43[[#This Row],[CFU/mL]]*Pcfu43[[#This Row],[mL]]/Pcfu43[[#This Row],[grams]]</f>
        <v>59533333333.333336</v>
      </c>
      <c r="T208" s="1" t="e">
        <f>Pcfu43[[#This Row],[SD CFU/mL]]*Pcfu43[[#This Row],[mL]]/Pcfu43[[#This Row],[grams]]</f>
        <v>#DIV/0!</v>
      </c>
      <c r="U208" s="7" t="e">
        <f>_xlfn.STDEV.S(Pcfu43[[#This Row],[R1]:[R3]])/AVERAGE(Pcfu43[[#This Row],[R1]:[R3]])</f>
        <v>#DIV/0!</v>
      </c>
      <c r="V208" s="102"/>
      <c r="W208" s="7"/>
    </row>
    <row r="209" spans="1:24" x14ac:dyDescent="0.15">
      <c r="A209" t="s">
        <v>734</v>
      </c>
      <c r="B209" t="s">
        <v>911</v>
      </c>
      <c r="C209" s="4"/>
      <c r="D209" t="s">
        <v>86</v>
      </c>
      <c r="E209" s="3">
        <v>1</v>
      </c>
      <c r="G209">
        <v>0.3</v>
      </c>
      <c r="H209" s="5">
        <v>5.7</v>
      </c>
      <c r="I209" s="3" t="s">
        <v>170</v>
      </c>
      <c r="J209" s="59">
        <v>45008</v>
      </c>
      <c r="K209" s="59"/>
      <c r="L209" s="59" t="e" cm="1">
        <f t="array" ref="L209">INDEX($J$4:J1299, MATCH(1,(A209=$A$4:A1297)*("Y"=$K$4:K1299),0))</f>
        <v>#N/A</v>
      </c>
      <c r="M209" s="1">
        <v>1000000</v>
      </c>
      <c r="N209">
        <v>65</v>
      </c>
      <c r="Q209" s="6">
        <f>(SUM(Pcfu43[[#This Row],[R1]:[R3]]))/(Pcfu43[[#This Row],[No. Reps]]*0.015)*Pcfu43[[#This Row],[Best DF]]</f>
        <v>4333333333.333334</v>
      </c>
      <c r="R209" s="1" t="e">
        <f>_xlfn.STDEV.S(Pcfu43[[#This Row],[R1]:[R3]])/0.015*Pcfu43[[#This Row],[Best DF]]</f>
        <v>#DIV/0!</v>
      </c>
      <c r="S209" s="6">
        <f>Pcfu43[[#This Row],[CFU/mL]]*Pcfu43[[#This Row],[mL]]/Pcfu43[[#This Row],[grams]]</f>
        <v>82333333333.333344</v>
      </c>
      <c r="T209" s="1" t="e">
        <f>Pcfu43[[#This Row],[SD CFU/mL]]*Pcfu43[[#This Row],[mL]]/Pcfu43[[#This Row],[grams]]</f>
        <v>#DIV/0!</v>
      </c>
      <c r="U209" s="7" t="e">
        <f>_xlfn.STDEV.S(Pcfu43[[#This Row],[R1]:[R3]])/AVERAGE(Pcfu43[[#This Row],[R1]:[R3]])</f>
        <v>#DIV/0!</v>
      </c>
      <c r="V209" s="102"/>
      <c r="W209" s="7"/>
    </row>
    <row r="210" spans="1:24" x14ac:dyDescent="0.15">
      <c r="A210" t="s">
        <v>734</v>
      </c>
      <c r="B210" t="s">
        <v>912</v>
      </c>
      <c r="C210" s="4"/>
      <c r="D210" t="s">
        <v>86</v>
      </c>
      <c r="E210" s="3">
        <v>1</v>
      </c>
      <c r="G210">
        <v>0.3</v>
      </c>
      <c r="H210" s="5">
        <v>5.7</v>
      </c>
      <c r="I210" s="3" t="s">
        <v>170</v>
      </c>
      <c r="J210" s="59">
        <v>45008</v>
      </c>
      <c r="K210" s="59"/>
      <c r="L210" s="59" t="e" cm="1">
        <f t="array" ref="L210">INDEX($J$4:J1300, MATCH(1,(A210=$A$4:A1298)*("Y"=$K$4:K1300),0))</f>
        <v>#N/A</v>
      </c>
      <c r="M210" s="1">
        <v>1000000</v>
      </c>
      <c r="N210">
        <v>67</v>
      </c>
      <c r="Q210" s="6">
        <f>(SUM(Pcfu43[[#This Row],[R1]:[R3]]))/(Pcfu43[[#This Row],[No. Reps]]*0.015)*Pcfu43[[#This Row],[Best DF]]</f>
        <v>4466666666.666667</v>
      </c>
      <c r="R210" s="1" t="e">
        <f>_xlfn.STDEV.S(Pcfu43[[#This Row],[R1]:[R3]])/0.015*Pcfu43[[#This Row],[Best DF]]</f>
        <v>#DIV/0!</v>
      </c>
      <c r="S210" s="6">
        <f>Pcfu43[[#This Row],[CFU/mL]]*Pcfu43[[#This Row],[mL]]/Pcfu43[[#This Row],[grams]]</f>
        <v>84866666666.666687</v>
      </c>
      <c r="T210" s="1" t="e">
        <f>Pcfu43[[#This Row],[SD CFU/mL]]*Pcfu43[[#This Row],[mL]]/Pcfu43[[#This Row],[grams]]</f>
        <v>#DIV/0!</v>
      </c>
      <c r="U210" s="7" t="e">
        <f>_xlfn.STDEV.S(Pcfu43[[#This Row],[R1]:[R3]])/AVERAGE(Pcfu43[[#This Row],[R1]:[R3]])</f>
        <v>#DIV/0!</v>
      </c>
      <c r="V210" s="102"/>
      <c r="W210" s="7"/>
    </row>
    <row r="211" spans="1:24" x14ac:dyDescent="0.15">
      <c r="A211" t="s">
        <v>735</v>
      </c>
      <c r="B211" t="s">
        <v>910</v>
      </c>
      <c r="C211" s="4"/>
      <c r="D211" t="s">
        <v>86</v>
      </c>
      <c r="E211" s="3">
        <v>1</v>
      </c>
      <c r="G211">
        <v>0.3</v>
      </c>
      <c r="H211" s="5">
        <v>5.7</v>
      </c>
      <c r="I211" s="3" t="s">
        <v>170</v>
      </c>
      <c r="J211" s="59">
        <v>45008</v>
      </c>
      <c r="K211" s="59"/>
      <c r="L211" s="59" t="e" cm="1">
        <f t="array" ref="L211">INDEX($J$4:J1301, MATCH(1,(A211=$A$4:A1299)*("Y"=$K$4:K1301),0))</f>
        <v>#N/A</v>
      </c>
      <c r="M211" s="1">
        <v>1000000</v>
      </c>
      <c r="N211">
        <v>69</v>
      </c>
      <c r="Q211" s="6">
        <f>(SUM(Pcfu43[[#This Row],[R1]:[R3]]))/(Pcfu43[[#This Row],[No. Reps]]*0.015)*Pcfu43[[#This Row],[Best DF]]</f>
        <v>4600000000</v>
      </c>
      <c r="R211" s="1" t="e">
        <f>_xlfn.STDEV.S(Pcfu43[[#This Row],[R1]:[R3]])/0.015*Pcfu43[[#This Row],[Best DF]]</f>
        <v>#DIV/0!</v>
      </c>
      <c r="S211" s="6">
        <f>Pcfu43[[#This Row],[CFU/mL]]*Pcfu43[[#This Row],[mL]]/Pcfu43[[#This Row],[grams]]</f>
        <v>87400000000</v>
      </c>
      <c r="T211" s="1" t="e">
        <f>Pcfu43[[#This Row],[SD CFU/mL]]*Pcfu43[[#This Row],[mL]]/Pcfu43[[#This Row],[grams]]</f>
        <v>#DIV/0!</v>
      </c>
      <c r="U211" s="7" t="e">
        <f>_xlfn.STDEV.S(Pcfu43[[#This Row],[R1]:[R3]])/AVERAGE(Pcfu43[[#This Row],[R1]:[R3]])</f>
        <v>#DIV/0!</v>
      </c>
      <c r="V211" s="102"/>
      <c r="W211" s="7"/>
    </row>
    <row r="212" spans="1:24" x14ac:dyDescent="0.15">
      <c r="A212" t="s">
        <v>735</v>
      </c>
      <c r="B212" t="s">
        <v>911</v>
      </c>
      <c r="C212" s="4"/>
      <c r="D212" t="s">
        <v>86</v>
      </c>
      <c r="E212" s="3">
        <v>1</v>
      </c>
      <c r="G212">
        <v>0.3</v>
      </c>
      <c r="H212" s="5">
        <v>5.7</v>
      </c>
      <c r="I212" s="3" t="s">
        <v>170</v>
      </c>
      <c r="J212" s="59">
        <v>45008</v>
      </c>
      <c r="K212" s="59"/>
      <c r="L212" s="59" t="e" cm="1">
        <f t="array" ref="L212">INDEX($J$4:J1302, MATCH(1,(A212=$A$4:A1300)*("Y"=$K$4:K1302),0))</f>
        <v>#N/A</v>
      </c>
      <c r="M212" s="1">
        <v>1000000</v>
      </c>
      <c r="N212">
        <v>69</v>
      </c>
      <c r="Q212" s="6">
        <f>(SUM(Pcfu43[[#This Row],[R1]:[R3]]))/(Pcfu43[[#This Row],[No. Reps]]*0.015)*Pcfu43[[#This Row],[Best DF]]</f>
        <v>4600000000</v>
      </c>
      <c r="R212" s="1" t="e">
        <f>_xlfn.STDEV.S(Pcfu43[[#This Row],[R1]:[R3]])/0.015*Pcfu43[[#This Row],[Best DF]]</f>
        <v>#DIV/0!</v>
      </c>
      <c r="S212" s="6">
        <f>Pcfu43[[#This Row],[CFU/mL]]*Pcfu43[[#This Row],[mL]]/Pcfu43[[#This Row],[grams]]</f>
        <v>87400000000</v>
      </c>
      <c r="T212" s="1" t="e">
        <f>Pcfu43[[#This Row],[SD CFU/mL]]*Pcfu43[[#This Row],[mL]]/Pcfu43[[#This Row],[grams]]</f>
        <v>#DIV/0!</v>
      </c>
      <c r="U212" s="7" t="e">
        <f>_xlfn.STDEV.S(Pcfu43[[#This Row],[R1]:[R3]])/AVERAGE(Pcfu43[[#This Row],[R1]:[R3]])</f>
        <v>#DIV/0!</v>
      </c>
      <c r="V212" s="102"/>
      <c r="W212" s="7"/>
    </row>
    <row r="213" spans="1:24" x14ac:dyDescent="0.15">
      <c r="A213" t="s">
        <v>735</v>
      </c>
      <c r="B213" t="s">
        <v>912</v>
      </c>
      <c r="C213" s="4"/>
      <c r="D213" t="s">
        <v>86</v>
      </c>
      <c r="E213" s="3">
        <v>1</v>
      </c>
      <c r="G213">
        <v>0.3</v>
      </c>
      <c r="H213" s="5">
        <v>5.7</v>
      </c>
      <c r="I213" s="3" t="s">
        <v>170</v>
      </c>
      <c r="J213" s="59">
        <v>45008</v>
      </c>
      <c r="K213" s="59"/>
      <c r="L213" s="59" t="e" cm="1">
        <f t="array" ref="L213">INDEX($J$4:J1303, MATCH(1,(A213=$A$4:A1301)*("Y"=$K$4:K1303),0))</f>
        <v>#N/A</v>
      </c>
      <c r="M213" s="1">
        <v>1000000</v>
      </c>
      <c r="N213">
        <v>61</v>
      </c>
      <c r="Q213" s="6">
        <f>(SUM(Pcfu43[[#This Row],[R1]:[R3]]))/(Pcfu43[[#This Row],[No. Reps]]*0.015)*Pcfu43[[#This Row],[Best DF]]</f>
        <v>4066666666.666667</v>
      </c>
      <c r="R213" s="1" t="e">
        <f>_xlfn.STDEV.S(Pcfu43[[#This Row],[R1]:[R3]])/0.015*Pcfu43[[#This Row],[Best DF]]</f>
        <v>#DIV/0!</v>
      </c>
      <c r="S213" s="6">
        <f>Pcfu43[[#This Row],[CFU/mL]]*Pcfu43[[#This Row],[mL]]/Pcfu43[[#This Row],[grams]]</f>
        <v>77266666666.666687</v>
      </c>
      <c r="T213" s="1" t="e">
        <f>Pcfu43[[#This Row],[SD CFU/mL]]*Pcfu43[[#This Row],[mL]]/Pcfu43[[#This Row],[grams]]</f>
        <v>#DIV/0!</v>
      </c>
      <c r="U213" s="7" t="e">
        <f>_xlfn.STDEV.S(Pcfu43[[#This Row],[R1]:[R3]])/AVERAGE(Pcfu43[[#This Row],[R1]:[R3]])</f>
        <v>#DIV/0!</v>
      </c>
      <c r="V213" s="102"/>
      <c r="W213" s="7"/>
    </row>
    <row r="214" spans="1:24" x14ac:dyDescent="0.15">
      <c r="A214" t="s">
        <v>874</v>
      </c>
      <c r="B214" t="s">
        <v>913</v>
      </c>
      <c r="C214" s="4"/>
      <c r="D214" t="s">
        <v>86</v>
      </c>
      <c r="E214" s="3">
        <v>3</v>
      </c>
      <c r="G214">
        <v>0.3</v>
      </c>
      <c r="H214" s="5">
        <v>5.7</v>
      </c>
      <c r="I214" s="3" t="s">
        <v>170</v>
      </c>
      <c r="J214" s="59">
        <v>45012</v>
      </c>
      <c r="K214" s="59"/>
      <c r="L214" s="59" t="e" cm="1">
        <f t="array" ref="L214">INDEX($J$4:J1304, MATCH(1,(A214=$A$4:A1302)*("Y"=$K$4:K1304),0))</f>
        <v>#N/A</v>
      </c>
      <c r="M214" s="1">
        <v>1000000</v>
      </c>
      <c r="N214">
        <v>67</v>
      </c>
      <c r="O214">
        <v>64</v>
      </c>
      <c r="P214">
        <v>82</v>
      </c>
      <c r="Q214" s="6">
        <f>(SUM(Pcfu43[[#This Row],[R1]:[R3]]))/(Pcfu43[[#This Row],[No. Reps]]*0.015)*Pcfu43[[#This Row],[Best DF]]</f>
        <v>4733333333.333334</v>
      </c>
      <c r="R214" s="1">
        <f>_xlfn.STDEV.S(Pcfu43[[#This Row],[R1]:[R3]])/0.015*Pcfu43[[#This Row],[Best DF]]</f>
        <v>642910050.73286378</v>
      </c>
      <c r="S214" s="6">
        <f>Pcfu43[[#This Row],[CFU/mL]]*Pcfu43[[#This Row],[mL]]/Pcfu43[[#This Row],[grams]]</f>
        <v>89933333333.333344</v>
      </c>
      <c r="T214" s="1">
        <f>Pcfu43[[#This Row],[SD CFU/mL]]*Pcfu43[[#This Row],[mL]]/Pcfu43[[#This Row],[grams]]</f>
        <v>12215290963.924414</v>
      </c>
      <c r="U214" s="7">
        <f>_xlfn.STDEV.S(Pcfu43[[#This Row],[R1]:[R3]])/AVERAGE(Pcfu43[[#This Row],[R1]:[R3]])</f>
        <v>0.13582606705623881</v>
      </c>
      <c r="V214" s="102">
        <v>0.30199999999999999</v>
      </c>
      <c r="W214" s="7"/>
      <c r="X214" t="s">
        <v>914</v>
      </c>
    </row>
    <row r="215" spans="1:24" x14ac:dyDescent="0.15">
      <c r="A215" t="s">
        <v>875</v>
      </c>
      <c r="B215" t="s">
        <v>913</v>
      </c>
      <c r="C215" s="4"/>
      <c r="D215" t="s">
        <v>86</v>
      </c>
      <c r="E215" s="3">
        <v>3</v>
      </c>
      <c r="G215">
        <v>0.3</v>
      </c>
      <c r="H215" s="5">
        <v>5.7</v>
      </c>
      <c r="I215" s="3" t="s">
        <v>170</v>
      </c>
      <c r="J215" s="59">
        <v>45012</v>
      </c>
      <c r="K215" s="59"/>
      <c r="L215" s="59" t="e" cm="1">
        <f t="array" ref="L215">INDEX($J$4:J1305, MATCH(1,(A215=$A$4:A1303)*("Y"=$K$4:K1305),0))</f>
        <v>#N/A</v>
      </c>
      <c r="M215" s="1">
        <v>1000000</v>
      </c>
      <c r="N215">
        <v>78</v>
      </c>
      <c r="O215">
        <v>71</v>
      </c>
      <c r="P215">
        <v>76</v>
      </c>
      <c r="Q215" s="6">
        <f>(SUM(Pcfu43[[#This Row],[R1]:[R3]]))/(Pcfu43[[#This Row],[No. Reps]]*0.015)*Pcfu43[[#This Row],[Best DF]]</f>
        <v>5000000000</v>
      </c>
      <c r="R215" s="1">
        <f>_xlfn.STDEV.S(Pcfu43[[#This Row],[R1]:[R3]])/0.015*Pcfu43[[#This Row],[Best DF]]</f>
        <v>240370085.03093261</v>
      </c>
      <c r="S215" s="6">
        <f>Pcfu43[[#This Row],[CFU/mL]]*Pcfu43[[#This Row],[mL]]/Pcfu43[[#This Row],[grams]]</f>
        <v>95000000000</v>
      </c>
      <c r="T215" s="1">
        <f>Pcfu43[[#This Row],[SD CFU/mL]]*Pcfu43[[#This Row],[mL]]/Pcfu43[[#This Row],[grams]]</f>
        <v>4567031615.5877199</v>
      </c>
      <c r="U215" s="7">
        <f>_xlfn.STDEV.S(Pcfu43[[#This Row],[R1]:[R3]])/AVERAGE(Pcfu43[[#This Row],[R1]:[R3]])</f>
        <v>4.807401700618652E-2</v>
      </c>
      <c r="V215" s="102">
        <v>0.11600000000000001</v>
      </c>
      <c r="W215" s="7"/>
      <c r="X215" t="s">
        <v>514</v>
      </c>
    </row>
    <row r="216" spans="1:24" x14ac:dyDescent="0.15">
      <c r="A216" t="s">
        <v>876</v>
      </c>
      <c r="B216" t="s">
        <v>913</v>
      </c>
      <c r="C216" s="4"/>
      <c r="D216" t="s">
        <v>86</v>
      </c>
      <c r="E216" s="3">
        <v>2</v>
      </c>
      <c r="G216">
        <v>0.3</v>
      </c>
      <c r="H216" s="5">
        <v>5.7</v>
      </c>
      <c r="I216" s="3" t="s">
        <v>170</v>
      </c>
      <c r="J216" s="59">
        <v>45012</v>
      </c>
      <c r="K216" s="59"/>
      <c r="L216" s="59" t="e" cm="1">
        <f t="array" ref="L216">INDEX($J$4:J1306, MATCH(1,(A216=$A$4:A1304)*("Y"=$K$4:K1306),0))</f>
        <v>#N/A</v>
      </c>
      <c r="M216" s="1">
        <v>1000000</v>
      </c>
      <c r="N216">
        <v>56</v>
      </c>
      <c r="O216">
        <v>68</v>
      </c>
      <c r="Q216" s="6">
        <f>(SUM(Pcfu43[[#This Row],[R1]:[R3]]))/(Pcfu43[[#This Row],[No. Reps]]*0.015)*Pcfu43[[#This Row],[Best DF]]</f>
        <v>4133333333.333334</v>
      </c>
      <c r="R216" s="1">
        <f>_xlfn.STDEV.S(Pcfu43[[#This Row],[R1]:[R3]])/0.015*Pcfu43[[#This Row],[Best DF]]</f>
        <v>565685424.94923806</v>
      </c>
      <c r="S216" s="6">
        <f>Pcfu43[[#This Row],[CFU/mL]]*Pcfu43[[#This Row],[mL]]/Pcfu43[[#This Row],[grams]]</f>
        <v>78533333333.333344</v>
      </c>
      <c r="T216" s="1">
        <f>Pcfu43[[#This Row],[SD CFU/mL]]*Pcfu43[[#This Row],[mL]]/Pcfu43[[#This Row],[grams]]</f>
        <v>10748023074.035524</v>
      </c>
      <c r="U216" s="7">
        <f>_xlfn.STDEV.S(Pcfu43[[#This Row],[R1]:[R3]])/AVERAGE(Pcfu43[[#This Row],[R1]:[R3]])</f>
        <v>0.1368593770038479</v>
      </c>
      <c r="V216" s="102">
        <v>0.32200000000000001</v>
      </c>
      <c r="W216" s="7"/>
      <c r="X216" t="s">
        <v>915</v>
      </c>
    </row>
    <row r="217" spans="1:24" x14ac:dyDescent="0.15">
      <c r="A217" t="s">
        <v>877</v>
      </c>
      <c r="B217" t="s">
        <v>913</v>
      </c>
      <c r="C217" s="4"/>
      <c r="D217" t="s">
        <v>86</v>
      </c>
      <c r="E217" s="3">
        <v>3</v>
      </c>
      <c r="G217">
        <v>0.3</v>
      </c>
      <c r="H217" s="5">
        <v>5.7</v>
      </c>
      <c r="I217" s="3" t="s">
        <v>170</v>
      </c>
      <c r="J217" s="59">
        <v>45012</v>
      </c>
      <c r="K217" s="59"/>
      <c r="L217" s="59" t="e" cm="1">
        <f t="array" ref="L217">INDEX($J$4:J1307, MATCH(1,(A217=$A$4:A1305)*("Y"=$K$4:K1307),0))</f>
        <v>#N/A</v>
      </c>
      <c r="M217" s="1">
        <v>1000000</v>
      </c>
      <c r="N217">
        <v>38</v>
      </c>
      <c r="O217">
        <v>53</v>
      </c>
      <c r="P217">
        <v>45</v>
      </c>
      <c r="Q217" s="6">
        <f>(SUM(Pcfu43[[#This Row],[R1]:[R3]]))/(Pcfu43[[#This Row],[No. Reps]]*0.015)*Pcfu43[[#This Row],[Best DF]]</f>
        <v>3022222222.2222223</v>
      </c>
      <c r="R217" s="1">
        <f>_xlfn.STDEV.S(Pcfu43[[#This Row],[R1]:[R3]])/0.015*Pcfu43[[#This Row],[Best DF]]</f>
        <v>500370233.29767632</v>
      </c>
      <c r="S217" s="6">
        <f>Pcfu43[[#This Row],[CFU/mL]]*Pcfu43[[#This Row],[mL]]/Pcfu43[[#This Row],[grams]]</f>
        <v>57422222222.222229</v>
      </c>
      <c r="T217" s="1">
        <f>Pcfu43[[#This Row],[SD CFU/mL]]*Pcfu43[[#This Row],[mL]]/Pcfu43[[#This Row],[grams]]</f>
        <v>9507034432.6558514</v>
      </c>
      <c r="U217" s="7">
        <f>_xlfn.STDEV.S(Pcfu43[[#This Row],[R1]:[R3]])/AVERAGE(Pcfu43[[#This Row],[R1]:[R3]])</f>
        <v>0.16556368013526054</v>
      </c>
      <c r="V217" s="102">
        <v>0.379</v>
      </c>
      <c r="W217" s="7"/>
      <c r="X217" t="s">
        <v>916</v>
      </c>
    </row>
    <row r="218" spans="1:24" x14ac:dyDescent="0.15">
      <c r="A218" t="s">
        <v>878</v>
      </c>
      <c r="B218" t="s">
        <v>913</v>
      </c>
      <c r="C218" s="4"/>
      <c r="D218" t="s">
        <v>86</v>
      </c>
      <c r="E218" s="3">
        <v>3</v>
      </c>
      <c r="G218">
        <v>0.3</v>
      </c>
      <c r="H218" s="5">
        <v>5.7</v>
      </c>
      <c r="I218" s="3" t="s">
        <v>170</v>
      </c>
      <c r="J218" s="59">
        <v>45012</v>
      </c>
      <c r="K218" s="59"/>
      <c r="L218" s="59" t="e" cm="1">
        <f t="array" ref="L218">INDEX($J$4:J1308, MATCH(1,(A218=$A$4:A1306)*("Y"=$K$4:K1308),0))</f>
        <v>#N/A</v>
      </c>
      <c r="M218" s="1">
        <v>1000000</v>
      </c>
      <c r="N218">
        <v>40</v>
      </c>
      <c r="O218">
        <v>39</v>
      </c>
      <c r="P218">
        <v>48</v>
      </c>
      <c r="Q218" s="6">
        <f>(SUM(Pcfu43[[#This Row],[R1]:[R3]]))/(Pcfu43[[#This Row],[No. Reps]]*0.015)*Pcfu43[[#This Row],[Best DF]]</f>
        <v>2822222222.2222223</v>
      </c>
      <c r="R218" s="1">
        <f>_xlfn.STDEV.S(Pcfu43[[#This Row],[R1]:[R3]])/0.015*Pcfu43[[#This Row],[Best DF]]</f>
        <v>328858857.48774987</v>
      </c>
      <c r="S218" s="6">
        <f>Pcfu43[[#This Row],[CFU/mL]]*Pcfu43[[#This Row],[mL]]/Pcfu43[[#This Row],[grams]]</f>
        <v>53622222222.222229</v>
      </c>
      <c r="T218" s="1">
        <f>Pcfu43[[#This Row],[SD CFU/mL]]*Pcfu43[[#This Row],[mL]]/Pcfu43[[#This Row],[grams]]</f>
        <v>6248318292.2672482</v>
      </c>
      <c r="U218" s="7">
        <f>_xlfn.STDEV.S(Pcfu43[[#This Row],[R1]:[R3]])/AVERAGE(Pcfu43[[#This Row],[R1]:[R3]])</f>
        <v>0.11652479202321844</v>
      </c>
      <c r="V218" s="102">
        <v>0.34899999999999998</v>
      </c>
      <c r="W218" s="7"/>
      <c r="X218" t="s">
        <v>917</v>
      </c>
    </row>
    <row r="219" spans="1:24" x14ac:dyDescent="0.15">
      <c r="A219" t="s">
        <v>879</v>
      </c>
      <c r="B219" t="s">
        <v>913</v>
      </c>
      <c r="C219" s="4"/>
      <c r="D219" t="s">
        <v>86</v>
      </c>
      <c r="E219" s="3">
        <v>3</v>
      </c>
      <c r="G219">
        <v>0.3</v>
      </c>
      <c r="H219" s="5">
        <v>5.7</v>
      </c>
      <c r="I219" s="3" t="s">
        <v>170</v>
      </c>
      <c r="J219" s="59">
        <v>45012</v>
      </c>
      <c r="K219" s="59"/>
      <c r="L219" s="59" t="e" cm="1">
        <f t="array" ref="L219">INDEX($J$4:J1309, MATCH(1,(A219=$A$4:A1307)*("Y"=$K$4:K1309),0))</f>
        <v>#N/A</v>
      </c>
      <c r="M219" s="1">
        <v>1000000</v>
      </c>
      <c r="N219">
        <v>33</v>
      </c>
      <c r="O219">
        <v>37</v>
      </c>
      <c r="P219">
        <v>33</v>
      </c>
      <c r="Q219" s="6">
        <f>(SUM(Pcfu43[[#This Row],[R1]:[R3]]))/(Pcfu43[[#This Row],[No. Reps]]*0.015)*Pcfu43[[#This Row],[Best DF]]</f>
        <v>2288888888.8888893</v>
      </c>
      <c r="R219" s="1">
        <f>_xlfn.STDEV.S(Pcfu43[[#This Row],[R1]:[R3]])/0.015*Pcfu43[[#This Row],[Best DF]]</f>
        <v>153960071.7839002</v>
      </c>
      <c r="S219" s="6">
        <f>Pcfu43[[#This Row],[CFU/mL]]*Pcfu43[[#This Row],[mL]]/Pcfu43[[#This Row],[grams]]</f>
        <v>43488888888.888901</v>
      </c>
      <c r="T219" s="1">
        <f>Pcfu43[[#This Row],[SD CFU/mL]]*Pcfu43[[#This Row],[mL]]/Pcfu43[[#This Row],[grams]]</f>
        <v>2925241363.894104</v>
      </c>
      <c r="U219" s="7">
        <f>_xlfn.STDEV.S(Pcfu43[[#This Row],[R1]:[R3]])/AVERAGE(Pcfu43[[#This Row],[R1]:[R3]])</f>
        <v>6.726410903180105E-2</v>
      </c>
      <c r="V219" s="102">
        <v>0.377</v>
      </c>
      <c r="W219" s="7"/>
      <c r="X219" t="s">
        <v>918</v>
      </c>
    </row>
    <row r="220" spans="1:24" x14ac:dyDescent="0.15">
      <c r="A220" t="s">
        <v>919</v>
      </c>
      <c r="B220" t="s">
        <v>913</v>
      </c>
      <c r="C220" s="4"/>
      <c r="D220" t="s">
        <v>86</v>
      </c>
      <c r="E220" s="3">
        <v>3</v>
      </c>
      <c r="G220">
        <v>0.3</v>
      </c>
      <c r="H220" s="5">
        <v>5.7</v>
      </c>
      <c r="I220" s="3" t="s">
        <v>170</v>
      </c>
      <c r="J220" s="59">
        <v>45012</v>
      </c>
      <c r="K220" s="59"/>
      <c r="L220" s="59" t="e" cm="1">
        <f t="array" ref="L220">INDEX($J$4:J1310, MATCH(1,(A220=$A$4:A1308)*("Y"=$K$4:K1310),0))</f>
        <v>#N/A</v>
      </c>
      <c r="M220" s="1">
        <v>1000000</v>
      </c>
      <c r="N220">
        <v>43</v>
      </c>
      <c r="O220">
        <v>51</v>
      </c>
      <c r="P220">
        <v>72</v>
      </c>
      <c r="Q220" s="6">
        <f>(SUM(Pcfu43[[#This Row],[R1]:[R3]]))/(Pcfu43[[#This Row],[No. Reps]]*0.015)*Pcfu43[[#This Row],[Best DF]]</f>
        <v>3688888888.8888893</v>
      </c>
      <c r="R220" s="1">
        <f>_xlfn.STDEV.S(Pcfu43[[#This Row],[R1]:[R3]])/0.015*Pcfu43[[#This Row],[Best DF]]</f>
        <v>998517419.49604249</v>
      </c>
      <c r="S220" s="6">
        <f>Pcfu43[[#This Row],[CFU/mL]]*Pcfu43[[#This Row],[mL]]/Pcfu43[[#This Row],[grams]]</f>
        <v>70088888888.888901</v>
      </c>
      <c r="T220" s="1">
        <f>Pcfu43[[#This Row],[SD CFU/mL]]*Pcfu43[[#This Row],[mL]]/Pcfu43[[#This Row],[grams]]</f>
        <v>18971830970.424809</v>
      </c>
      <c r="U220" s="7">
        <f>_xlfn.STDEV.S(Pcfu43[[#This Row],[R1]:[R3]])/AVERAGE(Pcfu43[[#This Row],[R1]:[R3]])</f>
        <v>0.27068243299591516</v>
      </c>
      <c r="V220" s="102">
        <v>0.28199999999999997</v>
      </c>
      <c r="W220" s="7"/>
      <c r="X220" t="s">
        <v>837</v>
      </c>
    </row>
    <row r="221" spans="1:24" x14ac:dyDescent="0.15">
      <c r="A221" t="s">
        <v>880</v>
      </c>
      <c r="B221" t="s">
        <v>913</v>
      </c>
      <c r="C221" s="4"/>
      <c r="D221" t="s">
        <v>86</v>
      </c>
      <c r="E221" s="3">
        <v>3</v>
      </c>
      <c r="G221">
        <v>0.3</v>
      </c>
      <c r="H221" s="5">
        <v>5.7</v>
      </c>
      <c r="I221" s="3" t="s">
        <v>170</v>
      </c>
      <c r="J221" s="59">
        <v>45012</v>
      </c>
      <c r="K221" s="59"/>
      <c r="L221" s="59" t="e" cm="1">
        <f t="array" ref="L221">INDEX($J$4:J1311, MATCH(1,(A221=$A$4:A1309)*("Y"=$K$4:K1311),0))</f>
        <v>#N/A</v>
      </c>
      <c r="M221" s="1">
        <v>1000000</v>
      </c>
      <c r="N221">
        <v>46</v>
      </c>
      <c r="O221">
        <v>54</v>
      </c>
      <c r="P221">
        <v>65</v>
      </c>
      <c r="Q221" s="6">
        <f>(SUM(Pcfu43[[#This Row],[R1]:[R3]]))/(Pcfu43[[#This Row],[No. Reps]]*0.015)*Pcfu43[[#This Row],[Best DF]]</f>
        <v>3666666666.666667</v>
      </c>
      <c r="R221" s="1">
        <f>_xlfn.STDEV.S(Pcfu43[[#This Row],[R1]:[R3]])/0.015*Pcfu43[[#This Row],[Best DF]]</f>
        <v>635959467.61129713</v>
      </c>
      <c r="S221" s="6">
        <f>Pcfu43[[#This Row],[CFU/mL]]*Pcfu43[[#This Row],[mL]]/Pcfu43[[#This Row],[grams]]</f>
        <v>69666666666.666687</v>
      </c>
      <c r="T221" s="1">
        <f>Pcfu43[[#This Row],[SD CFU/mL]]*Pcfu43[[#This Row],[mL]]/Pcfu43[[#This Row],[grams]]</f>
        <v>12083229884.614647</v>
      </c>
      <c r="U221" s="7">
        <f>_xlfn.STDEV.S(Pcfu43[[#This Row],[R1]:[R3]])/AVERAGE(Pcfu43[[#This Row],[R1]:[R3]])</f>
        <v>0.1734434911667174</v>
      </c>
      <c r="V221" s="102">
        <v>0.32600000000000001</v>
      </c>
      <c r="W221" s="7"/>
      <c r="X221" t="s">
        <v>920</v>
      </c>
    </row>
    <row r="222" spans="1:24" x14ac:dyDescent="0.15">
      <c r="A222" t="s">
        <v>468</v>
      </c>
      <c r="C222" s="4"/>
      <c r="D222" t="s">
        <v>86</v>
      </c>
      <c r="E222" s="3">
        <v>3</v>
      </c>
      <c r="G222">
        <v>0.3</v>
      </c>
      <c r="H222" s="5">
        <v>5.7</v>
      </c>
      <c r="I222" s="3" t="s">
        <v>170</v>
      </c>
      <c r="J222" s="59">
        <v>45012</v>
      </c>
      <c r="K222" s="59"/>
      <c r="L222" s="59" t="e" cm="1">
        <f t="array" ref="L222">INDEX($J$4:J1312, MATCH(1,(A222=$A$4:A1310)*("Y"=$K$4:K1312),0))</f>
        <v>#N/A</v>
      </c>
      <c r="M222" s="1">
        <v>100000</v>
      </c>
      <c r="N222">
        <v>32</v>
      </c>
      <c r="O222">
        <v>34</v>
      </c>
      <c r="P222">
        <v>28</v>
      </c>
      <c r="Q222" s="6">
        <f>(SUM(Pcfu43[[#This Row],[R1]:[R3]]))/(Pcfu43[[#This Row],[No. Reps]]*0.015)*Pcfu43[[#This Row],[Best DF]]</f>
        <v>208888888.88888893</v>
      </c>
      <c r="R222" s="1">
        <f>_xlfn.STDEV.S(Pcfu43[[#This Row],[R1]:[R3]])/0.015*Pcfu43[[#This Row],[Best DF]]</f>
        <v>20367003.088692624</v>
      </c>
      <c r="S222" s="6">
        <f>Pcfu43[[#This Row],[CFU/mL]]*Pcfu43[[#This Row],[mL]]/Pcfu43[[#This Row],[grams]]</f>
        <v>3968888888.8888903</v>
      </c>
      <c r="T222" s="1">
        <f>Pcfu43[[#This Row],[SD CFU/mL]]*Pcfu43[[#This Row],[mL]]/Pcfu43[[#This Row],[grams]]</f>
        <v>386973058.68515992</v>
      </c>
      <c r="U222" s="7">
        <f>_xlfn.STDEV.S(Pcfu43[[#This Row],[R1]:[R3]])/AVERAGE(Pcfu43[[#This Row],[R1]:[R3]])</f>
        <v>9.7501610530975322E-2</v>
      </c>
      <c r="V222" s="102">
        <v>0.35599999999999998</v>
      </c>
      <c r="W222" s="7"/>
      <c r="X222" t="s">
        <v>921</v>
      </c>
    </row>
    <row r="223" spans="1:24" x14ac:dyDescent="0.15">
      <c r="A223" t="s">
        <v>393</v>
      </c>
      <c r="C223" s="4"/>
      <c r="D223" t="s">
        <v>86</v>
      </c>
      <c r="E223" s="3">
        <v>3</v>
      </c>
      <c r="G223">
        <v>0.3</v>
      </c>
      <c r="H223" s="5">
        <v>5.7</v>
      </c>
      <c r="I223" s="3" t="s">
        <v>170</v>
      </c>
      <c r="J223" s="59">
        <v>45012</v>
      </c>
      <c r="K223" s="59"/>
      <c r="L223" s="59" t="e" cm="1">
        <f t="array" ref="L223">INDEX($J$4:J1313, MATCH(1,(A223=$A$4:A1311)*("Y"=$K$4:K1313),0))</f>
        <v>#N/A</v>
      </c>
      <c r="M223" s="1">
        <v>1000000</v>
      </c>
      <c r="N223">
        <v>26</v>
      </c>
      <c r="O223">
        <v>28</v>
      </c>
      <c r="P223">
        <v>21</v>
      </c>
      <c r="Q223" s="6">
        <f>(SUM(Pcfu43[[#This Row],[R1]:[R3]]))/(Pcfu43[[#This Row],[No. Reps]]*0.015)*Pcfu43[[#This Row],[Best DF]]</f>
        <v>1666666666.6666667</v>
      </c>
      <c r="R223" s="1">
        <f>_xlfn.STDEV.S(Pcfu43[[#This Row],[R1]:[R3]])/0.015*Pcfu43[[#This Row],[Best DF]]</f>
        <v>240370085.03093261</v>
      </c>
      <c r="S223" s="6">
        <f>Pcfu43[[#This Row],[CFU/mL]]*Pcfu43[[#This Row],[mL]]/Pcfu43[[#This Row],[grams]]</f>
        <v>31666666666.666668</v>
      </c>
      <c r="T223" s="1">
        <f>Pcfu43[[#This Row],[SD CFU/mL]]*Pcfu43[[#This Row],[mL]]/Pcfu43[[#This Row],[grams]]</f>
        <v>4567031615.5877199</v>
      </c>
      <c r="U223" s="7">
        <f>_xlfn.STDEV.S(Pcfu43[[#This Row],[R1]:[R3]])/AVERAGE(Pcfu43[[#This Row],[R1]:[R3]])</f>
        <v>0.14422205101855956</v>
      </c>
      <c r="V223" s="102">
        <v>0.32500000000000001</v>
      </c>
      <c r="W223" s="7"/>
      <c r="X223" t="s">
        <v>922</v>
      </c>
    </row>
    <row r="224" spans="1:24" x14ac:dyDescent="0.15">
      <c r="A224" t="s">
        <v>395</v>
      </c>
      <c r="C224" s="4"/>
      <c r="D224" t="s">
        <v>86</v>
      </c>
      <c r="E224" s="3">
        <v>3</v>
      </c>
      <c r="G224">
        <v>0.3</v>
      </c>
      <c r="H224" s="5">
        <v>5.7</v>
      </c>
      <c r="I224" s="3" t="s">
        <v>170</v>
      </c>
      <c r="J224" s="59">
        <v>45012</v>
      </c>
      <c r="K224" s="59"/>
      <c r="L224" s="59" t="e" cm="1">
        <f t="array" ref="L224">INDEX($J$4:J1314, MATCH(1,(A224=$A$4:A1312)*("Y"=$K$4:K1314),0))</f>
        <v>#N/A</v>
      </c>
      <c r="M224" s="1">
        <v>100000</v>
      </c>
      <c r="N224">
        <v>72</v>
      </c>
      <c r="O224">
        <v>62</v>
      </c>
      <c r="P224">
        <v>56</v>
      </c>
      <c r="Q224" s="6">
        <f>(SUM(Pcfu43[[#This Row],[R1]:[R3]]))/(Pcfu43[[#This Row],[No. Reps]]*0.015)*Pcfu43[[#This Row],[Best DF]]</f>
        <v>422222222.22222227</v>
      </c>
      <c r="R224" s="1">
        <f>_xlfn.STDEV.S(Pcfu43[[#This Row],[R1]:[R3]])/0.015*Pcfu43[[#This Row],[Best DF]]</f>
        <v>53886025.12436495</v>
      </c>
      <c r="S224" s="6">
        <f>Pcfu43[[#This Row],[CFU/mL]]*Pcfu43[[#This Row],[mL]]/Pcfu43[[#This Row],[grams]]</f>
        <v>8022222222.2222233</v>
      </c>
      <c r="T224" s="1">
        <f>Pcfu43[[#This Row],[SD CFU/mL]]*Pcfu43[[#This Row],[mL]]/Pcfu43[[#This Row],[grams]]</f>
        <v>1023834477.3629342</v>
      </c>
      <c r="U224" s="7">
        <f>_xlfn.STDEV.S(Pcfu43[[#This Row],[R1]:[R3]])/AVERAGE(Pcfu43[[#This Row],[R1]:[R3]])</f>
        <v>0.12762479634718013</v>
      </c>
      <c r="V224" s="102">
        <v>0.314</v>
      </c>
      <c r="W224" s="7"/>
      <c r="X224" t="s">
        <v>908</v>
      </c>
    </row>
    <row r="225" spans="1:24" x14ac:dyDescent="0.15">
      <c r="A225" t="s">
        <v>923</v>
      </c>
      <c r="C225" s="4"/>
      <c r="D225" t="s">
        <v>194</v>
      </c>
      <c r="E225" s="3">
        <v>3</v>
      </c>
      <c r="G225">
        <v>0.3</v>
      </c>
      <c r="H225" s="5">
        <v>5.7</v>
      </c>
      <c r="I225" s="3" t="s">
        <v>170</v>
      </c>
      <c r="J225" s="59">
        <v>45014</v>
      </c>
      <c r="K225" s="59"/>
      <c r="L225" s="59" t="e" cm="1">
        <f t="array" ref="L225">INDEX($J$4:J1315, MATCH(1,(A225=$A$4:A1313)*("Y"=$K$4:K1315),0))</f>
        <v>#N/A</v>
      </c>
      <c r="M225" s="1">
        <v>1000000</v>
      </c>
      <c r="N225">
        <v>40</v>
      </c>
      <c r="O225">
        <v>37</v>
      </c>
      <c r="P225">
        <v>41</v>
      </c>
      <c r="Q225" s="6">
        <f>(SUM(Pcfu43[[#This Row],[R1]:[R3]]))/(Pcfu43[[#This Row],[No. Reps]]*0.015)*Pcfu43[[#This Row],[Best DF]]</f>
        <v>2622222222.2222223</v>
      </c>
      <c r="R225" s="1">
        <f>_xlfn.STDEV.S(Pcfu43[[#This Row],[R1]:[R3]])/0.015*Pcfu43[[#This Row],[Best DF]]</f>
        <v>138777733.29774219</v>
      </c>
      <c r="S225" s="6">
        <f>Pcfu43[[#This Row],[CFU/mL]]*Pcfu43[[#This Row],[mL]]/Pcfu43[[#This Row],[grams]]</f>
        <v>49822222222.222229</v>
      </c>
      <c r="T225" s="1">
        <f>Pcfu43[[#This Row],[SD CFU/mL]]*Pcfu43[[#This Row],[mL]]/Pcfu43[[#This Row],[grams]]</f>
        <v>2636776932.6571016</v>
      </c>
      <c r="U225" s="7">
        <f>_xlfn.STDEV.S(Pcfu43[[#This Row],[R1]:[R3]])/AVERAGE(Pcfu43[[#This Row],[R1]:[R3]])</f>
        <v>5.2923711850833874E-2</v>
      </c>
      <c r="V225" s="102">
        <v>0.30599999999999999</v>
      </c>
      <c r="W225" s="7"/>
      <c r="X225" t="s">
        <v>525</v>
      </c>
    </row>
    <row r="226" spans="1:24" x14ac:dyDescent="0.15">
      <c r="A226" t="s">
        <v>438</v>
      </c>
      <c r="C226" s="4"/>
      <c r="D226" t="s">
        <v>194</v>
      </c>
      <c r="E226" s="3">
        <v>3</v>
      </c>
      <c r="G226">
        <v>0.3</v>
      </c>
      <c r="H226" s="5">
        <v>5.7</v>
      </c>
      <c r="I226" s="3" t="s">
        <v>170</v>
      </c>
      <c r="J226" s="59">
        <v>45014</v>
      </c>
      <c r="K226" s="59"/>
      <c r="L226" s="59" t="e" cm="1">
        <f t="array" ref="L226">INDEX($J$4:J1316, MATCH(1,(A226=$A$4:A1314)*("Y"=$K$4:K1316),0))</f>
        <v>#N/A</v>
      </c>
      <c r="M226" s="1">
        <v>100000</v>
      </c>
      <c r="N226">
        <v>42</v>
      </c>
      <c r="O226">
        <v>37</v>
      </c>
      <c r="P226">
        <v>45</v>
      </c>
      <c r="Q226" s="6">
        <f>(SUM(Pcfu43[[#This Row],[R1]:[R3]]))/(Pcfu43[[#This Row],[No. Reps]]*0.015)*Pcfu43[[#This Row],[Best DF]]</f>
        <v>275555555.55555558</v>
      </c>
      <c r="R226" s="1">
        <f>_xlfn.STDEV.S(Pcfu43[[#This Row],[R1]:[R3]])/0.015*Pcfu43[[#This Row],[Best DF]]</f>
        <v>26943012.562182538</v>
      </c>
      <c r="S226" s="6">
        <f>Pcfu43[[#This Row],[CFU/mL]]*Pcfu43[[#This Row],[mL]]/Pcfu43[[#This Row],[grams]]</f>
        <v>5235555555.5555573</v>
      </c>
      <c r="T226" s="1">
        <f>Pcfu43[[#This Row],[SD CFU/mL]]*Pcfu43[[#This Row],[mL]]/Pcfu43[[#This Row],[grams]]</f>
        <v>511917238.68146831</v>
      </c>
      <c r="U226" s="7">
        <f>_xlfn.STDEV.S(Pcfu43[[#This Row],[R1]:[R3]])/AVERAGE(Pcfu43[[#This Row],[R1]:[R3]])</f>
        <v>9.777706171759791E-2</v>
      </c>
      <c r="V226" s="102">
        <v>0.30299999999999999</v>
      </c>
      <c r="W226" s="7"/>
      <c r="X226" t="s">
        <v>924</v>
      </c>
    </row>
    <row r="227" spans="1:24" x14ac:dyDescent="0.15">
      <c r="A227" t="s">
        <v>443</v>
      </c>
      <c r="C227" s="4"/>
      <c r="D227" t="s">
        <v>194</v>
      </c>
      <c r="E227" s="3">
        <v>2</v>
      </c>
      <c r="G227">
        <v>0.3</v>
      </c>
      <c r="H227" s="5">
        <v>5.7</v>
      </c>
      <c r="I227" s="3" t="s">
        <v>170</v>
      </c>
      <c r="J227" s="59">
        <v>45014</v>
      </c>
      <c r="K227" s="59"/>
      <c r="L227" s="59" t="e" cm="1">
        <f t="array" ref="L227">INDEX($J$4:J1317, MATCH(1,(A227=$A$4:A1315)*("Y"=$K$4:K1317),0))</f>
        <v>#N/A</v>
      </c>
      <c r="M227" s="1">
        <v>1000000</v>
      </c>
      <c r="N227">
        <v>50</v>
      </c>
      <c r="O227">
        <v>39</v>
      </c>
      <c r="Q227" s="6">
        <f>(SUM(Pcfu43[[#This Row],[R1]:[R3]]))/(Pcfu43[[#This Row],[No. Reps]]*0.015)*Pcfu43[[#This Row],[Best DF]]</f>
        <v>2966666666.666667</v>
      </c>
      <c r="R227" s="1">
        <f>_xlfn.STDEV.S(Pcfu43[[#This Row],[R1]:[R3]])/0.015*Pcfu43[[#This Row],[Best DF]]</f>
        <v>518544972.87013489</v>
      </c>
      <c r="S227" s="6">
        <f>Pcfu43[[#This Row],[CFU/mL]]*Pcfu43[[#This Row],[mL]]/Pcfu43[[#This Row],[grams]]</f>
        <v>56366666666.666672</v>
      </c>
      <c r="T227" s="1">
        <f>Pcfu43[[#This Row],[SD CFU/mL]]*Pcfu43[[#This Row],[mL]]/Pcfu43[[#This Row],[grams]]</f>
        <v>9852354484.5325642</v>
      </c>
      <c r="U227" s="7">
        <f>_xlfn.STDEV.S(Pcfu43[[#This Row],[R1]:[R3]])/AVERAGE(Pcfu43[[#This Row],[R1]:[R3]])</f>
        <v>0.17479044029330387</v>
      </c>
      <c r="V227" s="102">
        <v>0.27900000000000003</v>
      </c>
      <c r="W227" s="7"/>
      <c r="X227" t="s">
        <v>408</v>
      </c>
    </row>
    <row r="228" spans="1:24" x14ac:dyDescent="0.15">
      <c r="A228" t="s">
        <v>904</v>
      </c>
      <c r="C228" s="4"/>
      <c r="D228" t="s">
        <v>86</v>
      </c>
      <c r="E228" s="3">
        <v>3</v>
      </c>
      <c r="G228">
        <v>0.3</v>
      </c>
      <c r="H228" s="5">
        <v>5.7</v>
      </c>
      <c r="I228" s="3" t="s">
        <v>170</v>
      </c>
      <c r="J228" s="59">
        <v>45014</v>
      </c>
      <c r="K228" s="59"/>
      <c r="L228" s="59" t="e" cm="1">
        <f t="array" ref="L228">INDEX($J$4:J1318, MATCH(1,(A228=$A$4:A1316)*("Y"=$K$4:K1318),0))</f>
        <v>#N/A</v>
      </c>
      <c r="M228" s="1">
        <v>1000000</v>
      </c>
      <c r="N228">
        <v>36</v>
      </c>
      <c r="O228">
        <v>38</v>
      </c>
      <c r="P228">
        <v>34</v>
      </c>
      <c r="Q228" s="6">
        <f>(SUM(Pcfu43[[#This Row],[R1]:[R3]]))/(Pcfu43[[#This Row],[No. Reps]]*0.015)*Pcfu43[[#This Row],[Best DF]]</f>
        <v>2400000000</v>
      </c>
      <c r="R228" s="1">
        <f>_xlfn.STDEV.S(Pcfu43[[#This Row],[R1]:[R3]])/0.015*Pcfu43[[#This Row],[Best DF]]</f>
        <v>133333333.33333334</v>
      </c>
      <c r="S228" s="6">
        <f>Pcfu43[[#This Row],[CFU/mL]]*Pcfu43[[#This Row],[mL]]/Pcfu43[[#This Row],[grams]]</f>
        <v>45600000000</v>
      </c>
      <c r="T228" s="1">
        <f>Pcfu43[[#This Row],[SD CFU/mL]]*Pcfu43[[#This Row],[mL]]/Pcfu43[[#This Row],[grams]]</f>
        <v>2533333333.333334</v>
      </c>
      <c r="U228" s="7">
        <f>_xlfn.STDEV.S(Pcfu43[[#This Row],[R1]:[R3]])/AVERAGE(Pcfu43[[#This Row],[R1]:[R3]])</f>
        <v>5.5555555555555552E-2</v>
      </c>
      <c r="V228" s="102">
        <v>0.27700000000000002</v>
      </c>
      <c r="W228" s="7"/>
      <c r="X228" t="s">
        <v>892</v>
      </c>
    </row>
    <row r="229" spans="1:24" x14ac:dyDescent="0.15">
      <c r="A229" t="s">
        <v>733</v>
      </c>
      <c r="C229" s="4"/>
      <c r="D229" t="s">
        <v>86</v>
      </c>
      <c r="E229" s="3">
        <v>3</v>
      </c>
      <c r="G229">
        <v>0.3</v>
      </c>
      <c r="H229" s="5">
        <v>5.7</v>
      </c>
      <c r="I229" s="3" t="s">
        <v>170</v>
      </c>
      <c r="J229" s="59">
        <v>45014</v>
      </c>
      <c r="K229" s="59"/>
      <c r="L229" s="59" t="e" cm="1">
        <f t="array" ref="L229">INDEX($J$4:J1319, MATCH(1,(A229=$A$4:A1317)*("Y"=$K$4:K1319),0))</f>
        <v>#N/A</v>
      </c>
      <c r="M229" s="1">
        <v>1000000</v>
      </c>
      <c r="N229">
        <v>31</v>
      </c>
      <c r="O229">
        <v>32</v>
      </c>
      <c r="P229">
        <v>39</v>
      </c>
      <c r="Q229" s="6">
        <f>(SUM(Pcfu43[[#This Row],[R1]:[R3]]))/(Pcfu43[[#This Row],[No. Reps]]*0.015)*Pcfu43[[#This Row],[Best DF]]</f>
        <v>2266666666.666667</v>
      </c>
      <c r="R229" s="1">
        <f>_xlfn.STDEV.S(Pcfu43[[#This Row],[R1]:[R3]])/0.015*Pcfu43[[#This Row],[Best DF]]</f>
        <v>290593262.90271163</v>
      </c>
      <c r="S229" s="6">
        <f>Pcfu43[[#This Row],[CFU/mL]]*Pcfu43[[#This Row],[mL]]/Pcfu43[[#This Row],[grams]]</f>
        <v>43066666666.666672</v>
      </c>
      <c r="T229" s="1">
        <f>Pcfu43[[#This Row],[SD CFU/mL]]*Pcfu43[[#This Row],[mL]]/Pcfu43[[#This Row],[grams]]</f>
        <v>5521271995.1515217</v>
      </c>
      <c r="U229" s="7">
        <f>_xlfn.STDEV.S(Pcfu43[[#This Row],[R1]:[R3]])/AVERAGE(Pcfu43[[#This Row],[R1]:[R3]])</f>
        <v>0.12820291010413748</v>
      </c>
      <c r="V229" s="102">
        <v>0.121</v>
      </c>
      <c r="W229" s="7"/>
      <c r="X229" t="s">
        <v>690</v>
      </c>
    </row>
    <row r="230" spans="1:24" x14ac:dyDescent="0.15">
      <c r="A230" t="s">
        <v>866</v>
      </c>
      <c r="C230" s="4"/>
      <c r="D230" t="s">
        <v>86</v>
      </c>
      <c r="E230" s="3">
        <v>3</v>
      </c>
      <c r="G230">
        <v>0.3</v>
      </c>
      <c r="H230" s="5">
        <v>5.7</v>
      </c>
      <c r="I230" s="3" t="s">
        <v>170</v>
      </c>
      <c r="J230" s="59">
        <v>45014</v>
      </c>
      <c r="K230" s="59"/>
      <c r="L230" s="59" t="e" cm="1">
        <f t="array" ref="L230">INDEX($J$4:J1320, MATCH(1,(A230=$A$4:A1318)*("Y"=$K$4:K1320),0))</f>
        <v>#N/A</v>
      </c>
      <c r="M230" s="1">
        <v>1000000</v>
      </c>
      <c r="N230">
        <v>34</v>
      </c>
      <c r="O230">
        <v>37</v>
      </c>
      <c r="P230">
        <v>26</v>
      </c>
      <c r="Q230" s="6">
        <f>(SUM(Pcfu43[[#This Row],[R1]:[R3]]))/(Pcfu43[[#This Row],[No. Reps]]*0.015)*Pcfu43[[#This Row],[Best DF]]</f>
        <v>2155555555.5555558</v>
      </c>
      <c r="R230" s="1">
        <f>_xlfn.STDEV.S(Pcfu43[[#This Row],[R1]:[R3]])/0.015*Pcfu43[[#This Row],[Best DF]]</f>
        <v>379082713.53848809</v>
      </c>
      <c r="S230" s="6">
        <f>Pcfu43[[#This Row],[CFU/mL]]*Pcfu43[[#This Row],[mL]]/Pcfu43[[#This Row],[grams]]</f>
        <v>40955555555.555565</v>
      </c>
      <c r="T230" s="1">
        <f>Pcfu43[[#This Row],[SD CFU/mL]]*Pcfu43[[#This Row],[mL]]/Pcfu43[[#This Row],[grams]]</f>
        <v>7202571557.2312737</v>
      </c>
      <c r="U230" s="7">
        <f>_xlfn.STDEV.S(Pcfu43[[#This Row],[R1]:[R3]])/AVERAGE(Pcfu43[[#This Row],[R1]:[R3]])</f>
        <v>0.17586311452816453</v>
      </c>
      <c r="V230" s="102">
        <v>0.32500000000000001</v>
      </c>
      <c r="W230" s="7"/>
      <c r="X230" t="s">
        <v>922</v>
      </c>
    </row>
    <row r="231" spans="1:24" x14ac:dyDescent="0.15">
      <c r="A231" t="s">
        <v>868</v>
      </c>
      <c r="C231" s="4"/>
      <c r="D231" t="s">
        <v>86</v>
      </c>
      <c r="E231" s="3">
        <v>3</v>
      </c>
      <c r="G231">
        <v>0.3</v>
      </c>
      <c r="H231" s="5">
        <v>5.7</v>
      </c>
      <c r="I231" s="3" t="s">
        <v>170</v>
      </c>
      <c r="J231" s="59">
        <v>45014</v>
      </c>
      <c r="K231" s="59"/>
      <c r="L231" s="59" t="e" cm="1">
        <f t="array" ref="L231">INDEX($J$4:J1321, MATCH(1,(A231=$A$4:A1319)*("Y"=$K$4:K1321),0))</f>
        <v>#N/A</v>
      </c>
      <c r="M231" s="1">
        <v>1000000</v>
      </c>
      <c r="N231">
        <v>22</v>
      </c>
      <c r="O231">
        <v>23</v>
      </c>
      <c r="P231">
        <v>32</v>
      </c>
      <c r="Q231" s="6">
        <f>(SUM(Pcfu43[[#This Row],[R1]:[R3]]))/(Pcfu43[[#This Row],[No. Reps]]*0.015)*Pcfu43[[#This Row],[Best DF]]</f>
        <v>1711111111.1111112</v>
      </c>
      <c r="R231" s="1">
        <f>_xlfn.STDEV.S(Pcfu43[[#This Row],[R1]:[R3]])/0.015*Pcfu43[[#This Row],[Best DF]]</f>
        <v>367171369.81907374</v>
      </c>
      <c r="S231" s="6">
        <f>Pcfu43[[#This Row],[CFU/mL]]*Pcfu43[[#This Row],[mL]]/Pcfu43[[#This Row],[grams]]</f>
        <v>32511111111.111115</v>
      </c>
      <c r="T231" s="1">
        <f>Pcfu43[[#This Row],[SD CFU/mL]]*Pcfu43[[#This Row],[mL]]/Pcfu43[[#This Row],[grams]]</f>
        <v>6976256026.5624018</v>
      </c>
      <c r="U231" s="7">
        <f>_xlfn.STDEV.S(Pcfu43[[#This Row],[R1]:[R3]])/AVERAGE(Pcfu43[[#This Row],[R1]:[R3]])</f>
        <v>0.21458067067348463</v>
      </c>
      <c r="V231" s="102">
        <v>0.33200000000000002</v>
      </c>
      <c r="W231" s="7"/>
      <c r="X231" t="s">
        <v>909</v>
      </c>
    </row>
    <row r="232" spans="1:24" x14ac:dyDescent="0.15">
      <c r="A232" t="s">
        <v>870</v>
      </c>
      <c r="C232" s="4"/>
      <c r="D232" t="s">
        <v>86</v>
      </c>
      <c r="E232" s="3">
        <v>3</v>
      </c>
      <c r="G232">
        <v>0.3</v>
      </c>
      <c r="H232" s="5">
        <v>5.7</v>
      </c>
      <c r="I232" s="3" t="s">
        <v>170</v>
      </c>
      <c r="J232" s="59">
        <v>45014</v>
      </c>
      <c r="K232" s="59"/>
      <c r="L232" s="59" t="e" cm="1">
        <f t="array" ref="L232">INDEX($J$4:J1322, MATCH(1,(A232=$A$4:A1320)*("Y"=$K$4:K1322),0))</f>
        <v>#N/A</v>
      </c>
      <c r="M232" s="1">
        <v>1000000</v>
      </c>
      <c r="N232">
        <v>73</v>
      </c>
      <c r="O232">
        <v>61</v>
      </c>
      <c r="P232">
        <v>60</v>
      </c>
      <c r="Q232" s="6">
        <f>(SUM(Pcfu43[[#This Row],[R1]:[R3]]))/(Pcfu43[[#This Row],[No. Reps]]*0.015)*Pcfu43[[#This Row],[Best DF]]</f>
        <v>4311111111.1111116</v>
      </c>
      <c r="R232" s="1">
        <f>_xlfn.STDEV.S(Pcfu43[[#This Row],[R1]:[R3]])/0.015*Pcfu43[[#This Row],[Best DF]]</f>
        <v>482278542.53801578</v>
      </c>
      <c r="S232" s="6">
        <f>Pcfu43[[#This Row],[CFU/mL]]*Pcfu43[[#This Row],[mL]]/Pcfu43[[#This Row],[grams]]</f>
        <v>81911111111.11113</v>
      </c>
      <c r="T232" s="1">
        <f>Pcfu43[[#This Row],[SD CFU/mL]]*Pcfu43[[#This Row],[mL]]/Pcfu43[[#This Row],[grams]]</f>
        <v>9163292308.2223015</v>
      </c>
      <c r="U232" s="7">
        <f>_xlfn.STDEV.S(Pcfu43[[#This Row],[R1]:[R3]])/AVERAGE(Pcfu43[[#This Row],[R1]:[R3]])</f>
        <v>0.11186873409386962</v>
      </c>
      <c r="V232" s="102">
        <v>0.26800000000000002</v>
      </c>
      <c r="W232" s="7"/>
      <c r="X232" t="s">
        <v>382</v>
      </c>
    </row>
    <row r="233" spans="1:24" x14ac:dyDescent="0.15">
      <c r="A233" t="s">
        <v>872</v>
      </c>
      <c r="C233" s="4"/>
      <c r="D233" t="s">
        <v>86</v>
      </c>
      <c r="E233" s="3">
        <v>3</v>
      </c>
      <c r="G233">
        <v>0.3</v>
      </c>
      <c r="H233" s="5">
        <v>5.7</v>
      </c>
      <c r="I233" s="3" t="s">
        <v>170</v>
      </c>
      <c r="J233" s="59">
        <v>45014</v>
      </c>
      <c r="K233" s="59"/>
      <c r="L233" s="59" t="e" cm="1">
        <f t="array" ref="L233">INDEX($J$4:J1323, MATCH(1,(A233=$A$4:A1321)*("Y"=$K$4:K1323),0))</f>
        <v>#N/A</v>
      </c>
      <c r="M233" s="1">
        <v>1000000</v>
      </c>
      <c r="N233">
        <v>80</v>
      </c>
      <c r="O233">
        <v>70</v>
      </c>
      <c r="P233">
        <v>67</v>
      </c>
      <c r="Q233" s="6">
        <f>(SUM(Pcfu43[[#This Row],[R1]:[R3]]))/(Pcfu43[[#This Row],[No. Reps]]*0.015)*Pcfu43[[#This Row],[Best DF]]</f>
        <v>4822222222.2222223</v>
      </c>
      <c r="R233" s="1">
        <f>_xlfn.STDEV.S(Pcfu43[[#This Row],[R1]:[R3]])/0.015*Pcfu43[[#This Row],[Best DF]]</f>
        <v>453790619.0369364</v>
      </c>
      <c r="S233" s="6">
        <f>Pcfu43[[#This Row],[CFU/mL]]*Pcfu43[[#This Row],[mL]]/Pcfu43[[#This Row],[grams]]</f>
        <v>91622222222.222229</v>
      </c>
      <c r="T233" s="1">
        <f>Pcfu43[[#This Row],[SD CFU/mL]]*Pcfu43[[#This Row],[mL]]/Pcfu43[[#This Row],[grams]]</f>
        <v>8622021761.7017918</v>
      </c>
      <c r="U233" s="7">
        <f>_xlfn.STDEV.S(Pcfu43[[#This Row],[R1]:[R3]])/AVERAGE(Pcfu43[[#This Row],[R1]:[R3]])</f>
        <v>9.4104045422406163E-2</v>
      </c>
      <c r="V233" s="102">
        <v>0.12</v>
      </c>
      <c r="W233" s="7"/>
      <c r="X233" t="s">
        <v>925</v>
      </c>
    </row>
    <row r="234" spans="1:24" x14ac:dyDescent="0.15">
      <c r="A234" t="s">
        <v>876</v>
      </c>
      <c r="B234" t="s">
        <v>910</v>
      </c>
      <c r="C234" s="4"/>
      <c r="D234" t="s">
        <v>194</v>
      </c>
      <c r="E234" s="3">
        <v>3</v>
      </c>
      <c r="G234">
        <v>0.3</v>
      </c>
      <c r="H234" s="5">
        <v>5.7</v>
      </c>
      <c r="I234" s="3" t="s">
        <v>170</v>
      </c>
      <c r="J234" s="59">
        <v>45015</v>
      </c>
      <c r="K234" s="59"/>
      <c r="L234" s="59" t="e" cm="1">
        <f t="array" ref="L234">INDEX($J$4:J1324, MATCH(1,(A234=$A$4:A1322)*("Y"=$K$4:K1324),0))</f>
        <v>#N/A</v>
      </c>
      <c r="M234" s="1">
        <v>1000000</v>
      </c>
      <c r="N234">
        <v>154</v>
      </c>
      <c r="Q234" s="6">
        <f>(SUM(Pcfu43[[#This Row],[R1]:[R3]]))/(Pcfu43[[#This Row],[No. Reps]]*0.015)*Pcfu43[[#This Row],[Best DF]]</f>
        <v>3422222222.2222223</v>
      </c>
      <c r="R234" s="1" t="e">
        <f>_xlfn.STDEV.S(Pcfu43[[#This Row],[R1]:[R3]])/0.015*Pcfu43[[#This Row],[Best DF]]</f>
        <v>#DIV/0!</v>
      </c>
      <c r="S234" s="6">
        <f>Pcfu43[[#This Row],[CFU/mL]]*Pcfu43[[#This Row],[mL]]/Pcfu43[[#This Row],[grams]]</f>
        <v>65022222222.222229</v>
      </c>
      <c r="T234" s="1" t="e">
        <f>Pcfu43[[#This Row],[SD CFU/mL]]*Pcfu43[[#This Row],[mL]]/Pcfu43[[#This Row],[grams]]</f>
        <v>#DIV/0!</v>
      </c>
      <c r="U234" s="7" t="e">
        <f>_xlfn.STDEV.S(Pcfu43[[#This Row],[R1]:[R3]])/AVERAGE(Pcfu43[[#This Row],[R1]:[R3]])</f>
        <v>#DIV/0!</v>
      </c>
      <c r="V234" s="102"/>
      <c r="W234" s="7"/>
    </row>
    <row r="235" spans="1:24" x14ac:dyDescent="0.15">
      <c r="A235" t="s">
        <v>876</v>
      </c>
      <c r="B235" t="s">
        <v>911</v>
      </c>
      <c r="C235" s="4"/>
      <c r="D235" t="s">
        <v>194</v>
      </c>
      <c r="E235" s="3">
        <v>3</v>
      </c>
      <c r="G235">
        <v>0.3</v>
      </c>
      <c r="H235" s="5">
        <v>5.7</v>
      </c>
      <c r="I235" s="3" t="s">
        <v>170</v>
      </c>
      <c r="J235" s="59">
        <v>45015</v>
      </c>
      <c r="K235" s="59"/>
      <c r="L235" s="59" t="e" cm="1">
        <f t="array" ref="L235">INDEX($J$4:J1325, MATCH(1,(A235=$A$4:A1323)*("Y"=$K$4:K1325),0))</f>
        <v>#N/A</v>
      </c>
      <c r="M235" s="1">
        <v>1000000</v>
      </c>
      <c r="N235">
        <v>103</v>
      </c>
      <c r="Q235" s="6">
        <f>(SUM(Pcfu43[[#This Row],[R1]:[R3]]))/(Pcfu43[[#This Row],[No. Reps]]*0.015)*Pcfu43[[#This Row],[Best DF]]</f>
        <v>2288888888.8888893</v>
      </c>
      <c r="R235" s="1" t="e">
        <f>_xlfn.STDEV.S(Pcfu43[[#This Row],[R1]:[R3]])/0.015*Pcfu43[[#This Row],[Best DF]]</f>
        <v>#DIV/0!</v>
      </c>
      <c r="S235" s="6">
        <f>Pcfu43[[#This Row],[CFU/mL]]*Pcfu43[[#This Row],[mL]]/Pcfu43[[#This Row],[grams]]</f>
        <v>43488888888.888901</v>
      </c>
      <c r="T235" s="1" t="e">
        <f>Pcfu43[[#This Row],[SD CFU/mL]]*Pcfu43[[#This Row],[mL]]/Pcfu43[[#This Row],[grams]]</f>
        <v>#DIV/0!</v>
      </c>
      <c r="U235" s="7" t="e">
        <f>_xlfn.STDEV.S(Pcfu43[[#This Row],[R1]:[R3]])/AVERAGE(Pcfu43[[#This Row],[R1]:[R3]])</f>
        <v>#DIV/0!</v>
      </c>
      <c r="V235" s="102"/>
      <c r="W235" s="7"/>
    </row>
    <row r="236" spans="1:24" x14ac:dyDescent="0.15">
      <c r="A236" t="s">
        <v>876</v>
      </c>
      <c r="B236" t="s">
        <v>912</v>
      </c>
      <c r="C236" s="4"/>
      <c r="D236" t="s">
        <v>194</v>
      </c>
      <c r="E236" s="3">
        <v>3</v>
      </c>
      <c r="G236">
        <v>0.3</v>
      </c>
      <c r="H236" s="5">
        <v>5.7</v>
      </c>
      <c r="I236" s="3" t="s">
        <v>170</v>
      </c>
      <c r="J236" s="59">
        <v>45015</v>
      </c>
      <c r="K236" s="59"/>
      <c r="L236" s="59" t="e" cm="1">
        <f t="array" ref="L236">INDEX($J$4:J1326, MATCH(1,(A236=$A$4:A1324)*("Y"=$K$4:K1326),0))</f>
        <v>#N/A</v>
      </c>
      <c r="M236" s="1">
        <v>1000000</v>
      </c>
      <c r="N236">
        <v>102</v>
      </c>
      <c r="Q236" s="6">
        <f>(SUM(Pcfu43[[#This Row],[R1]:[R3]]))/(Pcfu43[[#This Row],[No. Reps]]*0.015)*Pcfu43[[#This Row],[Best DF]]</f>
        <v>2266666666.666667</v>
      </c>
      <c r="R236" s="1" t="e">
        <f>_xlfn.STDEV.S(Pcfu43[[#This Row],[R1]:[R3]])/0.015*Pcfu43[[#This Row],[Best DF]]</f>
        <v>#DIV/0!</v>
      </c>
      <c r="S236" s="6">
        <f>Pcfu43[[#This Row],[CFU/mL]]*Pcfu43[[#This Row],[mL]]/Pcfu43[[#This Row],[grams]]</f>
        <v>43066666666.666672</v>
      </c>
      <c r="T236" s="1" t="e">
        <f>Pcfu43[[#This Row],[SD CFU/mL]]*Pcfu43[[#This Row],[mL]]/Pcfu43[[#This Row],[grams]]</f>
        <v>#DIV/0!</v>
      </c>
      <c r="U236" s="7" t="e">
        <f>_xlfn.STDEV.S(Pcfu43[[#This Row],[R1]:[R3]])/AVERAGE(Pcfu43[[#This Row],[R1]:[R3]])</f>
        <v>#DIV/0!</v>
      </c>
      <c r="V236" s="102"/>
      <c r="W236" s="7"/>
    </row>
    <row r="237" spans="1:24" x14ac:dyDescent="0.15">
      <c r="A237" t="s">
        <v>877</v>
      </c>
      <c r="B237" t="s">
        <v>910</v>
      </c>
      <c r="C237" s="4"/>
      <c r="D237" t="s">
        <v>194</v>
      </c>
      <c r="E237" s="3">
        <v>3</v>
      </c>
      <c r="G237">
        <v>0.3</v>
      </c>
      <c r="H237" s="5">
        <v>5.7</v>
      </c>
      <c r="I237" s="3" t="s">
        <v>170</v>
      </c>
      <c r="J237" s="59">
        <v>45015</v>
      </c>
      <c r="K237" s="59"/>
      <c r="L237" s="59" t="e" cm="1">
        <f t="array" ref="L237">INDEX($J$4:J1327, MATCH(1,(A237=$A$4:A1325)*("Y"=$K$4:K1327),0))</f>
        <v>#N/A</v>
      </c>
      <c r="M237" s="1">
        <v>1000000</v>
      </c>
      <c r="N237">
        <v>102</v>
      </c>
      <c r="Q237" s="6">
        <f>(SUM(Pcfu43[[#This Row],[R1]:[R3]]))/(Pcfu43[[#This Row],[No. Reps]]*0.015)*Pcfu43[[#This Row],[Best DF]]</f>
        <v>2266666666.666667</v>
      </c>
      <c r="R237" s="1" t="e">
        <f>_xlfn.STDEV.S(Pcfu43[[#This Row],[R1]:[R3]])/0.015*Pcfu43[[#This Row],[Best DF]]</f>
        <v>#DIV/0!</v>
      </c>
      <c r="S237" s="6">
        <f>Pcfu43[[#This Row],[CFU/mL]]*Pcfu43[[#This Row],[mL]]/Pcfu43[[#This Row],[grams]]</f>
        <v>43066666666.666672</v>
      </c>
      <c r="T237" s="1" t="e">
        <f>Pcfu43[[#This Row],[SD CFU/mL]]*Pcfu43[[#This Row],[mL]]/Pcfu43[[#This Row],[grams]]</f>
        <v>#DIV/0!</v>
      </c>
      <c r="U237" s="7" t="e">
        <f>_xlfn.STDEV.S(Pcfu43[[#This Row],[R1]:[R3]])/AVERAGE(Pcfu43[[#This Row],[R1]:[R3]])</f>
        <v>#DIV/0!</v>
      </c>
      <c r="V237" s="102"/>
      <c r="W237" s="7"/>
    </row>
    <row r="238" spans="1:24" x14ac:dyDescent="0.15">
      <c r="A238" t="s">
        <v>877</v>
      </c>
      <c r="B238" t="s">
        <v>911</v>
      </c>
      <c r="C238" s="4"/>
      <c r="D238" t="s">
        <v>194</v>
      </c>
      <c r="E238" s="3">
        <v>3</v>
      </c>
      <c r="G238">
        <v>0.3</v>
      </c>
      <c r="H238" s="5">
        <v>5.7</v>
      </c>
      <c r="I238" s="3" t="s">
        <v>170</v>
      </c>
      <c r="J238" s="59">
        <v>45015</v>
      </c>
      <c r="K238" s="59"/>
      <c r="L238" s="59" t="e" cm="1">
        <f t="array" ref="L238">INDEX($J$4:J1328, MATCH(1,(A238=$A$4:A1326)*("Y"=$K$4:K1328),0))</f>
        <v>#N/A</v>
      </c>
      <c r="M238" s="1">
        <v>1000000</v>
      </c>
      <c r="N238">
        <v>88</v>
      </c>
      <c r="Q238" s="6">
        <f>(SUM(Pcfu43[[#This Row],[R1]:[R3]]))/(Pcfu43[[#This Row],[No. Reps]]*0.015)*Pcfu43[[#This Row],[Best DF]]</f>
        <v>1955555555.5555556</v>
      </c>
      <c r="R238" s="1" t="e">
        <f>_xlfn.STDEV.S(Pcfu43[[#This Row],[R1]:[R3]])/0.015*Pcfu43[[#This Row],[Best DF]]</f>
        <v>#DIV/0!</v>
      </c>
      <c r="S238" s="6">
        <f>Pcfu43[[#This Row],[CFU/mL]]*Pcfu43[[#This Row],[mL]]/Pcfu43[[#This Row],[grams]]</f>
        <v>37155555555.555565</v>
      </c>
      <c r="T238" s="1" t="e">
        <f>Pcfu43[[#This Row],[SD CFU/mL]]*Pcfu43[[#This Row],[mL]]/Pcfu43[[#This Row],[grams]]</f>
        <v>#DIV/0!</v>
      </c>
      <c r="U238" s="7" t="e">
        <f>_xlfn.STDEV.S(Pcfu43[[#This Row],[R1]:[R3]])/AVERAGE(Pcfu43[[#This Row],[R1]:[R3]])</f>
        <v>#DIV/0!</v>
      </c>
      <c r="V238" s="102"/>
      <c r="W238" s="7"/>
    </row>
    <row r="239" spans="1:24" x14ac:dyDescent="0.15">
      <c r="A239" t="s">
        <v>877</v>
      </c>
      <c r="B239" t="s">
        <v>912</v>
      </c>
      <c r="C239" s="4"/>
      <c r="D239" t="s">
        <v>194</v>
      </c>
      <c r="E239" s="3">
        <v>3</v>
      </c>
      <c r="G239">
        <v>0.3</v>
      </c>
      <c r="H239" s="5">
        <v>5.7</v>
      </c>
      <c r="I239" s="3" t="s">
        <v>170</v>
      </c>
      <c r="J239" s="59">
        <v>45015</v>
      </c>
      <c r="K239" s="59"/>
      <c r="L239" s="59" t="e" cm="1">
        <f t="array" ref="L239">INDEX($J$4:J1329, MATCH(1,(A239=$A$4:A1327)*("Y"=$K$4:K1329),0))</f>
        <v>#N/A</v>
      </c>
      <c r="M239" s="1">
        <v>1000000</v>
      </c>
      <c r="N239">
        <v>115</v>
      </c>
      <c r="Q239" s="6">
        <f>(SUM(Pcfu43[[#This Row],[R1]:[R3]]))/(Pcfu43[[#This Row],[No. Reps]]*0.015)*Pcfu43[[#This Row],[Best DF]]</f>
        <v>2555555555.5555558</v>
      </c>
      <c r="R239" s="1" t="e">
        <f>_xlfn.STDEV.S(Pcfu43[[#This Row],[R1]:[R3]])/0.015*Pcfu43[[#This Row],[Best DF]]</f>
        <v>#DIV/0!</v>
      </c>
      <c r="S239" s="6">
        <f>Pcfu43[[#This Row],[CFU/mL]]*Pcfu43[[#This Row],[mL]]/Pcfu43[[#This Row],[grams]]</f>
        <v>48555555555.555565</v>
      </c>
      <c r="T239" s="1" t="e">
        <f>Pcfu43[[#This Row],[SD CFU/mL]]*Pcfu43[[#This Row],[mL]]/Pcfu43[[#This Row],[grams]]</f>
        <v>#DIV/0!</v>
      </c>
      <c r="U239" s="7" t="e">
        <f>_xlfn.STDEV.S(Pcfu43[[#This Row],[R1]:[R3]])/AVERAGE(Pcfu43[[#This Row],[R1]:[R3]])</f>
        <v>#DIV/0!</v>
      </c>
      <c r="V239" s="102"/>
      <c r="W239" s="7"/>
    </row>
    <row r="240" spans="1:24" x14ac:dyDescent="0.15">
      <c r="A240" t="s">
        <v>874</v>
      </c>
      <c r="B240" t="s">
        <v>910</v>
      </c>
      <c r="C240" s="4"/>
      <c r="D240" t="s">
        <v>194</v>
      </c>
      <c r="E240" s="3">
        <v>3</v>
      </c>
      <c r="G240">
        <v>0.3</v>
      </c>
      <c r="H240" s="5">
        <v>5.7</v>
      </c>
      <c r="I240" s="3" t="s">
        <v>170</v>
      </c>
      <c r="J240" s="59">
        <v>45015</v>
      </c>
      <c r="K240" s="59"/>
      <c r="L240" s="59" t="e" cm="1">
        <f t="array" ref="L240">INDEX($J$4:J1330, MATCH(1,(A240=$A$4:A1328)*("Y"=$K$4:K1330),0))</f>
        <v>#N/A</v>
      </c>
      <c r="M240" s="1">
        <v>1000000</v>
      </c>
      <c r="N240">
        <v>110</v>
      </c>
      <c r="Q240" s="6">
        <f>(SUM(Pcfu43[[#This Row],[R1]:[R3]]))/(Pcfu43[[#This Row],[No. Reps]]*0.015)*Pcfu43[[#This Row],[Best DF]]</f>
        <v>2444444444.4444442</v>
      </c>
      <c r="R240" s="1" t="e">
        <f>_xlfn.STDEV.S(Pcfu43[[#This Row],[R1]:[R3]])/0.015*Pcfu43[[#This Row],[Best DF]]</f>
        <v>#DIV/0!</v>
      </c>
      <c r="S240" s="6">
        <f>Pcfu43[[#This Row],[CFU/mL]]*Pcfu43[[#This Row],[mL]]/Pcfu43[[#This Row],[grams]]</f>
        <v>46444444444.444443</v>
      </c>
      <c r="T240" s="1" t="e">
        <f>Pcfu43[[#This Row],[SD CFU/mL]]*Pcfu43[[#This Row],[mL]]/Pcfu43[[#This Row],[grams]]</f>
        <v>#DIV/0!</v>
      </c>
      <c r="U240" s="7" t="e">
        <f>_xlfn.STDEV.S(Pcfu43[[#This Row],[R1]:[R3]])/AVERAGE(Pcfu43[[#This Row],[R1]:[R3]])</f>
        <v>#DIV/0!</v>
      </c>
      <c r="V240" s="102"/>
      <c r="W240" s="7"/>
    </row>
    <row r="241" spans="1:23" x14ac:dyDescent="0.15">
      <c r="A241" t="s">
        <v>874</v>
      </c>
      <c r="B241" t="s">
        <v>911</v>
      </c>
      <c r="C241" s="4"/>
      <c r="D241" t="s">
        <v>194</v>
      </c>
      <c r="E241" s="3">
        <v>3</v>
      </c>
      <c r="G241">
        <v>0.3</v>
      </c>
      <c r="H241" s="5">
        <v>5.7</v>
      </c>
      <c r="I241" s="3" t="s">
        <v>170</v>
      </c>
      <c r="J241" s="59">
        <v>45015</v>
      </c>
      <c r="K241" s="59"/>
      <c r="L241" s="59" t="e" cm="1">
        <f t="array" ref="L241">INDEX($J$4:J1331, MATCH(1,(A241=$A$4:A1329)*("Y"=$K$4:K1331),0))</f>
        <v>#N/A</v>
      </c>
      <c r="M241" s="1">
        <v>1000000</v>
      </c>
      <c r="N241">
        <v>97</v>
      </c>
      <c r="Q241" s="6">
        <f>(SUM(Pcfu43[[#This Row],[R1]:[R3]]))/(Pcfu43[[#This Row],[No. Reps]]*0.015)*Pcfu43[[#This Row],[Best DF]]</f>
        <v>2155555555.5555558</v>
      </c>
      <c r="R241" s="1" t="e">
        <f>_xlfn.STDEV.S(Pcfu43[[#This Row],[R1]:[R3]])/0.015*Pcfu43[[#This Row],[Best DF]]</f>
        <v>#DIV/0!</v>
      </c>
      <c r="S241" s="6">
        <f>Pcfu43[[#This Row],[CFU/mL]]*Pcfu43[[#This Row],[mL]]/Pcfu43[[#This Row],[grams]]</f>
        <v>40955555555.555565</v>
      </c>
      <c r="T241" s="1" t="e">
        <f>Pcfu43[[#This Row],[SD CFU/mL]]*Pcfu43[[#This Row],[mL]]/Pcfu43[[#This Row],[grams]]</f>
        <v>#DIV/0!</v>
      </c>
      <c r="U241" s="7" t="e">
        <f>_xlfn.STDEV.S(Pcfu43[[#This Row],[R1]:[R3]])/AVERAGE(Pcfu43[[#This Row],[R1]:[R3]])</f>
        <v>#DIV/0!</v>
      </c>
      <c r="V241" s="102"/>
      <c r="W241" s="7"/>
    </row>
    <row r="242" spans="1:23" x14ac:dyDescent="0.15">
      <c r="A242" t="s">
        <v>874</v>
      </c>
      <c r="B242" t="s">
        <v>912</v>
      </c>
      <c r="C242" s="4"/>
      <c r="D242" t="s">
        <v>194</v>
      </c>
      <c r="E242" s="3">
        <v>3</v>
      </c>
      <c r="G242">
        <v>0.3</v>
      </c>
      <c r="H242" s="5">
        <v>5.7</v>
      </c>
      <c r="I242" s="3" t="s">
        <v>170</v>
      </c>
      <c r="J242" s="59">
        <v>45015</v>
      </c>
      <c r="K242" s="59"/>
      <c r="L242" s="59" t="e" cm="1">
        <f t="array" ref="L242">INDEX($J$4:J1332, MATCH(1,(A242=$A$4:A1330)*("Y"=$K$4:K1332),0))</f>
        <v>#N/A</v>
      </c>
      <c r="M242" s="1">
        <v>1000000</v>
      </c>
      <c r="N242">
        <v>107</v>
      </c>
      <c r="Q242" s="6">
        <f>(SUM(Pcfu43[[#This Row],[R1]:[R3]]))/(Pcfu43[[#This Row],[No. Reps]]*0.015)*Pcfu43[[#This Row],[Best DF]]</f>
        <v>2377777777.7777777</v>
      </c>
      <c r="R242" s="1" t="e">
        <f>_xlfn.STDEV.S(Pcfu43[[#This Row],[R1]:[R3]])/0.015*Pcfu43[[#This Row],[Best DF]]</f>
        <v>#DIV/0!</v>
      </c>
      <c r="S242" s="6">
        <f>Pcfu43[[#This Row],[CFU/mL]]*Pcfu43[[#This Row],[mL]]/Pcfu43[[#This Row],[grams]]</f>
        <v>45177777777.777779</v>
      </c>
      <c r="T242" s="1" t="e">
        <f>Pcfu43[[#This Row],[SD CFU/mL]]*Pcfu43[[#This Row],[mL]]/Pcfu43[[#This Row],[grams]]</f>
        <v>#DIV/0!</v>
      </c>
      <c r="U242" s="7" t="e">
        <f>_xlfn.STDEV.S(Pcfu43[[#This Row],[R1]:[R3]])/AVERAGE(Pcfu43[[#This Row],[R1]:[R3]])</f>
        <v>#DIV/0!</v>
      </c>
      <c r="V242" s="102"/>
      <c r="W242" s="7"/>
    </row>
    <row r="243" spans="1:23" x14ac:dyDescent="0.15">
      <c r="A243" t="s">
        <v>875</v>
      </c>
      <c r="B243" t="s">
        <v>910</v>
      </c>
      <c r="C243" s="4"/>
      <c r="D243" t="s">
        <v>194</v>
      </c>
      <c r="E243" s="3">
        <v>3</v>
      </c>
      <c r="G243">
        <v>0.3</v>
      </c>
      <c r="H243" s="5">
        <v>5.7</v>
      </c>
      <c r="I243" s="3" t="s">
        <v>170</v>
      </c>
      <c r="J243" s="59">
        <v>45015</v>
      </c>
      <c r="K243" s="59"/>
      <c r="L243" s="59" t="e" cm="1">
        <f t="array" ref="L243">INDEX($J$4:J1333, MATCH(1,(A243=$A$4:A1331)*("Y"=$K$4:K1333),0))</f>
        <v>#N/A</v>
      </c>
      <c r="M243" s="1">
        <v>100000</v>
      </c>
      <c r="N243">
        <v>130</v>
      </c>
      <c r="Q243" s="6">
        <f>(SUM(Pcfu43[[#This Row],[R1]:[R3]]))/(Pcfu43[[#This Row],[No. Reps]]*0.015)*Pcfu43[[#This Row],[Best DF]]</f>
        <v>288888888.8888889</v>
      </c>
      <c r="R243" s="1" t="e">
        <f>_xlfn.STDEV.S(Pcfu43[[#This Row],[R1]:[R3]])/0.015*Pcfu43[[#This Row],[Best DF]]</f>
        <v>#DIV/0!</v>
      </c>
      <c r="S243" s="6">
        <f>Pcfu43[[#This Row],[CFU/mL]]*Pcfu43[[#This Row],[mL]]/Pcfu43[[#This Row],[grams]]</f>
        <v>5488888888.8888893</v>
      </c>
      <c r="T243" s="1" t="e">
        <f>Pcfu43[[#This Row],[SD CFU/mL]]*Pcfu43[[#This Row],[mL]]/Pcfu43[[#This Row],[grams]]</f>
        <v>#DIV/0!</v>
      </c>
      <c r="U243" s="7" t="e">
        <f>_xlfn.STDEV.S(Pcfu43[[#This Row],[R1]:[R3]])/AVERAGE(Pcfu43[[#This Row],[R1]:[R3]])</f>
        <v>#DIV/0!</v>
      </c>
      <c r="V243" s="102"/>
      <c r="W243" s="7"/>
    </row>
    <row r="244" spans="1:23" x14ac:dyDescent="0.15">
      <c r="A244" t="s">
        <v>875</v>
      </c>
      <c r="B244" t="s">
        <v>911</v>
      </c>
      <c r="C244" s="4"/>
      <c r="D244" t="s">
        <v>194</v>
      </c>
      <c r="E244" s="3">
        <v>3</v>
      </c>
      <c r="G244">
        <v>0.3</v>
      </c>
      <c r="H244" s="5">
        <v>5.7</v>
      </c>
      <c r="I244" s="3" t="s">
        <v>170</v>
      </c>
      <c r="J244" s="59">
        <v>45015</v>
      </c>
      <c r="K244" s="59"/>
      <c r="L244" s="59" t="e" cm="1">
        <f t="array" ref="L244">INDEX($J$4:J1334, MATCH(1,(A244=$A$4:A1332)*("Y"=$K$4:K1334),0))</f>
        <v>#N/A</v>
      </c>
      <c r="M244" s="1">
        <v>100000</v>
      </c>
      <c r="N244">
        <v>77</v>
      </c>
      <c r="Q244" s="6">
        <f>(SUM(Pcfu43[[#This Row],[R1]:[R3]]))/(Pcfu43[[#This Row],[No. Reps]]*0.015)*Pcfu43[[#This Row],[Best DF]]</f>
        <v>171111111.1111111</v>
      </c>
      <c r="R244" s="1" t="e">
        <f>_xlfn.STDEV.S(Pcfu43[[#This Row],[R1]:[R3]])/0.015*Pcfu43[[#This Row],[Best DF]]</f>
        <v>#DIV/0!</v>
      </c>
      <c r="S244" s="6">
        <f>Pcfu43[[#This Row],[CFU/mL]]*Pcfu43[[#This Row],[mL]]/Pcfu43[[#This Row],[grams]]</f>
        <v>3251111111.1111112</v>
      </c>
      <c r="T244" s="1" t="e">
        <f>Pcfu43[[#This Row],[SD CFU/mL]]*Pcfu43[[#This Row],[mL]]/Pcfu43[[#This Row],[grams]]</f>
        <v>#DIV/0!</v>
      </c>
      <c r="U244" s="7" t="e">
        <f>_xlfn.STDEV.S(Pcfu43[[#This Row],[R1]:[R3]])/AVERAGE(Pcfu43[[#This Row],[R1]:[R3]])</f>
        <v>#DIV/0!</v>
      </c>
      <c r="V244" s="102"/>
      <c r="W244" s="7"/>
    </row>
    <row r="245" spans="1:23" x14ac:dyDescent="0.15">
      <c r="A245" t="s">
        <v>875</v>
      </c>
      <c r="B245" t="s">
        <v>912</v>
      </c>
      <c r="C245" s="4"/>
      <c r="D245" t="s">
        <v>194</v>
      </c>
      <c r="E245" s="3">
        <v>3</v>
      </c>
      <c r="G245">
        <v>0.3</v>
      </c>
      <c r="H245" s="5">
        <v>5.7</v>
      </c>
      <c r="I245" s="3" t="s">
        <v>170</v>
      </c>
      <c r="J245" s="59">
        <v>45015</v>
      </c>
      <c r="K245" s="59"/>
      <c r="L245" s="59" t="e" cm="1">
        <f t="array" ref="L245">INDEX($J$4:J1335, MATCH(1,(A245=$A$4:A1333)*("Y"=$K$4:K1335),0))</f>
        <v>#N/A</v>
      </c>
      <c r="M245" s="1">
        <v>100000</v>
      </c>
      <c r="N245">
        <v>85</v>
      </c>
      <c r="Q245" s="6">
        <f>(SUM(Pcfu43[[#This Row],[R1]:[R3]]))/(Pcfu43[[#This Row],[No. Reps]]*0.015)*Pcfu43[[#This Row],[Best DF]]</f>
        <v>188888888.8888889</v>
      </c>
      <c r="R245" s="1" t="e">
        <f>_xlfn.STDEV.S(Pcfu43[[#This Row],[R1]:[R3]])/0.015*Pcfu43[[#This Row],[Best DF]]</f>
        <v>#DIV/0!</v>
      </c>
      <c r="S245" s="6">
        <f>Pcfu43[[#This Row],[CFU/mL]]*Pcfu43[[#This Row],[mL]]/Pcfu43[[#This Row],[grams]]</f>
        <v>3588888888.8888893</v>
      </c>
      <c r="T245" s="1" t="e">
        <f>Pcfu43[[#This Row],[SD CFU/mL]]*Pcfu43[[#This Row],[mL]]/Pcfu43[[#This Row],[grams]]</f>
        <v>#DIV/0!</v>
      </c>
      <c r="U245" s="7" t="e">
        <f>_xlfn.STDEV.S(Pcfu43[[#This Row],[R1]:[R3]])/AVERAGE(Pcfu43[[#This Row],[R1]:[R3]])</f>
        <v>#DIV/0!</v>
      </c>
      <c r="V245" s="102"/>
      <c r="W245" s="7"/>
    </row>
    <row r="246" spans="1:23" x14ac:dyDescent="0.15">
      <c r="A246" t="s">
        <v>926</v>
      </c>
      <c r="C246" s="4"/>
      <c r="D246" t="s">
        <v>86</v>
      </c>
      <c r="E246" s="3">
        <v>2</v>
      </c>
      <c r="G246">
        <v>0.1</v>
      </c>
      <c r="H246" s="5">
        <v>1.9</v>
      </c>
      <c r="I246" s="3" t="s">
        <v>170</v>
      </c>
      <c r="J246" s="59">
        <v>45019</v>
      </c>
      <c r="K246" s="59"/>
      <c r="L246" s="59" t="e" cm="1">
        <f t="array" ref="L246">INDEX($J$4:J1336, MATCH(1,(A246=$A$4:A1334)*("Y"=$K$4:K1336),0))</f>
        <v>#N/A</v>
      </c>
      <c r="M246" s="1">
        <v>10000000</v>
      </c>
      <c r="N246">
        <v>46</v>
      </c>
      <c r="O246">
        <v>40</v>
      </c>
      <c r="Q246" s="6">
        <f>(SUM(Pcfu43[[#This Row],[R1]:[R3]]))/(Pcfu43[[#This Row],[No. Reps]]*0.015)*Pcfu43[[#This Row],[Best DF]]</f>
        <v>28666666666.666668</v>
      </c>
      <c r="R246" s="1">
        <f>_xlfn.STDEV.S(Pcfu43[[#This Row],[R1]:[R3]])/0.015*Pcfu43[[#This Row],[Best DF]]</f>
        <v>2828427124.7461901</v>
      </c>
      <c r="S246" s="6">
        <f>Pcfu43[[#This Row],[CFU/mL]]*Pcfu43[[#This Row],[mL]]/Pcfu43[[#This Row],[grams]]</f>
        <v>544666666666.66663</v>
      </c>
      <c r="T246" s="1">
        <f>Pcfu43[[#This Row],[SD CFU/mL]]*Pcfu43[[#This Row],[mL]]/Pcfu43[[#This Row],[grams]]</f>
        <v>53740115370.177612</v>
      </c>
      <c r="U246" s="7">
        <f>_xlfn.STDEV.S(Pcfu43[[#This Row],[R1]:[R3]])/AVERAGE(Pcfu43[[#This Row],[R1]:[R3]])</f>
        <v>9.8666062491146164E-2</v>
      </c>
      <c r="V246" s="102"/>
      <c r="W246" s="7"/>
    </row>
    <row r="247" spans="1:23" x14ac:dyDescent="0.15">
      <c r="A247" t="s">
        <v>927</v>
      </c>
      <c r="C247" s="4"/>
      <c r="D247" t="s">
        <v>86</v>
      </c>
      <c r="E247" s="3">
        <v>2</v>
      </c>
      <c r="G247">
        <v>0.1</v>
      </c>
      <c r="H247" s="5">
        <v>1.9</v>
      </c>
      <c r="I247" s="3" t="s">
        <v>170</v>
      </c>
      <c r="J247" s="59">
        <v>45019</v>
      </c>
      <c r="K247" s="59"/>
      <c r="L247" s="59" t="e" cm="1">
        <f t="array" ref="L247">INDEX($J$4:J1337, MATCH(1,(A247=$A$4:A1335)*("Y"=$K$4:K1337),0))</f>
        <v>#N/A</v>
      </c>
      <c r="M247" s="1">
        <v>10000000</v>
      </c>
      <c r="N247">
        <v>153</v>
      </c>
      <c r="O247">
        <v>139</v>
      </c>
      <c r="Q247" s="6">
        <f>(SUM(Pcfu43[[#This Row],[R1]:[R3]]))/(Pcfu43[[#This Row],[No. Reps]]*0.015)*Pcfu43[[#This Row],[Best DF]]</f>
        <v>97333333333.333344</v>
      </c>
      <c r="R247" s="1">
        <f>_xlfn.STDEV.S(Pcfu43[[#This Row],[R1]:[R3]])/0.015*Pcfu43[[#This Row],[Best DF]]</f>
        <v>6599663291.0744438</v>
      </c>
      <c r="S247" s="6">
        <f>Pcfu43[[#This Row],[CFU/mL]]*Pcfu43[[#This Row],[mL]]/Pcfu43[[#This Row],[grams]]</f>
        <v>1849333333333.3333</v>
      </c>
      <c r="T247" s="1">
        <f>Pcfu43[[#This Row],[SD CFU/mL]]*Pcfu43[[#This Row],[mL]]/Pcfu43[[#This Row],[grams]]</f>
        <v>125393602530.41443</v>
      </c>
      <c r="U247" s="7">
        <f>_xlfn.STDEV.S(Pcfu43[[#This Row],[R1]:[R3]])/AVERAGE(Pcfu43[[#This Row],[R1]:[R3]])</f>
        <v>6.7804759839805925E-2</v>
      </c>
      <c r="V247" s="102"/>
      <c r="W247" s="7"/>
    </row>
    <row r="248" spans="1:23" x14ac:dyDescent="0.15">
      <c r="A248" t="s">
        <v>928</v>
      </c>
      <c r="C248" s="4"/>
      <c r="D248" t="s">
        <v>86</v>
      </c>
      <c r="E248" s="3">
        <v>2</v>
      </c>
      <c r="G248">
        <v>0.1</v>
      </c>
      <c r="H248" s="5">
        <v>1.9</v>
      </c>
      <c r="I248" s="3" t="s">
        <v>170</v>
      </c>
      <c r="J248" s="59">
        <v>45019</v>
      </c>
      <c r="K248" s="59"/>
      <c r="L248" s="59" t="e" cm="1">
        <f t="array" ref="L248">INDEX($J$4:J1338, MATCH(1,(A248=$A$4:A1336)*("Y"=$K$4:K1338),0))</f>
        <v>#N/A</v>
      </c>
      <c r="M248" s="1">
        <v>10000000</v>
      </c>
      <c r="N248">
        <v>35</v>
      </c>
      <c r="O248">
        <v>33</v>
      </c>
      <c r="Q248" s="6">
        <f>(SUM(Pcfu43[[#This Row],[R1]:[R3]]))/(Pcfu43[[#This Row],[No. Reps]]*0.015)*Pcfu43[[#This Row],[Best DF]]</f>
        <v>22666666666.666668</v>
      </c>
      <c r="R248" s="1">
        <f>_xlfn.STDEV.S(Pcfu43[[#This Row],[R1]:[R3]])/0.015*Pcfu43[[#This Row],[Best DF]]</f>
        <v>942809041.58206344</v>
      </c>
      <c r="S248" s="6">
        <f>Pcfu43[[#This Row],[CFU/mL]]*Pcfu43[[#This Row],[mL]]/Pcfu43[[#This Row],[grams]]</f>
        <v>430666666666.66663</v>
      </c>
      <c r="T248" s="1">
        <f>Pcfu43[[#This Row],[SD CFU/mL]]*Pcfu43[[#This Row],[mL]]/Pcfu43[[#This Row],[grams]]</f>
        <v>17913371790.059204</v>
      </c>
      <c r="U248" s="7">
        <f>_xlfn.STDEV.S(Pcfu43[[#This Row],[R1]:[R3]])/AVERAGE(Pcfu43[[#This Row],[R1]:[R3]])</f>
        <v>4.1594516540385151E-2</v>
      </c>
      <c r="V248" s="102"/>
      <c r="W248" s="7"/>
    </row>
    <row r="249" spans="1:23" x14ac:dyDescent="0.15">
      <c r="A249" t="s">
        <v>929</v>
      </c>
      <c r="C249" s="4"/>
      <c r="D249" t="s">
        <v>86</v>
      </c>
      <c r="E249" s="3">
        <v>2</v>
      </c>
      <c r="G249">
        <v>0.1</v>
      </c>
      <c r="H249" s="5">
        <v>1.9</v>
      </c>
      <c r="I249" s="3" t="s">
        <v>170</v>
      </c>
      <c r="J249" s="59">
        <v>45019</v>
      </c>
      <c r="K249" s="59"/>
      <c r="L249" s="59" t="e" cm="1">
        <f t="array" ref="L249">INDEX($J$4:J1339, MATCH(1,(A249=$A$4:A1337)*("Y"=$K$4:K1339),0))</f>
        <v>#N/A</v>
      </c>
      <c r="M249" s="1">
        <v>10000000</v>
      </c>
      <c r="N249">
        <v>47</v>
      </c>
      <c r="O249">
        <v>36</v>
      </c>
      <c r="Q249" s="6">
        <f>(SUM(Pcfu43[[#This Row],[R1]:[R3]]))/(Pcfu43[[#This Row],[No. Reps]]*0.015)*Pcfu43[[#This Row],[Best DF]]</f>
        <v>27666666666.666668</v>
      </c>
      <c r="R249" s="1">
        <f>_xlfn.STDEV.S(Pcfu43[[#This Row],[R1]:[R3]])/0.015*Pcfu43[[#This Row],[Best DF]]</f>
        <v>5185449728.7013483</v>
      </c>
      <c r="S249" s="6">
        <f>Pcfu43[[#This Row],[CFU/mL]]*Pcfu43[[#This Row],[mL]]/Pcfu43[[#This Row],[grams]]</f>
        <v>525666666666.66663</v>
      </c>
      <c r="T249" s="1">
        <f>Pcfu43[[#This Row],[SD CFU/mL]]*Pcfu43[[#This Row],[mL]]/Pcfu43[[#This Row],[grams]]</f>
        <v>98523544845.325623</v>
      </c>
      <c r="U249" s="7">
        <f>_xlfn.STDEV.S(Pcfu43[[#This Row],[R1]:[R3]])/AVERAGE(Pcfu43[[#This Row],[R1]:[R3]])</f>
        <v>0.18742589380848246</v>
      </c>
      <c r="V249" s="102"/>
      <c r="W249" s="7"/>
    </row>
    <row r="250" spans="1:23" x14ac:dyDescent="0.15">
      <c r="A250" t="s">
        <v>930</v>
      </c>
      <c r="C250" s="4"/>
      <c r="D250" t="s">
        <v>86</v>
      </c>
      <c r="E250" s="3">
        <v>3</v>
      </c>
      <c r="G250">
        <v>0.1</v>
      </c>
      <c r="H250" s="5">
        <v>1.9</v>
      </c>
      <c r="I250" s="3" t="s">
        <v>170</v>
      </c>
      <c r="J250" s="59">
        <v>45019</v>
      </c>
      <c r="K250" s="59"/>
      <c r="L250" s="59" t="e" cm="1">
        <f t="array" ref="L250">INDEX($J$4:J1340, MATCH(1,(A250=$A$4:A1338)*("Y"=$K$4:K1340),0))</f>
        <v>#N/A</v>
      </c>
      <c r="M250" s="1">
        <v>10000000</v>
      </c>
      <c r="N250">
        <v>32</v>
      </c>
      <c r="O250">
        <v>36</v>
      </c>
      <c r="P250">
        <v>29</v>
      </c>
      <c r="Q250" s="6">
        <f>(SUM(Pcfu43[[#This Row],[R1]:[R3]]))/(Pcfu43[[#This Row],[No. Reps]]*0.015)*Pcfu43[[#This Row],[Best DF]]</f>
        <v>21555555555.555557</v>
      </c>
      <c r="R250" s="1">
        <f>_xlfn.STDEV.S(Pcfu43[[#This Row],[R1]:[R3]])/0.015*Pcfu43[[#This Row],[Best DF]]</f>
        <v>2341256389.522831</v>
      </c>
      <c r="S250" s="6">
        <f>Pcfu43[[#This Row],[CFU/mL]]*Pcfu43[[#This Row],[mL]]/Pcfu43[[#This Row],[grams]]</f>
        <v>409555555555.55554</v>
      </c>
      <c r="T250" s="1">
        <f>Pcfu43[[#This Row],[SD CFU/mL]]*Pcfu43[[#This Row],[mL]]/Pcfu43[[#This Row],[grams]]</f>
        <v>44483871400.933784</v>
      </c>
      <c r="U250" s="7">
        <f>_xlfn.STDEV.S(Pcfu43[[#This Row],[R1]:[R3]])/AVERAGE(Pcfu43[[#This Row],[R1]:[R3]])</f>
        <v>0.10861498714281173</v>
      </c>
      <c r="V250" s="102"/>
      <c r="W250" s="7"/>
    </row>
    <row r="251" spans="1:23" x14ac:dyDescent="0.15">
      <c r="A251" t="s">
        <v>931</v>
      </c>
      <c r="C251" s="4"/>
      <c r="D251" t="s">
        <v>86</v>
      </c>
      <c r="E251" s="3">
        <v>3</v>
      </c>
      <c r="G251">
        <v>0.1</v>
      </c>
      <c r="H251" s="5">
        <v>1.9</v>
      </c>
      <c r="I251" s="3" t="s">
        <v>170</v>
      </c>
      <c r="J251" s="59">
        <v>45019</v>
      </c>
      <c r="K251" s="59"/>
      <c r="L251" s="59" t="e" cm="1">
        <f t="array" ref="L251">INDEX($J$4:J1341, MATCH(1,(A251=$A$4:A1339)*("Y"=$K$4:K1341),0))</f>
        <v>#N/A</v>
      </c>
      <c r="M251" s="1">
        <v>1000000</v>
      </c>
      <c r="N251">
        <v>114</v>
      </c>
      <c r="O251">
        <v>107</v>
      </c>
      <c r="P251">
        <v>121</v>
      </c>
      <c r="Q251" s="6">
        <f>(SUM(Pcfu43[[#This Row],[R1]:[R3]]))/(Pcfu43[[#This Row],[No. Reps]]*0.015)*Pcfu43[[#This Row],[Best DF]]</f>
        <v>7600000000</v>
      </c>
      <c r="R251" s="1">
        <f>_xlfn.STDEV.S(Pcfu43[[#This Row],[R1]:[R3]])/0.015*Pcfu43[[#This Row],[Best DF]]</f>
        <v>466666666.66666669</v>
      </c>
      <c r="S251" s="6">
        <f>Pcfu43[[#This Row],[CFU/mL]]*Pcfu43[[#This Row],[mL]]/Pcfu43[[#This Row],[grams]]</f>
        <v>144400000000</v>
      </c>
      <c r="T251" s="1">
        <f>Pcfu43[[#This Row],[SD CFU/mL]]*Pcfu43[[#This Row],[mL]]/Pcfu43[[#This Row],[grams]]</f>
        <v>8866666666.666666</v>
      </c>
      <c r="U251" s="7">
        <f>_xlfn.STDEV.S(Pcfu43[[#This Row],[R1]:[R3]])/AVERAGE(Pcfu43[[#This Row],[R1]:[R3]])</f>
        <v>6.1403508771929821E-2</v>
      </c>
      <c r="V251" s="102"/>
      <c r="W251" s="7"/>
    </row>
    <row r="252" spans="1:23" x14ac:dyDescent="0.15">
      <c r="A252" t="s">
        <v>932</v>
      </c>
      <c r="C252" s="4"/>
      <c r="D252" t="s">
        <v>86</v>
      </c>
      <c r="E252" s="3">
        <v>3</v>
      </c>
      <c r="G252">
        <v>0.1</v>
      </c>
      <c r="H252" s="5">
        <v>1.9</v>
      </c>
      <c r="I252" s="3" t="s">
        <v>170</v>
      </c>
      <c r="J252" s="59">
        <v>45019</v>
      </c>
      <c r="K252" s="59"/>
      <c r="L252" s="59" t="e" cm="1">
        <f t="array" ref="L252">INDEX($J$4:J1342, MATCH(1,(A252=$A$4:A1340)*("Y"=$K$4:K1342),0))</f>
        <v>#N/A</v>
      </c>
      <c r="M252" s="1">
        <v>1000000</v>
      </c>
      <c r="N252">
        <v>137</v>
      </c>
      <c r="O252">
        <v>144</v>
      </c>
      <c r="P252">
        <v>146</v>
      </c>
      <c r="Q252" s="6">
        <f>(SUM(Pcfu43[[#This Row],[R1]:[R3]]))/(Pcfu43[[#This Row],[No. Reps]]*0.015)*Pcfu43[[#This Row],[Best DF]]</f>
        <v>9488888888.8888893</v>
      </c>
      <c r="R252" s="1">
        <f>_xlfn.STDEV.S(Pcfu43[[#This Row],[R1]:[R3]])/0.015*Pcfu43[[#This Row],[Best DF]]</f>
        <v>315054375.08350724</v>
      </c>
      <c r="S252" s="6">
        <f>Pcfu43[[#This Row],[CFU/mL]]*Pcfu43[[#This Row],[mL]]/Pcfu43[[#This Row],[grams]]</f>
        <v>180288888888.88889</v>
      </c>
      <c r="T252" s="1">
        <f>Pcfu43[[#This Row],[SD CFU/mL]]*Pcfu43[[#This Row],[mL]]/Pcfu43[[#This Row],[grams]]</f>
        <v>5986033126.5866375</v>
      </c>
      <c r="U252" s="7">
        <f>_xlfn.STDEV.S(Pcfu43[[#This Row],[R1]:[R3]])/AVERAGE(Pcfu43[[#This Row],[R1]:[R3]])</f>
        <v>3.3202451706692802E-2</v>
      </c>
      <c r="V252" s="102"/>
      <c r="W252" s="7"/>
    </row>
    <row r="253" spans="1:23" x14ac:dyDescent="0.15">
      <c r="A253" t="s">
        <v>933</v>
      </c>
      <c r="C253" s="4"/>
      <c r="D253" t="s">
        <v>86</v>
      </c>
      <c r="E253" s="3">
        <v>3</v>
      </c>
      <c r="G253">
        <v>0.1</v>
      </c>
      <c r="H253" s="5">
        <v>1.9</v>
      </c>
      <c r="I253" s="3" t="s">
        <v>170</v>
      </c>
      <c r="J253" s="59">
        <v>45019</v>
      </c>
      <c r="K253" s="59"/>
      <c r="L253" s="59" t="e" cm="1">
        <f t="array" ref="L253">INDEX($J$4:J1343, MATCH(1,(A253=$A$4:A1341)*("Y"=$K$4:K1343),0))</f>
        <v>#N/A</v>
      </c>
      <c r="M253" s="1">
        <v>1000000</v>
      </c>
      <c r="N253">
        <v>135</v>
      </c>
      <c r="O253">
        <v>133</v>
      </c>
      <c r="P253">
        <v>124</v>
      </c>
      <c r="Q253" s="6">
        <f>(SUM(Pcfu43[[#This Row],[R1]:[R3]]))/(Pcfu43[[#This Row],[No. Reps]]*0.015)*Pcfu43[[#This Row],[Best DF]]</f>
        <v>8711111111.1111107</v>
      </c>
      <c r="R253" s="1">
        <f>_xlfn.STDEV.S(Pcfu43[[#This Row],[R1]:[R3]])/0.015*Pcfu43[[#This Row],[Best DF]]</f>
        <v>390631018.47215432</v>
      </c>
      <c r="S253" s="6">
        <f>Pcfu43[[#This Row],[CFU/mL]]*Pcfu43[[#This Row],[mL]]/Pcfu43[[#This Row],[grams]]</f>
        <v>165511111111.11108</v>
      </c>
      <c r="T253" s="1">
        <f>Pcfu43[[#This Row],[SD CFU/mL]]*Pcfu43[[#This Row],[mL]]/Pcfu43[[#This Row],[grams]]</f>
        <v>7421989350.970932</v>
      </c>
      <c r="U253" s="7">
        <f>_xlfn.STDEV.S(Pcfu43[[#This Row],[R1]:[R3]])/AVERAGE(Pcfu43[[#This Row],[R1]:[R3]])</f>
        <v>4.4842846508283025E-2</v>
      </c>
      <c r="V253" s="102"/>
      <c r="W253" s="7"/>
    </row>
    <row r="254" spans="1:23" x14ac:dyDescent="0.15">
      <c r="A254" t="s">
        <v>934</v>
      </c>
      <c r="C254" s="4"/>
      <c r="D254" t="s">
        <v>86</v>
      </c>
      <c r="E254" s="3">
        <v>3</v>
      </c>
      <c r="G254">
        <v>0.1</v>
      </c>
      <c r="H254" s="5">
        <v>1.9</v>
      </c>
      <c r="I254" s="3" t="s">
        <v>170</v>
      </c>
      <c r="J254" s="59">
        <v>45019</v>
      </c>
      <c r="K254" s="59"/>
      <c r="L254" s="59" t="e" cm="1">
        <f t="array" ref="L254">INDEX($J$4:J1344, MATCH(1,(A254=$A$4:A1342)*("Y"=$K$4:K1344),0))</f>
        <v>#N/A</v>
      </c>
      <c r="M254" s="1">
        <v>1000000</v>
      </c>
      <c r="N254">
        <v>154</v>
      </c>
      <c r="O254">
        <v>142</v>
      </c>
      <c r="P254">
        <v>152</v>
      </c>
      <c r="Q254" s="6">
        <f>(SUM(Pcfu43[[#This Row],[R1]:[R3]]))/(Pcfu43[[#This Row],[No. Reps]]*0.015)*Pcfu43[[#This Row],[Best DF]]</f>
        <v>9955555555.5555573</v>
      </c>
      <c r="R254" s="1">
        <f>_xlfn.STDEV.S(Pcfu43[[#This Row],[R1]:[R3]])/0.015*Pcfu43[[#This Row],[Best DF]]</f>
        <v>428606700.48857576</v>
      </c>
      <c r="S254" s="6">
        <f>Pcfu43[[#This Row],[CFU/mL]]*Pcfu43[[#This Row],[mL]]/Pcfu43[[#This Row],[grams]]</f>
        <v>189155555555.55557</v>
      </c>
      <c r="T254" s="1">
        <f>Pcfu43[[#This Row],[SD CFU/mL]]*Pcfu43[[#This Row],[mL]]/Pcfu43[[#This Row],[grams]]</f>
        <v>8143527309.282939</v>
      </c>
      <c r="U254" s="7">
        <f>_xlfn.STDEV.S(Pcfu43[[#This Row],[R1]:[R3]])/AVERAGE(Pcfu43[[#This Row],[R1]:[R3]])</f>
        <v>4.3052012325861401E-2</v>
      </c>
      <c r="V254" s="102"/>
      <c r="W254" s="7"/>
    </row>
    <row r="255" spans="1:23" x14ac:dyDescent="0.15">
      <c r="A255" t="s">
        <v>935</v>
      </c>
      <c r="C255" s="4"/>
      <c r="D255" t="s">
        <v>86</v>
      </c>
      <c r="E255" s="3">
        <v>3</v>
      </c>
      <c r="G255">
        <v>0.1</v>
      </c>
      <c r="H255" s="5">
        <v>1.9</v>
      </c>
      <c r="I255" s="3" t="s">
        <v>170</v>
      </c>
      <c r="J255" s="59">
        <v>45019</v>
      </c>
      <c r="K255" s="59"/>
      <c r="L255" s="59" t="e" cm="1">
        <f t="array" ref="L255">INDEX($J$4:J1345, MATCH(1,(A255=$A$4:A1343)*("Y"=$K$4:K1345),0))</f>
        <v>#N/A</v>
      </c>
      <c r="M255" s="1">
        <v>1000000</v>
      </c>
      <c r="N255">
        <v>154</v>
      </c>
      <c r="O255">
        <v>129</v>
      </c>
      <c r="P255">
        <v>146</v>
      </c>
      <c r="Q255" s="6">
        <f>(SUM(Pcfu43[[#This Row],[R1]:[R3]]))/(Pcfu43[[#This Row],[No. Reps]]*0.015)*Pcfu43[[#This Row],[Best DF]]</f>
        <v>9533333333.333334</v>
      </c>
      <c r="R255" s="1">
        <f>_xlfn.STDEV.S(Pcfu43[[#This Row],[R1]:[R3]])/0.015*Pcfu43[[#This Row],[Best DF]]</f>
        <v>851143022.32024693</v>
      </c>
      <c r="S255" s="6">
        <f>Pcfu43[[#This Row],[CFU/mL]]*Pcfu43[[#This Row],[mL]]/Pcfu43[[#This Row],[grams]]</f>
        <v>181133333333.33331</v>
      </c>
      <c r="T255" s="1">
        <f>Pcfu43[[#This Row],[SD CFU/mL]]*Pcfu43[[#This Row],[mL]]/Pcfu43[[#This Row],[grams]]</f>
        <v>16171717424.084692</v>
      </c>
      <c r="U255" s="7">
        <f>_xlfn.STDEV.S(Pcfu43[[#This Row],[R1]:[R3]])/AVERAGE(Pcfu43[[#This Row],[R1]:[R3]])</f>
        <v>8.9280736607018907E-2</v>
      </c>
      <c r="V255" s="102"/>
      <c r="W255" s="7"/>
    </row>
    <row r="256" spans="1:23" x14ac:dyDescent="0.15">
      <c r="A256" t="s">
        <v>654</v>
      </c>
      <c r="C256" s="4"/>
      <c r="D256" t="s">
        <v>86</v>
      </c>
      <c r="E256" s="3">
        <v>3</v>
      </c>
      <c r="G256">
        <v>0.3</v>
      </c>
      <c r="H256" s="5">
        <v>5.7</v>
      </c>
      <c r="I256" s="3" t="s">
        <v>170</v>
      </c>
      <c r="J256" s="59">
        <v>45019</v>
      </c>
      <c r="K256" s="59"/>
      <c r="L256" s="59" t="e" cm="1">
        <f t="array" ref="L256">INDEX($J$4:J1346, MATCH(1,(A256=$A$4:A1344)*("Y"=$K$4:K1346),0))</f>
        <v>#N/A</v>
      </c>
      <c r="M256" s="1">
        <v>1000000</v>
      </c>
      <c r="N256">
        <v>16</v>
      </c>
      <c r="O256">
        <v>9</v>
      </c>
      <c r="P256">
        <v>12</v>
      </c>
      <c r="Q256" s="6">
        <f>(SUM(Pcfu43[[#This Row],[R1]:[R3]]))/(Pcfu43[[#This Row],[No. Reps]]*0.015)*Pcfu43[[#This Row],[Best DF]]</f>
        <v>822222222.22222233</v>
      </c>
      <c r="R256" s="1">
        <f>_xlfn.STDEV.S(Pcfu43[[#This Row],[R1]:[R3]])/0.015*Pcfu43[[#This Row],[Best DF]]</f>
        <v>234125638.95228317</v>
      </c>
      <c r="S256" s="6">
        <f>Pcfu43[[#This Row],[CFU/mL]]*Pcfu43[[#This Row],[mL]]/Pcfu43[[#This Row],[grams]]</f>
        <v>15622222222.222223</v>
      </c>
      <c r="T256" s="1">
        <f>Pcfu43[[#This Row],[SD CFU/mL]]*Pcfu43[[#This Row],[mL]]/Pcfu43[[#This Row],[grams]]</f>
        <v>4448387140.0933809</v>
      </c>
      <c r="U256" s="7">
        <f>_xlfn.STDEV.S(Pcfu43[[#This Row],[R1]:[R3]])/AVERAGE(Pcfu43[[#This Row],[R1]:[R3]])</f>
        <v>0.28474739872574978</v>
      </c>
      <c r="V256" s="102"/>
      <c r="W256" s="7"/>
    </row>
    <row r="257" spans="1:23" x14ac:dyDescent="0.15">
      <c r="A257" t="s">
        <v>655</v>
      </c>
      <c r="C257" s="4"/>
      <c r="D257" t="s">
        <v>86</v>
      </c>
      <c r="E257" s="3">
        <v>3</v>
      </c>
      <c r="G257">
        <v>0.3</v>
      </c>
      <c r="H257" s="5">
        <v>5.7</v>
      </c>
      <c r="I257" s="3" t="s">
        <v>170</v>
      </c>
      <c r="J257" s="59">
        <v>45019</v>
      </c>
      <c r="K257" s="59"/>
      <c r="L257" s="59" t="e" cm="1">
        <f t="array" ref="L257">INDEX($J$4:J1347, MATCH(1,(A257=$A$4:A1345)*("Y"=$K$4:K1347),0))</f>
        <v>#N/A</v>
      </c>
      <c r="M257" s="1">
        <v>1000000</v>
      </c>
      <c r="N257">
        <v>20</v>
      </c>
      <c r="O257">
        <v>16</v>
      </c>
      <c r="P257">
        <v>11</v>
      </c>
      <c r="Q257" s="6">
        <f>(SUM(Pcfu43[[#This Row],[R1]:[R3]]))/(Pcfu43[[#This Row],[No. Reps]]*0.015)*Pcfu43[[#This Row],[Best DF]]</f>
        <v>1044444444.4444445</v>
      </c>
      <c r="R257" s="1">
        <f>_xlfn.STDEV.S(Pcfu43[[#This Row],[R1]:[R3]])/0.015*Pcfu43[[#This Row],[Best DF]]</f>
        <v>300616650.18819284</v>
      </c>
      <c r="S257" s="6">
        <f>Pcfu43[[#This Row],[CFU/mL]]*Pcfu43[[#This Row],[mL]]/Pcfu43[[#This Row],[grams]]</f>
        <v>19844444444.444447</v>
      </c>
      <c r="T257" s="1">
        <f>Pcfu43[[#This Row],[SD CFU/mL]]*Pcfu43[[#This Row],[mL]]/Pcfu43[[#This Row],[grams]]</f>
        <v>5711716353.5756645</v>
      </c>
      <c r="U257" s="7">
        <f>_xlfn.STDEV.S(Pcfu43[[#This Row],[R1]:[R3]])/AVERAGE(Pcfu43[[#This Row],[R1]:[R3]])</f>
        <v>0.2878244523078442</v>
      </c>
      <c r="V257" s="102"/>
      <c r="W257" s="7"/>
    </row>
    <row r="258" spans="1:23" x14ac:dyDescent="0.15">
      <c r="A258" t="s">
        <v>656</v>
      </c>
      <c r="C258" s="4"/>
      <c r="D258" t="s">
        <v>86</v>
      </c>
      <c r="E258" s="3">
        <v>3</v>
      </c>
      <c r="G258">
        <v>0.3</v>
      </c>
      <c r="H258" s="5">
        <v>5.7</v>
      </c>
      <c r="I258" s="3" t="s">
        <v>170</v>
      </c>
      <c r="J258" s="59">
        <v>45019</v>
      </c>
      <c r="K258" s="59"/>
      <c r="L258" s="59" t="e" cm="1">
        <f t="array" ref="L258">INDEX($J$4:J1348, MATCH(1,(A258=$A$4:A1346)*("Y"=$K$4:K1348),0))</f>
        <v>#N/A</v>
      </c>
      <c r="M258" s="1">
        <v>1000000</v>
      </c>
      <c r="N258">
        <v>2</v>
      </c>
      <c r="O258">
        <v>1</v>
      </c>
      <c r="P258">
        <v>2</v>
      </c>
      <c r="Q258" s="6">
        <f>(SUM(Pcfu43[[#This Row],[R1]:[R3]]))/(Pcfu43[[#This Row],[No. Reps]]*0.015)*Pcfu43[[#This Row],[Best DF]]</f>
        <v>111111111.11111112</v>
      </c>
      <c r="R258" s="1">
        <f>_xlfn.STDEV.S(Pcfu43[[#This Row],[R1]:[R3]])/0.015*Pcfu43[[#This Row],[Best DF]]</f>
        <v>38490017.945975035</v>
      </c>
      <c r="S258" s="6">
        <f>Pcfu43[[#This Row],[CFU/mL]]*Pcfu43[[#This Row],[mL]]/Pcfu43[[#This Row],[grams]]</f>
        <v>2111111111.1111114</v>
      </c>
      <c r="T258" s="1">
        <f>Pcfu43[[#This Row],[SD CFU/mL]]*Pcfu43[[#This Row],[mL]]/Pcfu43[[#This Row],[grams]]</f>
        <v>731310340.97352576</v>
      </c>
      <c r="U258" s="7">
        <f>_xlfn.STDEV.S(Pcfu43[[#This Row],[R1]:[R3]])/AVERAGE(Pcfu43[[#This Row],[R1]:[R3]])</f>
        <v>0.34641016151377529</v>
      </c>
      <c r="V258" s="102"/>
      <c r="W258" s="7"/>
    </row>
    <row r="259" spans="1:23" x14ac:dyDescent="0.15">
      <c r="A259" t="s">
        <v>657</v>
      </c>
      <c r="C259" s="4"/>
      <c r="D259" t="s">
        <v>86</v>
      </c>
      <c r="E259" s="3">
        <v>3</v>
      </c>
      <c r="G259">
        <v>0.3</v>
      </c>
      <c r="H259" s="5">
        <v>5.7</v>
      </c>
      <c r="I259" s="3" t="s">
        <v>170</v>
      </c>
      <c r="J259" s="59">
        <v>45019</v>
      </c>
      <c r="K259" s="59"/>
      <c r="L259" s="59" t="e" cm="1">
        <f t="array" ref="L259">INDEX($J$4:J1349, MATCH(1,(A259=$A$4:A1347)*("Y"=$K$4:K1349),0))</f>
        <v>#N/A</v>
      </c>
      <c r="M259" s="1">
        <v>1000000</v>
      </c>
      <c r="N259">
        <v>19</v>
      </c>
      <c r="O259">
        <v>16</v>
      </c>
      <c r="P259">
        <v>17</v>
      </c>
      <c r="Q259" s="6">
        <f>(SUM(Pcfu43[[#This Row],[R1]:[R3]]))/(Pcfu43[[#This Row],[No. Reps]]*0.015)*Pcfu43[[#This Row],[Best DF]]</f>
        <v>1155555555.5555556</v>
      </c>
      <c r="R259" s="1">
        <f>_xlfn.STDEV.S(Pcfu43[[#This Row],[R1]:[R3]])/0.015*Pcfu43[[#This Row],[Best DF]]</f>
        <v>101835015.44346312</v>
      </c>
      <c r="S259" s="6">
        <f>Pcfu43[[#This Row],[CFU/mL]]*Pcfu43[[#This Row],[mL]]/Pcfu43[[#This Row],[grams]]</f>
        <v>21955555555.555557</v>
      </c>
      <c r="T259" s="1">
        <f>Pcfu43[[#This Row],[SD CFU/mL]]*Pcfu43[[#This Row],[mL]]/Pcfu43[[#This Row],[grams]]</f>
        <v>1934865293.4257994</v>
      </c>
      <c r="U259" s="7">
        <f>_xlfn.STDEV.S(Pcfu43[[#This Row],[R1]:[R3]])/AVERAGE(Pcfu43[[#This Row],[R1]:[R3]])</f>
        <v>8.812645567222771E-2</v>
      </c>
      <c r="V259" s="102"/>
      <c r="W259" s="7"/>
    </row>
    <row r="260" spans="1:23" x14ac:dyDescent="0.15">
      <c r="A260" t="s">
        <v>658</v>
      </c>
      <c r="C260" s="4"/>
      <c r="D260" t="s">
        <v>86</v>
      </c>
      <c r="E260" s="3">
        <v>3</v>
      </c>
      <c r="G260">
        <v>0.3</v>
      </c>
      <c r="H260" s="5">
        <v>5.7</v>
      </c>
      <c r="I260" s="3" t="s">
        <v>170</v>
      </c>
      <c r="J260" s="59">
        <v>45019</v>
      </c>
      <c r="K260" s="59"/>
      <c r="L260" s="59" t="e" cm="1">
        <f t="array" ref="L260">INDEX($J$4:J1350, MATCH(1,(A260=$A$4:A1348)*("Y"=$K$4:K1350),0))</f>
        <v>#N/A</v>
      </c>
      <c r="M260" s="1">
        <v>1000000</v>
      </c>
      <c r="N260">
        <v>27</v>
      </c>
      <c r="O260">
        <v>21</v>
      </c>
      <c r="P260">
        <v>20</v>
      </c>
      <c r="Q260" s="6">
        <f>(SUM(Pcfu43[[#This Row],[R1]:[R3]]))/(Pcfu43[[#This Row],[No. Reps]]*0.015)*Pcfu43[[#This Row],[Best DF]]</f>
        <v>1511111111.1111112</v>
      </c>
      <c r="R260" s="1">
        <f>_xlfn.STDEV.S(Pcfu43[[#This Row],[R1]:[R3]])/0.015*Pcfu43[[#This Row],[Best DF]]</f>
        <v>252395926.48001248</v>
      </c>
      <c r="S260" s="6">
        <f>Pcfu43[[#This Row],[CFU/mL]]*Pcfu43[[#This Row],[mL]]/Pcfu43[[#This Row],[grams]]</f>
        <v>28711111111.111115</v>
      </c>
      <c r="T260" s="1">
        <f>Pcfu43[[#This Row],[SD CFU/mL]]*Pcfu43[[#This Row],[mL]]/Pcfu43[[#This Row],[grams]]</f>
        <v>4795522603.1202374</v>
      </c>
      <c r="U260" s="7">
        <f>_xlfn.STDEV.S(Pcfu43[[#This Row],[R1]:[R3]])/AVERAGE(Pcfu43[[#This Row],[R1]:[R3]])</f>
        <v>0.16702671605294944</v>
      </c>
      <c r="V260" s="102"/>
      <c r="W260" s="7"/>
    </row>
    <row r="261" spans="1:23" x14ac:dyDescent="0.15">
      <c r="A261" t="s">
        <v>659</v>
      </c>
      <c r="C261" s="4"/>
      <c r="D261" t="s">
        <v>86</v>
      </c>
      <c r="E261" s="3">
        <v>3</v>
      </c>
      <c r="G261">
        <v>0.3</v>
      </c>
      <c r="H261" s="5">
        <v>5.7</v>
      </c>
      <c r="I261" s="3" t="s">
        <v>170</v>
      </c>
      <c r="J261" s="59">
        <v>45019</v>
      </c>
      <c r="K261" s="59"/>
      <c r="L261" s="59" t="e" cm="1">
        <f t="array" ref="L261">INDEX($J$4:J1351, MATCH(1,(A261=$A$4:A1349)*("Y"=$K$4:K1351),0))</f>
        <v>#N/A</v>
      </c>
      <c r="M261" s="1">
        <v>1000000</v>
      </c>
      <c r="N261">
        <v>2</v>
      </c>
      <c r="O261">
        <v>2</v>
      </c>
      <c r="P261">
        <v>3</v>
      </c>
      <c r="Q261" s="6">
        <f>(SUM(Pcfu43[[#This Row],[R1]:[R3]]))/(Pcfu43[[#This Row],[No. Reps]]*0.015)*Pcfu43[[#This Row],[Best DF]]</f>
        <v>155555555.55555558</v>
      </c>
      <c r="R261" s="1">
        <f>_xlfn.STDEV.S(Pcfu43[[#This Row],[R1]:[R3]])/0.015*Pcfu43[[#This Row],[Best DF]]</f>
        <v>38490017.945975088</v>
      </c>
      <c r="S261" s="6">
        <f>Pcfu43[[#This Row],[CFU/mL]]*Pcfu43[[#This Row],[mL]]/Pcfu43[[#This Row],[grams]]</f>
        <v>2955555555.5555563</v>
      </c>
      <c r="T261" s="1">
        <f>Pcfu43[[#This Row],[SD CFU/mL]]*Pcfu43[[#This Row],[mL]]/Pcfu43[[#This Row],[grams]]</f>
        <v>731310340.97352672</v>
      </c>
      <c r="U261" s="7">
        <f>_xlfn.STDEV.S(Pcfu43[[#This Row],[R1]:[R3]])/AVERAGE(Pcfu43[[#This Row],[R1]:[R3]])</f>
        <v>0.24743582965269698</v>
      </c>
      <c r="V261" s="102"/>
      <c r="W261" s="7"/>
    </row>
    <row r="262" spans="1:23" x14ac:dyDescent="0.15">
      <c r="A262" t="s">
        <v>658</v>
      </c>
      <c r="B262" t="s">
        <v>854</v>
      </c>
      <c r="C262" s="4"/>
      <c r="D262" t="s">
        <v>194</v>
      </c>
      <c r="E262" s="3">
        <v>1</v>
      </c>
      <c r="G262">
        <v>0.3</v>
      </c>
      <c r="H262" s="5">
        <v>5.7</v>
      </c>
      <c r="I262" s="3" t="s">
        <v>170</v>
      </c>
      <c r="J262" s="59">
        <v>45020</v>
      </c>
      <c r="K262" s="59"/>
      <c r="L262" s="59" t="e" cm="1">
        <f t="array" ref="L262">INDEX($J$4:J1352, MATCH(1,(A262=$A$4:A1350)*("Y"=$K$4:K1352),0))</f>
        <v>#N/A</v>
      </c>
      <c r="M262" s="1">
        <v>1000000</v>
      </c>
      <c r="N262">
        <v>15</v>
      </c>
      <c r="Q262" s="6">
        <f>(SUM(Pcfu43[[#This Row],[R1]:[R3]]))/(Pcfu43[[#This Row],[No. Reps]]*0.015)*Pcfu43[[#This Row],[Best DF]]</f>
        <v>1000000000</v>
      </c>
      <c r="R262" s="1" t="e">
        <f>_xlfn.STDEV.S(Pcfu43[[#This Row],[R1]:[R3]])/0.015*Pcfu43[[#This Row],[Best DF]]</f>
        <v>#DIV/0!</v>
      </c>
      <c r="S262" s="6">
        <f>Pcfu43[[#This Row],[CFU/mL]]*Pcfu43[[#This Row],[mL]]/Pcfu43[[#This Row],[grams]]</f>
        <v>19000000000</v>
      </c>
      <c r="T262" s="1" t="e">
        <f>Pcfu43[[#This Row],[SD CFU/mL]]*Pcfu43[[#This Row],[mL]]/Pcfu43[[#This Row],[grams]]</f>
        <v>#DIV/0!</v>
      </c>
      <c r="U262" s="7" t="e">
        <f>_xlfn.STDEV.S(Pcfu43[[#This Row],[R1]:[R3]])/AVERAGE(Pcfu43[[#This Row],[R1]:[R3]])</f>
        <v>#DIV/0!</v>
      </c>
      <c r="V262" s="102"/>
      <c r="W262" s="7"/>
    </row>
    <row r="263" spans="1:23" x14ac:dyDescent="0.15">
      <c r="A263" t="s">
        <v>658</v>
      </c>
      <c r="B263" t="s">
        <v>855</v>
      </c>
      <c r="C263" s="4"/>
      <c r="D263" t="s">
        <v>194</v>
      </c>
      <c r="E263" s="3">
        <v>1</v>
      </c>
      <c r="G263">
        <v>0.3</v>
      </c>
      <c r="H263" s="5">
        <v>5.7</v>
      </c>
      <c r="I263" s="3" t="s">
        <v>170</v>
      </c>
      <c r="J263" s="59">
        <v>45020</v>
      </c>
      <c r="K263" s="59"/>
      <c r="L263" s="59" t="e" cm="1">
        <f t="array" ref="L263">INDEX($J$4:J1353, MATCH(1,(A263=$A$4:A1351)*("Y"=$K$4:K1353),0))</f>
        <v>#N/A</v>
      </c>
      <c r="M263" s="1">
        <v>1000000</v>
      </c>
      <c r="N263">
        <v>35</v>
      </c>
      <c r="Q263" s="6">
        <f>(SUM(Pcfu43[[#This Row],[R1]:[R3]]))/(Pcfu43[[#This Row],[No. Reps]]*0.015)*Pcfu43[[#This Row],[Best DF]]</f>
        <v>2333333333.3333335</v>
      </c>
      <c r="R263" s="1" t="e">
        <f>_xlfn.STDEV.S(Pcfu43[[#This Row],[R1]:[R3]])/0.015*Pcfu43[[#This Row],[Best DF]]</f>
        <v>#DIV/0!</v>
      </c>
      <c r="S263" s="6">
        <f>Pcfu43[[#This Row],[CFU/mL]]*Pcfu43[[#This Row],[mL]]/Pcfu43[[#This Row],[grams]]</f>
        <v>44333333333.333344</v>
      </c>
      <c r="T263" s="1" t="e">
        <f>Pcfu43[[#This Row],[SD CFU/mL]]*Pcfu43[[#This Row],[mL]]/Pcfu43[[#This Row],[grams]]</f>
        <v>#DIV/0!</v>
      </c>
      <c r="U263" s="7" t="e">
        <f>_xlfn.STDEV.S(Pcfu43[[#This Row],[R1]:[R3]])/AVERAGE(Pcfu43[[#This Row],[R1]:[R3]])</f>
        <v>#DIV/0!</v>
      </c>
      <c r="V263" s="102"/>
      <c r="W263" s="7"/>
    </row>
    <row r="264" spans="1:23" x14ac:dyDescent="0.15">
      <c r="A264" t="s">
        <v>658</v>
      </c>
      <c r="B264" t="s">
        <v>856</v>
      </c>
      <c r="C264" s="4"/>
      <c r="D264" t="s">
        <v>194</v>
      </c>
      <c r="E264" s="3">
        <v>1</v>
      </c>
      <c r="G264">
        <v>0.3</v>
      </c>
      <c r="H264" s="5">
        <v>5.7</v>
      </c>
      <c r="I264" s="3" t="s">
        <v>170</v>
      </c>
      <c r="J264" s="59">
        <v>45020</v>
      </c>
      <c r="K264" s="59"/>
      <c r="L264" s="59" t="e" cm="1">
        <f t="array" ref="L264">INDEX($J$4:J1354, MATCH(1,(A264=$A$4:A1352)*("Y"=$K$4:K1354),0))</f>
        <v>#N/A</v>
      </c>
      <c r="M264" s="1">
        <v>1000000</v>
      </c>
      <c r="N264">
        <v>23</v>
      </c>
      <c r="Q264" s="6">
        <f>(SUM(Pcfu43[[#This Row],[R1]:[R3]]))/(Pcfu43[[#This Row],[No. Reps]]*0.015)*Pcfu43[[#This Row],[Best DF]]</f>
        <v>1533333333.3333335</v>
      </c>
      <c r="R264" s="1" t="e">
        <f>_xlfn.STDEV.S(Pcfu43[[#This Row],[R1]:[R3]])/0.015*Pcfu43[[#This Row],[Best DF]]</f>
        <v>#DIV/0!</v>
      </c>
      <c r="S264" s="6">
        <f>Pcfu43[[#This Row],[CFU/mL]]*Pcfu43[[#This Row],[mL]]/Pcfu43[[#This Row],[grams]]</f>
        <v>29133333333.33334</v>
      </c>
      <c r="T264" s="1" t="e">
        <f>Pcfu43[[#This Row],[SD CFU/mL]]*Pcfu43[[#This Row],[mL]]/Pcfu43[[#This Row],[grams]]</f>
        <v>#DIV/0!</v>
      </c>
      <c r="U264" s="7" t="e">
        <f>_xlfn.STDEV.S(Pcfu43[[#This Row],[R1]:[R3]])/AVERAGE(Pcfu43[[#This Row],[R1]:[R3]])</f>
        <v>#DIV/0!</v>
      </c>
      <c r="V264" s="102"/>
      <c r="W264" s="7"/>
    </row>
    <row r="265" spans="1:23" x14ac:dyDescent="0.15">
      <c r="A265" t="s">
        <v>686</v>
      </c>
      <c r="B265" t="s">
        <v>854</v>
      </c>
      <c r="C265" s="4"/>
      <c r="D265" t="s">
        <v>194</v>
      </c>
      <c r="E265" s="3">
        <v>1</v>
      </c>
      <c r="G265">
        <v>0.3</v>
      </c>
      <c r="H265" s="5">
        <v>5.7</v>
      </c>
      <c r="I265" s="3" t="s">
        <v>170</v>
      </c>
      <c r="J265" s="59">
        <v>45020</v>
      </c>
      <c r="K265" s="59"/>
      <c r="L265" s="59" t="e" cm="1">
        <f t="array" ref="L265">INDEX($J$4:J1355, MATCH(1,(A265=$A$4:A1353)*("Y"=$K$4:K1355),0))</f>
        <v>#N/A</v>
      </c>
      <c r="M265" s="1">
        <v>100000</v>
      </c>
      <c r="N265">
        <v>16</v>
      </c>
      <c r="Q265" s="6">
        <f>(SUM(Pcfu43[[#This Row],[R1]:[R3]]))/(Pcfu43[[#This Row],[No. Reps]]*0.015)*Pcfu43[[#This Row],[Best DF]]</f>
        <v>106666666.66666667</v>
      </c>
      <c r="R265" s="1" t="e">
        <f>_xlfn.STDEV.S(Pcfu43[[#This Row],[R1]:[R3]])/0.015*Pcfu43[[#This Row],[Best DF]]</f>
        <v>#DIV/0!</v>
      </c>
      <c r="S265" s="6">
        <f>Pcfu43[[#This Row],[CFU/mL]]*Pcfu43[[#This Row],[mL]]/Pcfu43[[#This Row],[grams]]</f>
        <v>2026666666.6666667</v>
      </c>
      <c r="T265" s="1" t="e">
        <f>Pcfu43[[#This Row],[SD CFU/mL]]*Pcfu43[[#This Row],[mL]]/Pcfu43[[#This Row],[grams]]</f>
        <v>#DIV/0!</v>
      </c>
      <c r="U265" s="7" t="e">
        <f>_xlfn.STDEV.S(Pcfu43[[#This Row],[R1]:[R3]])/AVERAGE(Pcfu43[[#This Row],[R1]:[R3]])</f>
        <v>#DIV/0!</v>
      </c>
      <c r="V265" s="102"/>
      <c r="W265" s="7"/>
    </row>
    <row r="266" spans="1:23" x14ac:dyDescent="0.15">
      <c r="A266" t="s">
        <v>686</v>
      </c>
      <c r="B266" t="s">
        <v>855</v>
      </c>
      <c r="C266" s="4"/>
      <c r="D266" t="s">
        <v>194</v>
      </c>
      <c r="E266" s="3">
        <v>1</v>
      </c>
      <c r="G266">
        <v>0.3</v>
      </c>
      <c r="H266" s="5">
        <v>5.7</v>
      </c>
      <c r="I266" s="3" t="s">
        <v>170</v>
      </c>
      <c r="J266" s="59">
        <v>45020</v>
      </c>
      <c r="K266" s="59"/>
      <c r="L266" s="59" t="e" cm="1">
        <f t="array" ref="L266">INDEX($J$4:J1356, MATCH(1,(A266=$A$4:A1354)*("Y"=$K$4:K1356),0))</f>
        <v>#N/A</v>
      </c>
      <c r="M266" s="1">
        <v>100000</v>
      </c>
      <c r="N266">
        <v>24</v>
      </c>
      <c r="Q266" s="6">
        <f>(SUM(Pcfu43[[#This Row],[R1]:[R3]]))/(Pcfu43[[#This Row],[No. Reps]]*0.015)*Pcfu43[[#This Row],[Best DF]]</f>
        <v>160000000</v>
      </c>
      <c r="R266" s="1" t="e">
        <f>_xlfn.STDEV.S(Pcfu43[[#This Row],[R1]:[R3]])/0.015*Pcfu43[[#This Row],[Best DF]]</f>
        <v>#DIV/0!</v>
      </c>
      <c r="S266" s="6">
        <f>Pcfu43[[#This Row],[CFU/mL]]*Pcfu43[[#This Row],[mL]]/Pcfu43[[#This Row],[grams]]</f>
        <v>3040000000</v>
      </c>
      <c r="T266" s="1" t="e">
        <f>Pcfu43[[#This Row],[SD CFU/mL]]*Pcfu43[[#This Row],[mL]]/Pcfu43[[#This Row],[grams]]</f>
        <v>#DIV/0!</v>
      </c>
      <c r="U266" s="7" t="e">
        <f>_xlfn.STDEV.S(Pcfu43[[#This Row],[R1]:[R3]])/AVERAGE(Pcfu43[[#This Row],[R1]:[R3]])</f>
        <v>#DIV/0!</v>
      </c>
      <c r="V266" s="102"/>
      <c r="W266" s="7"/>
    </row>
    <row r="267" spans="1:23" x14ac:dyDescent="0.15">
      <c r="A267" t="s">
        <v>686</v>
      </c>
      <c r="B267" t="s">
        <v>856</v>
      </c>
      <c r="C267" s="4"/>
      <c r="D267" t="s">
        <v>194</v>
      </c>
      <c r="E267" s="3">
        <v>1</v>
      </c>
      <c r="G267">
        <v>0.3</v>
      </c>
      <c r="H267" s="5">
        <v>5.7</v>
      </c>
      <c r="I267" s="3" t="s">
        <v>170</v>
      </c>
      <c r="J267" s="59">
        <v>45020</v>
      </c>
      <c r="K267" s="59"/>
      <c r="L267" s="59" t="e" cm="1">
        <f t="array" ref="L267">INDEX($J$4:J1357, MATCH(1,(A267=$A$4:A1355)*("Y"=$K$4:K1357),0))</f>
        <v>#N/A</v>
      </c>
      <c r="M267" s="1">
        <v>100000</v>
      </c>
      <c r="N267">
        <v>18</v>
      </c>
      <c r="Q267" s="6">
        <f>(SUM(Pcfu43[[#This Row],[R1]:[R3]]))/(Pcfu43[[#This Row],[No. Reps]]*0.015)*Pcfu43[[#This Row],[Best DF]]</f>
        <v>120000000</v>
      </c>
      <c r="R267" s="1" t="e">
        <f>_xlfn.STDEV.S(Pcfu43[[#This Row],[R1]:[R3]])/0.015*Pcfu43[[#This Row],[Best DF]]</f>
        <v>#DIV/0!</v>
      </c>
      <c r="S267" s="6">
        <f>Pcfu43[[#This Row],[CFU/mL]]*Pcfu43[[#This Row],[mL]]/Pcfu43[[#This Row],[grams]]</f>
        <v>2280000000</v>
      </c>
      <c r="T267" s="1" t="e">
        <f>Pcfu43[[#This Row],[SD CFU/mL]]*Pcfu43[[#This Row],[mL]]/Pcfu43[[#This Row],[grams]]</f>
        <v>#DIV/0!</v>
      </c>
      <c r="U267" s="7" t="e">
        <f>_xlfn.STDEV.S(Pcfu43[[#This Row],[R1]:[R3]])/AVERAGE(Pcfu43[[#This Row],[R1]:[R3]])</f>
        <v>#DIV/0!</v>
      </c>
      <c r="V267" s="102"/>
      <c r="W267" s="7"/>
    </row>
    <row r="268" spans="1:23" x14ac:dyDescent="0.15">
      <c r="A268" t="s">
        <v>650</v>
      </c>
      <c r="B268" t="s">
        <v>910</v>
      </c>
      <c r="C268" s="4"/>
      <c r="D268" t="s">
        <v>194</v>
      </c>
      <c r="E268" s="3">
        <v>1</v>
      </c>
      <c r="G268">
        <v>0.3</v>
      </c>
      <c r="H268" s="5">
        <v>5.7</v>
      </c>
      <c r="I268" s="3" t="s">
        <v>170</v>
      </c>
      <c r="J268" s="59">
        <v>45021</v>
      </c>
      <c r="K268" s="59"/>
      <c r="L268" s="59" t="e" cm="1">
        <f t="array" ref="L268">INDEX($J$4:J1358, MATCH(1,(A268=$A$4:A1356)*("Y"=$K$4:K1358),0))</f>
        <v>#N/A</v>
      </c>
      <c r="M268" s="1">
        <v>100000</v>
      </c>
      <c r="N268">
        <v>83</v>
      </c>
      <c r="Q268" s="6">
        <f>(SUM(Pcfu43[[#This Row],[R1]:[R3]]))/(Pcfu43[[#This Row],[No. Reps]]*0.015)*Pcfu43[[#This Row],[Best DF]]</f>
        <v>553333333.33333337</v>
      </c>
      <c r="R268" s="1" t="e">
        <f>_xlfn.STDEV.S(Pcfu43[[#This Row],[R1]:[R3]])/0.015*Pcfu43[[#This Row],[Best DF]]</f>
        <v>#DIV/0!</v>
      </c>
      <c r="S268" s="6">
        <f>Pcfu43[[#This Row],[CFU/mL]]*Pcfu43[[#This Row],[mL]]/Pcfu43[[#This Row],[grams]]</f>
        <v>10513333333.333336</v>
      </c>
      <c r="T268" s="1" t="e">
        <f>Pcfu43[[#This Row],[SD CFU/mL]]*Pcfu43[[#This Row],[mL]]/Pcfu43[[#This Row],[grams]]</f>
        <v>#DIV/0!</v>
      </c>
      <c r="U268" s="7" t="e">
        <f>_xlfn.STDEV.S(Pcfu43[[#This Row],[R1]:[R3]])/AVERAGE(Pcfu43[[#This Row],[R1]:[R3]])</f>
        <v>#DIV/0!</v>
      </c>
      <c r="V268" s="102"/>
      <c r="W268" s="7"/>
    </row>
    <row r="269" spans="1:23" x14ac:dyDescent="0.15">
      <c r="A269" t="s">
        <v>650</v>
      </c>
      <c r="B269" t="s">
        <v>911</v>
      </c>
      <c r="C269" s="4"/>
      <c r="D269" t="s">
        <v>194</v>
      </c>
      <c r="E269" s="3">
        <v>1</v>
      </c>
      <c r="G269">
        <v>0.3</v>
      </c>
      <c r="H269" s="5">
        <v>5.7</v>
      </c>
      <c r="I269" s="3" t="s">
        <v>170</v>
      </c>
      <c r="J269" s="59">
        <v>45021</v>
      </c>
      <c r="K269" s="59"/>
      <c r="L269" s="59" t="e" cm="1">
        <f t="array" ref="L269">INDEX($J$4:J1359, MATCH(1,(A269=$A$4:A1357)*("Y"=$K$4:K1359),0))</f>
        <v>#N/A</v>
      </c>
      <c r="M269" s="1">
        <v>100000</v>
      </c>
      <c r="N269">
        <v>82</v>
      </c>
      <c r="Q269" s="6">
        <f>(SUM(Pcfu43[[#This Row],[R1]:[R3]]))/(Pcfu43[[#This Row],[No. Reps]]*0.015)*Pcfu43[[#This Row],[Best DF]]</f>
        <v>546666666.66666675</v>
      </c>
      <c r="R269" s="1" t="e">
        <f>_xlfn.STDEV.S(Pcfu43[[#This Row],[R1]:[R3]])/0.015*Pcfu43[[#This Row],[Best DF]]</f>
        <v>#DIV/0!</v>
      </c>
      <c r="S269" s="6">
        <f>Pcfu43[[#This Row],[CFU/mL]]*Pcfu43[[#This Row],[mL]]/Pcfu43[[#This Row],[grams]]</f>
        <v>10386666666.666668</v>
      </c>
      <c r="T269" s="1" t="e">
        <f>Pcfu43[[#This Row],[SD CFU/mL]]*Pcfu43[[#This Row],[mL]]/Pcfu43[[#This Row],[grams]]</f>
        <v>#DIV/0!</v>
      </c>
      <c r="U269" s="7" t="e">
        <f>_xlfn.STDEV.S(Pcfu43[[#This Row],[R1]:[R3]])/AVERAGE(Pcfu43[[#This Row],[R1]:[R3]])</f>
        <v>#DIV/0!</v>
      </c>
      <c r="V269" s="102"/>
      <c r="W269" s="7"/>
    </row>
    <row r="270" spans="1:23" x14ac:dyDescent="0.15">
      <c r="A270" t="s">
        <v>650</v>
      </c>
      <c r="B270" t="s">
        <v>912</v>
      </c>
      <c r="C270" s="4"/>
      <c r="D270" t="s">
        <v>194</v>
      </c>
      <c r="E270" s="3">
        <v>1</v>
      </c>
      <c r="G270">
        <v>0.3</v>
      </c>
      <c r="H270" s="5">
        <v>5.7</v>
      </c>
      <c r="I270" s="3" t="s">
        <v>170</v>
      </c>
      <c r="J270" s="59">
        <v>45021</v>
      </c>
      <c r="K270" s="59"/>
      <c r="L270" s="59" t="e" cm="1">
        <f t="array" ref="L270">INDEX($J$4:J1360, MATCH(1,(A270=$A$4:A1358)*("Y"=$K$4:K1360),0))</f>
        <v>#N/A</v>
      </c>
      <c r="M270" s="1">
        <v>100000</v>
      </c>
      <c r="N270">
        <v>77</v>
      </c>
      <c r="Q270" s="6">
        <f>(SUM(Pcfu43[[#This Row],[R1]:[R3]]))/(Pcfu43[[#This Row],[No. Reps]]*0.015)*Pcfu43[[#This Row],[Best DF]]</f>
        <v>513333333.33333337</v>
      </c>
      <c r="R270" s="1" t="e">
        <f>_xlfn.STDEV.S(Pcfu43[[#This Row],[R1]:[R3]])/0.015*Pcfu43[[#This Row],[Best DF]]</f>
        <v>#DIV/0!</v>
      </c>
      <c r="S270" s="6">
        <f>Pcfu43[[#This Row],[CFU/mL]]*Pcfu43[[#This Row],[mL]]/Pcfu43[[#This Row],[grams]]</f>
        <v>9753333333.3333359</v>
      </c>
      <c r="T270" s="1" t="e">
        <f>Pcfu43[[#This Row],[SD CFU/mL]]*Pcfu43[[#This Row],[mL]]/Pcfu43[[#This Row],[grams]]</f>
        <v>#DIV/0!</v>
      </c>
      <c r="U270" s="7" t="e">
        <f>_xlfn.STDEV.S(Pcfu43[[#This Row],[R1]:[R3]])/AVERAGE(Pcfu43[[#This Row],[R1]:[R3]])</f>
        <v>#DIV/0!</v>
      </c>
      <c r="V270" s="102"/>
      <c r="W270" s="7"/>
    </row>
    <row r="271" spans="1:23" x14ac:dyDescent="0.15">
      <c r="A271" t="s">
        <v>651</v>
      </c>
      <c r="B271" t="s">
        <v>910</v>
      </c>
      <c r="C271" s="4"/>
      <c r="D271" t="s">
        <v>194</v>
      </c>
      <c r="E271" s="3">
        <v>1</v>
      </c>
      <c r="G271">
        <v>0.3</v>
      </c>
      <c r="H271" s="5">
        <v>5.7</v>
      </c>
      <c r="I271" s="3" t="s">
        <v>170</v>
      </c>
      <c r="J271" s="59">
        <v>45021</v>
      </c>
      <c r="K271" s="59"/>
      <c r="L271" s="59" t="e" cm="1">
        <f t="array" ref="L271">INDEX($J$4:J1361, MATCH(1,(A271=$A$4:A1359)*("Y"=$K$4:K1361),0))</f>
        <v>#N/A</v>
      </c>
      <c r="M271" s="1">
        <v>100000</v>
      </c>
      <c r="N271">
        <v>74</v>
      </c>
      <c r="Q271" s="6">
        <f>(SUM(Pcfu43[[#This Row],[R1]:[R3]]))/(Pcfu43[[#This Row],[No. Reps]]*0.015)*Pcfu43[[#This Row],[Best DF]]</f>
        <v>493333333.33333337</v>
      </c>
      <c r="R271" s="1" t="e">
        <f>_xlfn.STDEV.S(Pcfu43[[#This Row],[R1]:[R3]])/0.015*Pcfu43[[#This Row],[Best DF]]</f>
        <v>#DIV/0!</v>
      </c>
      <c r="S271" s="6">
        <f>Pcfu43[[#This Row],[CFU/mL]]*Pcfu43[[#This Row],[mL]]/Pcfu43[[#This Row],[grams]]</f>
        <v>9373333333.3333359</v>
      </c>
      <c r="T271" s="1" t="e">
        <f>Pcfu43[[#This Row],[SD CFU/mL]]*Pcfu43[[#This Row],[mL]]/Pcfu43[[#This Row],[grams]]</f>
        <v>#DIV/0!</v>
      </c>
      <c r="U271" s="7" t="e">
        <f>_xlfn.STDEV.S(Pcfu43[[#This Row],[R1]:[R3]])/AVERAGE(Pcfu43[[#This Row],[R1]:[R3]])</f>
        <v>#DIV/0!</v>
      </c>
      <c r="V271" s="102"/>
      <c r="W271" s="7"/>
    </row>
    <row r="272" spans="1:23" x14ac:dyDescent="0.15">
      <c r="A272" t="s">
        <v>651</v>
      </c>
      <c r="B272" t="s">
        <v>911</v>
      </c>
      <c r="C272" s="4"/>
      <c r="D272" t="s">
        <v>194</v>
      </c>
      <c r="E272" s="3">
        <v>1</v>
      </c>
      <c r="G272">
        <v>0.3</v>
      </c>
      <c r="H272" s="5">
        <v>5.7</v>
      </c>
      <c r="I272" s="3" t="s">
        <v>170</v>
      </c>
      <c r="J272" s="59">
        <v>45021</v>
      </c>
      <c r="K272" s="59"/>
      <c r="L272" s="59" t="e" cm="1">
        <f t="array" ref="L272">INDEX($J$4:J1362, MATCH(1,(A272=$A$4:A1360)*("Y"=$K$4:K1362),0))</f>
        <v>#N/A</v>
      </c>
      <c r="M272" s="1">
        <v>100000</v>
      </c>
      <c r="N272">
        <v>82</v>
      </c>
      <c r="Q272" s="6">
        <f>(SUM(Pcfu43[[#This Row],[R1]:[R3]]))/(Pcfu43[[#This Row],[No. Reps]]*0.015)*Pcfu43[[#This Row],[Best DF]]</f>
        <v>546666666.66666675</v>
      </c>
      <c r="R272" s="1" t="e">
        <f>_xlfn.STDEV.S(Pcfu43[[#This Row],[R1]:[R3]])/0.015*Pcfu43[[#This Row],[Best DF]]</f>
        <v>#DIV/0!</v>
      </c>
      <c r="S272" s="6">
        <f>Pcfu43[[#This Row],[CFU/mL]]*Pcfu43[[#This Row],[mL]]/Pcfu43[[#This Row],[grams]]</f>
        <v>10386666666.666668</v>
      </c>
      <c r="T272" s="1" t="e">
        <f>Pcfu43[[#This Row],[SD CFU/mL]]*Pcfu43[[#This Row],[mL]]/Pcfu43[[#This Row],[grams]]</f>
        <v>#DIV/0!</v>
      </c>
      <c r="U272" s="7" t="e">
        <f>_xlfn.STDEV.S(Pcfu43[[#This Row],[R1]:[R3]])/AVERAGE(Pcfu43[[#This Row],[R1]:[R3]])</f>
        <v>#DIV/0!</v>
      </c>
      <c r="V272" s="102"/>
      <c r="W272" s="7"/>
    </row>
    <row r="273" spans="1:24" x14ac:dyDescent="0.15">
      <c r="A273" t="s">
        <v>651</v>
      </c>
      <c r="B273" t="s">
        <v>912</v>
      </c>
      <c r="C273" s="4"/>
      <c r="D273" t="s">
        <v>194</v>
      </c>
      <c r="E273" s="3">
        <v>1</v>
      </c>
      <c r="G273">
        <v>0.3</v>
      </c>
      <c r="H273" s="5">
        <v>5.7</v>
      </c>
      <c r="I273" s="3" t="s">
        <v>170</v>
      </c>
      <c r="J273" s="59">
        <v>45021</v>
      </c>
      <c r="K273" s="59"/>
      <c r="L273" s="59" t="e" cm="1">
        <f t="array" ref="L273">INDEX($J$4:J1363, MATCH(1,(A273=$A$4:A1361)*("Y"=$K$4:K1363),0))</f>
        <v>#N/A</v>
      </c>
      <c r="M273" s="1">
        <v>100000</v>
      </c>
      <c r="N273">
        <v>82</v>
      </c>
      <c r="Q273" s="6">
        <f>(SUM(Pcfu43[[#This Row],[R1]:[R3]]))/(Pcfu43[[#This Row],[No. Reps]]*0.015)*Pcfu43[[#This Row],[Best DF]]</f>
        <v>546666666.66666675</v>
      </c>
      <c r="R273" s="1" t="e">
        <f>_xlfn.STDEV.S(Pcfu43[[#This Row],[R1]:[R3]])/0.015*Pcfu43[[#This Row],[Best DF]]</f>
        <v>#DIV/0!</v>
      </c>
      <c r="S273" s="6">
        <f>Pcfu43[[#This Row],[CFU/mL]]*Pcfu43[[#This Row],[mL]]/Pcfu43[[#This Row],[grams]]</f>
        <v>10386666666.666668</v>
      </c>
      <c r="T273" s="1" t="e">
        <f>Pcfu43[[#This Row],[SD CFU/mL]]*Pcfu43[[#This Row],[mL]]/Pcfu43[[#This Row],[grams]]</f>
        <v>#DIV/0!</v>
      </c>
      <c r="U273" s="7" t="e">
        <f>_xlfn.STDEV.S(Pcfu43[[#This Row],[R1]:[R3]])/AVERAGE(Pcfu43[[#This Row],[R1]:[R3]])</f>
        <v>#DIV/0!</v>
      </c>
      <c r="V273" s="102"/>
      <c r="W273" s="7"/>
    </row>
    <row r="274" spans="1:24" x14ac:dyDescent="0.15">
      <c r="A274" t="s">
        <v>647</v>
      </c>
      <c r="B274" t="s">
        <v>910</v>
      </c>
      <c r="C274" s="4"/>
      <c r="D274" t="s">
        <v>194</v>
      </c>
      <c r="E274" s="3">
        <v>1</v>
      </c>
      <c r="G274">
        <v>0.3</v>
      </c>
      <c r="H274" s="5">
        <v>5.7</v>
      </c>
      <c r="I274" s="3" t="s">
        <v>170</v>
      </c>
      <c r="J274" s="59">
        <v>45021</v>
      </c>
      <c r="K274" s="59"/>
      <c r="L274" s="59" t="e" cm="1">
        <f t="array" ref="L274">INDEX($J$4:J1364, MATCH(1,(A274=$A$4:A1362)*("Y"=$K$4:K1364),0))</f>
        <v>#N/A</v>
      </c>
      <c r="M274" s="1">
        <v>100000</v>
      </c>
      <c r="N274">
        <v>14</v>
      </c>
      <c r="Q274" s="6">
        <f>(SUM(Pcfu43[[#This Row],[R1]:[R3]]))/(Pcfu43[[#This Row],[No. Reps]]*0.015)*Pcfu43[[#This Row],[Best DF]]</f>
        <v>93333333.333333343</v>
      </c>
      <c r="R274" s="1" t="e">
        <f>_xlfn.STDEV.S(Pcfu43[[#This Row],[R1]:[R3]])/0.015*Pcfu43[[#This Row],[Best DF]]</f>
        <v>#DIV/0!</v>
      </c>
      <c r="S274" s="6">
        <f>Pcfu43[[#This Row],[CFU/mL]]*Pcfu43[[#This Row],[mL]]/Pcfu43[[#This Row],[grams]]</f>
        <v>1773333333.3333335</v>
      </c>
      <c r="T274" s="1" t="e">
        <f>Pcfu43[[#This Row],[SD CFU/mL]]*Pcfu43[[#This Row],[mL]]/Pcfu43[[#This Row],[grams]]</f>
        <v>#DIV/0!</v>
      </c>
      <c r="U274" s="7" t="e">
        <f>_xlfn.STDEV.S(Pcfu43[[#This Row],[R1]:[R3]])/AVERAGE(Pcfu43[[#This Row],[R1]:[R3]])</f>
        <v>#DIV/0!</v>
      </c>
      <c r="V274" s="102"/>
      <c r="W274" s="7"/>
    </row>
    <row r="275" spans="1:24" x14ac:dyDescent="0.15">
      <c r="A275" t="s">
        <v>647</v>
      </c>
      <c r="B275" t="s">
        <v>911</v>
      </c>
      <c r="C275" s="4"/>
      <c r="D275" t="s">
        <v>194</v>
      </c>
      <c r="E275" s="3">
        <v>1</v>
      </c>
      <c r="G275">
        <v>0.3</v>
      </c>
      <c r="H275" s="5">
        <v>5.7</v>
      </c>
      <c r="I275" s="3" t="s">
        <v>170</v>
      </c>
      <c r="J275" s="59">
        <v>45021</v>
      </c>
      <c r="K275" s="59"/>
      <c r="L275" s="59" t="e" cm="1">
        <f t="array" ref="L275">INDEX($J$4:J1365, MATCH(1,(A275=$A$4:A1363)*("Y"=$K$4:K1365),0))</f>
        <v>#N/A</v>
      </c>
      <c r="M275" s="1">
        <v>100000</v>
      </c>
      <c r="N275">
        <v>16</v>
      </c>
      <c r="Q275" s="6">
        <f>(SUM(Pcfu43[[#This Row],[R1]:[R3]]))/(Pcfu43[[#This Row],[No. Reps]]*0.015)*Pcfu43[[#This Row],[Best DF]]</f>
        <v>106666666.66666667</v>
      </c>
      <c r="R275" s="1" t="e">
        <f>_xlfn.STDEV.S(Pcfu43[[#This Row],[R1]:[R3]])/0.015*Pcfu43[[#This Row],[Best DF]]</f>
        <v>#DIV/0!</v>
      </c>
      <c r="S275" s="6">
        <f>Pcfu43[[#This Row],[CFU/mL]]*Pcfu43[[#This Row],[mL]]/Pcfu43[[#This Row],[grams]]</f>
        <v>2026666666.6666667</v>
      </c>
      <c r="T275" s="1" t="e">
        <f>Pcfu43[[#This Row],[SD CFU/mL]]*Pcfu43[[#This Row],[mL]]/Pcfu43[[#This Row],[grams]]</f>
        <v>#DIV/0!</v>
      </c>
      <c r="U275" s="7" t="e">
        <f>_xlfn.STDEV.S(Pcfu43[[#This Row],[R1]:[R3]])/AVERAGE(Pcfu43[[#This Row],[R1]:[R3]])</f>
        <v>#DIV/0!</v>
      </c>
      <c r="V275" s="102"/>
      <c r="W275" s="7"/>
    </row>
    <row r="276" spans="1:24" x14ac:dyDescent="0.15">
      <c r="A276" t="s">
        <v>647</v>
      </c>
      <c r="B276" t="s">
        <v>912</v>
      </c>
      <c r="C276" s="4"/>
      <c r="D276" t="s">
        <v>194</v>
      </c>
      <c r="E276" s="3">
        <v>1</v>
      </c>
      <c r="G276">
        <v>0.3</v>
      </c>
      <c r="H276" s="5">
        <v>5.7</v>
      </c>
      <c r="I276" s="3" t="s">
        <v>170</v>
      </c>
      <c r="J276" s="59">
        <v>45021</v>
      </c>
      <c r="K276" s="59"/>
      <c r="L276" s="59" t="e" cm="1">
        <f t="array" ref="L276">INDEX($J$4:J1366, MATCH(1,(A276=$A$4:A1364)*("Y"=$K$4:K1366),0))</f>
        <v>#N/A</v>
      </c>
      <c r="M276" s="1">
        <v>100000</v>
      </c>
      <c r="N276">
        <v>20</v>
      </c>
      <c r="Q276" s="6">
        <f>(SUM(Pcfu43[[#This Row],[R1]:[R3]]))/(Pcfu43[[#This Row],[No. Reps]]*0.015)*Pcfu43[[#This Row],[Best DF]]</f>
        <v>133333333.33333334</v>
      </c>
      <c r="R276" s="1" t="e">
        <f>_xlfn.STDEV.S(Pcfu43[[#This Row],[R1]:[R3]])/0.015*Pcfu43[[#This Row],[Best DF]]</f>
        <v>#DIV/0!</v>
      </c>
      <c r="S276" s="6">
        <f>Pcfu43[[#This Row],[CFU/mL]]*Pcfu43[[#This Row],[mL]]/Pcfu43[[#This Row],[grams]]</f>
        <v>2533333333.333334</v>
      </c>
      <c r="T276" s="1" t="e">
        <f>Pcfu43[[#This Row],[SD CFU/mL]]*Pcfu43[[#This Row],[mL]]/Pcfu43[[#This Row],[grams]]</f>
        <v>#DIV/0!</v>
      </c>
      <c r="U276" s="7" t="e">
        <f>_xlfn.STDEV.S(Pcfu43[[#This Row],[R1]:[R3]])/AVERAGE(Pcfu43[[#This Row],[R1]:[R3]])</f>
        <v>#DIV/0!</v>
      </c>
      <c r="V276" s="102"/>
      <c r="W276" s="7"/>
    </row>
    <row r="277" spans="1:24" x14ac:dyDescent="0.15">
      <c r="A277" t="s">
        <v>657</v>
      </c>
      <c r="B277" t="s">
        <v>910</v>
      </c>
      <c r="C277" s="4"/>
      <c r="D277" t="s">
        <v>194</v>
      </c>
      <c r="E277" s="3">
        <v>1</v>
      </c>
      <c r="G277">
        <v>0.3</v>
      </c>
      <c r="H277" s="5">
        <v>5.7</v>
      </c>
      <c r="I277" s="3" t="s">
        <v>170</v>
      </c>
      <c r="J277" s="59">
        <v>45021</v>
      </c>
      <c r="K277" s="59"/>
      <c r="L277" s="59" t="e" cm="1">
        <f t="array" ref="L277">INDEX($J$4:J1367, MATCH(1,(A277=$A$4:A1365)*("Y"=$K$4:K1367),0))</f>
        <v>#N/A</v>
      </c>
      <c r="M277" s="1">
        <v>100000</v>
      </c>
      <c r="N277">
        <v>55</v>
      </c>
      <c r="Q277" s="6">
        <f>(SUM(Pcfu43[[#This Row],[R1]:[R3]]))/(Pcfu43[[#This Row],[No. Reps]]*0.015)*Pcfu43[[#This Row],[Best DF]]</f>
        <v>366666666.66666669</v>
      </c>
      <c r="R277" s="1" t="e">
        <f>_xlfn.STDEV.S(Pcfu43[[#This Row],[R1]:[R3]])/0.015*Pcfu43[[#This Row],[Best DF]]</f>
        <v>#DIV/0!</v>
      </c>
      <c r="S277" s="6">
        <f>Pcfu43[[#This Row],[CFU/mL]]*Pcfu43[[#This Row],[mL]]/Pcfu43[[#This Row],[grams]]</f>
        <v>6966666666.6666679</v>
      </c>
      <c r="T277" s="1" t="e">
        <f>Pcfu43[[#This Row],[SD CFU/mL]]*Pcfu43[[#This Row],[mL]]/Pcfu43[[#This Row],[grams]]</f>
        <v>#DIV/0!</v>
      </c>
      <c r="U277" s="7" t="e">
        <f>_xlfn.STDEV.S(Pcfu43[[#This Row],[R1]:[R3]])/AVERAGE(Pcfu43[[#This Row],[R1]:[R3]])</f>
        <v>#DIV/0!</v>
      </c>
      <c r="V277" s="102"/>
      <c r="W277" s="7"/>
    </row>
    <row r="278" spans="1:24" x14ac:dyDescent="0.15">
      <c r="A278" t="s">
        <v>657</v>
      </c>
      <c r="B278" t="s">
        <v>911</v>
      </c>
      <c r="C278" s="4"/>
      <c r="D278" t="s">
        <v>194</v>
      </c>
      <c r="E278" s="3">
        <v>1</v>
      </c>
      <c r="G278">
        <v>0.3</v>
      </c>
      <c r="H278" s="5">
        <v>5.7</v>
      </c>
      <c r="I278" s="3" t="s">
        <v>170</v>
      </c>
      <c r="J278" s="59">
        <v>45021</v>
      </c>
      <c r="K278" s="59"/>
      <c r="L278" s="59" t="e" cm="1">
        <f t="array" ref="L278">INDEX($J$4:J1368, MATCH(1,(A278=$A$4:A1366)*("Y"=$K$4:K1368),0))</f>
        <v>#N/A</v>
      </c>
      <c r="M278" s="1">
        <v>100000</v>
      </c>
      <c r="N278">
        <v>88</v>
      </c>
      <c r="Q278" s="6">
        <f>(SUM(Pcfu43[[#This Row],[R1]:[R3]]))/(Pcfu43[[#This Row],[No. Reps]]*0.015)*Pcfu43[[#This Row],[Best DF]]</f>
        <v>586666666.66666675</v>
      </c>
      <c r="R278" s="1" t="e">
        <f>_xlfn.STDEV.S(Pcfu43[[#This Row],[R1]:[R3]])/0.015*Pcfu43[[#This Row],[Best DF]]</f>
        <v>#DIV/0!</v>
      </c>
      <c r="S278" s="6">
        <f>Pcfu43[[#This Row],[CFU/mL]]*Pcfu43[[#This Row],[mL]]/Pcfu43[[#This Row],[grams]]</f>
        <v>11146666666.666668</v>
      </c>
      <c r="T278" s="1" t="e">
        <f>Pcfu43[[#This Row],[SD CFU/mL]]*Pcfu43[[#This Row],[mL]]/Pcfu43[[#This Row],[grams]]</f>
        <v>#DIV/0!</v>
      </c>
      <c r="U278" s="7" t="e">
        <f>_xlfn.STDEV.S(Pcfu43[[#This Row],[R1]:[R3]])/AVERAGE(Pcfu43[[#This Row],[R1]:[R3]])</f>
        <v>#DIV/0!</v>
      </c>
      <c r="V278" s="102"/>
      <c r="W278" s="7"/>
    </row>
    <row r="279" spans="1:24" x14ac:dyDescent="0.15">
      <c r="A279" t="s">
        <v>657</v>
      </c>
      <c r="B279" t="s">
        <v>912</v>
      </c>
      <c r="C279" s="4"/>
      <c r="D279" t="s">
        <v>194</v>
      </c>
      <c r="E279" s="3">
        <v>1</v>
      </c>
      <c r="G279">
        <v>0.3</v>
      </c>
      <c r="H279" s="5">
        <v>5.7</v>
      </c>
      <c r="I279" s="3" t="s">
        <v>170</v>
      </c>
      <c r="J279" s="59">
        <v>45021</v>
      </c>
      <c r="K279" s="59"/>
      <c r="L279" s="59" t="e" cm="1">
        <f t="array" ref="L279">INDEX($J$4:J1369, MATCH(1,(A279=$A$4:A1367)*("Y"=$K$4:K1369),0))</f>
        <v>#N/A</v>
      </c>
      <c r="M279" s="1">
        <v>100000</v>
      </c>
      <c r="N279">
        <v>61</v>
      </c>
      <c r="Q279" s="6">
        <f>(SUM(Pcfu43[[#This Row],[R1]:[R3]]))/(Pcfu43[[#This Row],[No. Reps]]*0.015)*Pcfu43[[#This Row],[Best DF]]</f>
        <v>406666666.66666669</v>
      </c>
      <c r="R279" s="1" t="e">
        <f>_xlfn.STDEV.S(Pcfu43[[#This Row],[R1]:[R3]])/0.015*Pcfu43[[#This Row],[Best DF]]</f>
        <v>#DIV/0!</v>
      </c>
      <c r="S279" s="6">
        <f>Pcfu43[[#This Row],[CFU/mL]]*Pcfu43[[#This Row],[mL]]/Pcfu43[[#This Row],[grams]]</f>
        <v>7726666666.666667</v>
      </c>
      <c r="T279" s="1" t="e">
        <f>Pcfu43[[#This Row],[SD CFU/mL]]*Pcfu43[[#This Row],[mL]]/Pcfu43[[#This Row],[grams]]</f>
        <v>#DIV/0!</v>
      </c>
      <c r="U279" s="7" t="e">
        <f>_xlfn.STDEV.S(Pcfu43[[#This Row],[R1]:[R3]])/AVERAGE(Pcfu43[[#This Row],[R1]:[R3]])</f>
        <v>#DIV/0!</v>
      </c>
      <c r="V279" s="102"/>
      <c r="W279" s="7"/>
    </row>
    <row r="280" spans="1:24" x14ac:dyDescent="0.15">
      <c r="A280" t="s">
        <v>658</v>
      </c>
      <c r="B280" t="s">
        <v>910</v>
      </c>
      <c r="C280" s="4"/>
      <c r="D280" t="s">
        <v>194</v>
      </c>
      <c r="E280" s="3">
        <v>1</v>
      </c>
      <c r="G280">
        <v>0.3</v>
      </c>
      <c r="H280" s="5">
        <v>5.7</v>
      </c>
      <c r="I280" s="3" t="s">
        <v>170</v>
      </c>
      <c r="J280" s="59">
        <v>45021</v>
      </c>
      <c r="K280" s="59"/>
      <c r="L280" s="59" t="e" cm="1">
        <f t="array" ref="L280">INDEX($J$4:J1370, MATCH(1,(A280=$A$4:A1368)*("Y"=$K$4:K1370),0))</f>
        <v>#N/A</v>
      </c>
      <c r="M280" s="1">
        <v>100000</v>
      </c>
      <c r="N280">
        <v>56</v>
      </c>
      <c r="Q280" s="6">
        <f>(SUM(Pcfu43[[#This Row],[R1]:[R3]]))/(Pcfu43[[#This Row],[No. Reps]]*0.015)*Pcfu43[[#This Row],[Best DF]]</f>
        <v>373333333.33333337</v>
      </c>
      <c r="R280" s="1" t="e">
        <f>_xlfn.STDEV.S(Pcfu43[[#This Row],[R1]:[R3]])/0.015*Pcfu43[[#This Row],[Best DF]]</f>
        <v>#DIV/0!</v>
      </c>
      <c r="S280" s="6">
        <f>Pcfu43[[#This Row],[CFU/mL]]*Pcfu43[[#This Row],[mL]]/Pcfu43[[#This Row],[grams]]</f>
        <v>7093333333.333334</v>
      </c>
      <c r="T280" s="1" t="e">
        <f>Pcfu43[[#This Row],[SD CFU/mL]]*Pcfu43[[#This Row],[mL]]/Pcfu43[[#This Row],[grams]]</f>
        <v>#DIV/0!</v>
      </c>
      <c r="U280" s="7" t="e">
        <f>_xlfn.STDEV.S(Pcfu43[[#This Row],[R1]:[R3]])/AVERAGE(Pcfu43[[#This Row],[R1]:[R3]])</f>
        <v>#DIV/0!</v>
      </c>
      <c r="V280" s="102"/>
      <c r="W280" s="7"/>
    </row>
    <row r="281" spans="1:24" x14ac:dyDescent="0.15">
      <c r="A281" t="s">
        <v>658</v>
      </c>
      <c r="B281" t="s">
        <v>911</v>
      </c>
      <c r="C281" s="4"/>
      <c r="D281" t="s">
        <v>194</v>
      </c>
      <c r="E281" s="3">
        <v>1</v>
      </c>
      <c r="G281">
        <v>0.3</v>
      </c>
      <c r="H281" s="5">
        <v>5.7</v>
      </c>
      <c r="I281" s="3" t="s">
        <v>170</v>
      </c>
      <c r="J281" s="59">
        <v>45021</v>
      </c>
      <c r="K281" s="59"/>
      <c r="L281" s="59" t="e" cm="1">
        <f t="array" ref="L281">INDEX($J$4:J1371, MATCH(1,(A281=$A$4:A1369)*("Y"=$K$4:K1371),0))</f>
        <v>#N/A</v>
      </c>
      <c r="M281" s="1">
        <v>100000</v>
      </c>
      <c r="N281">
        <v>99</v>
      </c>
      <c r="Q281" s="6">
        <f>(SUM(Pcfu43[[#This Row],[R1]:[R3]]))/(Pcfu43[[#This Row],[No. Reps]]*0.015)*Pcfu43[[#This Row],[Best DF]]</f>
        <v>660000000</v>
      </c>
      <c r="R281" s="1" t="e">
        <f>_xlfn.STDEV.S(Pcfu43[[#This Row],[R1]:[R3]])/0.015*Pcfu43[[#This Row],[Best DF]]</f>
        <v>#DIV/0!</v>
      </c>
      <c r="S281" s="6">
        <f>Pcfu43[[#This Row],[CFU/mL]]*Pcfu43[[#This Row],[mL]]/Pcfu43[[#This Row],[grams]]</f>
        <v>12540000000</v>
      </c>
      <c r="T281" s="1" t="e">
        <f>Pcfu43[[#This Row],[SD CFU/mL]]*Pcfu43[[#This Row],[mL]]/Pcfu43[[#This Row],[grams]]</f>
        <v>#DIV/0!</v>
      </c>
      <c r="U281" s="7" t="e">
        <f>_xlfn.STDEV.S(Pcfu43[[#This Row],[R1]:[R3]])/AVERAGE(Pcfu43[[#This Row],[R1]:[R3]])</f>
        <v>#DIV/0!</v>
      </c>
      <c r="V281" s="102"/>
      <c r="W281" s="7"/>
    </row>
    <row r="282" spans="1:24" x14ac:dyDescent="0.15">
      <c r="A282" t="s">
        <v>658</v>
      </c>
      <c r="B282" t="s">
        <v>912</v>
      </c>
      <c r="C282" s="4"/>
      <c r="D282" t="s">
        <v>194</v>
      </c>
      <c r="E282" s="3">
        <v>1</v>
      </c>
      <c r="G282">
        <v>0.3</v>
      </c>
      <c r="H282" s="5">
        <v>5.7</v>
      </c>
      <c r="I282" s="3" t="s">
        <v>170</v>
      </c>
      <c r="J282" s="59">
        <v>45021</v>
      </c>
      <c r="K282" s="59"/>
      <c r="L282" s="59" t="e" cm="1">
        <f t="array" ref="L282">INDEX($J$4:J1372, MATCH(1,(A282=$A$4:A1370)*("Y"=$K$4:K1372),0))</f>
        <v>#N/A</v>
      </c>
      <c r="M282" s="1">
        <v>100000</v>
      </c>
      <c r="N282">
        <v>90</v>
      </c>
      <c r="Q282" s="6">
        <f>(SUM(Pcfu43[[#This Row],[R1]:[R3]]))/(Pcfu43[[#This Row],[No. Reps]]*0.015)*Pcfu43[[#This Row],[Best DF]]</f>
        <v>600000000</v>
      </c>
      <c r="R282" s="1" t="e">
        <f>_xlfn.STDEV.S(Pcfu43[[#This Row],[R1]:[R3]])/0.015*Pcfu43[[#This Row],[Best DF]]</f>
        <v>#DIV/0!</v>
      </c>
      <c r="S282" s="6">
        <f>Pcfu43[[#This Row],[CFU/mL]]*Pcfu43[[#This Row],[mL]]/Pcfu43[[#This Row],[grams]]</f>
        <v>11400000000</v>
      </c>
      <c r="T282" s="1" t="e">
        <f>Pcfu43[[#This Row],[SD CFU/mL]]*Pcfu43[[#This Row],[mL]]/Pcfu43[[#This Row],[grams]]</f>
        <v>#DIV/0!</v>
      </c>
      <c r="U282" s="7" t="e">
        <f>_xlfn.STDEV.S(Pcfu43[[#This Row],[R1]:[R3]])/AVERAGE(Pcfu43[[#This Row],[R1]:[R3]])</f>
        <v>#DIV/0!</v>
      </c>
      <c r="V282" s="102"/>
      <c r="W282" s="7"/>
    </row>
    <row r="283" spans="1:24" x14ac:dyDescent="0.15">
      <c r="A283" t="s">
        <v>659</v>
      </c>
      <c r="B283" t="s">
        <v>910</v>
      </c>
      <c r="C283" s="4"/>
      <c r="D283" t="s">
        <v>194</v>
      </c>
      <c r="E283" s="3">
        <v>1</v>
      </c>
      <c r="G283">
        <v>0.3</v>
      </c>
      <c r="H283" s="5">
        <v>5.7</v>
      </c>
      <c r="I283" s="3" t="s">
        <v>170</v>
      </c>
      <c r="J283" s="59">
        <v>45021</v>
      </c>
      <c r="K283" s="59"/>
      <c r="L283" s="59" t="e" cm="1">
        <f t="array" ref="L283">INDEX($J$4:J1373, MATCH(1,(A283=$A$4:A1371)*("Y"=$K$4:K1373),0))</f>
        <v>#N/A</v>
      </c>
      <c r="M283" s="1">
        <v>100000</v>
      </c>
      <c r="N283">
        <v>19</v>
      </c>
      <c r="Q283" s="6">
        <f>(SUM(Pcfu43[[#This Row],[R1]:[R3]]))/(Pcfu43[[#This Row],[No. Reps]]*0.015)*Pcfu43[[#This Row],[Best DF]]</f>
        <v>126666666.66666667</v>
      </c>
      <c r="R283" s="1" t="e">
        <f>_xlfn.STDEV.S(Pcfu43[[#This Row],[R1]:[R3]])/0.015*Pcfu43[[#This Row],[Best DF]]</f>
        <v>#DIV/0!</v>
      </c>
      <c r="S283" s="6">
        <f>Pcfu43[[#This Row],[CFU/mL]]*Pcfu43[[#This Row],[mL]]/Pcfu43[[#This Row],[grams]]</f>
        <v>2406666666.666667</v>
      </c>
      <c r="T283" s="1" t="e">
        <f>Pcfu43[[#This Row],[SD CFU/mL]]*Pcfu43[[#This Row],[mL]]/Pcfu43[[#This Row],[grams]]</f>
        <v>#DIV/0!</v>
      </c>
      <c r="U283" s="7" t="e">
        <f>_xlfn.STDEV.S(Pcfu43[[#This Row],[R1]:[R3]])/AVERAGE(Pcfu43[[#This Row],[R1]:[R3]])</f>
        <v>#DIV/0!</v>
      </c>
      <c r="V283" s="102"/>
      <c r="W283" s="7"/>
    </row>
    <row r="284" spans="1:24" x14ac:dyDescent="0.15">
      <c r="A284" t="s">
        <v>659</v>
      </c>
      <c r="B284" t="s">
        <v>911</v>
      </c>
      <c r="C284" s="4"/>
      <c r="D284" t="s">
        <v>194</v>
      </c>
      <c r="E284" s="3">
        <v>1</v>
      </c>
      <c r="G284">
        <v>0.3</v>
      </c>
      <c r="H284" s="5">
        <v>5.7</v>
      </c>
      <c r="I284" s="3" t="s">
        <v>170</v>
      </c>
      <c r="J284" s="59">
        <v>45021</v>
      </c>
      <c r="K284" s="59"/>
      <c r="L284" s="59" t="e" cm="1">
        <f t="array" ref="L284">INDEX($J$4:J1374, MATCH(1,(A284=$A$4:A1372)*("Y"=$K$4:K1374),0))</f>
        <v>#N/A</v>
      </c>
      <c r="M284" s="1">
        <v>100000</v>
      </c>
      <c r="N284">
        <v>16</v>
      </c>
      <c r="Q284" s="6">
        <f>(SUM(Pcfu43[[#This Row],[R1]:[R3]]))/(Pcfu43[[#This Row],[No. Reps]]*0.015)*Pcfu43[[#This Row],[Best DF]]</f>
        <v>106666666.66666667</v>
      </c>
      <c r="R284" s="1" t="e">
        <f>_xlfn.STDEV.S(Pcfu43[[#This Row],[R1]:[R3]])/0.015*Pcfu43[[#This Row],[Best DF]]</f>
        <v>#DIV/0!</v>
      </c>
      <c r="S284" s="6">
        <f>Pcfu43[[#This Row],[CFU/mL]]*Pcfu43[[#This Row],[mL]]/Pcfu43[[#This Row],[grams]]</f>
        <v>2026666666.6666667</v>
      </c>
      <c r="T284" s="1" t="e">
        <f>Pcfu43[[#This Row],[SD CFU/mL]]*Pcfu43[[#This Row],[mL]]/Pcfu43[[#This Row],[grams]]</f>
        <v>#DIV/0!</v>
      </c>
      <c r="U284" s="7" t="e">
        <f>_xlfn.STDEV.S(Pcfu43[[#This Row],[R1]:[R3]])/AVERAGE(Pcfu43[[#This Row],[R1]:[R3]])</f>
        <v>#DIV/0!</v>
      </c>
      <c r="V284" s="102"/>
      <c r="W284" s="7"/>
    </row>
    <row r="285" spans="1:24" x14ac:dyDescent="0.15">
      <c r="A285" t="s">
        <v>659</v>
      </c>
      <c r="B285" t="s">
        <v>912</v>
      </c>
      <c r="C285" s="4"/>
      <c r="D285" t="s">
        <v>194</v>
      </c>
      <c r="E285" s="3">
        <v>1</v>
      </c>
      <c r="G285">
        <v>0.3</v>
      </c>
      <c r="H285" s="5">
        <v>5.7</v>
      </c>
      <c r="I285" s="3" t="s">
        <v>170</v>
      </c>
      <c r="J285" s="59">
        <v>45021</v>
      </c>
      <c r="K285" s="59"/>
      <c r="L285" s="59" t="e" cm="1">
        <f t="array" ref="L285">INDEX($J$4:J1375, MATCH(1,(A285=$A$4:A1373)*("Y"=$K$4:K1375),0))</f>
        <v>#N/A</v>
      </c>
      <c r="M285" s="1">
        <v>100000</v>
      </c>
      <c r="N285">
        <v>9</v>
      </c>
      <c r="Q285" s="6">
        <f>(SUM(Pcfu43[[#This Row],[R1]:[R3]]))/(Pcfu43[[#This Row],[No. Reps]]*0.015)*Pcfu43[[#This Row],[Best DF]]</f>
        <v>60000000</v>
      </c>
      <c r="R285" s="1" t="e">
        <f>_xlfn.STDEV.S(Pcfu43[[#This Row],[R1]:[R3]])/0.015*Pcfu43[[#This Row],[Best DF]]</f>
        <v>#DIV/0!</v>
      </c>
      <c r="S285" s="6">
        <f>Pcfu43[[#This Row],[CFU/mL]]*Pcfu43[[#This Row],[mL]]/Pcfu43[[#This Row],[grams]]</f>
        <v>1140000000</v>
      </c>
      <c r="T285" s="1" t="e">
        <f>Pcfu43[[#This Row],[SD CFU/mL]]*Pcfu43[[#This Row],[mL]]/Pcfu43[[#This Row],[grams]]</f>
        <v>#DIV/0!</v>
      </c>
      <c r="U285" s="7" t="e">
        <f>_xlfn.STDEV.S(Pcfu43[[#This Row],[R1]:[R3]])/AVERAGE(Pcfu43[[#This Row],[R1]:[R3]])</f>
        <v>#DIV/0!</v>
      </c>
      <c r="V285" s="102"/>
      <c r="W285" s="7"/>
    </row>
    <row r="286" spans="1:24" x14ac:dyDescent="0.15">
      <c r="A286" t="s">
        <v>667</v>
      </c>
      <c r="B286" t="s">
        <v>328</v>
      </c>
      <c r="C286" s="4"/>
      <c r="D286" t="s">
        <v>86</v>
      </c>
      <c r="E286" s="3">
        <v>2</v>
      </c>
      <c r="G286">
        <v>0.3</v>
      </c>
      <c r="H286" s="5">
        <v>5.7</v>
      </c>
      <c r="I286" s="3" t="s">
        <v>170</v>
      </c>
      <c r="J286" s="59">
        <v>45022</v>
      </c>
      <c r="K286" s="59"/>
      <c r="L286" s="59" t="e" cm="1">
        <f t="array" ref="L286">INDEX($J$4:J1376, MATCH(1,(A286=$A$4:A1374)*("Y"=$K$4:K1376),0))</f>
        <v>#N/A</v>
      </c>
      <c r="M286" s="1">
        <v>1000000</v>
      </c>
      <c r="N286">
        <v>27</v>
      </c>
      <c r="O286">
        <v>29</v>
      </c>
      <c r="Q286" s="6">
        <f>(SUM(Pcfu43[[#This Row],[R1]:[R3]]))/(Pcfu43[[#This Row],[No. Reps]]*0.015)*Pcfu43[[#This Row],[Best DF]]</f>
        <v>1866666666.6666667</v>
      </c>
      <c r="R286" s="1">
        <f>_xlfn.STDEV.S(Pcfu43[[#This Row],[R1]:[R3]])/0.015*Pcfu43[[#This Row],[Best DF]]</f>
        <v>94280904.158206344</v>
      </c>
      <c r="S286" s="6">
        <f>Pcfu43[[#This Row],[CFU/mL]]*Pcfu43[[#This Row],[mL]]/Pcfu43[[#This Row],[grams]]</f>
        <v>35466666666.666672</v>
      </c>
      <c r="T286" s="1">
        <f>Pcfu43[[#This Row],[SD CFU/mL]]*Pcfu43[[#This Row],[mL]]/Pcfu43[[#This Row],[grams]]</f>
        <v>1791337179.0059206</v>
      </c>
      <c r="U286" s="7">
        <f>_xlfn.STDEV.S(Pcfu43[[#This Row],[R1]:[R3]])/AVERAGE(Pcfu43[[#This Row],[R1]:[R3]])</f>
        <v>5.0507627227610541E-2</v>
      </c>
      <c r="V286" s="102">
        <v>0.219</v>
      </c>
      <c r="W286" s="7"/>
      <c r="X286" t="s">
        <v>533</v>
      </c>
    </row>
    <row r="287" spans="1:24" x14ac:dyDescent="0.15">
      <c r="A287" t="s">
        <v>668</v>
      </c>
      <c r="B287" t="s">
        <v>328</v>
      </c>
      <c r="C287" s="4"/>
      <c r="D287" t="s">
        <v>86</v>
      </c>
      <c r="E287" s="3">
        <v>2</v>
      </c>
      <c r="G287">
        <v>0.3</v>
      </c>
      <c r="H287" s="5">
        <v>5.7</v>
      </c>
      <c r="I287" s="3" t="s">
        <v>170</v>
      </c>
      <c r="J287" s="59">
        <v>45022</v>
      </c>
      <c r="K287" s="59"/>
      <c r="L287" s="59" t="e" cm="1">
        <f t="array" ref="L287">INDEX($J$4:J1377, MATCH(1,(A287=$A$4:A1375)*("Y"=$K$4:K1377),0))</f>
        <v>#N/A</v>
      </c>
      <c r="M287" s="1">
        <v>1000000</v>
      </c>
      <c r="N287">
        <v>4</v>
      </c>
      <c r="O287">
        <v>4</v>
      </c>
      <c r="Q287" s="6">
        <f>(SUM(Pcfu43[[#This Row],[R1]:[R3]]))/(Pcfu43[[#This Row],[No. Reps]]*0.015)*Pcfu43[[#This Row],[Best DF]]</f>
        <v>266666666.66666669</v>
      </c>
      <c r="R287" s="1">
        <f>_xlfn.STDEV.S(Pcfu43[[#This Row],[R1]:[R3]])/0.015*Pcfu43[[#This Row],[Best DF]]</f>
        <v>0</v>
      </c>
      <c r="S287" s="6">
        <f>Pcfu43[[#This Row],[CFU/mL]]*Pcfu43[[#This Row],[mL]]/Pcfu43[[#This Row],[grams]]</f>
        <v>5066666666.6666679</v>
      </c>
      <c r="T287" s="1">
        <f>Pcfu43[[#This Row],[SD CFU/mL]]*Pcfu43[[#This Row],[mL]]/Pcfu43[[#This Row],[grams]]</f>
        <v>0</v>
      </c>
      <c r="U287" s="7">
        <f>_xlfn.STDEV.S(Pcfu43[[#This Row],[R1]:[R3]])/AVERAGE(Pcfu43[[#This Row],[R1]:[R3]])</f>
        <v>0</v>
      </c>
      <c r="V287" s="102">
        <v>0.25600000000000001</v>
      </c>
      <c r="W287" s="7"/>
      <c r="X287" t="s">
        <v>936</v>
      </c>
    </row>
    <row r="288" spans="1:24" x14ac:dyDescent="0.15">
      <c r="A288" t="s">
        <v>592</v>
      </c>
      <c r="B288" t="s">
        <v>328</v>
      </c>
      <c r="C288" s="4"/>
      <c r="D288" t="s">
        <v>86</v>
      </c>
      <c r="E288" s="3">
        <v>2</v>
      </c>
      <c r="G288">
        <v>0.3</v>
      </c>
      <c r="H288" s="5">
        <v>5.7</v>
      </c>
      <c r="I288" s="3" t="s">
        <v>170</v>
      </c>
      <c r="J288" s="59">
        <v>45022</v>
      </c>
      <c r="K288" s="59"/>
      <c r="L288" s="59" t="e" cm="1">
        <f t="array" ref="L288">INDEX($J$4:J1378, MATCH(1,(A288=$A$4:A1376)*("Y"=$K$4:K1378),0))</f>
        <v>#N/A</v>
      </c>
      <c r="M288" s="1">
        <v>1000000</v>
      </c>
      <c r="N288">
        <v>10</v>
      </c>
      <c r="O288">
        <v>15</v>
      </c>
      <c r="Q288" s="6">
        <f>(SUM(Pcfu43[[#This Row],[R1]:[R3]]))/(Pcfu43[[#This Row],[No. Reps]]*0.015)*Pcfu43[[#This Row],[Best DF]]</f>
        <v>833333333.33333337</v>
      </c>
      <c r="R288" s="1">
        <f>_xlfn.STDEV.S(Pcfu43[[#This Row],[R1]:[R3]])/0.015*Pcfu43[[#This Row],[Best DF]]</f>
        <v>235702260.39551586</v>
      </c>
      <c r="S288" s="6">
        <f>Pcfu43[[#This Row],[CFU/mL]]*Pcfu43[[#This Row],[mL]]/Pcfu43[[#This Row],[grams]]</f>
        <v>15833333333.333334</v>
      </c>
      <c r="T288" s="1">
        <f>Pcfu43[[#This Row],[SD CFU/mL]]*Pcfu43[[#This Row],[mL]]/Pcfu43[[#This Row],[grams]]</f>
        <v>4478342947.514802</v>
      </c>
      <c r="U288" s="7">
        <f>_xlfn.STDEV.S(Pcfu43[[#This Row],[R1]:[R3]])/AVERAGE(Pcfu43[[#This Row],[R1]:[R3]])</f>
        <v>0.28284271247461901</v>
      </c>
      <c r="V288" s="102">
        <v>0.25700000000000001</v>
      </c>
      <c r="W288" s="7"/>
      <c r="X288" t="s">
        <v>385</v>
      </c>
    </row>
    <row r="289" spans="1:24" x14ac:dyDescent="0.15">
      <c r="A289" t="s">
        <v>595</v>
      </c>
      <c r="B289" t="s">
        <v>328</v>
      </c>
      <c r="C289" s="4"/>
      <c r="D289" t="s">
        <v>86</v>
      </c>
      <c r="E289" s="3">
        <v>2</v>
      </c>
      <c r="G289">
        <v>0.3</v>
      </c>
      <c r="H289" s="5">
        <v>5.7</v>
      </c>
      <c r="I289" s="3" t="s">
        <v>170</v>
      </c>
      <c r="J289" s="59">
        <v>45022</v>
      </c>
      <c r="K289" s="59"/>
      <c r="L289" s="59" t="e" cm="1">
        <f t="array" ref="L289">INDEX($J$4:J1379, MATCH(1,(A289=$A$4:A1377)*("Y"=$K$4:K1379),0))</f>
        <v>#N/A</v>
      </c>
      <c r="M289" s="1">
        <v>1000000</v>
      </c>
      <c r="N289">
        <v>3</v>
      </c>
      <c r="O289">
        <v>2</v>
      </c>
      <c r="Q289" s="6">
        <f>(SUM(Pcfu43[[#This Row],[R1]:[R3]]))/(Pcfu43[[#This Row],[No. Reps]]*0.015)*Pcfu43[[#This Row],[Best DF]]</f>
        <v>166666666.66666669</v>
      </c>
      <c r="R289" s="1">
        <f>_xlfn.STDEV.S(Pcfu43[[#This Row],[R1]:[R3]])/0.015*Pcfu43[[#This Row],[Best DF]]</f>
        <v>47140452.079103172</v>
      </c>
      <c r="S289" s="6">
        <f>Pcfu43[[#This Row],[CFU/mL]]*Pcfu43[[#This Row],[mL]]/Pcfu43[[#This Row],[grams]]</f>
        <v>3166666666.666667</v>
      </c>
      <c r="T289" s="1">
        <f>Pcfu43[[#This Row],[SD CFU/mL]]*Pcfu43[[#This Row],[mL]]/Pcfu43[[#This Row],[grams]]</f>
        <v>895668589.50296032</v>
      </c>
      <c r="U289" s="7">
        <f>_xlfn.STDEV.S(Pcfu43[[#This Row],[R1]:[R3]])/AVERAGE(Pcfu43[[#This Row],[R1]:[R3]])</f>
        <v>0.28284271247461901</v>
      </c>
      <c r="V289" s="102">
        <v>0.38900000000000001</v>
      </c>
      <c r="W289" s="7"/>
      <c r="X289" t="s">
        <v>937</v>
      </c>
    </row>
    <row r="290" spans="1:24" x14ac:dyDescent="0.15">
      <c r="A290" t="s">
        <v>938</v>
      </c>
      <c r="B290" t="s">
        <v>328</v>
      </c>
      <c r="C290" s="4"/>
      <c r="D290" t="s">
        <v>194</v>
      </c>
      <c r="E290" s="3">
        <v>3</v>
      </c>
      <c r="G290">
        <v>0.3</v>
      </c>
      <c r="H290" s="5">
        <v>5.7</v>
      </c>
      <c r="I290" s="3" t="s">
        <v>170</v>
      </c>
      <c r="J290" s="59">
        <v>45026</v>
      </c>
      <c r="K290" s="59"/>
      <c r="L290" s="59" t="e" cm="1">
        <f t="array" ref="L290">INDEX($J$4:J1380, MATCH(1,(A290=$A$4:A1378)*("Y"=$K$4:K1380),0))</f>
        <v>#N/A</v>
      </c>
      <c r="M290" s="1">
        <v>1000000</v>
      </c>
      <c r="N290">
        <v>125</v>
      </c>
      <c r="O290">
        <v>111</v>
      </c>
      <c r="P290">
        <v>122</v>
      </c>
      <c r="Q290" s="6">
        <f>(SUM(Pcfu43[[#This Row],[R1]:[R3]]))/(Pcfu43[[#This Row],[No. Reps]]*0.015)*Pcfu43[[#This Row],[Best DF]]</f>
        <v>7955555555.5555553</v>
      </c>
      <c r="R290" s="1">
        <f>_xlfn.STDEV.S(Pcfu43[[#This Row],[R1]:[R3]])/0.015*Pcfu43[[#This Row],[Best DF]]</f>
        <v>491407653.05546629</v>
      </c>
      <c r="S290" s="6">
        <f>Pcfu43[[#This Row],[CFU/mL]]*Pcfu43[[#This Row],[mL]]/Pcfu43[[#This Row],[grams]]</f>
        <v>151155555555.55554</v>
      </c>
      <c r="T290" s="1">
        <f>Pcfu43[[#This Row],[SD CFU/mL]]*Pcfu43[[#This Row],[mL]]/Pcfu43[[#This Row],[grams]]</f>
        <v>9336745408.0538616</v>
      </c>
      <c r="U290" s="7">
        <f>_xlfn.STDEV.S(Pcfu43[[#This Row],[R1]:[R3]])/AVERAGE(Pcfu43[[#This Row],[R1]:[R3]])</f>
        <v>6.1769118400826772E-2</v>
      </c>
      <c r="V290" s="102"/>
      <c r="W290" s="7"/>
    </row>
    <row r="291" spans="1:24" x14ac:dyDescent="0.15">
      <c r="A291" t="s">
        <v>939</v>
      </c>
      <c r="B291" t="s">
        <v>328</v>
      </c>
      <c r="C291" s="4"/>
      <c r="D291" t="s">
        <v>194</v>
      </c>
      <c r="E291" s="3">
        <v>3</v>
      </c>
      <c r="G291">
        <v>0.3</v>
      </c>
      <c r="H291" s="5">
        <v>5.7</v>
      </c>
      <c r="I291" s="3" t="s">
        <v>170</v>
      </c>
      <c r="J291" s="59">
        <v>45026</v>
      </c>
      <c r="K291" s="59"/>
      <c r="L291" s="59" t="e" cm="1">
        <f t="array" ref="L291">INDEX($J$4:J1381, MATCH(1,(A291=$A$4:A1379)*("Y"=$K$4:K1381),0))</f>
        <v>#N/A</v>
      </c>
      <c r="M291" s="1">
        <v>1000000</v>
      </c>
      <c r="N291">
        <v>153</v>
      </c>
      <c r="O291">
        <v>129</v>
      </c>
      <c r="P291">
        <v>132</v>
      </c>
      <c r="Q291" s="6">
        <f>(SUM(Pcfu43[[#This Row],[R1]:[R3]]))/(Pcfu43[[#This Row],[No. Reps]]*0.015)*Pcfu43[[#This Row],[Best DF]]</f>
        <v>9200000000</v>
      </c>
      <c r="R291" s="1">
        <f>_xlfn.STDEV.S(Pcfu43[[#This Row],[R1]:[R3]])/0.015*Pcfu43[[#This Row],[Best DF]]</f>
        <v>871779788.70813477</v>
      </c>
      <c r="S291" s="6">
        <f>Pcfu43[[#This Row],[CFU/mL]]*Pcfu43[[#This Row],[mL]]/Pcfu43[[#This Row],[grams]]</f>
        <v>174800000000</v>
      </c>
      <c r="T291" s="1">
        <f>Pcfu43[[#This Row],[SD CFU/mL]]*Pcfu43[[#This Row],[mL]]/Pcfu43[[#This Row],[grams]]</f>
        <v>16563815985.454563</v>
      </c>
      <c r="U291" s="7">
        <f>_xlfn.STDEV.S(Pcfu43[[#This Row],[R1]:[R3]])/AVERAGE(Pcfu43[[#This Row],[R1]:[R3]])</f>
        <v>9.4758672685666817E-2</v>
      </c>
      <c r="V291" s="102"/>
      <c r="W291" s="7"/>
    </row>
    <row r="292" spans="1:24" x14ac:dyDescent="0.15">
      <c r="A292" t="s">
        <v>940</v>
      </c>
      <c r="B292" t="s">
        <v>328</v>
      </c>
      <c r="C292" s="4"/>
      <c r="D292" t="s">
        <v>194</v>
      </c>
      <c r="E292" s="3">
        <v>3</v>
      </c>
      <c r="G292">
        <v>0.3</v>
      </c>
      <c r="H292" s="5">
        <v>5.7</v>
      </c>
      <c r="I292" s="3" t="s">
        <v>170</v>
      </c>
      <c r="J292" s="59">
        <v>45026</v>
      </c>
      <c r="K292" s="59"/>
      <c r="L292" s="59" t="e" cm="1">
        <f t="array" ref="L292">INDEX($J$4:J1382, MATCH(1,(A292=$A$4:A1380)*("Y"=$K$4:K1382),0))</f>
        <v>#N/A</v>
      </c>
      <c r="M292" s="1">
        <v>1000000</v>
      </c>
      <c r="N292">
        <v>120</v>
      </c>
      <c r="O292">
        <v>100</v>
      </c>
      <c r="P292">
        <v>109</v>
      </c>
      <c r="Q292" s="6">
        <f>(SUM(Pcfu43[[#This Row],[R1]:[R3]]))/(Pcfu43[[#This Row],[No. Reps]]*0.015)*Pcfu43[[#This Row],[Best DF]]</f>
        <v>7311111111.1111116</v>
      </c>
      <c r="R292" s="1">
        <f>_xlfn.STDEV.S(Pcfu43[[#This Row],[R1]:[R3]])/0.015*Pcfu43[[#This Row],[Best DF]]</f>
        <v>667776853.39185417</v>
      </c>
      <c r="S292" s="6">
        <f>Pcfu43[[#This Row],[CFU/mL]]*Pcfu43[[#This Row],[mL]]/Pcfu43[[#This Row],[grams]]</f>
        <v>138911111111.11111</v>
      </c>
      <c r="T292" s="1">
        <f>Pcfu43[[#This Row],[SD CFU/mL]]*Pcfu43[[#This Row],[mL]]/Pcfu43[[#This Row],[grams]]</f>
        <v>12687760214.44523</v>
      </c>
      <c r="U292" s="7">
        <f>_xlfn.STDEV.S(Pcfu43[[#This Row],[R1]:[R3]])/AVERAGE(Pcfu43[[#This Row],[R1]:[R3]])</f>
        <v>9.1337259582472449E-2</v>
      </c>
      <c r="V292" s="102"/>
      <c r="W292" s="7"/>
    </row>
    <row r="293" spans="1:24" x14ac:dyDescent="0.15">
      <c r="A293" t="s">
        <v>773</v>
      </c>
      <c r="B293" t="s">
        <v>328</v>
      </c>
      <c r="C293" s="4"/>
      <c r="D293" t="s">
        <v>194</v>
      </c>
      <c r="E293" s="3">
        <v>3</v>
      </c>
      <c r="G293">
        <v>0.3</v>
      </c>
      <c r="H293" s="5">
        <v>5.7</v>
      </c>
      <c r="I293" s="3" t="s">
        <v>170</v>
      </c>
      <c r="J293" s="59">
        <v>45026</v>
      </c>
      <c r="K293" s="59"/>
      <c r="L293" s="59" t="e" cm="1">
        <f t="array" ref="L293">INDEX($J$4:J1383, MATCH(1,(A293=$A$4:A1381)*("Y"=$K$4:K1383),0))</f>
        <v>#N/A</v>
      </c>
      <c r="M293" s="1">
        <v>1000000</v>
      </c>
      <c r="N293">
        <v>103</v>
      </c>
      <c r="O293">
        <v>98</v>
      </c>
      <c r="P293">
        <v>105</v>
      </c>
      <c r="Q293" s="6">
        <f>(SUM(Pcfu43[[#This Row],[R1]:[R3]]))/(Pcfu43[[#This Row],[No. Reps]]*0.015)*Pcfu43[[#This Row],[Best DF]]</f>
        <v>6800000000</v>
      </c>
      <c r="R293" s="1">
        <f>_xlfn.STDEV.S(Pcfu43[[#This Row],[R1]:[R3]])/0.015*Pcfu43[[#This Row],[Best DF]]</f>
        <v>240370085.03093261</v>
      </c>
      <c r="S293" s="6">
        <f>Pcfu43[[#This Row],[CFU/mL]]*Pcfu43[[#This Row],[mL]]/Pcfu43[[#This Row],[grams]]</f>
        <v>129200000000</v>
      </c>
      <c r="T293" s="1">
        <f>Pcfu43[[#This Row],[SD CFU/mL]]*Pcfu43[[#This Row],[mL]]/Pcfu43[[#This Row],[grams]]</f>
        <v>4567031615.5877199</v>
      </c>
      <c r="U293" s="7">
        <f>_xlfn.STDEV.S(Pcfu43[[#This Row],[R1]:[R3]])/AVERAGE(Pcfu43[[#This Row],[R1]:[R3]])</f>
        <v>3.5348541916313619E-2</v>
      </c>
      <c r="V293" s="102"/>
      <c r="W293" s="7"/>
    </row>
    <row r="294" spans="1:24" x14ac:dyDescent="0.15">
      <c r="A294" t="s">
        <v>775</v>
      </c>
      <c r="B294" t="s">
        <v>328</v>
      </c>
      <c r="C294" s="4"/>
      <c r="D294" t="s">
        <v>194</v>
      </c>
      <c r="E294" s="3">
        <v>3</v>
      </c>
      <c r="G294">
        <v>0.3</v>
      </c>
      <c r="H294" s="5">
        <v>5.7</v>
      </c>
      <c r="I294" s="3" t="s">
        <v>170</v>
      </c>
      <c r="J294" s="59">
        <v>45026</v>
      </c>
      <c r="K294" s="59"/>
      <c r="L294" s="59" t="e" cm="1">
        <f t="array" ref="L294">INDEX($J$4:J1384, MATCH(1,(A294=$A$4:A1382)*("Y"=$K$4:K1384),0))</f>
        <v>#N/A</v>
      </c>
      <c r="M294" s="1">
        <v>1000000</v>
      </c>
      <c r="N294">
        <v>94</v>
      </c>
      <c r="O294">
        <v>107</v>
      </c>
      <c r="P294">
        <v>99</v>
      </c>
      <c r="Q294" s="6">
        <f>(SUM(Pcfu43[[#This Row],[R1]:[R3]]))/(Pcfu43[[#This Row],[No. Reps]]*0.015)*Pcfu43[[#This Row],[Best DF]]</f>
        <v>6666666666.666667</v>
      </c>
      <c r="R294" s="1">
        <f>_xlfn.STDEV.S(Pcfu43[[#This Row],[R1]:[R3]])/0.015*Pcfu43[[#This Row],[Best DF]]</f>
        <v>437162568.28680003</v>
      </c>
      <c r="S294" s="6">
        <f>Pcfu43[[#This Row],[CFU/mL]]*Pcfu43[[#This Row],[mL]]/Pcfu43[[#This Row],[grams]]</f>
        <v>126666666666.66667</v>
      </c>
      <c r="T294" s="1">
        <f>Pcfu43[[#This Row],[SD CFU/mL]]*Pcfu43[[#This Row],[mL]]/Pcfu43[[#This Row],[grams]]</f>
        <v>8306088797.4492016</v>
      </c>
      <c r="U294" s="7">
        <f>_xlfn.STDEV.S(Pcfu43[[#This Row],[R1]:[R3]])/AVERAGE(Pcfu43[[#This Row],[R1]:[R3]])</f>
        <v>6.5574385243020006E-2</v>
      </c>
      <c r="V294" s="102"/>
      <c r="W294" s="7"/>
    </row>
    <row r="295" spans="1:24" x14ac:dyDescent="0.15">
      <c r="A295" t="s">
        <v>941</v>
      </c>
      <c r="B295" t="s">
        <v>328</v>
      </c>
      <c r="C295" s="4"/>
      <c r="D295" t="s">
        <v>194</v>
      </c>
      <c r="E295" s="3">
        <v>3</v>
      </c>
      <c r="G295">
        <v>0.3</v>
      </c>
      <c r="H295" s="5">
        <v>5.7</v>
      </c>
      <c r="I295" s="3" t="s">
        <v>170</v>
      </c>
      <c r="J295" s="59">
        <v>45026</v>
      </c>
      <c r="K295" s="59"/>
      <c r="L295" s="59" t="e" cm="1">
        <f t="array" ref="L295">INDEX($J$4:J1385, MATCH(1,(A295=$A$4:A1383)*("Y"=$K$4:K1385),0))</f>
        <v>#N/A</v>
      </c>
      <c r="M295" s="1">
        <v>1000000</v>
      </c>
      <c r="N295">
        <v>87</v>
      </c>
      <c r="O295">
        <v>74</v>
      </c>
      <c r="P295">
        <v>93</v>
      </c>
      <c r="Q295" s="6">
        <f>(SUM(Pcfu43[[#This Row],[R1]:[R3]]))/(Pcfu43[[#This Row],[No. Reps]]*0.015)*Pcfu43[[#This Row],[Best DF]]</f>
        <v>5644444444.4444447</v>
      </c>
      <c r="R295" s="1">
        <f>_xlfn.STDEV.S(Pcfu43[[#This Row],[R1]:[R3]])/0.015*Pcfu43[[#This Row],[Best DF]]</f>
        <v>647502323.74815404</v>
      </c>
      <c r="S295" s="6">
        <f>Pcfu43[[#This Row],[CFU/mL]]*Pcfu43[[#This Row],[mL]]/Pcfu43[[#This Row],[grams]]</f>
        <v>107244444444.44446</v>
      </c>
      <c r="T295" s="1">
        <f>Pcfu43[[#This Row],[SD CFU/mL]]*Pcfu43[[#This Row],[mL]]/Pcfu43[[#This Row],[grams]]</f>
        <v>12302544151.214928</v>
      </c>
      <c r="U295" s="7">
        <f>_xlfn.STDEV.S(Pcfu43[[#This Row],[R1]:[R3]])/AVERAGE(Pcfu43[[#This Row],[R1]:[R3]])</f>
        <v>0.11471497861679894</v>
      </c>
      <c r="V295" s="102"/>
      <c r="W295" s="7"/>
    </row>
    <row r="296" spans="1:24" x14ac:dyDescent="0.15">
      <c r="A296" t="s">
        <v>776</v>
      </c>
      <c r="B296" t="s">
        <v>328</v>
      </c>
      <c r="C296" s="4"/>
      <c r="D296" t="s">
        <v>194</v>
      </c>
      <c r="E296" s="3">
        <v>3</v>
      </c>
      <c r="G296">
        <v>0.3</v>
      </c>
      <c r="H296" s="5">
        <v>5.7</v>
      </c>
      <c r="I296" s="3" t="s">
        <v>170</v>
      </c>
      <c r="J296" s="59">
        <v>45026</v>
      </c>
      <c r="K296" s="59"/>
      <c r="L296" s="59" t="e" cm="1">
        <f t="array" ref="L296">INDEX($J$4:J1386, MATCH(1,(A296=$A$4:A1384)*("Y"=$K$4:K1386),0))</f>
        <v>#N/A</v>
      </c>
      <c r="M296" s="1">
        <v>1000000</v>
      </c>
      <c r="N296">
        <v>126</v>
      </c>
      <c r="O296">
        <v>113</v>
      </c>
      <c r="P296">
        <v>116</v>
      </c>
      <c r="Q296" s="6">
        <f>(SUM(Pcfu43[[#This Row],[R1]:[R3]]))/(Pcfu43[[#This Row],[No. Reps]]*0.015)*Pcfu43[[#This Row],[Best DF]]</f>
        <v>7888888888.8888893</v>
      </c>
      <c r="R296" s="1">
        <f>_xlfn.STDEV.S(Pcfu43[[#This Row],[R1]:[R3]])/0.015*Pcfu43[[#This Row],[Best DF]]</f>
        <v>453790619.0369364</v>
      </c>
      <c r="S296" s="6">
        <f>Pcfu43[[#This Row],[CFU/mL]]*Pcfu43[[#This Row],[mL]]/Pcfu43[[#This Row],[grams]]</f>
        <v>149888888888.88892</v>
      </c>
      <c r="T296" s="1">
        <f>Pcfu43[[#This Row],[SD CFU/mL]]*Pcfu43[[#This Row],[mL]]/Pcfu43[[#This Row],[grams]]</f>
        <v>8622021761.7017918</v>
      </c>
      <c r="U296" s="7">
        <f>_xlfn.STDEV.S(Pcfu43[[#This Row],[R1]:[R3]])/AVERAGE(Pcfu43[[#This Row],[R1]:[R3]])</f>
        <v>5.7522754525808836E-2</v>
      </c>
      <c r="V296" s="102"/>
      <c r="W296" s="7"/>
    </row>
    <row r="297" spans="1:24" x14ac:dyDescent="0.15">
      <c r="A297" t="s">
        <v>777</v>
      </c>
      <c r="B297" t="s">
        <v>328</v>
      </c>
      <c r="C297" s="4"/>
      <c r="D297" t="s">
        <v>194</v>
      </c>
      <c r="E297" s="3">
        <v>3</v>
      </c>
      <c r="G297">
        <v>0.3</v>
      </c>
      <c r="H297" s="5">
        <v>5.7</v>
      </c>
      <c r="I297" s="3" t="s">
        <v>170</v>
      </c>
      <c r="J297" s="59">
        <v>45026</v>
      </c>
      <c r="K297" s="59"/>
      <c r="L297" s="59" t="e" cm="1">
        <f t="array" ref="L297">INDEX($J$4:J1387, MATCH(1,(A297=$A$4:A1385)*("Y"=$K$4:K1387),0))</f>
        <v>#N/A</v>
      </c>
      <c r="M297" s="1">
        <v>1000000</v>
      </c>
      <c r="N297">
        <v>103</v>
      </c>
      <c r="O297">
        <v>114</v>
      </c>
      <c r="P297">
        <v>118</v>
      </c>
      <c r="Q297" s="6">
        <f>(SUM(Pcfu43[[#This Row],[R1]:[R3]]))/(Pcfu43[[#This Row],[No. Reps]]*0.015)*Pcfu43[[#This Row],[Best DF]]</f>
        <v>7444444444.4444447</v>
      </c>
      <c r="R297" s="1">
        <f>_xlfn.STDEV.S(Pcfu43[[#This Row],[R1]:[R3]])/0.015*Pcfu43[[#This Row],[Best DF]]</f>
        <v>517830231.01026869</v>
      </c>
      <c r="S297" s="6">
        <f>Pcfu43[[#This Row],[CFU/mL]]*Pcfu43[[#This Row],[mL]]/Pcfu43[[#This Row],[grams]]</f>
        <v>141444444444.44446</v>
      </c>
      <c r="T297" s="1">
        <f>Pcfu43[[#This Row],[SD CFU/mL]]*Pcfu43[[#This Row],[mL]]/Pcfu43[[#This Row],[grams]]</f>
        <v>9838774389.1951065</v>
      </c>
      <c r="U297" s="7">
        <f>_xlfn.STDEV.S(Pcfu43[[#This Row],[R1]:[R3]])/AVERAGE(Pcfu43[[#This Row],[R1]:[R3]])</f>
        <v>6.9559284762573392E-2</v>
      </c>
      <c r="V297" s="102"/>
      <c r="W297" s="7"/>
    </row>
    <row r="298" spans="1:24" x14ac:dyDescent="0.15">
      <c r="A298" t="s">
        <v>942</v>
      </c>
      <c r="B298" t="s">
        <v>328</v>
      </c>
      <c r="C298" s="4"/>
      <c r="D298" t="s">
        <v>194</v>
      </c>
      <c r="E298" s="3">
        <v>3</v>
      </c>
      <c r="G298">
        <v>0.3</v>
      </c>
      <c r="H298" s="5">
        <v>5.7</v>
      </c>
      <c r="I298" s="3" t="s">
        <v>170</v>
      </c>
      <c r="J298" s="59">
        <v>45026</v>
      </c>
      <c r="K298" s="59"/>
      <c r="L298" s="59" t="e" cm="1">
        <f t="array" ref="L298">INDEX($J$4:J1388, MATCH(1,(A298=$A$4:A1386)*("Y"=$K$4:K1388),0))</f>
        <v>#N/A</v>
      </c>
      <c r="M298" s="1">
        <v>1000000</v>
      </c>
      <c r="N298">
        <v>133</v>
      </c>
      <c r="O298">
        <v>122</v>
      </c>
      <c r="P298">
        <v>118</v>
      </c>
      <c r="Q298" s="6">
        <f>(SUM(Pcfu43[[#This Row],[R1]:[R3]]))/(Pcfu43[[#This Row],[No. Reps]]*0.015)*Pcfu43[[#This Row],[Best DF]]</f>
        <v>8288888888.8888884</v>
      </c>
      <c r="R298" s="1">
        <f>_xlfn.STDEV.S(Pcfu43[[#This Row],[R1]:[R3]])/0.015*Pcfu43[[#This Row],[Best DF]]</f>
        <v>517830231.01026869</v>
      </c>
      <c r="S298" s="6">
        <f>Pcfu43[[#This Row],[CFU/mL]]*Pcfu43[[#This Row],[mL]]/Pcfu43[[#This Row],[grams]]</f>
        <v>157488888888.88889</v>
      </c>
      <c r="T298" s="1">
        <f>Pcfu43[[#This Row],[SD CFU/mL]]*Pcfu43[[#This Row],[mL]]/Pcfu43[[#This Row],[grams]]</f>
        <v>9838774389.1951065</v>
      </c>
      <c r="U298" s="7">
        <f>_xlfn.STDEV.S(Pcfu43[[#This Row],[R1]:[R3]])/AVERAGE(Pcfu43[[#This Row],[R1]:[R3]])</f>
        <v>6.2472816073624905E-2</v>
      </c>
      <c r="V298" s="102"/>
      <c r="W298" s="7"/>
    </row>
    <row r="299" spans="1:24" x14ac:dyDescent="0.15">
      <c r="A299" t="s">
        <v>874</v>
      </c>
      <c r="B299" t="s">
        <v>913</v>
      </c>
      <c r="C299" s="4"/>
      <c r="D299" t="s">
        <v>86</v>
      </c>
      <c r="E299" s="3">
        <v>3</v>
      </c>
      <c r="G299">
        <v>0.3</v>
      </c>
      <c r="H299" s="5">
        <v>5.7</v>
      </c>
      <c r="I299" s="3" t="s">
        <v>170</v>
      </c>
      <c r="J299" s="59">
        <v>45028</v>
      </c>
      <c r="K299" s="59"/>
      <c r="L299" s="59" t="e" cm="1">
        <f t="array" ref="L299">INDEX($J$4:J1389, MATCH(1,(A299=$A$4:A1387)*("Y"=$K$4:K1389),0))</f>
        <v>#N/A</v>
      </c>
      <c r="M299" s="1">
        <v>1000000</v>
      </c>
      <c r="N299">
        <v>58</v>
      </c>
      <c r="O299">
        <v>59</v>
      </c>
      <c r="P299">
        <v>56</v>
      </c>
      <c r="Q299" s="6">
        <f>(SUM(Pcfu43[[#This Row],[R1]:[R3]]))/(Pcfu43[[#This Row],[No. Reps]]*0.015)*Pcfu43[[#This Row],[Best DF]]</f>
        <v>3844444444.4444447</v>
      </c>
      <c r="R299" s="1">
        <f>_xlfn.STDEV.S(Pcfu43[[#This Row],[R1]:[R3]])/0.015*Pcfu43[[#This Row],[Best DF]]</f>
        <v>101835015.4434631</v>
      </c>
      <c r="S299" s="6">
        <f>Pcfu43[[#This Row],[CFU/mL]]*Pcfu43[[#This Row],[mL]]/Pcfu43[[#This Row],[grams]]</f>
        <v>73044444444.444458</v>
      </c>
      <c r="T299" s="1">
        <f>Pcfu43[[#This Row],[SD CFU/mL]]*Pcfu43[[#This Row],[mL]]/Pcfu43[[#This Row],[grams]]</f>
        <v>1934865293.4257989</v>
      </c>
      <c r="U299" s="7">
        <f>_xlfn.STDEV.S(Pcfu43[[#This Row],[R1]:[R3]])/AVERAGE(Pcfu43[[#This Row],[R1]:[R3]])</f>
        <v>2.6488876849455723E-2</v>
      </c>
      <c r="V299" s="102">
        <v>0.311</v>
      </c>
      <c r="W299" s="7"/>
      <c r="X299" t="s">
        <v>943</v>
      </c>
    </row>
    <row r="300" spans="1:24" x14ac:dyDescent="0.15">
      <c r="A300" t="s">
        <v>875</v>
      </c>
      <c r="B300" t="s">
        <v>913</v>
      </c>
      <c r="C300" s="4"/>
      <c r="D300" t="s">
        <v>86</v>
      </c>
      <c r="E300" s="3">
        <v>3</v>
      </c>
      <c r="G300">
        <v>0.3</v>
      </c>
      <c r="H300" s="5">
        <v>5.7</v>
      </c>
      <c r="I300" s="3" t="s">
        <v>170</v>
      </c>
      <c r="J300" s="59">
        <v>45028</v>
      </c>
      <c r="K300" s="59"/>
      <c r="L300" s="59" t="e" cm="1">
        <f t="array" ref="L300">INDEX($J$4:J1390, MATCH(1,(A300=$A$4:A1388)*("Y"=$K$4:K1390),0))</f>
        <v>#N/A</v>
      </c>
      <c r="M300" s="1">
        <v>1000000</v>
      </c>
      <c r="N300">
        <v>62</v>
      </c>
      <c r="O300">
        <v>50</v>
      </c>
      <c r="P300">
        <v>67</v>
      </c>
      <c r="Q300" s="6">
        <f>(SUM(Pcfu43[[#This Row],[R1]:[R3]]))/(Pcfu43[[#This Row],[No. Reps]]*0.015)*Pcfu43[[#This Row],[Best DF]]</f>
        <v>3977777777.7777777</v>
      </c>
      <c r="R300" s="1">
        <f>_xlfn.STDEV.S(Pcfu43[[#This Row],[R1]:[R3]])/0.015*Pcfu43[[#This Row],[Best DF]]</f>
        <v>582459663.20360577</v>
      </c>
      <c r="S300" s="6">
        <f>Pcfu43[[#This Row],[CFU/mL]]*Pcfu43[[#This Row],[mL]]/Pcfu43[[#This Row],[grams]]</f>
        <v>75577777777.777771</v>
      </c>
      <c r="T300" s="1">
        <f>Pcfu43[[#This Row],[SD CFU/mL]]*Pcfu43[[#This Row],[mL]]/Pcfu43[[#This Row],[grams]]</f>
        <v>11066733600.868509</v>
      </c>
      <c r="U300" s="7">
        <f>_xlfn.STDEV.S(Pcfu43[[#This Row],[R1]:[R3]])/AVERAGE(Pcfu43[[#This Row],[R1]:[R3]])</f>
        <v>0.14642840695062714</v>
      </c>
      <c r="V300" s="102">
        <v>0.129</v>
      </c>
      <c r="W300" s="7"/>
      <c r="X300" t="s">
        <v>944</v>
      </c>
    </row>
    <row r="301" spans="1:24" x14ac:dyDescent="0.15">
      <c r="A301" t="s">
        <v>876</v>
      </c>
      <c r="B301" t="s">
        <v>913</v>
      </c>
      <c r="C301" s="4"/>
      <c r="D301" t="s">
        <v>86</v>
      </c>
      <c r="E301" s="3">
        <v>3</v>
      </c>
      <c r="G301">
        <v>0.3</v>
      </c>
      <c r="H301" s="5">
        <v>5.7</v>
      </c>
      <c r="I301" s="3" t="s">
        <v>170</v>
      </c>
      <c r="J301" s="59">
        <v>45028</v>
      </c>
      <c r="K301" s="59"/>
      <c r="L301" s="59" t="e" cm="1">
        <f t="array" ref="L301">INDEX($J$4:J1391, MATCH(1,(A301=$A$4:A1389)*("Y"=$K$4:K1391),0))</f>
        <v>#N/A</v>
      </c>
      <c r="M301" s="1">
        <v>1000000</v>
      </c>
      <c r="N301">
        <v>50</v>
      </c>
      <c r="O301">
        <v>60</v>
      </c>
      <c r="P301">
        <v>62</v>
      </c>
      <c r="Q301" s="6">
        <f>(SUM(Pcfu43[[#This Row],[R1]:[R3]]))/(Pcfu43[[#This Row],[No. Reps]]*0.015)*Pcfu43[[#This Row],[Best DF]]</f>
        <v>3822222222.2222223</v>
      </c>
      <c r="R301" s="1">
        <f>_xlfn.STDEV.S(Pcfu43[[#This Row],[R1]:[R3]])/0.015*Pcfu43[[#This Row],[Best DF]]</f>
        <v>428606700.48857582</v>
      </c>
      <c r="S301" s="6">
        <f>Pcfu43[[#This Row],[CFU/mL]]*Pcfu43[[#This Row],[mL]]/Pcfu43[[#This Row],[grams]]</f>
        <v>72622222222.222229</v>
      </c>
      <c r="T301" s="1">
        <f>Pcfu43[[#This Row],[SD CFU/mL]]*Pcfu43[[#This Row],[mL]]/Pcfu43[[#This Row],[grams]]</f>
        <v>8143527309.2829409</v>
      </c>
      <c r="U301" s="7">
        <f>_xlfn.STDEV.S(Pcfu43[[#This Row],[R1]:[R3]])/AVERAGE(Pcfu43[[#This Row],[R1]:[R3]])</f>
        <v>0.11213547396503436</v>
      </c>
      <c r="V301" s="102">
        <v>0.35</v>
      </c>
      <c r="W301" s="7"/>
      <c r="X301" t="s">
        <v>523</v>
      </c>
    </row>
    <row r="302" spans="1:24" x14ac:dyDescent="0.15">
      <c r="A302" t="s">
        <v>877</v>
      </c>
      <c r="B302" t="s">
        <v>913</v>
      </c>
      <c r="C302" s="4"/>
      <c r="D302" t="s">
        <v>86</v>
      </c>
      <c r="E302" s="3">
        <v>3</v>
      </c>
      <c r="G302">
        <v>0.3</v>
      </c>
      <c r="H302" s="5">
        <v>5.7</v>
      </c>
      <c r="I302" s="3" t="s">
        <v>170</v>
      </c>
      <c r="J302" s="59">
        <v>45028</v>
      </c>
      <c r="K302" s="59"/>
      <c r="L302" s="59" t="e" cm="1">
        <f t="array" ref="L302">INDEX($J$4:J1392, MATCH(1,(A302=$A$4:A1390)*("Y"=$K$4:K1392),0))</f>
        <v>#N/A</v>
      </c>
      <c r="M302" s="1">
        <v>1000000</v>
      </c>
      <c r="N302">
        <v>30</v>
      </c>
      <c r="O302">
        <v>33</v>
      </c>
      <c r="P302">
        <v>30</v>
      </c>
      <c r="Q302" s="6">
        <f>(SUM(Pcfu43[[#This Row],[R1]:[R3]]))/(Pcfu43[[#This Row],[No. Reps]]*0.015)*Pcfu43[[#This Row],[Best DF]]</f>
        <v>2066666666.666667</v>
      </c>
      <c r="R302" s="1">
        <f>_xlfn.STDEV.S(Pcfu43[[#This Row],[R1]:[R3]])/0.015*Pcfu43[[#This Row],[Best DF]]</f>
        <v>115470053.83792515</v>
      </c>
      <c r="S302" s="6">
        <f>Pcfu43[[#This Row],[CFU/mL]]*Pcfu43[[#This Row],[mL]]/Pcfu43[[#This Row],[grams]]</f>
        <v>39266666666.666672</v>
      </c>
      <c r="T302" s="1">
        <f>Pcfu43[[#This Row],[SD CFU/mL]]*Pcfu43[[#This Row],[mL]]/Pcfu43[[#This Row],[grams]]</f>
        <v>2193931022.920578</v>
      </c>
      <c r="U302" s="7">
        <f>_xlfn.STDEV.S(Pcfu43[[#This Row],[R1]:[R3]])/AVERAGE(Pcfu43[[#This Row],[R1]:[R3]])</f>
        <v>5.5872606695770231E-2</v>
      </c>
      <c r="V302" s="102">
        <v>0.39700000000000002</v>
      </c>
      <c r="W302" s="7"/>
      <c r="X302" t="s">
        <v>945</v>
      </c>
    </row>
    <row r="303" spans="1:24" x14ac:dyDescent="0.15">
      <c r="A303" t="s">
        <v>878</v>
      </c>
      <c r="B303" t="s">
        <v>913</v>
      </c>
      <c r="C303" s="4"/>
      <c r="D303" t="s">
        <v>86</v>
      </c>
      <c r="E303" s="3">
        <v>3</v>
      </c>
      <c r="G303">
        <v>0.3</v>
      </c>
      <c r="H303" s="5">
        <v>5.7</v>
      </c>
      <c r="I303" s="3" t="s">
        <v>170</v>
      </c>
      <c r="J303" s="59">
        <v>45028</v>
      </c>
      <c r="K303" s="59"/>
      <c r="L303" s="59" t="e" cm="1">
        <f t="array" ref="L303">INDEX($J$4:J1393, MATCH(1,(A303=$A$4:A1391)*("Y"=$K$4:K1393),0))</f>
        <v>#N/A</v>
      </c>
      <c r="M303" s="1">
        <v>1000000</v>
      </c>
      <c r="N303">
        <v>24</v>
      </c>
      <c r="O303">
        <v>28</v>
      </c>
      <c r="P303">
        <v>31</v>
      </c>
      <c r="Q303" s="6">
        <f>(SUM(Pcfu43[[#This Row],[R1]:[R3]]))/(Pcfu43[[#This Row],[No. Reps]]*0.015)*Pcfu43[[#This Row],[Best DF]]</f>
        <v>1844444444.4444447</v>
      </c>
      <c r="R303" s="1">
        <f>_xlfn.STDEV.S(Pcfu43[[#This Row],[R1]:[R3]])/0.015*Pcfu43[[#This Row],[Best DF]]</f>
        <v>234125638.95228237</v>
      </c>
      <c r="S303" s="6">
        <f>Pcfu43[[#This Row],[CFU/mL]]*Pcfu43[[#This Row],[mL]]/Pcfu43[[#This Row],[grams]]</f>
        <v>35044444444.44445</v>
      </c>
      <c r="T303" s="1">
        <f>Pcfu43[[#This Row],[SD CFU/mL]]*Pcfu43[[#This Row],[mL]]/Pcfu43[[#This Row],[grams]]</f>
        <v>4448387140.0933657</v>
      </c>
      <c r="U303" s="7">
        <f>_xlfn.STDEV.S(Pcfu43[[#This Row],[R1]:[R3]])/AVERAGE(Pcfu43[[#This Row],[R1]:[R3]])</f>
        <v>0.12693558738376753</v>
      </c>
      <c r="V303" s="102">
        <v>0.36599999999999999</v>
      </c>
      <c r="W303" s="7"/>
      <c r="X303" t="s">
        <v>946</v>
      </c>
    </row>
    <row r="304" spans="1:24" x14ac:dyDescent="0.15">
      <c r="A304" t="s">
        <v>879</v>
      </c>
      <c r="B304" t="s">
        <v>913</v>
      </c>
      <c r="C304" s="4"/>
      <c r="D304" t="s">
        <v>86</v>
      </c>
      <c r="E304" s="3">
        <v>3</v>
      </c>
      <c r="G304">
        <v>0.3</v>
      </c>
      <c r="H304" s="5">
        <v>5.7</v>
      </c>
      <c r="I304" s="3" t="s">
        <v>170</v>
      </c>
      <c r="J304" s="59">
        <v>45028</v>
      </c>
      <c r="K304" s="59"/>
      <c r="L304" s="59" t="e" cm="1">
        <f t="array" ref="L304">INDEX($J$4:J1394, MATCH(1,(A304=$A$4:A1392)*("Y"=$K$4:K1394),0))</f>
        <v>#N/A</v>
      </c>
      <c r="M304" s="1">
        <v>1000000</v>
      </c>
      <c r="N304">
        <v>21</v>
      </c>
      <c r="O304">
        <v>15</v>
      </c>
      <c r="P304">
        <v>25</v>
      </c>
      <c r="Q304" s="6">
        <f>(SUM(Pcfu43[[#This Row],[R1]:[R3]]))/(Pcfu43[[#This Row],[No. Reps]]*0.015)*Pcfu43[[#This Row],[Best DF]]</f>
        <v>1355555555.5555556</v>
      </c>
      <c r="R304" s="1">
        <f>_xlfn.STDEV.S(Pcfu43[[#This Row],[R1]:[R3]])/0.015*Pcfu43[[#This Row],[Best DF]]</f>
        <v>335548197.12314469</v>
      </c>
      <c r="S304" s="6">
        <f>Pcfu43[[#This Row],[CFU/mL]]*Pcfu43[[#This Row],[mL]]/Pcfu43[[#This Row],[grams]]</f>
        <v>25755555555.555557</v>
      </c>
      <c r="T304" s="1">
        <f>Pcfu43[[#This Row],[SD CFU/mL]]*Pcfu43[[#This Row],[mL]]/Pcfu43[[#This Row],[grams]]</f>
        <v>6375415745.3397493</v>
      </c>
      <c r="U304" s="7">
        <f>_xlfn.STDEV.S(Pcfu43[[#This Row],[R1]:[R3]])/AVERAGE(Pcfu43[[#This Row],[R1]:[R3]])</f>
        <v>0.24753555525477886</v>
      </c>
      <c r="V304" s="102">
        <v>0.39800000000000002</v>
      </c>
      <c r="W304" s="7"/>
      <c r="X304" t="s">
        <v>947</v>
      </c>
    </row>
    <row r="305" spans="1:24" x14ac:dyDescent="0.15">
      <c r="A305" t="s">
        <v>880</v>
      </c>
      <c r="B305" t="s">
        <v>913</v>
      </c>
      <c r="C305" s="4"/>
      <c r="D305" t="s">
        <v>86</v>
      </c>
      <c r="E305" s="3">
        <v>3</v>
      </c>
      <c r="G305">
        <v>0.3</v>
      </c>
      <c r="H305" s="5">
        <v>5.7</v>
      </c>
      <c r="I305" s="3" t="s">
        <v>170</v>
      </c>
      <c r="J305" s="59">
        <v>45028</v>
      </c>
      <c r="K305" s="59"/>
      <c r="L305" s="59" t="e" cm="1">
        <f t="array" ref="L305">INDEX($J$4:J1395, MATCH(1,(A305=$A$4:A1393)*("Y"=$K$4:K1395),0))</f>
        <v>#N/A</v>
      </c>
      <c r="M305" s="1">
        <v>1000000</v>
      </c>
      <c r="N305">
        <v>50</v>
      </c>
      <c r="O305">
        <v>38</v>
      </c>
      <c r="P305">
        <v>48</v>
      </c>
      <c r="Q305" s="6">
        <f>(SUM(Pcfu43[[#This Row],[R1]:[R3]]))/(Pcfu43[[#This Row],[No. Reps]]*0.015)*Pcfu43[[#This Row],[Best DF]]</f>
        <v>3022222222.2222223</v>
      </c>
      <c r="R305" s="1">
        <f>_xlfn.STDEV.S(Pcfu43[[#This Row],[R1]:[R3]])/0.015*Pcfu43[[#This Row],[Best DF]]</f>
        <v>428606700.48857659</v>
      </c>
      <c r="S305" s="6">
        <f>Pcfu43[[#This Row],[CFU/mL]]*Pcfu43[[#This Row],[mL]]/Pcfu43[[#This Row],[grams]]</f>
        <v>57422222222.222229</v>
      </c>
      <c r="T305" s="1">
        <f>Pcfu43[[#This Row],[SD CFU/mL]]*Pcfu43[[#This Row],[mL]]/Pcfu43[[#This Row],[grams]]</f>
        <v>8143527309.2829561</v>
      </c>
      <c r="U305" s="7">
        <f>_xlfn.STDEV.S(Pcfu43[[#This Row],[R1]:[R3]])/AVERAGE(Pcfu43[[#This Row],[R1]:[R3]])</f>
        <v>0.14181839354401429</v>
      </c>
      <c r="V305" s="102">
        <v>0.32800000000000001</v>
      </c>
      <c r="W305" s="7"/>
      <c r="X305" t="s">
        <v>948</v>
      </c>
    </row>
    <row r="306" spans="1:24" x14ac:dyDescent="0.15">
      <c r="A306" t="s">
        <v>919</v>
      </c>
      <c r="B306" t="s">
        <v>913</v>
      </c>
      <c r="C306" s="4"/>
      <c r="D306" t="s">
        <v>86</v>
      </c>
      <c r="E306" s="3">
        <v>3</v>
      </c>
      <c r="G306">
        <v>0.3</v>
      </c>
      <c r="H306" s="5">
        <v>5.7</v>
      </c>
      <c r="I306" s="3" t="s">
        <v>170</v>
      </c>
      <c r="J306" s="59">
        <v>45028</v>
      </c>
      <c r="K306" s="59"/>
      <c r="L306" s="59" t="e" cm="1">
        <f t="array" ref="L306">INDEX($J$4:J1396, MATCH(1,(A306=$A$4:A1394)*("Y"=$K$4:K1396),0))</f>
        <v>#N/A</v>
      </c>
      <c r="M306" s="1">
        <v>1000000</v>
      </c>
      <c r="N306">
        <v>30</v>
      </c>
      <c r="O306">
        <v>24</v>
      </c>
      <c r="P306">
        <v>36</v>
      </c>
      <c r="Q306" s="6">
        <f>(SUM(Pcfu43[[#This Row],[R1]:[R3]]))/(Pcfu43[[#This Row],[No. Reps]]*0.015)*Pcfu43[[#This Row],[Best DF]]</f>
        <v>2000000000</v>
      </c>
      <c r="R306" s="1">
        <f>_xlfn.STDEV.S(Pcfu43[[#This Row],[R1]:[R3]])/0.015*Pcfu43[[#This Row],[Best DF]]</f>
        <v>400000000</v>
      </c>
      <c r="S306" s="6">
        <f>Pcfu43[[#This Row],[CFU/mL]]*Pcfu43[[#This Row],[mL]]/Pcfu43[[#This Row],[grams]]</f>
        <v>38000000000</v>
      </c>
      <c r="T306" s="1">
        <f>Pcfu43[[#This Row],[SD CFU/mL]]*Pcfu43[[#This Row],[mL]]/Pcfu43[[#This Row],[grams]]</f>
        <v>7600000000</v>
      </c>
      <c r="U306" s="7">
        <f>_xlfn.STDEV.S(Pcfu43[[#This Row],[R1]:[R3]])/AVERAGE(Pcfu43[[#This Row],[R1]:[R3]])</f>
        <v>0.2</v>
      </c>
      <c r="V306" s="102">
        <v>0.30499999999999999</v>
      </c>
      <c r="W306" s="7"/>
      <c r="X306" t="s">
        <v>417</v>
      </c>
    </row>
    <row r="307" spans="1:24" x14ac:dyDescent="0.15">
      <c r="A307" t="s">
        <v>949</v>
      </c>
      <c r="B307" t="s">
        <v>854</v>
      </c>
      <c r="C307" s="4"/>
      <c r="D307" t="s">
        <v>194</v>
      </c>
      <c r="E307" s="3">
        <v>1</v>
      </c>
      <c r="G307">
        <v>0.3</v>
      </c>
      <c r="H307" s="5">
        <v>5.7</v>
      </c>
      <c r="I307" s="3" t="s">
        <v>950</v>
      </c>
      <c r="J307" s="59">
        <v>45028</v>
      </c>
      <c r="K307" s="59"/>
      <c r="L307" s="59" t="e" cm="1">
        <f t="array" ref="L307">INDEX($J$4:J1397, MATCH(1,(A307=$A$4:A1395)*("Y"=$K$4:K1397),0))</f>
        <v>#N/A</v>
      </c>
      <c r="M307" s="1">
        <v>1000000</v>
      </c>
      <c r="N307">
        <v>62</v>
      </c>
      <c r="Q307" s="6">
        <f>(SUM(Pcfu43[[#This Row],[R1]:[R3]]))/(Pcfu43[[#This Row],[No. Reps]]*0.015)*Pcfu43[[#This Row],[Best DF]]</f>
        <v>4133333333.333334</v>
      </c>
      <c r="R307" s="1" t="e">
        <f>_xlfn.STDEV.S(Pcfu43[[#This Row],[R1]:[R3]])/0.015*Pcfu43[[#This Row],[Best DF]]</f>
        <v>#DIV/0!</v>
      </c>
      <c r="S307" s="6">
        <f>Pcfu43[[#This Row],[CFU/mL]]*Pcfu43[[#This Row],[mL]]/Pcfu43[[#This Row],[grams]]</f>
        <v>78533333333.333344</v>
      </c>
      <c r="T307" s="1" t="e">
        <f>Pcfu43[[#This Row],[SD CFU/mL]]*Pcfu43[[#This Row],[mL]]/Pcfu43[[#This Row],[grams]]</f>
        <v>#DIV/0!</v>
      </c>
      <c r="U307" s="7" t="e">
        <f>_xlfn.STDEV.S(Pcfu43[[#This Row],[R1]:[R3]])/AVERAGE(Pcfu43[[#This Row],[R1]:[R3]])</f>
        <v>#DIV/0!</v>
      </c>
      <c r="V307" s="102"/>
      <c r="W307" s="7"/>
    </row>
    <row r="308" spans="1:24" x14ac:dyDescent="0.15">
      <c r="A308" t="s">
        <v>949</v>
      </c>
      <c r="B308" t="s">
        <v>855</v>
      </c>
      <c r="C308" s="4"/>
      <c r="D308" t="s">
        <v>194</v>
      </c>
      <c r="E308" s="3">
        <v>1</v>
      </c>
      <c r="G308">
        <v>0.3</v>
      </c>
      <c r="H308" s="5">
        <v>5.7</v>
      </c>
      <c r="I308" s="3" t="s">
        <v>950</v>
      </c>
      <c r="J308" s="59">
        <v>45028</v>
      </c>
      <c r="K308" s="59"/>
      <c r="L308" s="59" t="e" cm="1">
        <f t="array" ref="L308">INDEX($J$4:J1398, MATCH(1,(A308=$A$4:A1396)*("Y"=$K$4:K1398),0))</f>
        <v>#N/A</v>
      </c>
      <c r="M308" s="1">
        <v>1000000</v>
      </c>
      <c r="N308">
        <v>53</v>
      </c>
      <c r="Q308" s="6">
        <f>(SUM(Pcfu43[[#This Row],[R1]:[R3]]))/(Pcfu43[[#This Row],[No. Reps]]*0.015)*Pcfu43[[#This Row],[Best DF]]</f>
        <v>3533333333.3333335</v>
      </c>
      <c r="R308" s="1" t="e">
        <f>_xlfn.STDEV.S(Pcfu43[[#This Row],[R1]:[R3]])/0.015*Pcfu43[[#This Row],[Best DF]]</f>
        <v>#DIV/0!</v>
      </c>
      <c r="S308" s="6">
        <f>Pcfu43[[#This Row],[CFU/mL]]*Pcfu43[[#This Row],[mL]]/Pcfu43[[#This Row],[grams]]</f>
        <v>67133333333.333336</v>
      </c>
      <c r="T308" s="1" t="e">
        <f>Pcfu43[[#This Row],[SD CFU/mL]]*Pcfu43[[#This Row],[mL]]/Pcfu43[[#This Row],[grams]]</f>
        <v>#DIV/0!</v>
      </c>
      <c r="U308" s="7" t="e">
        <f>_xlfn.STDEV.S(Pcfu43[[#This Row],[R1]:[R3]])/AVERAGE(Pcfu43[[#This Row],[R1]:[R3]])</f>
        <v>#DIV/0!</v>
      </c>
      <c r="V308" s="102"/>
      <c r="W308" s="7"/>
    </row>
    <row r="309" spans="1:24" x14ac:dyDescent="0.15">
      <c r="A309" t="s">
        <v>949</v>
      </c>
      <c r="B309" t="s">
        <v>856</v>
      </c>
      <c r="C309" s="4"/>
      <c r="D309" t="s">
        <v>194</v>
      </c>
      <c r="E309" s="3">
        <v>1</v>
      </c>
      <c r="G309">
        <v>0.3</v>
      </c>
      <c r="H309" s="5">
        <v>5.7</v>
      </c>
      <c r="I309" s="3" t="s">
        <v>950</v>
      </c>
      <c r="J309" s="59">
        <v>45028</v>
      </c>
      <c r="K309" s="59"/>
      <c r="L309" s="59" t="e" cm="1">
        <f t="array" ref="L309">INDEX($J$4:J1399, MATCH(1,(A309=$A$4:A1397)*("Y"=$K$4:K1399),0))</f>
        <v>#N/A</v>
      </c>
      <c r="M309" s="1">
        <v>1000000</v>
      </c>
      <c r="N309">
        <v>47</v>
      </c>
      <c r="Q309" s="6">
        <f>(SUM(Pcfu43[[#This Row],[R1]:[R3]]))/(Pcfu43[[#This Row],[No. Reps]]*0.015)*Pcfu43[[#This Row],[Best DF]]</f>
        <v>3133333333.3333335</v>
      </c>
      <c r="R309" s="1" t="e">
        <f>_xlfn.STDEV.S(Pcfu43[[#This Row],[R1]:[R3]])/0.015*Pcfu43[[#This Row],[Best DF]]</f>
        <v>#DIV/0!</v>
      </c>
      <c r="S309" s="6">
        <f>Pcfu43[[#This Row],[CFU/mL]]*Pcfu43[[#This Row],[mL]]/Pcfu43[[#This Row],[grams]]</f>
        <v>59533333333.333336</v>
      </c>
      <c r="T309" s="1" t="e">
        <f>Pcfu43[[#This Row],[SD CFU/mL]]*Pcfu43[[#This Row],[mL]]/Pcfu43[[#This Row],[grams]]</f>
        <v>#DIV/0!</v>
      </c>
      <c r="U309" s="7" t="e">
        <f>_xlfn.STDEV.S(Pcfu43[[#This Row],[R1]:[R3]])/AVERAGE(Pcfu43[[#This Row],[R1]:[R3]])</f>
        <v>#DIV/0!</v>
      </c>
      <c r="V309" s="102"/>
      <c r="W309" s="7"/>
    </row>
    <row r="310" spans="1:24" x14ac:dyDescent="0.15">
      <c r="A310" t="s">
        <v>773</v>
      </c>
      <c r="B310" t="s">
        <v>854</v>
      </c>
      <c r="C310" s="4"/>
      <c r="D310" t="s">
        <v>194</v>
      </c>
      <c r="E310" s="3">
        <v>1</v>
      </c>
      <c r="G310">
        <v>0.3</v>
      </c>
      <c r="H310" s="5">
        <v>5.7</v>
      </c>
      <c r="I310" s="3" t="s">
        <v>950</v>
      </c>
      <c r="J310" s="59">
        <v>45028</v>
      </c>
      <c r="K310" s="59"/>
      <c r="L310" s="59" t="e" cm="1">
        <f t="array" ref="L310">INDEX($J$4:J1400, MATCH(1,(A310=$A$4:A1398)*("Y"=$K$4:K1400),0))</f>
        <v>#N/A</v>
      </c>
      <c r="M310" s="1">
        <v>1000000</v>
      </c>
      <c r="N310">
        <v>67</v>
      </c>
      <c r="Q310" s="6">
        <f>(SUM(Pcfu43[[#This Row],[R1]:[R3]]))/(Pcfu43[[#This Row],[No. Reps]]*0.015)*Pcfu43[[#This Row],[Best DF]]</f>
        <v>4466666666.666667</v>
      </c>
      <c r="R310" s="1" t="e">
        <f>_xlfn.STDEV.S(Pcfu43[[#This Row],[R1]:[R3]])/0.015*Pcfu43[[#This Row],[Best DF]]</f>
        <v>#DIV/0!</v>
      </c>
      <c r="S310" s="6">
        <f>Pcfu43[[#This Row],[CFU/mL]]*Pcfu43[[#This Row],[mL]]/Pcfu43[[#This Row],[grams]]</f>
        <v>84866666666.666687</v>
      </c>
      <c r="T310" s="1" t="e">
        <f>Pcfu43[[#This Row],[SD CFU/mL]]*Pcfu43[[#This Row],[mL]]/Pcfu43[[#This Row],[grams]]</f>
        <v>#DIV/0!</v>
      </c>
      <c r="U310" s="7" t="e">
        <f>_xlfn.STDEV.S(Pcfu43[[#This Row],[R1]:[R3]])/AVERAGE(Pcfu43[[#This Row],[R1]:[R3]])</f>
        <v>#DIV/0!</v>
      </c>
      <c r="V310" s="102"/>
      <c r="W310" s="7"/>
    </row>
    <row r="311" spans="1:24" x14ac:dyDescent="0.15">
      <c r="A311" t="s">
        <v>773</v>
      </c>
      <c r="B311" t="s">
        <v>855</v>
      </c>
      <c r="C311" s="4"/>
      <c r="D311" t="s">
        <v>194</v>
      </c>
      <c r="E311" s="3">
        <v>1</v>
      </c>
      <c r="G311">
        <v>0.3</v>
      </c>
      <c r="H311" s="5">
        <v>5.7</v>
      </c>
      <c r="I311" s="3" t="s">
        <v>950</v>
      </c>
      <c r="J311" s="59">
        <v>45028</v>
      </c>
      <c r="K311" s="59"/>
      <c r="L311" s="59" t="e" cm="1">
        <f t="array" ref="L311">INDEX($J$4:J1401, MATCH(1,(A311=$A$4:A1399)*("Y"=$K$4:K1401),0))</f>
        <v>#N/A</v>
      </c>
      <c r="M311" s="1">
        <v>1000000</v>
      </c>
      <c r="N311">
        <v>74</v>
      </c>
      <c r="Q311" s="6">
        <f>(SUM(Pcfu43[[#This Row],[R1]:[R3]]))/(Pcfu43[[#This Row],[No. Reps]]*0.015)*Pcfu43[[#This Row],[Best DF]]</f>
        <v>4933333333.333334</v>
      </c>
      <c r="R311" s="1" t="e">
        <f>_xlfn.STDEV.S(Pcfu43[[#This Row],[R1]:[R3]])/0.015*Pcfu43[[#This Row],[Best DF]]</f>
        <v>#DIV/0!</v>
      </c>
      <c r="S311" s="6">
        <f>Pcfu43[[#This Row],[CFU/mL]]*Pcfu43[[#This Row],[mL]]/Pcfu43[[#This Row],[grams]]</f>
        <v>93733333333.333344</v>
      </c>
      <c r="T311" s="1" t="e">
        <f>Pcfu43[[#This Row],[SD CFU/mL]]*Pcfu43[[#This Row],[mL]]/Pcfu43[[#This Row],[grams]]</f>
        <v>#DIV/0!</v>
      </c>
      <c r="U311" s="7" t="e">
        <f>_xlfn.STDEV.S(Pcfu43[[#This Row],[R1]:[R3]])/AVERAGE(Pcfu43[[#This Row],[R1]:[R3]])</f>
        <v>#DIV/0!</v>
      </c>
      <c r="V311" s="102"/>
      <c r="W311" s="7"/>
    </row>
    <row r="312" spans="1:24" x14ac:dyDescent="0.15">
      <c r="A312" t="s">
        <v>773</v>
      </c>
      <c r="B312" t="s">
        <v>856</v>
      </c>
      <c r="C312" s="4"/>
      <c r="D312" t="s">
        <v>194</v>
      </c>
      <c r="E312" s="3">
        <v>1</v>
      </c>
      <c r="G312">
        <v>0.3</v>
      </c>
      <c r="H312" s="5">
        <v>5.7</v>
      </c>
      <c r="I312" s="3" t="s">
        <v>950</v>
      </c>
      <c r="J312" s="59">
        <v>45028</v>
      </c>
      <c r="K312" s="59"/>
      <c r="L312" s="59" t="e" cm="1">
        <f t="array" ref="L312">INDEX($J$4:J1402, MATCH(1,(A312=$A$4:A1400)*("Y"=$K$4:K1402),0))</f>
        <v>#N/A</v>
      </c>
      <c r="M312" s="1">
        <v>1000000</v>
      </c>
      <c r="N312">
        <v>64</v>
      </c>
      <c r="Q312" s="6">
        <f>(SUM(Pcfu43[[#This Row],[R1]:[R3]]))/(Pcfu43[[#This Row],[No. Reps]]*0.015)*Pcfu43[[#This Row],[Best DF]]</f>
        <v>4266666666.666667</v>
      </c>
      <c r="R312" s="1" t="e">
        <f>_xlfn.STDEV.S(Pcfu43[[#This Row],[R1]:[R3]])/0.015*Pcfu43[[#This Row],[Best DF]]</f>
        <v>#DIV/0!</v>
      </c>
      <c r="S312" s="6">
        <f>Pcfu43[[#This Row],[CFU/mL]]*Pcfu43[[#This Row],[mL]]/Pcfu43[[#This Row],[grams]]</f>
        <v>81066666666.666687</v>
      </c>
      <c r="T312" s="1" t="e">
        <f>Pcfu43[[#This Row],[SD CFU/mL]]*Pcfu43[[#This Row],[mL]]/Pcfu43[[#This Row],[grams]]</f>
        <v>#DIV/0!</v>
      </c>
      <c r="U312" s="7" t="e">
        <f>_xlfn.STDEV.S(Pcfu43[[#This Row],[R1]:[R3]])/AVERAGE(Pcfu43[[#This Row],[R1]:[R3]])</f>
        <v>#DIV/0!</v>
      </c>
      <c r="V312" s="102"/>
      <c r="W312" s="7"/>
    </row>
    <row r="313" spans="1:24" x14ac:dyDescent="0.15">
      <c r="A313" t="s">
        <v>775</v>
      </c>
      <c r="B313" t="s">
        <v>854</v>
      </c>
      <c r="C313" s="4"/>
      <c r="D313" t="s">
        <v>194</v>
      </c>
      <c r="E313" s="3">
        <v>1</v>
      </c>
      <c r="G313">
        <v>0.3</v>
      </c>
      <c r="H313" s="5">
        <v>5.7</v>
      </c>
      <c r="I313" s="3" t="s">
        <v>950</v>
      </c>
      <c r="J313" s="59">
        <v>45028</v>
      </c>
      <c r="K313" s="59"/>
      <c r="L313" s="59" t="e" cm="1">
        <f t="array" ref="L313">INDEX($J$4:J1403, MATCH(1,(A313=$A$4:A1401)*("Y"=$K$4:K1403),0))</f>
        <v>#N/A</v>
      </c>
      <c r="M313" s="1">
        <v>1000000</v>
      </c>
      <c r="N313">
        <v>46</v>
      </c>
      <c r="Q313" s="6">
        <f>(SUM(Pcfu43[[#This Row],[R1]:[R3]]))/(Pcfu43[[#This Row],[No. Reps]]*0.015)*Pcfu43[[#This Row],[Best DF]]</f>
        <v>3066666666.666667</v>
      </c>
      <c r="R313" s="1" t="e">
        <f>_xlfn.STDEV.S(Pcfu43[[#This Row],[R1]:[R3]])/0.015*Pcfu43[[#This Row],[Best DF]]</f>
        <v>#DIV/0!</v>
      </c>
      <c r="S313" s="6">
        <f>Pcfu43[[#This Row],[CFU/mL]]*Pcfu43[[#This Row],[mL]]/Pcfu43[[#This Row],[grams]]</f>
        <v>58266666666.666679</v>
      </c>
      <c r="T313" s="1" t="e">
        <f>Pcfu43[[#This Row],[SD CFU/mL]]*Pcfu43[[#This Row],[mL]]/Pcfu43[[#This Row],[grams]]</f>
        <v>#DIV/0!</v>
      </c>
      <c r="U313" s="7" t="e">
        <f>_xlfn.STDEV.S(Pcfu43[[#This Row],[R1]:[R3]])/AVERAGE(Pcfu43[[#This Row],[R1]:[R3]])</f>
        <v>#DIV/0!</v>
      </c>
      <c r="V313" s="102"/>
      <c r="W313" s="7"/>
    </row>
    <row r="314" spans="1:24" x14ac:dyDescent="0.15">
      <c r="A314" t="s">
        <v>775</v>
      </c>
      <c r="B314" t="s">
        <v>855</v>
      </c>
      <c r="C314" s="4"/>
      <c r="D314" t="s">
        <v>194</v>
      </c>
      <c r="E314" s="3">
        <v>1</v>
      </c>
      <c r="G314">
        <v>0.3</v>
      </c>
      <c r="H314" s="5">
        <v>5.7</v>
      </c>
      <c r="I314" s="3" t="s">
        <v>950</v>
      </c>
      <c r="J314" s="59">
        <v>45028</v>
      </c>
      <c r="K314" s="59"/>
      <c r="L314" s="59" t="e" cm="1">
        <f t="array" ref="L314">INDEX($J$4:J1404, MATCH(1,(A314=$A$4:A1402)*("Y"=$K$4:K1404),0))</f>
        <v>#N/A</v>
      </c>
      <c r="M314" s="1">
        <v>1000000</v>
      </c>
      <c r="N314">
        <v>50</v>
      </c>
      <c r="Q314" s="6">
        <f>(SUM(Pcfu43[[#This Row],[R1]:[R3]]))/(Pcfu43[[#This Row],[No. Reps]]*0.015)*Pcfu43[[#This Row],[Best DF]]</f>
        <v>3333333333.3333335</v>
      </c>
      <c r="R314" s="1" t="e">
        <f>_xlfn.STDEV.S(Pcfu43[[#This Row],[R1]:[R3]])/0.015*Pcfu43[[#This Row],[Best DF]]</f>
        <v>#DIV/0!</v>
      </c>
      <c r="S314" s="6">
        <f>Pcfu43[[#This Row],[CFU/mL]]*Pcfu43[[#This Row],[mL]]/Pcfu43[[#This Row],[grams]]</f>
        <v>63333333333.333336</v>
      </c>
      <c r="T314" s="1" t="e">
        <f>Pcfu43[[#This Row],[SD CFU/mL]]*Pcfu43[[#This Row],[mL]]/Pcfu43[[#This Row],[grams]]</f>
        <v>#DIV/0!</v>
      </c>
      <c r="U314" s="7" t="e">
        <f>_xlfn.STDEV.S(Pcfu43[[#This Row],[R1]:[R3]])/AVERAGE(Pcfu43[[#This Row],[R1]:[R3]])</f>
        <v>#DIV/0!</v>
      </c>
      <c r="V314" s="102"/>
      <c r="W314" s="7"/>
    </row>
    <row r="315" spans="1:24" x14ac:dyDescent="0.15">
      <c r="A315" t="s">
        <v>775</v>
      </c>
      <c r="B315" t="s">
        <v>856</v>
      </c>
      <c r="C315" s="4"/>
      <c r="D315" t="s">
        <v>194</v>
      </c>
      <c r="E315" s="3">
        <v>1</v>
      </c>
      <c r="G315">
        <v>0.3</v>
      </c>
      <c r="H315" s="5">
        <v>5.7</v>
      </c>
      <c r="I315" s="3" t="s">
        <v>950</v>
      </c>
      <c r="J315" s="59">
        <v>45028</v>
      </c>
      <c r="K315" s="59"/>
      <c r="L315" s="59" t="e" cm="1">
        <f t="array" ref="L315">INDEX($J$4:J1405, MATCH(1,(A315=$A$4:A1403)*("Y"=$K$4:K1405),0))</f>
        <v>#N/A</v>
      </c>
      <c r="M315" s="1">
        <v>1000000</v>
      </c>
      <c r="N315">
        <v>59</v>
      </c>
      <c r="Q315" s="6">
        <f>(SUM(Pcfu43[[#This Row],[R1]:[R3]]))/(Pcfu43[[#This Row],[No. Reps]]*0.015)*Pcfu43[[#This Row],[Best DF]]</f>
        <v>3933333333.3333335</v>
      </c>
      <c r="R315" s="1" t="e">
        <f>_xlfn.STDEV.S(Pcfu43[[#This Row],[R1]:[R3]])/0.015*Pcfu43[[#This Row],[Best DF]]</f>
        <v>#DIV/0!</v>
      </c>
      <c r="S315" s="6">
        <f>Pcfu43[[#This Row],[CFU/mL]]*Pcfu43[[#This Row],[mL]]/Pcfu43[[#This Row],[grams]]</f>
        <v>74733333333.333344</v>
      </c>
      <c r="T315" s="1" t="e">
        <f>Pcfu43[[#This Row],[SD CFU/mL]]*Pcfu43[[#This Row],[mL]]/Pcfu43[[#This Row],[grams]]</f>
        <v>#DIV/0!</v>
      </c>
      <c r="U315" s="7" t="e">
        <f>_xlfn.STDEV.S(Pcfu43[[#This Row],[R1]:[R3]])/AVERAGE(Pcfu43[[#This Row],[R1]:[R3]])</f>
        <v>#DIV/0!</v>
      </c>
      <c r="V315" s="102"/>
      <c r="W315" s="7"/>
    </row>
    <row r="316" spans="1:24" x14ac:dyDescent="0.15">
      <c r="A316" t="s">
        <v>665</v>
      </c>
      <c r="B316" t="s">
        <v>854</v>
      </c>
      <c r="C316" s="4"/>
      <c r="D316" t="s">
        <v>194</v>
      </c>
      <c r="E316" s="3">
        <v>1</v>
      </c>
      <c r="G316">
        <v>0.3</v>
      </c>
      <c r="H316" s="5">
        <v>5.7</v>
      </c>
      <c r="I316" s="3" t="s">
        <v>950</v>
      </c>
      <c r="J316" s="59">
        <v>45028</v>
      </c>
      <c r="K316" s="59"/>
      <c r="L316" s="59" t="e" cm="1">
        <f t="array" ref="L316">INDEX($J$4:J1406, MATCH(1,(A316=$A$4:A1404)*("Y"=$K$4:K1406),0))</f>
        <v>#N/A</v>
      </c>
      <c r="M316" s="1">
        <v>1000000</v>
      </c>
      <c r="N316">
        <v>81</v>
      </c>
      <c r="Q316" s="6">
        <f>(SUM(Pcfu43[[#This Row],[R1]:[R3]]))/(Pcfu43[[#This Row],[No. Reps]]*0.015)*Pcfu43[[#This Row],[Best DF]]</f>
        <v>5400000000</v>
      </c>
      <c r="R316" s="1" t="e">
        <f>_xlfn.STDEV.S(Pcfu43[[#This Row],[R1]:[R3]])/0.015*Pcfu43[[#This Row],[Best DF]]</f>
        <v>#DIV/0!</v>
      </c>
      <c r="S316" s="6">
        <f>Pcfu43[[#This Row],[CFU/mL]]*Pcfu43[[#This Row],[mL]]/Pcfu43[[#This Row],[grams]]</f>
        <v>102600000000</v>
      </c>
      <c r="T316" s="1" t="e">
        <f>Pcfu43[[#This Row],[SD CFU/mL]]*Pcfu43[[#This Row],[mL]]/Pcfu43[[#This Row],[grams]]</f>
        <v>#DIV/0!</v>
      </c>
      <c r="U316" s="7" t="e">
        <f>_xlfn.STDEV.S(Pcfu43[[#This Row],[R1]:[R3]])/AVERAGE(Pcfu43[[#This Row],[R1]:[R3]])</f>
        <v>#DIV/0!</v>
      </c>
      <c r="V316" s="102"/>
      <c r="W316" s="7"/>
    </row>
    <row r="317" spans="1:24" x14ac:dyDescent="0.15">
      <c r="A317" t="s">
        <v>665</v>
      </c>
      <c r="B317" t="s">
        <v>855</v>
      </c>
      <c r="C317" s="4"/>
      <c r="D317" t="s">
        <v>194</v>
      </c>
      <c r="E317" s="3">
        <v>1</v>
      </c>
      <c r="G317">
        <v>0.3</v>
      </c>
      <c r="H317" s="5">
        <v>5.7</v>
      </c>
      <c r="I317" s="3" t="s">
        <v>950</v>
      </c>
      <c r="J317" s="59">
        <v>45028</v>
      </c>
      <c r="K317" s="59"/>
      <c r="L317" s="59" t="e" cm="1">
        <f t="array" ref="L317">INDEX($J$4:J1407, MATCH(1,(A317=$A$4:A1405)*("Y"=$K$4:K1407),0))</f>
        <v>#N/A</v>
      </c>
      <c r="M317" s="1">
        <v>1000000</v>
      </c>
      <c r="N317">
        <v>72</v>
      </c>
      <c r="Q317" s="6">
        <f>(SUM(Pcfu43[[#This Row],[R1]:[R3]]))/(Pcfu43[[#This Row],[No. Reps]]*0.015)*Pcfu43[[#This Row],[Best DF]]</f>
        <v>4800000000</v>
      </c>
      <c r="R317" s="1" t="e">
        <f>_xlfn.STDEV.S(Pcfu43[[#This Row],[R1]:[R3]])/0.015*Pcfu43[[#This Row],[Best DF]]</f>
        <v>#DIV/0!</v>
      </c>
      <c r="S317" s="6">
        <f>Pcfu43[[#This Row],[CFU/mL]]*Pcfu43[[#This Row],[mL]]/Pcfu43[[#This Row],[grams]]</f>
        <v>91200000000</v>
      </c>
      <c r="T317" s="1" t="e">
        <f>Pcfu43[[#This Row],[SD CFU/mL]]*Pcfu43[[#This Row],[mL]]/Pcfu43[[#This Row],[grams]]</f>
        <v>#DIV/0!</v>
      </c>
      <c r="U317" s="7" t="e">
        <f>_xlfn.STDEV.S(Pcfu43[[#This Row],[R1]:[R3]])/AVERAGE(Pcfu43[[#This Row],[R1]:[R3]])</f>
        <v>#DIV/0!</v>
      </c>
      <c r="V317" s="102"/>
      <c r="W317" s="7"/>
    </row>
    <row r="318" spans="1:24" x14ac:dyDescent="0.15">
      <c r="A318" t="s">
        <v>665</v>
      </c>
      <c r="B318" t="s">
        <v>856</v>
      </c>
      <c r="C318" s="4"/>
      <c r="D318" t="s">
        <v>194</v>
      </c>
      <c r="E318" s="3">
        <v>1</v>
      </c>
      <c r="G318">
        <v>0.3</v>
      </c>
      <c r="H318" s="5">
        <v>5.7</v>
      </c>
      <c r="I318" s="3" t="s">
        <v>950</v>
      </c>
      <c r="J318" s="59">
        <v>45028</v>
      </c>
      <c r="K318" s="59"/>
      <c r="L318" s="59" t="e" cm="1">
        <f t="array" ref="L318">INDEX($J$4:J1408, MATCH(1,(A318=$A$4:A1406)*("Y"=$K$4:K1408),0))</f>
        <v>#N/A</v>
      </c>
      <c r="M318" s="1">
        <v>1000000</v>
      </c>
      <c r="N318">
        <v>80</v>
      </c>
      <c r="Q318" s="6">
        <f>(SUM(Pcfu43[[#This Row],[R1]:[R3]]))/(Pcfu43[[#This Row],[No. Reps]]*0.015)*Pcfu43[[#This Row],[Best DF]]</f>
        <v>5333333333.333334</v>
      </c>
      <c r="R318" s="1" t="e">
        <f>_xlfn.STDEV.S(Pcfu43[[#This Row],[R1]:[R3]])/0.015*Pcfu43[[#This Row],[Best DF]]</f>
        <v>#DIV/0!</v>
      </c>
      <c r="S318" s="6">
        <f>Pcfu43[[#This Row],[CFU/mL]]*Pcfu43[[#This Row],[mL]]/Pcfu43[[#This Row],[grams]]</f>
        <v>101333333333.33334</v>
      </c>
      <c r="T318" s="1" t="e">
        <f>Pcfu43[[#This Row],[SD CFU/mL]]*Pcfu43[[#This Row],[mL]]/Pcfu43[[#This Row],[grams]]</f>
        <v>#DIV/0!</v>
      </c>
      <c r="U318" s="7" t="e">
        <f>_xlfn.STDEV.S(Pcfu43[[#This Row],[R1]:[R3]])/AVERAGE(Pcfu43[[#This Row],[R1]:[R3]])</f>
        <v>#DIV/0!</v>
      </c>
      <c r="V318" s="102"/>
      <c r="W318" s="7"/>
    </row>
    <row r="319" spans="1:24" x14ac:dyDescent="0.15">
      <c r="A319" t="s">
        <v>776</v>
      </c>
      <c r="B319" t="s">
        <v>854</v>
      </c>
      <c r="C319" s="4"/>
      <c r="D319" t="s">
        <v>194</v>
      </c>
      <c r="E319" s="3">
        <v>1</v>
      </c>
      <c r="G319">
        <v>0.3</v>
      </c>
      <c r="H319" s="5">
        <v>5.7</v>
      </c>
      <c r="I319" s="3" t="s">
        <v>950</v>
      </c>
      <c r="J319" s="59">
        <v>45028</v>
      </c>
      <c r="K319" s="59"/>
      <c r="L319" s="59" t="e" cm="1">
        <f t="array" ref="L319">INDEX($J$4:J1409, MATCH(1,(A319=$A$4:A1407)*("Y"=$K$4:K1409),0))</f>
        <v>#N/A</v>
      </c>
      <c r="M319" s="1">
        <v>1000000</v>
      </c>
      <c r="N319">
        <v>96</v>
      </c>
      <c r="Q319" s="6">
        <f>(SUM(Pcfu43[[#This Row],[R1]:[R3]]))/(Pcfu43[[#This Row],[No. Reps]]*0.015)*Pcfu43[[#This Row],[Best DF]]</f>
        <v>6400000000</v>
      </c>
      <c r="R319" s="1" t="e">
        <f>_xlfn.STDEV.S(Pcfu43[[#This Row],[R1]:[R3]])/0.015*Pcfu43[[#This Row],[Best DF]]</f>
        <v>#DIV/0!</v>
      </c>
      <c r="S319" s="6">
        <f>Pcfu43[[#This Row],[CFU/mL]]*Pcfu43[[#This Row],[mL]]/Pcfu43[[#This Row],[grams]]</f>
        <v>121600000000</v>
      </c>
      <c r="T319" s="1" t="e">
        <f>Pcfu43[[#This Row],[SD CFU/mL]]*Pcfu43[[#This Row],[mL]]/Pcfu43[[#This Row],[grams]]</f>
        <v>#DIV/0!</v>
      </c>
      <c r="U319" s="7" t="e">
        <f>_xlfn.STDEV.S(Pcfu43[[#This Row],[R1]:[R3]])/AVERAGE(Pcfu43[[#This Row],[R1]:[R3]])</f>
        <v>#DIV/0!</v>
      </c>
      <c r="V319" s="102"/>
      <c r="W319" s="7"/>
    </row>
    <row r="320" spans="1:24" x14ac:dyDescent="0.15">
      <c r="A320" t="s">
        <v>776</v>
      </c>
      <c r="B320" t="s">
        <v>855</v>
      </c>
      <c r="C320" s="4"/>
      <c r="D320" t="s">
        <v>194</v>
      </c>
      <c r="E320" s="3">
        <v>1</v>
      </c>
      <c r="G320">
        <v>0.3</v>
      </c>
      <c r="H320" s="5">
        <v>5.7</v>
      </c>
      <c r="I320" s="3" t="s">
        <v>950</v>
      </c>
      <c r="J320" s="59">
        <v>45028</v>
      </c>
      <c r="K320" s="59"/>
      <c r="L320" s="59" t="e" cm="1">
        <f t="array" ref="L320">INDEX($J$4:J1410, MATCH(1,(A320=$A$4:A1408)*("Y"=$K$4:K1410),0))</f>
        <v>#N/A</v>
      </c>
      <c r="M320" s="1">
        <v>1000000</v>
      </c>
      <c r="N320">
        <v>134</v>
      </c>
      <c r="Q320" s="6">
        <f>(SUM(Pcfu43[[#This Row],[R1]:[R3]]))/(Pcfu43[[#This Row],[No. Reps]]*0.015)*Pcfu43[[#This Row],[Best DF]]</f>
        <v>8933333333.333334</v>
      </c>
      <c r="R320" s="1" t="e">
        <f>_xlfn.STDEV.S(Pcfu43[[#This Row],[R1]:[R3]])/0.015*Pcfu43[[#This Row],[Best DF]]</f>
        <v>#DIV/0!</v>
      </c>
      <c r="S320" s="6">
        <f>Pcfu43[[#This Row],[CFU/mL]]*Pcfu43[[#This Row],[mL]]/Pcfu43[[#This Row],[grams]]</f>
        <v>169733333333.33337</v>
      </c>
      <c r="T320" s="1" t="e">
        <f>Pcfu43[[#This Row],[SD CFU/mL]]*Pcfu43[[#This Row],[mL]]/Pcfu43[[#This Row],[grams]]</f>
        <v>#DIV/0!</v>
      </c>
      <c r="U320" s="7" t="e">
        <f>_xlfn.STDEV.S(Pcfu43[[#This Row],[R1]:[R3]])/AVERAGE(Pcfu43[[#This Row],[R1]:[R3]])</f>
        <v>#DIV/0!</v>
      </c>
      <c r="V320" s="102"/>
      <c r="W320" s="7"/>
    </row>
    <row r="321" spans="1:23" x14ac:dyDescent="0.15">
      <c r="A321" t="s">
        <v>776</v>
      </c>
      <c r="B321" t="s">
        <v>856</v>
      </c>
      <c r="C321" s="4"/>
      <c r="D321" t="s">
        <v>194</v>
      </c>
      <c r="E321" s="3">
        <v>1</v>
      </c>
      <c r="G321">
        <v>0.3</v>
      </c>
      <c r="H321" s="5">
        <v>5.7</v>
      </c>
      <c r="I321" s="3" t="s">
        <v>950</v>
      </c>
      <c r="J321" s="59">
        <v>45028</v>
      </c>
      <c r="K321" s="59"/>
      <c r="L321" s="59" t="e" cm="1">
        <f t="array" ref="L321">INDEX($J$4:J1411, MATCH(1,(A321=$A$4:A1409)*("Y"=$K$4:K1411),0))</f>
        <v>#N/A</v>
      </c>
      <c r="M321" s="1">
        <v>1000000</v>
      </c>
      <c r="N321">
        <v>101</v>
      </c>
      <c r="Q321" s="6">
        <f>(SUM(Pcfu43[[#This Row],[R1]:[R3]]))/(Pcfu43[[#This Row],[No. Reps]]*0.015)*Pcfu43[[#This Row],[Best DF]]</f>
        <v>6733333333.333334</v>
      </c>
      <c r="R321" s="1" t="e">
        <f>_xlfn.STDEV.S(Pcfu43[[#This Row],[R1]:[R3]])/0.015*Pcfu43[[#This Row],[Best DF]]</f>
        <v>#DIV/0!</v>
      </c>
      <c r="S321" s="6">
        <f>Pcfu43[[#This Row],[CFU/mL]]*Pcfu43[[#This Row],[mL]]/Pcfu43[[#This Row],[grams]]</f>
        <v>127933333333.33336</v>
      </c>
      <c r="T321" s="1" t="e">
        <f>Pcfu43[[#This Row],[SD CFU/mL]]*Pcfu43[[#This Row],[mL]]/Pcfu43[[#This Row],[grams]]</f>
        <v>#DIV/0!</v>
      </c>
      <c r="U321" s="7" t="e">
        <f>_xlfn.STDEV.S(Pcfu43[[#This Row],[R1]:[R3]])/AVERAGE(Pcfu43[[#This Row],[R1]:[R3]])</f>
        <v>#DIV/0!</v>
      </c>
      <c r="V321" s="102"/>
      <c r="W321" s="7"/>
    </row>
    <row r="322" spans="1:23" x14ac:dyDescent="0.15">
      <c r="A322" t="s">
        <v>777</v>
      </c>
      <c r="B322" t="s">
        <v>854</v>
      </c>
      <c r="C322" s="4"/>
      <c r="D322" t="s">
        <v>194</v>
      </c>
      <c r="E322" s="3">
        <v>1</v>
      </c>
      <c r="G322">
        <v>0.3</v>
      </c>
      <c r="H322" s="5">
        <v>5.7</v>
      </c>
      <c r="I322" s="3" t="s">
        <v>950</v>
      </c>
      <c r="J322" s="59">
        <v>45028</v>
      </c>
      <c r="K322" s="59"/>
      <c r="L322" s="59" t="e" cm="1">
        <f t="array" ref="L322">INDEX($J$4:J1412, MATCH(1,(A322=$A$4:A1410)*("Y"=$K$4:K1412),0))</f>
        <v>#N/A</v>
      </c>
      <c r="M322" s="1">
        <v>1000000</v>
      </c>
      <c r="N322">
        <v>52</v>
      </c>
      <c r="Q322" s="6">
        <f>(SUM(Pcfu43[[#This Row],[R1]:[R3]]))/(Pcfu43[[#This Row],[No. Reps]]*0.015)*Pcfu43[[#This Row],[Best DF]]</f>
        <v>3466666666.666667</v>
      </c>
      <c r="R322" s="1" t="e">
        <f>_xlfn.STDEV.S(Pcfu43[[#This Row],[R1]:[R3]])/0.015*Pcfu43[[#This Row],[Best DF]]</f>
        <v>#DIV/0!</v>
      </c>
      <c r="S322" s="6">
        <f>Pcfu43[[#This Row],[CFU/mL]]*Pcfu43[[#This Row],[mL]]/Pcfu43[[#This Row],[grams]]</f>
        <v>65866666666.666679</v>
      </c>
      <c r="T322" s="1" t="e">
        <f>Pcfu43[[#This Row],[SD CFU/mL]]*Pcfu43[[#This Row],[mL]]/Pcfu43[[#This Row],[grams]]</f>
        <v>#DIV/0!</v>
      </c>
      <c r="U322" s="7" t="e">
        <f>_xlfn.STDEV.S(Pcfu43[[#This Row],[R1]:[R3]])/AVERAGE(Pcfu43[[#This Row],[R1]:[R3]])</f>
        <v>#DIV/0!</v>
      </c>
      <c r="V322" s="102"/>
      <c r="W322" s="7"/>
    </row>
    <row r="323" spans="1:23" x14ac:dyDescent="0.15">
      <c r="A323" t="s">
        <v>777</v>
      </c>
      <c r="B323" t="s">
        <v>855</v>
      </c>
      <c r="C323" s="4"/>
      <c r="D323" t="s">
        <v>194</v>
      </c>
      <c r="E323" s="3">
        <v>1</v>
      </c>
      <c r="G323">
        <v>0.3</v>
      </c>
      <c r="H323" s="5">
        <v>5.7</v>
      </c>
      <c r="I323" s="3" t="s">
        <v>950</v>
      </c>
      <c r="J323" s="59">
        <v>45028</v>
      </c>
      <c r="K323" s="59"/>
      <c r="L323" s="59" t="e" cm="1">
        <f t="array" ref="L323">INDEX($J$4:J1413, MATCH(1,(A323=$A$4:A1411)*("Y"=$K$4:K1413),0))</f>
        <v>#N/A</v>
      </c>
      <c r="M323" s="1">
        <v>1000000</v>
      </c>
      <c r="N323">
        <v>61</v>
      </c>
      <c r="Q323" s="6">
        <f>(SUM(Pcfu43[[#This Row],[R1]:[R3]]))/(Pcfu43[[#This Row],[No. Reps]]*0.015)*Pcfu43[[#This Row],[Best DF]]</f>
        <v>4066666666.666667</v>
      </c>
      <c r="R323" s="1" t="e">
        <f>_xlfn.STDEV.S(Pcfu43[[#This Row],[R1]:[R3]])/0.015*Pcfu43[[#This Row],[Best DF]]</f>
        <v>#DIV/0!</v>
      </c>
      <c r="S323" s="6">
        <f>Pcfu43[[#This Row],[CFU/mL]]*Pcfu43[[#This Row],[mL]]/Pcfu43[[#This Row],[grams]]</f>
        <v>77266666666.666687</v>
      </c>
      <c r="T323" s="1" t="e">
        <f>Pcfu43[[#This Row],[SD CFU/mL]]*Pcfu43[[#This Row],[mL]]/Pcfu43[[#This Row],[grams]]</f>
        <v>#DIV/0!</v>
      </c>
      <c r="U323" s="7" t="e">
        <f>_xlfn.STDEV.S(Pcfu43[[#This Row],[R1]:[R3]])/AVERAGE(Pcfu43[[#This Row],[R1]:[R3]])</f>
        <v>#DIV/0!</v>
      </c>
      <c r="V323" s="102"/>
      <c r="W323" s="7"/>
    </row>
    <row r="324" spans="1:23" x14ac:dyDescent="0.15">
      <c r="A324" t="s">
        <v>777</v>
      </c>
      <c r="B324" t="s">
        <v>856</v>
      </c>
      <c r="C324" s="4"/>
      <c r="D324" t="s">
        <v>194</v>
      </c>
      <c r="E324" s="3">
        <v>1</v>
      </c>
      <c r="G324">
        <v>0.3</v>
      </c>
      <c r="H324" s="5">
        <v>5.7</v>
      </c>
      <c r="I324" s="3" t="s">
        <v>950</v>
      </c>
      <c r="J324" s="59">
        <v>45028</v>
      </c>
      <c r="K324" s="59"/>
      <c r="L324" s="59" t="e" cm="1">
        <f t="array" ref="L324">INDEX($J$4:J1414, MATCH(1,(A324=$A$4:A1412)*("Y"=$K$4:K1414),0))</f>
        <v>#N/A</v>
      </c>
      <c r="M324" s="1">
        <v>1000000</v>
      </c>
      <c r="N324">
        <v>46</v>
      </c>
      <c r="Q324" s="6">
        <f>(SUM(Pcfu43[[#This Row],[R1]:[R3]]))/(Pcfu43[[#This Row],[No. Reps]]*0.015)*Pcfu43[[#This Row],[Best DF]]</f>
        <v>3066666666.666667</v>
      </c>
      <c r="R324" s="1" t="e">
        <f>_xlfn.STDEV.S(Pcfu43[[#This Row],[R1]:[R3]])/0.015*Pcfu43[[#This Row],[Best DF]]</f>
        <v>#DIV/0!</v>
      </c>
      <c r="S324" s="6">
        <f>Pcfu43[[#This Row],[CFU/mL]]*Pcfu43[[#This Row],[mL]]/Pcfu43[[#This Row],[grams]]</f>
        <v>58266666666.666679</v>
      </c>
      <c r="T324" s="1" t="e">
        <f>Pcfu43[[#This Row],[SD CFU/mL]]*Pcfu43[[#This Row],[mL]]/Pcfu43[[#This Row],[grams]]</f>
        <v>#DIV/0!</v>
      </c>
      <c r="U324" s="7" t="e">
        <f>_xlfn.STDEV.S(Pcfu43[[#This Row],[R1]:[R3]])/AVERAGE(Pcfu43[[#This Row],[R1]:[R3]])</f>
        <v>#DIV/0!</v>
      </c>
      <c r="V324" s="102"/>
      <c r="W324" s="7"/>
    </row>
    <row r="325" spans="1:23" x14ac:dyDescent="0.15">
      <c r="A325" t="s">
        <v>949</v>
      </c>
      <c r="B325" t="s">
        <v>910</v>
      </c>
      <c r="C325" s="4"/>
      <c r="D325" t="s">
        <v>194</v>
      </c>
      <c r="E325" s="3">
        <v>1</v>
      </c>
      <c r="G325">
        <v>0.3</v>
      </c>
      <c r="H325" s="5">
        <v>5.7</v>
      </c>
      <c r="I325" s="3" t="s">
        <v>170</v>
      </c>
      <c r="J325" s="59">
        <v>45029</v>
      </c>
      <c r="K325" s="59"/>
      <c r="L325" s="59" t="e" cm="1">
        <f t="array" ref="L325">INDEX($J$4:J1415, MATCH(1,(A325=$A$4:A1413)*("Y"=$K$4:K1415),0))</f>
        <v>#N/A</v>
      </c>
      <c r="M325" s="1">
        <v>1000000</v>
      </c>
      <c r="N325">
        <v>33</v>
      </c>
      <c r="Q325" s="6">
        <f>(SUM(Pcfu43[[#This Row],[R1]:[R3]]))/(Pcfu43[[#This Row],[No. Reps]]*0.015)*Pcfu43[[#This Row],[Best DF]]</f>
        <v>2200000000</v>
      </c>
      <c r="R325" s="1" t="e">
        <f>_xlfn.STDEV.S(Pcfu43[[#This Row],[R1]:[R3]])/0.015*Pcfu43[[#This Row],[Best DF]]</f>
        <v>#DIV/0!</v>
      </c>
      <c r="S325" s="6">
        <f>Pcfu43[[#This Row],[CFU/mL]]*Pcfu43[[#This Row],[mL]]/Pcfu43[[#This Row],[grams]]</f>
        <v>41800000000</v>
      </c>
      <c r="T325" s="1" t="e">
        <f>Pcfu43[[#This Row],[SD CFU/mL]]*Pcfu43[[#This Row],[mL]]/Pcfu43[[#This Row],[grams]]</f>
        <v>#DIV/0!</v>
      </c>
      <c r="U325" s="7" t="e">
        <f>_xlfn.STDEV.S(Pcfu43[[#This Row],[R1]:[R3]])/AVERAGE(Pcfu43[[#This Row],[R1]:[R3]])</f>
        <v>#DIV/0!</v>
      </c>
      <c r="V325" s="102"/>
      <c r="W325" s="7"/>
    </row>
    <row r="326" spans="1:23" x14ac:dyDescent="0.15">
      <c r="A326" t="s">
        <v>949</v>
      </c>
      <c r="B326" t="s">
        <v>911</v>
      </c>
      <c r="C326" s="4"/>
      <c r="D326" t="s">
        <v>194</v>
      </c>
      <c r="E326" s="3">
        <v>1</v>
      </c>
      <c r="G326">
        <v>0.3</v>
      </c>
      <c r="H326" s="5">
        <v>5.7</v>
      </c>
      <c r="I326" s="3" t="s">
        <v>170</v>
      </c>
      <c r="J326" s="59">
        <v>45029</v>
      </c>
      <c r="K326" s="59"/>
      <c r="L326" s="59" t="e" cm="1">
        <f t="array" ref="L326">INDEX($J$4:J1416, MATCH(1,(A326=$A$4:A1414)*("Y"=$K$4:K1416),0))</f>
        <v>#N/A</v>
      </c>
      <c r="M326" s="1">
        <v>1000000</v>
      </c>
      <c r="N326">
        <v>21</v>
      </c>
      <c r="Q326" s="6">
        <f>(SUM(Pcfu43[[#This Row],[R1]:[R3]]))/(Pcfu43[[#This Row],[No. Reps]]*0.015)*Pcfu43[[#This Row],[Best DF]]</f>
        <v>1400000000</v>
      </c>
      <c r="R326" s="1" t="e">
        <f>_xlfn.STDEV.S(Pcfu43[[#This Row],[R1]:[R3]])/0.015*Pcfu43[[#This Row],[Best DF]]</f>
        <v>#DIV/0!</v>
      </c>
      <c r="S326" s="6">
        <f>Pcfu43[[#This Row],[CFU/mL]]*Pcfu43[[#This Row],[mL]]/Pcfu43[[#This Row],[grams]]</f>
        <v>26600000000</v>
      </c>
      <c r="T326" s="1" t="e">
        <f>Pcfu43[[#This Row],[SD CFU/mL]]*Pcfu43[[#This Row],[mL]]/Pcfu43[[#This Row],[grams]]</f>
        <v>#DIV/0!</v>
      </c>
      <c r="U326" s="7" t="e">
        <f>_xlfn.STDEV.S(Pcfu43[[#This Row],[R1]:[R3]])/AVERAGE(Pcfu43[[#This Row],[R1]:[R3]])</f>
        <v>#DIV/0!</v>
      </c>
      <c r="V326" s="102"/>
      <c r="W326" s="7"/>
    </row>
    <row r="327" spans="1:23" x14ac:dyDescent="0.15">
      <c r="A327" t="s">
        <v>949</v>
      </c>
      <c r="B327" t="s">
        <v>912</v>
      </c>
      <c r="C327" s="4"/>
      <c r="D327" t="s">
        <v>194</v>
      </c>
      <c r="E327" s="3">
        <v>1</v>
      </c>
      <c r="G327">
        <v>0.3</v>
      </c>
      <c r="H327" s="5">
        <v>5.7</v>
      </c>
      <c r="I327" s="3" t="s">
        <v>170</v>
      </c>
      <c r="J327" s="59">
        <v>45029</v>
      </c>
      <c r="K327" s="59"/>
      <c r="L327" s="59" t="e" cm="1">
        <f t="array" ref="L327">INDEX($J$4:J1417, MATCH(1,(A327=$A$4:A1415)*("Y"=$K$4:K1417),0))</f>
        <v>#N/A</v>
      </c>
      <c r="M327" s="1">
        <v>1000000</v>
      </c>
      <c r="N327">
        <v>22</v>
      </c>
      <c r="Q327" s="6">
        <f>(SUM(Pcfu43[[#This Row],[R1]:[R3]]))/(Pcfu43[[#This Row],[No. Reps]]*0.015)*Pcfu43[[#This Row],[Best DF]]</f>
        <v>1466666666.6666667</v>
      </c>
      <c r="R327" s="1" t="e">
        <f>_xlfn.STDEV.S(Pcfu43[[#This Row],[R1]:[R3]])/0.015*Pcfu43[[#This Row],[Best DF]]</f>
        <v>#DIV/0!</v>
      </c>
      <c r="S327" s="6">
        <f>Pcfu43[[#This Row],[CFU/mL]]*Pcfu43[[#This Row],[mL]]/Pcfu43[[#This Row],[grams]]</f>
        <v>27866666666.666672</v>
      </c>
      <c r="T327" s="1" t="e">
        <f>Pcfu43[[#This Row],[SD CFU/mL]]*Pcfu43[[#This Row],[mL]]/Pcfu43[[#This Row],[grams]]</f>
        <v>#DIV/0!</v>
      </c>
      <c r="U327" s="7" t="e">
        <f>_xlfn.STDEV.S(Pcfu43[[#This Row],[R1]:[R3]])/AVERAGE(Pcfu43[[#This Row],[R1]:[R3]])</f>
        <v>#DIV/0!</v>
      </c>
      <c r="V327" s="102"/>
      <c r="W327" s="7"/>
    </row>
    <row r="328" spans="1:23" x14ac:dyDescent="0.15">
      <c r="A328" t="s">
        <v>665</v>
      </c>
      <c r="B328" t="s">
        <v>910</v>
      </c>
      <c r="C328" s="4"/>
      <c r="D328" t="s">
        <v>194</v>
      </c>
      <c r="E328" s="3">
        <v>1</v>
      </c>
      <c r="G328">
        <v>0.3</v>
      </c>
      <c r="H328" s="5">
        <v>5.7</v>
      </c>
      <c r="I328" s="3" t="s">
        <v>170</v>
      </c>
      <c r="J328" s="59">
        <v>45029</v>
      </c>
      <c r="K328" s="59"/>
      <c r="L328" s="59" t="e" cm="1">
        <f t="array" ref="L328">INDEX($J$4:J1418, MATCH(1,(A328=$A$4:A1416)*("Y"=$K$4:K1418),0))</f>
        <v>#N/A</v>
      </c>
      <c r="M328" s="1">
        <v>1000000</v>
      </c>
      <c r="N328">
        <v>38</v>
      </c>
      <c r="Q328" s="6">
        <f>(SUM(Pcfu43[[#This Row],[R1]:[R3]]))/(Pcfu43[[#This Row],[No. Reps]]*0.015)*Pcfu43[[#This Row],[Best DF]]</f>
        <v>2533333333.3333335</v>
      </c>
      <c r="R328" s="1" t="e">
        <f>_xlfn.STDEV.S(Pcfu43[[#This Row],[R1]:[R3]])/0.015*Pcfu43[[#This Row],[Best DF]]</f>
        <v>#DIV/0!</v>
      </c>
      <c r="S328" s="6">
        <f>Pcfu43[[#This Row],[CFU/mL]]*Pcfu43[[#This Row],[mL]]/Pcfu43[[#This Row],[grams]]</f>
        <v>48133333333.333344</v>
      </c>
      <c r="T328" s="1" t="e">
        <f>Pcfu43[[#This Row],[SD CFU/mL]]*Pcfu43[[#This Row],[mL]]/Pcfu43[[#This Row],[grams]]</f>
        <v>#DIV/0!</v>
      </c>
      <c r="U328" s="7" t="e">
        <f>_xlfn.STDEV.S(Pcfu43[[#This Row],[R1]:[R3]])/AVERAGE(Pcfu43[[#This Row],[R1]:[R3]])</f>
        <v>#DIV/0!</v>
      </c>
      <c r="V328" s="102"/>
      <c r="W328" s="7"/>
    </row>
    <row r="329" spans="1:23" x14ac:dyDescent="0.15">
      <c r="A329" t="s">
        <v>665</v>
      </c>
      <c r="B329" t="s">
        <v>911</v>
      </c>
      <c r="C329" s="4"/>
      <c r="D329" t="s">
        <v>194</v>
      </c>
      <c r="E329" s="3">
        <v>1</v>
      </c>
      <c r="G329">
        <v>0.3</v>
      </c>
      <c r="H329" s="5">
        <v>5.7</v>
      </c>
      <c r="I329" s="3" t="s">
        <v>170</v>
      </c>
      <c r="J329" s="59">
        <v>45029</v>
      </c>
      <c r="K329" s="59"/>
      <c r="L329" s="59" t="e" cm="1">
        <f t="array" ref="L329">INDEX($J$4:J1419, MATCH(1,(A329=$A$4:A1417)*("Y"=$K$4:K1419),0))</f>
        <v>#N/A</v>
      </c>
      <c r="M329" s="1">
        <v>1000000</v>
      </c>
      <c r="N329">
        <v>35</v>
      </c>
      <c r="Q329" s="6">
        <f>(SUM(Pcfu43[[#This Row],[R1]:[R3]]))/(Pcfu43[[#This Row],[No. Reps]]*0.015)*Pcfu43[[#This Row],[Best DF]]</f>
        <v>2333333333.3333335</v>
      </c>
      <c r="R329" s="1" t="e">
        <f>_xlfn.STDEV.S(Pcfu43[[#This Row],[R1]:[R3]])/0.015*Pcfu43[[#This Row],[Best DF]]</f>
        <v>#DIV/0!</v>
      </c>
      <c r="S329" s="6">
        <f>Pcfu43[[#This Row],[CFU/mL]]*Pcfu43[[#This Row],[mL]]/Pcfu43[[#This Row],[grams]]</f>
        <v>44333333333.333344</v>
      </c>
      <c r="T329" s="1" t="e">
        <f>Pcfu43[[#This Row],[SD CFU/mL]]*Pcfu43[[#This Row],[mL]]/Pcfu43[[#This Row],[grams]]</f>
        <v>#DIV/0!</v>
      </c>
      <c r="U329" s="7" t="e">
        <f>_xlfn.STDEV.S(Pcfu43[[#This Row],[R1]:[R3]])/AVERAGE(Pcfu43[[#This Row],[R1]:[R3]])</f>
        <v>#DIV/0!</v>
      </c>
      <c r="V329" s="102"/>
      <c r="W329" s="7"/>
    </row>
    <row r="330" spans="1:23" x14ac:dyDescent="0.15">
      <c r="A330" t="s">
        <v>665</v>
      </c>
      <c r="B330" t="s">
        <v>912</v>
      </c>
      <c r="C330" s="4"/>
      <c r="D330" t="s">
        <v>194</v>
      </c>
      <c r="E330" s="3">
        <v>1</v>
      </c>
      <c r="G330">
        <v>0.3</v>
      </c>
      <c r="H330" s="5">
        <v>5.7</v>
      </c>
      <c r="I330" s="3" t="s">
        <v>170</v>
      </c>
      <c r="J330" s="59">
        <v>45029</v>
      </c>
      <c r="K330" s="59"/>
      <c r="L330" s="59" t="e" cm="1">
        <f t="array" ref="L330">INDEX($J$4:J1420, MATCH(1,(A330=$A$4:A1418)*("Y"=$K$4:K1420),0))</f>
        <v>#N/A</v>
      </c>
      <c r="M330" s="1">
        <v>1000000</v>
      </c>
      <c r="N330">
        <v>45</v>
      </c>
      <c r="Q330" s="6">
        <f>(SUM(Pcfu43[[#This Row],[R1]:[R3]]))/(Pcfu43[[#This Row],[No. Reps]]*0.015)*Pcfu43[[#This Row],[Best DF]]</f>
        <v>3000000000</v>
      </c>
      <c r="R330" s="1" t="e">
        <f>_xlfn.STDEV.S(Pcfu43[[#This Row],[R1]:[R3]])/0.015*Pcfu43[[#This Row],[Best DF]]</f>
        <v>#DIV/0!</v>
      </c>
      <c r="S330" s="6">
        <f>Pcfu43[[#This Row],[CFU/mL]]*Pcfu43[[#This Row],[mL]]/Pcfu43[[#This Row],[grams]]</f>
        <v>57000000000</v>
      </c>
      <c r="T330" s="1" t="e">
        <f>Pcfu43[[#This Row],[SD CFU/mL]]*Pcfu43[[#This Row],[mL]]/Pcfu43[[#This Row],[grams]]</f>
        <v>#DIV/0!</v>
      </c>
      <c r="U330" s="7" t="e">
        <f>_xlfn.STDEV.S(Pcfu43[[#This Row],[R1]:[R3]])/AVERAGE(Pcfu43[[#This Row],[R1]:[R3]])</f>
        <v>#DIV/0!</v>
      </c>
      <c r="V330" s="102"/>
      <c r="W330" s="7"/>
    </row>
    <row r="331" spans="1:23" x14ac:dyDescent="0.15">
      <c r="A331" t="s">
        <v>951</v>
      </c>
      <c r="C331" s="4"/>
      <c r="D331" t="s">
        <v>86</v>
      </c>
      <c r="E331" s="3">
        <v>3</v>
      </c>
      <c r="G331">
        <v>0.3</v>
      </c>
      <c r="H331" s="5">
        <v>5.7</v>
      </c>
      <c r="I331" s="3" t="s">
        <v>170</v>
      </c>
      <c r="J331" s="59">
        <v>45033</v>
      </c>
      <c r="K331" s="59"/>
      <c r="L331" s="59" t="e" cm="1">
        <f t="array" ref="L331">INDEX($J$4:J1421, MATCH(1,(A331=$A$4:A1419)*("Y"=$K$4:K1421),0))</f>
        <v>#N/A</v>
      </c>
      <c r="M331" s="1">
        <v>1000000</v>
      </c>
      <c r="N331">
        <v>67</v>
      </c>
      <c r="O331">
        <v>66</v>
      </c>
      <c r="P331">
        <v>74</v>
      </c>
      <c r="Q331" s="6">
        <f>(SUM(Pcfu43[[#This Row],[R1]:[R3]]))/(Pcfu43[[#This Row],[No. Reps]]*0.015)*Pcfu43[[#This Row],[Best DF]]</f>
        <v>4600000000</v>
      </c>
      <c r="R331" s="1">
        <f>_xlfn.STDEV.S(Pcfu43[[#This Row],[R1]:[R3]])/0.015*Pcfu43[[#This Row],[Best DF]]</f>
        <v>290593262.90271163</v>
      </c>
      <c r="S331" s="6">
        <f>Pcfu43[[#This Row],[CFU/mL]]*Pcfu43[[#This Row],[mL]]/Pcfu43[[#This Row],[grams]]</f>
        <v>87400000000</v>
      </c>
      <c r="T331" s="1">
        <f>Pcfu43[[#This Row],[SD CFU/mL]]*Pcfu43[[#This Row],[mL]]/Pcfu43[[#This Row],[grams]]</f>
        <v>5521271995.1515217</v>
      </c>
      <c r="U331" s="7">
        <f>_xlfn.STDEV.S(Pcfu43[[#This Row],[R1]:[R3]])/AVERAGE(Pcfu43[[#This Row],[R1]:[R3]])</f>
        <v>6.3172448457111216E-2</v>
      </c>
      <c r="V331" s="102"/>
      <c r="W331" s="7"/>
    </row>
    <row r="332" spans="1:23" x14ac:dyDescent="0.15">
      <c r="A332" t="s">
        <v>952</v>
      </c>
      <c r="C332" s="4"/>
      <c r="D332" t="s">
        <v>86</v>
      </c>
      <c r="E332" s="3">
        <v>3</v>
      </c>
      <c r="G332">
        <v>0.3</v>
      </c>
      <c r="H332" s="5">
        <v>5.7</v>
      </c>
      <c r="I332" s="3" t="s">
        <v>170</v>
      </c>
      <c r="J332" s="59">
        <v>45033</v>
      </c>
      <c r="K332" s="59"/>
      <c r="L332" s="59" t="e" cm="1">
        <f t="array" ref="L332">INDEX($J$4:J1422, MATCH(1,(A332=$A$4:A1420)*("Y"=$K$4:K1422),0))</f>
        <v>#N/A</v>
      </c>
      <c r="M332" s="1">
        <v>1000000</v>
      </c>
      <c r="N332">
        <v>88</v>
      </c>
      <c r="O332">
        <v>67</v>
      </c>
      <c r="P332">
        <v>84</v>
      </c>
      <c r="Q332" s="6">
        <f>(SUM(Pcfu43[[#This Row],[R1]:[R3]]))/(Pcfu43[[#This Row],[No. Reps]]*0.015)*Pcfu43[[#This Row],[Best DF]]</f>
        <v>5311111111.1111116</v>
      </c>
      <c r="R332" s="1">
        <f>_xlfn.STDEV.S(Pcfu43[[#This Row],[R1]:[R3]])/0.015*Pcfu43[[#This Row],[Best DF]]</f>
        <v>743365719.2745676</v>
      </c>
      <c r="S332" s="6">
        <f>Pcfu43[[#This Row],[CFU/mL]]*Pcfu43[[#This Row],[mL]]/Pcfu43[[#This Row],[grams]]</f>
        <v>100911111111.11113</v>
      </c>
      <c r="T332" s="1">
        <f>Pcfu43[[#This Row],[SD CFU/mL]]*Pcfu43[[#This Row],[mL]]/Pcfu43[[#This Row],[grams]]</f>
        <v>14123948666.216785</v>
      </c>
      <c r="U332" s="7">
        <f>_xlfn.STDEV.S(Pcfu43[[#This Row],[R1]:[R3]])/AVERAGE(Pcfu43[[#This Row],[R1]:[R3]])</f>
        <v>0.139964256767178</v>
      </c>
      <c r="V332" s="102"/>
      <c r="W332" s="7"/>
    </row>
    <row r="333" spans="1:23" x14ac:dyDescent="0.15">
      <c r="A333" t="s">
        <v>953</v>
      </c>
      <c r="C333" s="4"/>
      <c r="D333" t="s">
        <v>86</v>
      </c>
      <c r="E333" s="3">
        <v>3</v>
      </c>
      <c r="G333">
        <v>0.3</v>
      </c>
      <c r="H333" s="5">
        <v>5.7</v>
      </c>
      <c r="I333" s="3" t="s">
        <v>170</v>
      </c>
      <c r="J333" s="59">
        <v>45033</v>
      </c>
      <c r="K333" s="59"/>
      <c r="L333" s="59" t="e" cm="1">
        <f t="array" ref="L333">INDEX($J$4:J1423, MATCH(1,(A333=$A$4:A1421)*("Y"=$K$4:K1423),0))</f>
        <v>#N/A</v>
      </c>
      <c r="M333" s="1">
        <v>1000000</v>
      </c>
      <c r="N333">
        <v>65</v>
      </c>
      <c r="O333">
        <v>66</v>
      </c>
      <c r="P333">
        <v>69</v>
      </c>
      <c r="Q333" s="6">
        <f>(SUM(Pcfu43[[#This Row],[R1]:[R3]]))/(Pcfu43[[#This Row],[No. Reps]]*0.015)*Pcfu43[[#This Row],[Best DF]]</f>
        <v>4444444444.4444447</v>
      </c>
      <c r="R333" s="1">
        <f>_xlfn.STDEV.S(Pcfu43[[#This Row],[R1]:[R3]])/0.015*Pcfu43[[#This Row],[Best DF]]</f>
        <v>138777733.29774219</v>
      </c>
      <c r="S333" s="6">
        <f>Pcfu43[[#This Row],[CFU/mL]]*Pcfu43[[#This Row],[mL]]/Pcfu43[[#This Row],[grams]]</f>
        <v>84444444444.444458</v>
      </c>
      <c r="T333" s="1">
        <f>Pcfu43[[#This Row],[SD CFU/mL]]*Pcfu43[[#This Row],[mL]]/Pcfu43[[#This Row],[grams]]</f>
        <v>2636776932.6571016</v>
      </c>
      <c r="U333" s="7">
        <f>_xlfn.STDEV.S(Pcfu43[[#This Row],[R1]:[R3]])/AVERAGE(Pcfu43[[#This Row],[R1]:[R3]])</f>
        <v>3.1224989991991994E-2</v>
      </c>
      <c r="V333" s="102"/>
      <c r="W333" s="7"/>
    </row>
    <row r="334" spans="1:23" x14ac:dyDescent="0.15">
      <c r="A334" t="s">
        <v>954</v>
      </c>
      <c r="C334" s="4"/>
      <c r="D334" t="s">
        <v>86</v>
      </c>
      <c r="E334" s="3">
        <v>3</v>
      </c>
      <c r="G334">
        <v>0.3</v>
      </c>
      <c r="H334" s="5">
        <v>5.7</v>
      </c>
      <c r="I334" s="3" t="s">
        <v>170</v>
      </c>
      <c r="J334" s="59">
        <v>45033</v>
      </c>
      <c r="K334" s="59"/>
      <c r="L334" s="59" t="e" cm="1">
        <f t="array" ref="L334">INDEX($J$4:J1424, MATCH(1,(A334=$A$4:A1422)*("Y"=$K$4:K1424),0))</f>
        <v>#N/A</v>
      </c>
      <c r="M334" s="1">
        <v>1000000</v>
      </c>
      <c r="N334">
        <v>84</v>
      </c>
      <c r="O334">
        <v>86</v>
      </c>
      <c r="P334">
        <v>88</v>
      </c>
      <c r="Q334" s="6">
        <f>(SUM(Pcfu43[[#This Row],[R1]:[R3]]))/(Pcfu43[[#This Row],[No. Reps]]*0.015)*Pcfu43[[#This Row],[Best DF]]</f>
        <v>5733333333.333334</v>
      </c>
      <c r="R334" s="1">
        <f>_xlfn.STDEV.S(Pcfu43[[#This Row],[R1]:[R3]])/0.015*Pcfu43[[#This Row],[Best DF]]</f>
        <v>133333333.33333334</v>
      </c>
      <c r="S334" s="6">
        <f>Pcfu43[[#This Row],[CFU/mL]]*Pcfu43[[#This Row],[mL]]/Pcfu43[[#This Row],[grams]]</f>
        <v>108933333333.33334</v>
      </c>
      <c r="T334" s="1">
        <f>Pcfu43[[#This Row],[SD CFU/mL]]*Pcfu43[[#This Row],[mL]]/Pcfu43[[#This Row],[grams]]</f>
        <v>2533333333.333334</v>
      </c>
      <c r="U334" s="7">
        <f>_xlfn.STDEV.S(Pcfu43[[#This Row],[R1]:[R3]])/AVERAGE(Pcfu43[[#This Row],[R1]:[R3]])</f>
        <v>2.3255813953488372E-2</v>
      </c>
      <c r="V334" s="102"/>
      <c r="W334" s="7"/>
    </row>
    <row r="335" spans="1:23" x14ac:dyDescent="0.15">
      <c r="A335" t="s">
        <v>955</v>
      </c>
      <c r="C335" s="4"/>
      <c r="D335" t="s">
        <v>86</v>
      </c>
      <c r="E335" s="3">
        <v>3</v>
      </c>
      <c r="G335">
        <v>0.3</v>
      </c>
      <c r="H335" s="5">
        <v>5.7</v>
      </c>
      <c r="I335" s="3" t="s">
        <v>170</v>
      </c>
      <c r="J335" s="59">
        <v>45033</v>
      </c>
      <c r="K335" s="59"/>
      <c r="L335" s="59" t="e" cm="1">
        <f t="array" ref="L335">INDEX($J$4:J1425, MATCH(1,(A335=$A$4:A1423)*("Y"=$K$4:K1425),0))</f>
        <v>#N/A</v>
      </c>
      <c r="M335" s="1">
        <v>1000000</v>
      </c>
      <c r="N335">
        <v>115</v>
      </c>
      <c r="O335">
        <v>114</v>
      </c>
      <c r="P335">
        <v>109</v>
      </c>
      <c r="Q335" s="6">
        <f>(SUM(Pcfu43[[#This Row],[R1]:[R3]]))/(Pcfu43[[#This Row],[No. Reps]]*0.015)*Pcfu43[[#This Row],[Best DF]]</f>
        <v>7511111111.1111116</v>
      </c>
      <c r="R335" s="1">
        <f>_xlfn.STDEV.S(Pcfu43[[#This Row],[R1]:[R3]])/0.015*Pcfu43[[#This Row],[Best DF]]</f>
        <v>214303350.24428788</v>
      </c>
      <c r="S335" s="6">
        <f>Pcfu43[[#This Row],[CFU/mL]]*Pcfu43[[#This Row],[mL]]/Pcfu43[[#This Row],[grams]]</f>
        <v>142711111111.11111</v>
      </c>
      <c r="T335" s="1">
        <f>Pcfu43[[#This Row],[SD CFU/mL]]*Pcfu43[[#This Row],[mL]]/Pcfu43[[#This Row],[grams]]</f>
        <v>4071763654.6414704</v>
      </c>
      <c r="U335" s="7">
        <f>_xlfn.STDEV.S(Pcfu43[[#This Row],[R1]:[R3]])/AVERAGE(Pcfu43[[#This Row],[R1]:[R3]])</f>
        <v>2.8531511127198088E-2</v>
      </c>
      <c r="V335" s="102"/>
      <c r="W335" s="7"/>
    </row>
    <row r="336" spans="1:23" x14ac:dyDescent="0.15">
      <c r="A336" t="s">
        <v>956</v>
      </c>
      <c r="C336" s="4"/>
      <c r="D336" t="s">
        <v>86</v>
      </c>
      <c r="E336" s="3">
        <v>3</v>
      </c>
      <c r="G336">
        <v>0.3</v>
      </c>
      <c r="H336" s="5">
        <v>5.7</v>
      </c>
      <c r="I336" s="3" t="s">
        <v>170</v>
      </c>
      <c r="J336" s="59">
        <v>45033</v>
      </c>
      <c r="K336" s="59"/>
      <c r="L336" s="59" t="e" cm="1">
        <f t="array" ref="L336">INDEX($J$4:J1426, MATCH(1,(A336=$A$4:A1424)*("Y"=$K$4:K1426),0))</f>
        <v>#N/A</v>
      </c>
      <c r="M336" s="1">
        <v>1000000</v>
      </c>
      <c r="N336">
        <v>85</v>
      </c>
      <c r="O336">
        <v>79</v>
      </c>
      <c r="P336">
        <v>90</v>
      </c>
      <c r="Q336" s="6">
        <f>(SUM(Pcfu43[[#This Row],[R1]:[R3]]))/(Pcfu43[[#This Row],[No. Reps]]*0.015)*Pcfu43[[#This Row],[Best DF]]</f>
        <v>5644444444.4444447</v>
      </c>
      <c r="R336" s="1">
        <f>_xlfn.STDEV.S(Pcfu43[[#This Row],[R1]:[R3]])/0.015*Pcfu43[[#This Row],[Best DF]]</f>
        <v>367171369.8190735</v>
      </c>
      <c r="S336" s="6">
        <f>Pcfu43[[#This Row],[CFU/mL]]*Pcfu43[[#This Row],[mL]]/Pcfu43[[#This Row],[grams]]</f>
        <v>107244444444.44446</v>
      </c>
      <c r="T336" s="1">
        <f>Pcfu43[[#This Row],[SD CFU/mL]]*Pcfu43[[#This Row],[mL]]/Pcfu43[[#This Row],[grams]]</f>
        <v>6976256026.562397</v>
      </c>
      <c r="U336" s="7">
        <f>_xlfn.STDEV.S(Pcfu43[[#This Row],[R1]:[R3]])/AVERAGE(Pcfu43[[#This Row],[R1]:[R3]])</f>
        <v>6.5050045834087813E-2</v>
      </c>
      <c r="V336" s="102"/>
      <c r="W336" s="7"/>
    </row>
    <row r="337" spans="1:24" x14ac:dyDescent="0.15">
      <c r="A337" t="s">
        <v>957</v>
      </c>
      <c r="C337" s="4"/>
      <c r="D337" t="s">
        <v>86</v>
      </c>
      <c r="E337" s="3">
        <v>3</v>
      </c>
      <c r="G337">
        <v>0.3</v>
      </c>
      <c r="H337" s="5">
        <v>5.7</v>
      </c>
      <c r="I337" s="3" t="s">
        <v>170</v>
      </c>
      <c r="J337" s="59">
        <v>45033</v>
      </c>
      <c r="K337" s="59"/>
      <c r="L337" s="59" t="e" cm="1">
        <f t="array" ref="L337">INDEX($J$4:J1427, MATCH(1,(A337=$A$4:A1425)*("Y"=$K$4:K1427),0))</f>
        <v>#N/A</v>
      </c>
      <c r="M337" s="1">
        <v>1000000</v>
      </c>
      <c r="N337">
        <v>58</v>
      </c>
      <c r="O337">
        <v>59</v>
      </c>
      <c r="P337">
        <v>56</v>
      </c>
      <c r="Q337" s="6">
        <f>(SUM(Pcfu43[[#This Row],[R1]:[R3]]))/(Pcfu43[[#This Row],[No. Reps]]*0.015)*Pcfu43[[#This Row],[Best DF]]</f>
        <v>3844444444.4444447</v>
      </c>
      <c r="R337" s="1">
        <f>_xlfn.STDEV.S(Pcfu43[[#This Row],[R1]:[R3]])/0.015*Pcfu43[[#This Row],[Best DF]]</f>
        <v>101835015.4434631</v>
      </c>
      <c r="S337" s="6">
        <f>Pcfu43[[#This Row],[CFU/mL]]*Pcfu43[[#This Row],[mL]]/Pcfu43[[#This Row],[grams]]</f>
        <v>73044444444.444458</v>
      </c>
      <c r="T337" s="1">
        <f>Pcfu43[[#This Row],[SD CFU/mL]]*Pcfu43[[#This Row],[mL]]/Pcfu43[[#This Row],[grams]]</f>
        <v>1934865293.4257989</v>
      </c>
      <c r="U337" s="7">
        <f>_xlfn.STDEV.S(Pcfu43[[#This Row],[R1]:[R3]])/AVERAGE(Pcfu43[[#This Row],[R1]:[R3]])</f>
        <v>2.6488876849455723E-2</v>
      </c>
      <c r="V337" s="102"/>
      <c r="W337" s="7"/>
    </row>
    <row r="338" spans="1:24" x14ac:dyDescent="0.15">
      <c r="A338" t="s">
        <v>958</v>
      </c>
      <c r="C338" s="4"/>
      <c r="D338" t="s">
        <v>86</v>
      </c>
      <c r="E338" s="3">
        <v>3</v>
      </c>
      <c r="G338">
        <v>0.3</v>
      </c>
      <c r="H338" s="5">
        <v>5.7</v>
      </c>
      <c r="I338" s="3" t="s">
        <v>170</v>
      </c>
      <c r="J338" s="59">
        <v>45033</v>
      </c>
      <c r="K338" s="59"/>
      <c r="L338" s="59" t="e" cm="1">
        <f t="array" ref="L338">INDEX($J$4:J1428, MATCH(1,(A338=$A$4:A1426)*("Y"=$K$4:K1428),0))</f>
        <v>#N/A</v>
      </c>
      <c r="M338" s="1">
        <v>1000000</v>
      </c>
      <c r="N338">
        <v>52</v>
      </c>
      <c r="O338">
        <v>59</v>
      </c>
      <c r="P338">
        <v>69</v>
      </c>
      <c r="Q338" s="6">
        <f>(SUM(Pcfu43[[#This Row],[R1]:[R3]]))/(Pcfu43[[#This Row],[No. Reps]]*0.015)*Pcfu43[[#This Row],[Best DF]]</f>
        <v>4000000000</v>
      </c>
      <c r="R338" s="1">
        <f>_xlfn.STDEV.S(Pcfu43[[#This Row],[R1]:[R3]])/0.015*Pcfu43[[#This Row],[Best DF]]</f>
        <v>569600249.68783534</v>
      </c>
      <c r="S338" s="6">
        <f>Pcfu43[[#This Row],[CFU/mL]]*Pcfu43[[#This Row],[mL]]/Pcfu43[[#This Row],[grams]]</f>
        <v>76000000000</v>
      </c>
      <c r="T338" s="1">
        <f>Pcfu43[[#This Row],[SD CFU/mL]]*Pcfu43[[#This Row],[mL]]/Pcfu43[[#This Row],[grams]]</f>
        <v>10822404744.068872</v>
      </c>
      <c r="U338" s="7">
        <f>_xlfn.STDEV.S(Pcfu43[[#This Row],[R1]:[R3]])/AVERAGE(Pcfu43[[#This Row],[R1]:[R3]])</f>
        <v>0.14240006242195885</v>
      </c>
      <c r="V338" s="102"/>
      <c r="W338" s="7"/>
    </row>
    <row r="339" spans="1:24" x14ac:dyDescent="0.15">
      <c r="A339" t="s">
        <v>959</v>
      </c>
      <c r="C339" s="4"/>
      <c r="D339" t="s">
        <v>86</v>
      </c>
      <c r="E339" s="3">
        <v>3</v>
      </c>
      <c r="G339">
        <v>0.3</v>
      </c>
      <c r="H339" s="5">
        <v>5.7</v>
      </c>
      <c r="I339" s="3" t="s">
        <v>170</v>
      </c>
      <c r="J339" s="59">
        <v>45033</v>
      </c>
      <c r="K339" s="59"/>
      <c r="L339" s="59" t="e" cm="1">
        <f t="array" ref="L339">INDEX($J$4:J1429, MATCH(1,(A339=$A$4:A1427)*("Y"=$K$4:K1429),0))</f>
        <v>#N/A</v>
      </c>
      <c r="M339" s="1">
        <v>1000000</v>
      </c>
      <c r="N339">
        <v>58</v>
      </c>
      <c r="O339">
        <v>49</v>
      </c>
      <c r="P339">
        <v>45</v>
      </c>
      <c r="Q339" s="6">
        <f>(SUM(Pcfu43[[#This Row],[R1]:[R3]]))/(Pcfu43[[#This Row],[No. Reps]]*0.015)*Pcfu43[[#This Row],[Best DF]]</f>
        <v>3377777777.7777777</v>
      </c>
      <c r="R339" s="1">
        <f>_xlfn.STDEV.S(Pcfu43[[#This Row],[R1]:[R3]])/0.015*Pcfu43[[#This Row],[Best DF]]</f>
        <v>443888541.2319603</v>
      </c>
      <c r="S339" s="6">
        <f>Pcfu43[[#This Row],[CFU/mL]]*Pcfu43[[#This Row],[mL]]/Pcfu43[[#This Row],[grams]]</f>
        <v>64177777777.777779</v>
      </c>
      <c r="T339" s="1">
        <f>Pcfu43[[#This Row],[SD CFU/mL]]*Pcfu43[[#This Row],[mL]]/Pcfu43[[#This Row],[grams]]</f>
        <v>8433882283.4072466</v>
      </c>
      <c r="U339" s="7">
        <f>_xlfn.STDEV.S(Pcfu43[[#This Row],[R1]:[R3]])/AVERAGE(Pcfu43[[#This Row],[R1]:[R3]])</f>
        <v>0.13141437075946194</v>
      </c>
      <c r="V339" s="102"/>
      <c r="W339" s="7"/>
    </row>
    <row r="340" spans="1:24" x14ac:dyDescent="0.15">
      <c r="A340" t="s">
        <v>960</v>
      </c>
      <c r="C340" s="4"/>
      <c r="D340" t="s">
        <v>86</v>
      </c>
      <c r="E340" s="3">
        <v>3</v>
      </c>
      <c r="G340">
        <v>0.3</v>
      </c>
      <c r="H340" s="5">
        <v>5.7</v>
      </c>
      <c r="I340" s="3" t="s">
        <v>170</v>
      </c>
      <c r="J340" s="59">
        <v>45033</v>
      </c>
      <c r="K340" s="59"/>
      <c r="L340" s="59" t="e" cm="1">
        <f t="array" ref="L340">INDEX($J$4:J1430, MATCH(1,(A340=$A$4:A1428)*("Y"=$K$4:K1430),0))</f>
        <v>#N/A</v>
      </c>
      <c r="M340" s="1">
        <v>1000000</v>
      </c>
      <c r="N340">
        <v>63</v>
      </c>
      <c r="O340">
        <v>68</v>
      </c>
      <c r="P340">
        <v>44</v>
      </c>
      <c r="Q340" s="6">
        <f>(SUM(Pcfu43[[#This Row],[R1]:[R3]]))/(Pcfu43[[#This Row],[No. Reps]]*0.015)*Pcfu43[[#This Row],[Best DF]]</f>
        <v>3888888888.8888893</v>
      </c>
      <c r="R340" s="1">
        <f>_xlfn.STDEV.S(Pcfu43[[#This Row],[R1]:[R3]])/0.015*Pcfu43[[#This Row],[Best DF]]</f>
        <v>844151996.14322484</v>
      </c>
      <c r="S340" s="6">
        <f>Pcfu43[[#This Row],[CFU/mL]]*Pcfu43[[#This Row],[mL]]/Pcfu43[[#This Row],[grams]]</f>
        <v>73888888888.888901</v>
      </c>
      <c r="T340" s="1">
        <f>Pcfu43[[#This Row],[SD CFU/mL]]*Pcfu43[[#This Row],[mL]]/Pcfu43[[#This Row],[grams]]</f>
        <v>16038887926.721272</v>
      </c>
      <c r="U340" s="7">
        <f>_xlfn.STDEV.S(Pcfu43[[#This Row],[R1]:[R3]])/AVERAGE(Pcfu43[[#This Row],[R1]:[R3]])</f>
        <v>0.21706765615111495</v>
      </c>
      <c r="V340" s="102"/>
      <c r="W340" s="7"/>
    </row>
    <row r="341" spans="1:24" x14ac:dyDescent="0.15">
      <c r="A341" t="s">
        <v>961</v>
      </c>
      <c r="C341" s="4"/>
      <c r="D341" t="s">
        <v>86</v>
      </c>
      <c r="E341" s="3">
        <v>3</v>
      </c>
      <c r="G341">
        <v>0.3</v>
      </c>
      <c r="H341" s="5">
        <v>5.7</v>
      </c>
      <c r="I341" s="3" t="s">
        <v>170</v>
      </c>
      <c r="J341" s="59">
        <v>45033</v>
      </c>
      <c r="K341" s="59"/>
      <c r="L341" s="59" t="e" cm="1">
        <f t="array" ref="L341">INDEX($J$4:J1431, MATCH(1,(A341=$A$4:A1429)*("Y"=$K$4:K1431),0))</f>
        <v>#N/A</v>
      </c>
      <c r="M341" s="1">
        <v>1000000</v>
      </c>
      <c r="N341">
        <v>65</v>
      </c>
      <c r="O341">
        <v>60</v>
      </c>
      <c r="P341">
        <v>60</v>
      </c>
      <c r="Q341" s="6">
        <f>(SUM(Pcfu43[[#This Row],[R1]:[R3]]))/(Pcfu43[[#This Row],[No. Reps]]*0.015)*Pcfu43[[#This Row],[Best DF]]</f>
        <v>4111111111.1111112</v>
      </c>
      <c r="R341" s="1">
        <f>_xlfn.STDEV.S(Pcfu43[[#This Row],[R1]:[R3]])/0.015*Pcfu43[[#This Row],[Best DF]]</f>
        <v>192450089.72987527</v>
      </c>
      <c r="S341" s="6">
        <f>Pcfu43[[#This Row],[CFU/mL]]*Pcfu43[[#This Row],[mL]]/Pcfu43[[#This Row],[grams]]</f>
        <v>78111111111.11113</v>
      </c>
      <c r="T341" s="1">
        <f>Pcfu43[[#This Row],[SD CFU/mL]]*Pcfu43[[#This Row],[mL]]/Pcfu43[[#This Row],[grams]]</f>
        <v>3656551704.86763</v>
      </c>
      <c r="U341" s="7">
        <f>_xlfn.STDEV.S(Pcfu43[[#This Row],[R1]:[R3]])/AVERAGE(Pcfu43[[#This Row],[R1]:[R3]])</f>
        <v>4.6812183988348036E-2</v>
      </c>
      <c r="V341" s="102"/>
      <c r="W341" s="7"/>
    </row>
    <row r="342" spans="1:24" x14ac:dyDescent="0.15">
      <c r="A342" t="s">
        <v>962</v>
      </c>
      <c r="C342" s="4"/>
      <c r="D342" t="s">
        <v>86</v>
      </c>
      <c r="E342" s="3">
        <v>3</v>
      </c>
      <c r="G342">
        <v>0.3</v>
      </c>
      <c r="H342" s="5">
        <v>5.7</v>
      </c>
      <c r="I342" s="3" t="s">
        <v>170</v>
      </c>
      <c r="J342" s="59">
        <v>45033</v>
      </c>
      <c r="K342" s="59"/>
      <c r="L342" s="59" t="e" cm="1">
        <f t="array" ref="L342">INDEX($J$4:J1432, MATCH(1,(A342=$A$4:A1430)*("Y"=$K$4:K1432),0))</f>
        <v>#N/A</v>
      </c>
      <c r="M342" s="1">
        <v>1000000</v>
      </c>
      <c r="N342">
        <v>57</v>
      </c>
      <c r="O342">
        <v>66</v>
      </c>
      <c r="P342">
        <v>64</v>
      </c>
      <c r="Q342" s="6">
        <f>(SUM(Pcfu43[[#This Row],[R1]:[R3]]))/(Pcfu43[[#This Row],[No. Reps]]*0.015)*Pcfu43[[#This Row],[Best DF]]</f>
        <v>4155555555.5555558</v>
      </c>
      <c r="R342" s="1">
        <f>_xlfn.STDEV.S(Pcfu43[[#This Row],[R1]:[R3]])/0.015*Pcfu43[[#This Row],[Best DF]]</f>
        <v>315054375.08350724</v>
      </c>
      <c r="S342" s="6">
        <f>Pcfu43[[#This Row],[CFU/mL]]*Pcfu43[[#This Row],[mL]]/Pcfu43[[#This Row],[grams]]</f>
        <v>78955555555.555557</v>
      </c>
      <c r="T342" s="1">
        <f>Pcfu43[[#This Row],[SD CFU/mL]]*Pcfu43[[#This Row],[mL]]/Pcfu43[[#This Row],[grams]]</f>
        <v>5986033126.5866375</v>
      </c>
      <c r="U342" s="7">
        <f>_xlfn.STDEV.S(Pcfu43[[#This Row],[R1]:[R3]])/AVERAGE(Pcfu43[[#This Row],[R1]:[R3]])</f>
        <v>7.5815223950576605E-2</v>
      </c>
      <c r="V342" s="102"/>
      <c r="W342" s="7"/>
    </row>
    <row r="343" spans="1:24" x14ac:dyDescent="0.15">
      <c r="A343" t="s">
        <v>963</v>
      </c>
      <c r="B343" t="s">
        <v>328</v>
      </c>
      <c r="C343" s="4"/>
      <c r="D343" t="s">
        <v>86</v>
      </c>
      <c r="E343" s="3">
        <v>3</v>
      </c>
      <c r="G343">
        <v>0.3</v>
      </c>
      <c r="H343" s="5">
        <v>5.7</v>
      </c>
      <c r="I343" s="3" t="s">
        <v>170</v>
      </c>
      <c r="J343" s="59">
        <v>45035</v>
      </c>
      <c r="K343" s="59"/>
      <c r="L343" s="59" t="e" cm="1">
        <f t="array" ref="L343">INDEX($J$4:J1433, MATCH(1,(A343=$A$4:A1431)*("Y"=$K$4:K1433),0))</f>
        <v>#N/A</v>
      </c>
      <c r="M343" s="1">
        <v>1000000</v>
      </c>
      <c r="N343">
        <v>5</v>
      </c>
      <c r="O343">
        <v>5</v>
      </c>
      <c r="P343">
        <v>7</v>
      </c>
      <c r="Q343" s="6">
        <f>(SUM(Pcfu43[[#This Row],[R1]:[R3]]))/(Pcfu43[[#This Row],[No. Reps]]*0.015)*Pcfu43[[#This Row],[Best DF]]</f>
        <v>377777777.77777779</v>
      </c>
      <c r="R343" s="1">
        <f>_xlfn.STDEV.S(Pcfu43[[#This Row],[R1]:[R3]])/0.015*Pcfu43[[#This Row],[Best DF]]</f>
        <v>76980035.891950175</v>
      </c>
      <c r="S343" s="6">
        <f>Pcfu43[[#This Row],[CFU/mL]]*Pcfu43[[#This Row],[mL]]/Pcfu43[[#This Row],[grams]]</f>
        <v>7177777777.7777786</v>
      </c>
      <c r="T343" s="1">
        <f>Pcfu43[[#This Row],[SD CFU/mL]]*Pcfu43[[#This Row],[mL]]/Pcfu43[[#This Row],[grams]]</f>
        <v>1462620681.9470534</v>
      </c>
      <c r="U343" s="7">
        <f>_xlfn.STDEV.S(Pcfu43[[#This Row],[R1]:[R3]])/AVERAGE(Pcfu43[[#This Row],[R1]:[R3]])</f>
        <v>0.2037706832433975</v>
      </c>
      <c r="V343" s="102">
        <v>0.26200000000000001</v>
      </c>
      <c r="W343" s="7"/>
      <c r="X343" t="s">
        <v>964</v>
      </c>
    </row>
    <row r="344" spans="1:24" x14ac:dyDescent="0.15">
      <c r="A344" t="s">
        <v>965</v>
      </c>
      <c r="B344" t="s">
        <v>328</v>
      </c>
      <c r="C344" s="4"/>
      <c r="D344" t="s">
        <v>86</v>
      </c>
      <c r="E344" s="3">
        <v>3</v>
      </c>
      <c r="G344">
        <v>0.3</v>
      </c>
      <c r="H344" s="5">
        <v>5.7</v>
      </c>
      <c r="I344" s="3" t="s">
        <v>170</v>
      </c>
      <c r="J344" s="59">
        <v>45035</v>
      </c>
      <c r="K344" s="59"/>
      <c r="L344" s="59" t="e" cm="1">
        <f t="array" ref="L344">INDEX($J$4:J1434, MATCH(1,(A344=$A$4:A1432)*("Y"=$K$4:K1434),0))</f>
        <v>#N/A</v>
      </c>
      <c r="M344" s="1">
        <v>1000000</v>
      </c>
      <c r="N344">
        <v>4</v>
      </c>
      <c r="O344">
        <v>7</v>
      </c>
      <c r="P344">
        <v>8</v>
      </c>
      <c r="Q344" s="6">
        <f>(SUM(Pcfu43[[#This Row],[R1]:[R3]]))/(Pcfu43[[#This Row],[No. Reps]]*0.015)*Pcfu43[[#This Row],[Best DF]]</f>
        <v>422222222.22222221</v>
      </c>
      <c r="R344" s="1">
        <f>_xlfn.STDEV.S(Pcfu43[[#This Row],[R1]:[R3]])/0.015*Pcfu43[[#This Row],[Best DF]]</f>
        <v>138777733.29774222</v>
      </c>
      <c r="S344" s="6">
        <f>Pcfu43[[#This Row],[CFU/mL]]*Pcfu43[[#This Row],[mL]]/Pcfu43[[#This Row],[grams]]</f>
        <v>8022222222.2222223</v>
      </c>
      <c r="T344" s="1">
        <f>Pcfu43[[#This Row],[SD CFU/mL]]*Pcfu43[[#This Row],[mL]]/Pcfu43[[#This Row],[grams]]</f>
        <v>2636776932.6571026</v>
      </c>
      <c r="U344" s="7">
        <f>_xlfn.STDEV.S(Pcfu43[[#This Row],[R1]:[R3]])/AVERAGE(Pcfu43[[#This Row],[R1]:[R3]])</f>
        <v>0.32868410517886321</v>
      </c>
      <c r="V344" s="102">
        <v>0.253</v>
      </c>
      <c r="W344" s="7"/>
      <c r="X344" t="s">
        <v>901</v>
      </c>
    </row>
    <row r="345" spans="1:24" x14ac:dyDescent="0.15">
      <c r="A345" t="s">
        <v>966</v>
      </c>
      <c r="B345" t="s">
        <v>328</v>
      </c>
      <c r="C345" s="4"/>
      <c r="D345" t="s">
        <v>86</v>
      </c>
      <c r="E345" s="3">
        <v>3</v>
      </c>
      <c r="G345">
        <v>0.3</v>
      </c>
      <c r="H345" s="5">
        <v>5.7</v>
      </c>
      <c r="I345" s="3" t="s">
        <v>170</v>
      </c>
      <c r="J345" s="59">
        <v>45035</v>
      </c>
      <c r="K345" s="59"/>
      <c r="L345" s="59" t="e" cm="1">
        <f t="array" ref="L345">INDEX($J$4:J1435, MATCH(1,(A345=$A$4:A1433)*("Y"=$K$4:K1435),0))</f>
        <v>#N/A</v>
      </c>
      <c r="M345" s="1">
        <v>1000000</v>
      </c>
      <c r="N345">
        <v>15</v>
      </c>
      <c r="O345">
        <v>19</v>
      </c>
      <c r="P345">
        <v>17</v>
      </c>
      <c r="Q345" s="6">
        <f>(SUM(Pcfu43[[#This Row],[R1]:[R3]]))/(Pcfu43[[#This Row],[No. Reps]]*0.015)*Pcfu43[[#This Row],[Best DF]]</f>
        <v>1133333333.3333335</v>
      </c>
      <c r="R345" s="1">
        <f>_xlfn.STDEV.S(Pcfu43[[#This Row],[R1]:[R3]])/0.015*Pcfu43[[#This Row],[Best DF]]</f>
        <v>133333333.33333334</v>
      </c>
      <c r="S345" s="6">
        <f>Pcfu43[[#This Row],[CFU/mL]]*Pcfu43[[#This Row],[mL]]/Pcfu43[[#This Row],[grams]]</f>
        <v>21533333333.333336</v>
      </c>
      <c r="T345" s="1">
        <f>Pcfu43[[#This Row],[SD CFU/mL]]*Pcfu43[[#This Row],[mL]]/Pcfu43[[#This Row],[grams]]</f>
        <v>2533333333.333334</v>
      </c>
      <c r="U345" s="7">
        <f>_xlfn.STDEV.S(Pcfu43[[#This Row],[R1]:[R3]])/AVERAGE(Pcfu43[[#This Row],[R1]:[R3]])</f>
        <v>0.11764705882352941</v>
      </c>
      <c r="V345" s="102">
        <v>0.26200000000000001</v>
      </c>
      <c r="W345" s="7"/>
      <c r="X345" t="s">
        <v>964</v>
      </c>
    </row>
    <row r="346" spans="1:24" x14ac:dyDescent="0.15">
      <c r="A346" t="s">
        <v>967</v>
      </c>
      <c r="B346" t="s">
        <v>328</v>
      </c>
      <c r="C346" s="4"/>
      <c r="D346" t="s">
        <v>86</v>
      </c>
      <c r="E346" s="3">
        <v>3</v>
      </c>
      <c r="G346">
        <v>0.3</v>
      </c>
      <c r="H346" s="5">
        <v>5.7</v>
      </c>
      <c r="I346" s="3" t="s">
        <v>170</v>
      </c>
      <c r="J346" s="59">
        <v>45035</v>
      </c>
      <c r="K346" s="59"/>
      <c r="L346" s="59" t="e" cm="1">
        <f t="array" ref="L346">INDEX($J$4:J1436, MATCH(1,(A346=$A$4:A1434)*("Y"=$K$4:K1436),0))</f>
        <v>#N/A</v>
      </c>
      <c r="M346" s="1">
        <v>1000000</v>
      </c>
      <c r="N346">
        <v>31</v>
      </c>
      <c r="O346">
        <v>33</v>
      </c>
      <c r="P346">
        <v>34</v>
      </c>
      <c r="Q346" s="6">
        <f>(SUM(Pcfu43[[#This Row],[R1]:[R3]]))/(Pcfu43[[#This Row],[No. Reps]]*0.015)*Pcfu43[[#This Row],[Best DF]]</f>
        <v>2177777777.7777777</v>
      </c>
      <c r="R346" s="1">
        <f>_xlfn.STDEV.S(Pcfu43[[#This Row],[R1]:[R3]])/0.015*Pcfu43[[#This Row],[Best DF]]</f>
        <v>101835015.4434631</v>
      </c>
      <c r="S346" s="6">
        <f>Pcfu43[[#This Row],[CFU/mL]]*Pcfu43[[#This Row],[mL]]/Pcfu43[[#This Row],[grams]]</f>
        <v>41377777777.777779</v>
      </c>
      <c r="T346" s="1">
        <f>Pcfu43[[#This Row],[SD CFU/mL]]*Pcfu43[[#This Row],[mL]]/Pcfu43[[#This Row],[grams]]</f>
        <v>1934865293.4257989</v>
      </c>
      <c r="U346" s="7">
        <f>_xlfn.STDEV.S(Pcfu43[[#This Row],[R1]:[R3]])/AVERAGE(Pcfu43[[#This Row],[R1]:[R3]])</f>
        <v>4.6760976479141222E-2</v>
      </c>
      <c r="V346" s="102">
        <v>0.26</v>
      </c>
      <c r="W346" s="7"/>
      <c r="X346" t="s">
        <v>532</v>
      </c>
    </row>
    <row r="347" spans="1:24" x14ac:dyDescent="0.15">
      <c r="A347" t="s">
        <v>968</v>
      </c>
      <c r="B347" t="s">
        <v>328</v>
      </c>
      <c r="C347" s="4"/>
      <c r="D347" t="s">
        <v>86</v>
      </c>
      <c r="E347" s="3">
        <v>3</v>
      </c>
      <c r="G347">
        <v>0.3</v>
      </c>
      <c r="H347" s="5">
        <v>5.7</v>
      </c>
      <c r="I347" s="3" t="s">
        <v>170</v>
      </c>
      <c r="J347" s="59">
        <v>45035</v>
      </c>
      <c r="K347" s="59"/>
      <c r="L347" s="59" t="e" cm="1">
        <f t="array" ref="L347">INDEX($J$4:J1437, MATCH(1,(A347=$A$4:A1435)*("Y"=$K$4:K1437),0))</f>
        <v>#N/A</v>
      </c>
      <c r="M347" s="1">
        <v>1000000</v>
      </c>
      <c r="N347">
        <v>37</v>
      </c>
      <c r="O347">
        <v>34</v>
      </c>
      <c r="P347">
        <v>40</v>
      </c>
      <c r="Q347" s="6">
        <f>(SUM(Pcfu43[[#This Row],[R1]:[R3]]))/(Pcfu43[[#This Row],[No. Reps]]*0.015)*Pcfu43[[#This Row],[Best DF]]</f>
        <v>2466666666.666667</v>
      </c>
      <c r="R347" s="1">
        <f>_xlfn.STDEV.S(Pcfu43[[#This Row],[R1]:[R3]])/0.015*Pcfu43[[#This Row],[Best DF]]</f>
        <v>200000000</v>
      </c>
      <c r="S347" s="6">
        <f>Pcfu43[[#This Row],[CFU/mL]]*Pcfu43[[#This Row],[mL]]/Pcfu43[[#This Row],[grams]]</f>
        <v>46866666666.666672</v>
      </c>
      <c r="T347" s="1">
        <f>Pcfu43[[#This Row],[SD CFU/mL]]*Pcfu43[[#This Row],[mL]]/Pcfu43[[#This Row],[grams]]</f>
        <v>3800000000</v>
      </c>
      <c r="U347" s="7">
        <f>_xlfn.STDEV.S(Pcfu43[[#This Row],[R1]:[R3]])/AVERAGE(Pcfu43[[#This Row],[R1]:[R3]])</f>
        <v>8.1081081081081086E-2</v>
      </c>
      <c r="V347" s="102">
        <v>0.27400000000000002</v>
      </c>
      <c r="W347" s="7"/>
      <c r="X347" t="s">
        <v>894</v>
      </c>
    </row>
    <row r="348" spans="1:24" x14ac:dyDescent="0.15">
      <c r="A348" t="s">
        <v>969</v>
      </c>
      <c r="B348" t="s">
        <v>328</v>
      </c>
      <c r="C348" s="4"/>
      <c r="D348" t="s">
        <v>86</v>
      </c>
      <c r="E348" s="3">
        <v>3</v>
      </c>
      <c r="G348">
        <v>0.3</v>
      </c>
      <c r="H348" s="5">
        <v>5.7</v>
      </c>
      <c r="I348" s="3" t="s">
        <v>170</v>
      </c>
      <c r="J348" s="59">
        <v>45035</v>
      </c>
      <c r="K348" s="59"/>
      <c r="L348" s="59" t="e" cm="1">
        <f t="array" ref="L348">INDEX($J$4:J1438, MATCH(1,(A348=$A$4:A1436)*("Y"=$K$4:K1438),0))</f>
        <v>#N/A</v>
      </c>
      <c r="M348" s="1">
        <v>1000000</v>
      </c>
      <c r="N348">
        <v>50</v>
      </c>
      <c r="O348">
        <v>53</v>
      </c>
      <c r="P348">
        <v>46</v>
      </c>
      <c r="Q348" s="6">
        <f>(SUM(Pcfu43[[#This Row],[R1]:[R3]]))/(Pcfu43[[#This Row],[No. Reps]]*0.015)*Pcfu43[[#This Row],[Best DF]]</f>
        <v>3311111111.1111112</v>
      </c>
      <c r="R348" s="1">
        <f>_xlfn.STDEV.S(Pcfu43[[#This Row],[R1]:[R3]])/0.015*Pcfu43[[#This Row],[Best DF]]</f>
        <v>234125638.95228308</v>
      </c>
      <c r="S348" s="6">
        <f>Pcfu43[[#This Row],[CFU/mL]]*Pcfu43[[#This Row],[mL]]/Pcfu43[[#This Row],[grams]]</f>
        <v>62911111111.111122</v>
      </c>
      <c r="T348" s="1">
        <f>Pcfu43[[#This Row],[SD CFU/mL]]*Pcfu43[[#This Row],[mL]]/Pcfu43[[#This Row],[grams]]</f>
        <v>4448387140.093379</v>
      </c>
      <c r="U348" s="7">
        <f>_xlfn.STDEV.S(Pcfu43[[#This Row],[R1]:[R3]])/AVERAGE(Pcfu43[[#This Row],[R1]:[R3]])</f>
        <v>7.0709085589615694E-2</v>
      </c>
      <c r="V348" s="102">
        <v>0.248</v>
      </c>
      <c r="W348" s="7"/>
      <c r="X348" t="s">
        <v>970</v>
      </c>
    </row>
    <row r="349" spans="1:24" x14ac:dyDescent="0.15">
      <c r="A349" t="s">
        <v>971</v>
      </c>
      <c r="B349" t="s">
        <v>328</v>
      </c>
      <c r="C349" s="4"/>
      <c r="D349" t="s">
        <v>86</v>
      </c>
      <c r="E349" s="3">
        <v>3</v>
      </c>
      <c r="G349">
        <v>0.3</v>
      </c>
      <c r="H349" s="5">
        <v>5.7</v>
      </c>
      <c r="I349" s="3" t="s">
        <v>170</v>
      </c>
      <c r="J349" s="59">
        <v>45035</v>
      </c>
      <c r="K349" s="59"/>
      <c r="L349" s="59" t="e" cm="1">
        <f t="array" ref="L349">INDEX($J$4:J1439, MATCH(1,(A349=$A$4:A1437)*("Y"=$K$4:K1439),0))</f>
        <v>#N/A</v>
      </c>
      <c r="M349" s="1">
        <v>1000000</v>
      </c>
      <c r="N349">
        <v>14</v>
      </c>
      <c r="O349">
        <v>12</v>
      </c>
      <c r="P349">
        <v>12</v>
      </c>
      <c r="Q349" s="6">
        <f>(SUM(Pcfu43[[#This Row],[R1]:[R3]]))/(Pcfu43[[#This Row],[No. Reps]]*0.015)*Pcfu43[[#This Row],[Best DF]]</f>
        <v>844444444.44444442</v>
      </c>
      <c r="R349" s="1">
        <f>_xlfn.STDEV.S(Pcfu43[[#This Row],[R1]:[R3]])/0.015*Pcfu43[[#This Row],[Best DF]]</f>
        <v>76980035.891950116</v>
      </c>
      <c r="S349" s="6">
        <f>Pcfu43[[#This Row],[CFU/mL]]*Pcfu43[[#This Row],[mL]]/Pcfu43[[#This Row],[grams]]</f>
        <v>16044444444.444445</v>
      </c>
      <c r="T349" s="1">
        <f>Pcfu43[[#This Row],[SD CFU/mL]]*Pcfu43[[#This Row],[mL]]/Pcfu43[[#This Row],[grams]]</f>
        <v>1462620681.9470522</v>
      </c>
      <c r="U349" s="7">
        <f>_xlfn.STDEV.S(Pcfu43[[#This Row],[R1]:[R3]])/AVERAGE(Pcfu43[[#This Row],[R1]:[R3]])</f>
        <v>9.1160568819414617E-2</v>
      </c>
      <c r="V349" s="102">
        <v>0.218</v>
      </c>
      <c r="W349" s="7"/>
      <c r="X349" t="s">
        <v>907</v>
      </c>
    </row>
    <row r="350" spans="1:24" x14ac:dyDescent="0.15">
      <c r="A350" t="s">
        <v>470</v>
      </c>
      <c r="B350" t="s">
        <v>328</v>
      </c>
      <c r="C350" s="4"/>
      <c r="D350" t="s">
        <v>86</v>
      </c>
      <c r="E350" s="3">
        <v>3</v>
      </c>
      <c r="G350">
        <v>0.3</v>
      </c>
      <c r="H350" s="5">
        <v>5.7</v>
      </c>
      <c r="I350" s="3" t="s">
        <v>170</v>
      </c>
      <c r="J350" s="59">
        <v>45036</v>
      </c>
      <c r="K350" s="59"/>
      <c r="L350" s="59" t="e" cm="1">
        <f t="array" ref="L350">INDEX($J$4:J1440, MATCH(1,(A350=$A$4:A1438)*("Y"=$K$4:K1440),0))</f>
        <v>#N/A</v>
      </c>
      <c r="M350" s="1">
        <v>1000000</v>
      </c>
      <c r="N350">
        <v>11</v>
      </c>
      <c r="O350">
        <v>11</v>
      </c>
      <c r="P350">
        <v>10</v>
      </c>
      <c r="Q350" s="6">
        <f>(SUM(Pcfu43[[#This Row],[R1]:[R3]]))/(Pcfu43[[#This Row],[No. Reps]]*0.015)*Pcfu43[[#This Row],[Best DF]]</f>
        <v>711111111.11111104</v>
      </c>
      <c r="R350" s="1">
        <f>_xlfn.STDEV.S(Pcfu43[[#This Row],[R1]:[R3]])/0.015*Pcfu43[[#This Row],[Best DF]]</f>
        <v>38490017.94597505</v>
      </c>
      <c r="S350" s="6">
        <f>Pcfu43[[#This Row],[CFU/mL]]*Pcfu43[[#This Row],[mL]]/Pcfu43[[#This Row],[grams]]</f>
        <v>13511111111.111111</v>
      </c>
      <c r="T350" s="1">
        <f>Pcfu43[[#This Row],[SD CFU/mL]]*Pcfu43[[#This Row],[mL]]/Pcfu43[[#This Row],[grams]]</f>
        <v>731310340.973526</v>
      </c>
      <c r="U350" s="7">
        <f>_xlfn.STDEV.S(Pcfu43[[#This Row],[R1]:[R3]])/AVERAGE(Pcfu43[[#This Row],[R1]:[R3]])</f>
        <v>5.4126587736527412E-2</v>
      </c>
      <c r="V350" s="102">
        <v>0.314</v>
      </c>
      <c r="W350" s="7"/>
      <c r="X350" t="s">
        <v>908</v>
      </c>
    </row>
    <row r="351" spans="1:24" x14ac:dyDescent="0.15">
      <c r="A351" t="s">
        <v>472</v>
      </c>
      <c r="B351" t="s">
        <v>328</v>
      </c>
      <c r="C351" s="4"/>
      <c r="D351" t="s">
        <v>86</v>
      </c>
      <c r="E351" s="3">
        <v>3</v>
      </c>
      <c r="G351">
        <v>0.3</v>
      </c>
      <c r="H351" s="5">
        <v>5.7</v>
      </c>
      <c r="I351" s="3" t="s">
        <v>170</v>
      </c>
      <c r="J351" s="59">
        <v>45036</v>
      </c>
      <c r="K351" s="59"/>
      <c r="L351" s="59" t="e" cm="1">
        <f t="array" ref="L351">INDEX($J$4:J1441, MATCH(1,(A351=$A$4:A1439)*("Y"=$K$4:K1441),0))</f>
        <v>#N/A</v>
      </c>
      <c r="M351" s="1">
        <v>1000000</v>
      </c>
      <c r="N351">
        <v>2</v>
      </c>
      <c r="O351">
        <v>4</v>
      </c>
      <c r="P351">
        <v>3</v>
      </c>
      <c r="Q351" s="6">
        <f>(SUM(Pcfu43[[#This Row],[R1]:[R3]]))/(Pcfu43[[#This Row],[No. Reps]]*0.015)*Pcfu43[[#This Row],[Best DF]]</f>
        <v>200000000</v>
      </c>
      <c r="R351" s="1">
        <f>_xlfn.STDEV.S(Pcfu43[[#This Row],[R1]:[R3]])/0.015*Pcfu43[[#This Row],[Best DF]]</f>
        <v>66666666.666666672</v>
      </c>
      <c r="S351" s="6">
        <f>Pcfu43[[#This Row],[CFU/mL]]*Pcfu43[[#This Row],[mL]]/Pcfu43[[#This Row],[grams]]</f>
        <v>3800000000</v>
      </c>
      <c r="T351" s="1">
        <f>Pcfu43[[#This Row],[SD CFU/mL]]*Pcfu43[[#This Row],[mL]]/Pcfu43[[#This Row],[grams]]</f>
        <v>1266666666.666667</v>
      </c>
      <c r="U351" s="7">
        <f>_xlfn.STDEV.S(Pcfu43[[#This Row],[R1]:[R3]])/AVERAGE(Pcfu43[[#This Row],[R1]:[R3]])</f>
        <v>0.33333333333333331</v>
      </c>
      <c r="V351" s="102">
        <v>0.29399999999999998</v>
      </c>
      <c r="W351" s="7"/>
      <c r="X351" t="s">
        <v>834</v>
      </c>
    </row>
    <row r="352" spans="1:24" x14ac:dyDescent="0.15">
      <c r="A352" t="s">
        <v>474</v>
      </c>
      <c r="B352" t="s">
        <v>328</v>
      </c>
      <c r="C352" s="4"/>
      <c r="D352" t="s">
        <v>86</v>
      </c>
      <c r="E352" s="3">
        <v>3</v>
      </c>
      <c r="G352">
        <v>0.3</v>
      </c>
      <c r="H352" s="5">
        <v>5.7</v>
      </c>
      <c r="I352" s="3" t="s">
        <v>170</v>
      </c>
      <c r="J352" s="59">
        <v>45036</v>
      </c>
      <c r="K352" s="59"/>
      <c r="L352" s="59" t="e" cm="1">
        <f t="array" ref="L352">INDEX($J$4:J1442, MATCH(1,(A352=$A$4:A1440)*("Y"=$K$4:K1442),0))</f>
        <v>#N/A</v>
      </c>
      <c r="M352" s="1">
        <v>1000000</v>
      </c>
      <c r="N352">
        <v>9</v>
      </c>
      <c r="O352">
        <v>15</v>
      </c>
      <c r="P352">
        <v>15</v>
      </c>
      <c r="Q352" s="6">
        <f>(SUM(Pcfu43[[#This Row],[R1]:[R3]]))/(Pcfu43[[#This Row],[No. Reps]]*0.015)*Pcfu43[[#This Row],[Best DF]]</f>
        <v>866666666.66666675</v>
      </c>
      <c r="R352" s="1">
        <f>_xlfn.STDEV.S(Pcfu43[[#This Row],[R1]:[R3]])/0.015*Pcfu43[[#This Row],[Best DF]]</f>
        <v>230940107.6758503</v>
      </c>
      <c r="S352" s="6">
        <f>Pcfu43[[#This Row],[CFU/mL]]*Pcfu43[[#This Row],[mL]]/Pcfu43[[#This Row],[grams]]</f>
        <v>16466666666.66667</v>
      </c>
      <c r="T352" s="1">
        <f>Pcfu43[[#This Row],[SD CFU/mL]]*Pcfu43[[#This Row],[mL]]/Pcfu43[[#This Row],[grams]]</f>
        <v>4387862045.841156</v>
      </c>
      <c r="U352" s="7">
        <f>_xlfn.STDEV.S(Pcfu43[[#This Row],[R1]:[R3]])/AVERAGE(Pcfu43[[#This Row],[R1]:[R3]])</f>
        <v>0.26646935501059649</v>
      </c>
      <c r="V352" s="102">
        <v>0.33400000000000002</v>
      </c>
      <c r="W352" s="7"/>
      <c r="X352" t="s">
        <v>399</v>
      </c>
    </row>
    <row r="353" spans="1:24" x14ac:dyDescent="0.15">
      <c r="A353" t="s">
        <v>477</v>
      </c>
      <c r="B353" t="s">
        <v>328</v>
      </c>
      <c r="C353" s="4"/>
      <c r="D353" t="s">
        <v>86</v>
      </c>
      <c r="E353" s="3">
        <v>3</v>
      </c>
      <c r="G353">
        <v>0.3</v>
      </c>
      <c r="H353" s="5">
        <v>5.7</v>
      </c>
      <c r="I353" s="3" t="s">
        <v>170</v>
      </c>
      <c r="J353" s="59">
        <v>45036</v>
      </c>
      <c r="K353" s="59"/>
      <c r="L353" s="59" t="e" cm="1">
        <f t="array" ref="L353">INDEX($J$4:J1443, MATCH(1,(A353=$A$4:A1441)*("Y"=$K$4:K1443),0))</f>
        <v>#N/A</v>
      </c>
      <c r="M353" s="1">
        <v>1000000</v>
      </c>
      <c r="N353">
        <v>66</v>
      </c>
      <c r="O353">
        <v>62</v>
      </c>
      <c r="P353">
        <v>51</v>
      </c>
      <c r="Q353" s="6">
        <f>(SUM(Pcfu43[[#This Row],[R1]:[R3]]))/(Pcfu43[[#This Row],[No. Reps]]*0.015)*Pcfu43[[#This Row],[Best DF]]</f>
        <v>3977777777.7777777</v>
      </c>
      <c r="R353" s="1">
        <f>_xlfn.STDEV.S(Pcfu43[[#This Row],[R1]:[R3]])/0.015*Pcfu43[[#This Row],[Best DF]]</f>
        <v>517830231.01026732</v>
      </c>
      <c r="S353" s="6">
        <f>Pcfu43[[#This Row],[CFU/mL]]*Pcfu43[[#This Row],[mL]]/Pcfu43[[#This Row],[grams]]</f>
        <v>75577777777.777771</v>
      </c>
      <c r="T353" s="1">
        <f>Pcfu43[[#This Row],[SD CFU/mL]]*Pcfu43[[#This Row],[mL]]/Pcfu43[[#This Row],[grams]]</f>
        <v>9838774389.1950798</v>
      </c>
      <c r="U353" s="7">
        <f>_xlfn.STDEV.S(Pcfu43[[#This Row],[R1]:[R3]])/AVERAGE(Pcfu43[[#This Row],[R1]:[R3]])</f>
        <v>0.1301807843321901</v>
      </c>
      <c r="V353" s="102">
        <v>0.254</v>
      </c>
      <c r="W353" s="7"/>
      <c r="X353" t="s">
        <v>505</v>
      </c>
    </row>
    <row r="354" spans="1:24" x14ac:dyDescent="0.15">
      <c r="A354" t="s">
        <v>478</v>
      </c>
      <c r="B354" t="s">
        <v>328</v>
      </c>
      <c r="C354" s="4"/>
      <c r="D354" t="s">
        <v>86</v>
      </c>
      <c r="E354" s="3">
        <v>3</v>
      </c>
      <c r="G354">
        <v>0.3</v>
      </c>
      <c r="H354" s="5">
        <v>5.7</v>
      </c>
      <c r="I354" s="3" t="s">
        <v>170</v>
      </c>
      <c r="J354" s="59">
        <v>45036</v>
      </c>
      <c r="K354" s="59"/>
      <c r="L354" s="59" t="e" cm="1">
        <f t="array" ref="L354">INDEX($J$4:J1444, MATCH(1,(A354=$A$4:A1442)*("Y"=$K$4:K1444),0))</f>
        <v>#N/A</v>
      </c>
      <c r="M354" s="1">
        <v>1000000</v>
      </c>
      <c r="N354">
        <v>39</v>
      </c>
      <c r="O354">
        <v>37</v>
      </c>
      <c r="P354">
        <v>31</v>
      </c>
      <c r="Q354" s="6">
        <f>(SUM(Pcfu43[[#This Row],[R1]:[R3]]))/(Pcfu43[[#This Row],[No. Reps]]*0.015)*Pcfu43[[#This Row],[Best DF]]</f>
        <v>2377777777.7777777</v>
      </c>
      <c r="R354" s="1">
        <f>_xlfn.STDEV.S(Pcfu43[[#This Row],[R1]:[R3]])/0.015*Pcfu43[[#This Row],[Best DF]]</f>
        <v>277555466.59548438</v>
      </c>
      <c r="S354" s="6">
        <f>Pcfu43[[#This Row],[CFU/mL]]*Pcfu43[[#This Row],[mL]]/Pcfu43[[#This Row],[grams]]</f>
        <v>45177777777.777779</v>
      </c>
      <c r="T354" s="1">
        <f>Pcfu43[[#This Row],[SD CFU/mL]]*Pcfu43[[#This Row],[mL]]/Pcfu43[[#This Row],[grams]]</f>
        <v>5273553865.3142033</v>
      </c>
      <c r="U354" s="7">
        <f>_xlfn.STDEV.S(Pcfu43[[#This Row],[R1]:[R3]])/AVERAGE(Pcfu43[[#This Row],[R1]:[R3]])</f>
        <v>0.1167289345495028</v>
      </c>
      <c r="V354" s="102">
        <v>0.25900000000000001</v>
      </c>
      <c r="W354" s="7"/>
      <c r="X354" t="s">
        <v>455</v>
      </c>
    </row>
    <row r="355" spans="1:24" x14ac:dyDescent="0.15">
      <c r="A355" t="s">
        <v>479</v>
      </c>
      <c r="B355" t="s">
        <v>328</v>
      </c>
      <c r="C355" s="4"/>
      <c r="D355" t="s">
        <v>86</v>
      </c>
      <c r="E355" s="3">
        <v>3</v>
      </c>
      <c r="G355">
        <v>0.3</v>
      </c>
      <c r="H355" s="5">
        <v>5.7</v>
      </c>
      <c r="I355" s="3" t="s">
        <v>170</v>
      </c>
      <c r="J355" s="59">
        <v>45036</v>
      </c>
      <c r="K355" s="59"/>
      <c r="L355" s="59" t="e" cm="1">
        <f t="array" ref="L355">INDEX($J$4:J1445, MATCH(1,(A355=$A$4:A1443)*("Y"=$K$4:K1445),0))</f>
        <v>#N/A</v>
      </c>
      <c r="M355" s="1">
        <v>1000000</v>
      </c>
      <c r="N355">
        <v>22</v>
      </c>
      <c r="O355">
        <v>19</v>
      </c>
      <c r="P355">
        <v>19</v>
      </c>
      <c r="Q355" s="6">
        <f>(SUM(Pcfu43[[#This Row],[R1]:[R3]]))/(Pcfu43[[#This Row],[No. Reps]]*0.015)*Pcfu43[[#This Row],[Best DF]]</f>
        <v>1333333333.3333335</v>
      </c>
      <c r="R355" s="1">
        <f>_xlfn.STDEV.S(Pcfu43[[#This Row],[R1]:[R3]])/0.015*Pcfu43[[#This Row],[Best DF]]</f>
        <v>115470053.83792515</v>
      </c>
      <c r="S355" s="6">
        <f>Pcfu43[[#This Row],[CFU/mL]]*Pcfu43[[#This Row],[mL]]/Pcfu43[[#This Row],[grams]]</f>
        <v>25333333333.333336</v>
      </c>
      <c r="T355" s="1">
        <f>Pcfu43[[#This Row],[SD CFU/mL]]*Pcfu43[[#This Row],[mL]]/Pcfu43[[#This Row],[grams]]</f>
        <v>2193931022.920578</v>
      </c>
      <c r="U355" s="7">
        <f>_xlfn.STDEV.S(Pcfu43[[#This Row],[R1]:[R3]])/AVERAGE(Pcfu43[[#This Row],[R1]:[R3]])</f>
        <v>8.6602540378443865E-2</v>
      </c>
      <c r="V355" s="102">
        <v>0.246</v>
      </c>
      <c r="W355" s="7"/>
      <c r="X355" t="s">
        <v>386</v>
      </c>
    </row>
    <row r="356" spans="1:24" x14ac:dyDescent="0.15">
      <c r="A356" t="s">
        <v>480</v>
      </c>
      <c r="B356" t="s">
        <v>328</v>
      </c>
      <c r="C356" s="4"/>
      <c r="D356" t="s">
        <v>86</v>
      </c>
      <c r="E356" s="3">
        <v>3</v>
      </c>
      <c r="G356">
        <v>0.3</v>
      </c>
      <c r="H356" s="5">
        <v>5.7</v>
      </c>
      <c r="I356" s="3" t="s">
        <v>170</v>
      </c>
      <c r="J356" s="59">
        <v>45036</v>
      </c>
      <c r="K356" s="59"/>
      <c r="L356" s="59" t="e" cm="1">
        <f t="array" ref="L356">INDEX($J$4:J1446, MATCH(1,(A356=$A$4:A1444)*("Y"=$K$4:K1446),0))</f>
        <v>#N/A</v>
      </c>
      <c r="M356" s="1">
        <v>1000000</v>
      </c>
      <c r="N356">
        <v>9</v>
      </c>
      <c r="O356">
        <v>9</v>
      </c>
      <c r="P356">
        <v>10</v>
      </c>
      <c r="Q356" s="6">
        <f>(SUM(Pcfu43[[#This Row],[R1]:[R3]]))/(Pcfu43[[#This Row],[No. Reps]]*0.015)*Pcfu43[[#This Row],[Best DF]]</f>
        <v>622222222.22222233</v>
      </c>
      <c r="R356" s="1">
        <f>_xlfn.STDEV.S(Pcfu43[[#This Row],[R1]:[R3]])/0.015*Pcfu43[[#This Row],[Best DF]]</f>
        <v>38490017.94597505</v>
      </c>
      <c r="S356" s="6">
        <f>Pcfu43[[#This Row],[CFU/mL]]*Pcfu43[[#This Row],[mL]]/Pcfu43[[#This Row],[grams]]</f>
        <v>11822222222.222225</v>
      </c>
      <c r="T356" s="1">
        <f>Pcfu43[[#This Row],[SD CFU/mL]]*Pcfu43[[#This Row],[mL]]/Pcfu43[[#This Row],[grams]]</f>
        <v>731310340.973526</v>
      </c>
      <c r="U356" s="7">
        <f>_xlfn.STDEV.S(Pcfu43[[#This Row],[R1]:[R3]])/AVERAGE(Pcfu43[[#This Row],[R1]:[R3]])</f>
        <v>6.1858957413174182E-2</v>
      </c>
      <c r="V356" s="102">
        <v>0.223</v>
      </c>
      <c r="W356" s="7"/>
      <c r="X356" t="s">
        <v>972</v>
      </c>
    </row>
    <row r="357" spans="1:24" x14ac:dyDescent="0.15">
      <c r="A357" t="s">
        <v>940</v>
      </c>
      <c r="B357" t="s">
        <v>328</v>
      </c>
      <c r="C357" s="4"/>
      <c r="D357" t="s">
        <v>194</v>
      </c>
      <c r="E357" s="3">
        <v>3</v>
      </c>
      <c r="G357">
        <v>0.3</v>
      </c>
      <c r="H357" s="5">
        <v>5.7</v>
      </c>
      <c r="I357" s="3" t="s">
        <v>98</v>
      </c>
      <c r="J357" s="59">
        <v>45037</v>
      </c>
      <c r="K357" s="59"/>
      <c r="L357" s="59" t="e" cm="1">
        <f t="array" ref="L357">INDEX($J$4:J1447, MATCH(1,(A357=$A$4:A1445)*("Y"=$K$4:K1447),0))</f>
        <v>#N/A</v>
      </c>
      <c r="M357" s="1">
        <v>1000000</v>
      </c>
      <c r="N357">
        <v>22</v>
      </c>
      <c r="O357">
        <v>22</v>
      </c>
      <c r="P357">
        <v>27</v>
      </c>
      <c r="Q357" s="6">
        <f>(SUM(Pcfu43[[#This Row],[R1]:[R3]]))/(Pcfu43[[#This Row],[No. Reps]]*0.015)*Pcfu43[[#This Row],[Best DF]]</f>
        <v>1577777777.7777779</v>
      </c>
      <c r="R357" s="1">
        <f>_xlfn.STDEV.S(Pcfu43[[#This Row],[R1]:[R3]])/0.015*Pcfu43[[#This Row],[Best DF]]</f>
        <v>192450089.7298753</v>
      </c>
      <c r="S357" s="6">
        <f>Pcfu43[[#This Row],[CFU/mL]]*Pcfu43[[#This Row],[mL]]/Pcfu43[[#This Row],[grams]]</f>
        <v>29977777777.777782</v>
      </c>
      <c r="T357" s="1">
        <f>Pcfu43[[#This Row],[SD CFU/mL]]*Pcfu43[[#This Row],[mL]]/Pcfu43[[#This Row],[grams]]</f>
        <v>3656551704.867631</v>
      </c>
      <c r="U357" s="7">
        <f>_xlfn.STDEV.S(Pcfu43[[#This Row],[R1]:[R3]])/AVERAGE(Pcfu43[[#This Row],[R1]:[R3]])</f>
        <v>0.12197540898372376</v>
      </c>
      <c r="V357" s="102">
        <v>0.36899999999999999</v>
      </c>
      <c r="W357" s="7"/>
      <c r="X357" t="s">
        <v>973</v>
      </c>
    </row>
    <row r="358" spans="1:24" x14ac:dyDescent="0.15">
      <c r="A358" t="s">
        <v>939</v>
      </c>
      <c r="B358" t="s">
        <v>328</v>
      </c>
      <c r="C358" s="4"/>
      <c r="D358" t="s">
        <v>194</v>
      </c>
      <c r="E358" s="3">
        <v>3</v>
      </c>
      <c r="G358">
        <v>0.3</v>
      </c>
      <c r="H358" s="5">
        <v>5.7</v>
      </c>
      <c r="I358" s="3" t="s">
        <v>98</v>
      </c>
      <c r="J358" s="59">
        <v>45037</v>
      </c>
      <c r="K358" s="59"/>
      <c r="L358" s="59" t="e" cm="1">
        <f t="array" ref="L358">INDEX($J$4:J1448, MATCH(1,(A358=$A$4:A1446)*("Y"=$K$4:K1448),0))</f>
        <v>#N/A</v>
      </c>
      <c r="M358" s="1">
        <v>1000000</v>
      </c>
      <c r="N358">
        <v>28</v>
      </c>
      <c r="O358">
        <v>34</v>
      </c>
      <c r="P358">
        <v>44</v>
      </c>
      <c r="Q358" s="6">
        <f>(SUM(Pcfu43[[#This Row],[R1]:[R3]]))/(Pcfu43[[#This Row],[No. Reps]]*0.015)*Pcfu43[[#This Row],[Best DF]]</f>
        <v>2355555555.5555558</v>
      </c>
      <c r="R358" s="1">
        <f>_xlfn.STDEV.S(Pcfu43[[#This Row],[R1]:[R3]])/0.015*Pcfu43[[#This Row],[Best DF]]</f>
        <v>538860251.24365044</v>
      </c>
      <c r="S358" s="6">
        <f>Pcfu43[[#This Row],[CFU/mL]]*Pcfu43[[#This Row],[mL]]/Pcfu43[[#This Row],[grams]]</f>
        <v>44755555555.555565</v>
      </c>
      <c r="T358" s="1">
        <f>Pcfu43[[#This Row],[SD CFU/mL]]*Pcfu43[[#This Row],[mL]]/Pcfu43[[#This Row],[grams]]</f>
        <v>10238344773.629358</v>
      </c>
      <c r="U358" s="7">
        <f>_xlfn.STDEV.S(Pcfu43[[#This Row],[R1]:[R3]])/AVERAGE(Pcfu43[[#This Row],[R1]:[R3]])</f>
        <v>0.22876142741475722</v>
      </c>
      <c r="V358" s="102">
        <v>0.35099999999999998</v>
      </c>
      <c r="W358" s="7"/>
      <c r="X358" t="s">
        <v>974</v>
      </c>
    </row>
    <row r="359" spans="1:24" x14ac:dyDescent="0.15">
      <c r="A359" t="s">
        <v>938</v>
      </c>
      <c r="B359" t="s">
        <v>328</v>
      </c>
      <c r="C359" s="4"/>
      <c r="D359" t="s">
        <v>194</v>
      </c>
      <c r="E359" s="3">
        <v>3</v>
      </c>
      <c r="G359">
        <v>0.3</v>
      </c>
      <c r="H359" s="5">
        <v>5.7</v>
      </c>
      <c r="I359" s="3" t="s">
        <v>98</v>
      </c>
      <c r="J359" s="59">
        <v>45037</v>
      </c>
      <c r="K359" s="59"/>
      <c r="L359" s="59" t="e" cm="1">
        <f t="array" ref="L359">INDEX($J$4:J1449, MATCH(1,(A359=$A$4:A1447)*("Y"=$K$4:K1449),0))</f>
        <v>#N/A</v>
      </c>
      <c r="M359" s="1">
        <v>1000000</v>
      </c>
      <c r="N359">
        <v>51</v>
      </c>
      <c r="O359">
        <v>48</v>
      </c>
      <c r="P359">
        <v>48</v>
      </c>
      <c r="Q359" s="6">
        <f>(SUM(Pcfu43[[#This Row],[R1]:[R3]]))/(Pcfu43[[#This Row],[No. Reps]]*0.015)*Pcfu43[[#This Row],[Best DF]]</f>
        <v>3266666666.666667</v>
      </c>
      <c r="R359" s="1">
        <f>_xlfn.STDEV.S(Pcfu43[[#This Row],[R1]:[R3]])/0.015*Pcfu43[[#This Row],[Best DF]]</f>
        <v>115470053.83792515</v>
      </c>
      <c r="S359" s="6">
        <f>Pcfu43[[#This Row],[CFU/mL]]*Pcfu43[[#This Row],[mL]]/Pcfu43[[#This Row],[grams]]</f>
        <v>62066666666.666679</v>
      </c>
      <c r="T359" s="1">
        <f>Pcfu43[[#This Row],[SD CFU/mL]]*Pcfu43[[#This Row],[mL]]/Pcfu43[[#This Row],[grams]]</f>
        <v>2193931022.920578</v>
      </c>
      <c r="U359" s="7">
        <f>_xlfn.STDEV.S(Pcfu43[[#This Row],[R1]:[R3]])/AVERAGE(Pcfu43[[#This Row],[R1]:[R3]])</f>
        <v>3.5347975664670961E-2</v>
      </c>
      <c r="V359" s="102">
        <v>0.25700000000000001</v>
      </c>
      <c r="W359" s="7"/>
      <c r="X359" t="s">
        <v>385</v>
      </c>
    </row>
    <row r="360" spans="1:24" x14ac:dyDescent="0.15">
      <c r="A360" t="s">
        <v>941</v>
      </c>
      <c r="B360" t="s">
        <v>328</v>
      </c>
      <c r="C360" s="4"/>
      <c r="D360" t="s">
        <v>194</v>
      </c>
      <c r="E360" s="3">
        <v>3</v>
      </c>
      <c r="G360">
        <v>0.3</v>
      </c>
      <c r="H360" s="5">
        <v>5.7</v>
      </c>
      <c r="I360" s="3" t="s">
        <v>98</v>
      </c>
      <c r="J360" s="59">
        <v>45037</v>
      </c>
      <c r="K360" s="59"/>
      <c r="L360" s="59" t="e" cm="1">
        <f t="array" ref="L360">INDEX($J$4:J1450, MATCH(1,(A360=$A$4:A1448)*("Y"=$K$4:K1450),0))</f>
        <v>#N/A</v>
      </c>
      <c r="M360" s="1">
        <v>100000</v>
      </c>
      <c r="N360">
        <v>79</v>
      </c>
      <c r="O360">
        <v>75</v>
      </c>
      <c r="P360">
        <v>76</v>
      </c>
      <c r="Q360" s="6">
        <f>(SUM(Pcfu43[[#This Row],[R1]:[R3]]))/(Pcfu43[[#This Row],[No. Reps]]*0.015)*Pcfu43[[#This Row],[Best DF]]</f>
        <v>511111111.1111111</v>
      </c>
      <c r="R360" s="1">
        <f>_xlfn.STDEV.S(Pcfu43[[#This Row],[R1]:[R3]])/0.015*Pcfu43[[#This Row],[Best DF]]</f>
        <v>13877773.329774218</v>
      </c>
      <c r="S360" s="6">
        <f>Pcfu43[[#This Row],[CFU/mL]]*Pcfu43[[#This Row],[mL]]/Pcfu43[[#This Row],[grams]]</f>
        <v>9711111111.1111126</v>
      </c>
      <c r="T360" s="1">
        <f>Pcfu43[[#This Row],[SD CFU/mL]]*Pcfu43[[#This Row],[mL]]/Pcfu43[[#This Row],[grams]]</f>
        <v>263677693.26571015</v>
      </c>
      <c r="U360" s="7">
        <f>_xlfn.STDEV.S(Pcfu43[[#This Row],[R1]:[R3]])/AVERAGE(Pcfu43[[#This Row],[R1]:[R3]])</f>
        <v>2.7152165210427816E-2</v>
      </c>
      <c r="V360" s="102">
        <v>0.32900000000000001</v>
      </c>
      <c r="W360" s="7"/>
      <c r="X360" t="s">
        <v>975</v>
      </c>
    </row>
    <row r="361" spans="1:24" x14ac:dyDescent="0.15">
      <c r="A361" t="s">
        <v>976</v>
      </c>
      <c r="B361" t="s">
        <v>328</v>
      </c>
      <c r="C361" s="4"/>
      <c r="D361" t="s">
        <v>194</v>
      </c>
      <c r="E361" s="3">
        <v>3</v>
      </c>
      <c r="G361">
        <v>0.3</v>
      </c>
      <c r="H361" s="5">
        <v>5.7</v>
      </c>
      <c r="I361" s="3" t="s">
        <v>98</v>
      </c>
      <c r="J361" s="59">
        <v>45037</v>
      </c>
      <c r="K361" s="59"/>
      <c r="L361" s="59" t="e" cm="1">
        <f t="array" ref="L361">INDEX($J$4:J1451, MATCH(1,(A361=$A$4:A1449)*("Y"=$K$4:K1451),0))</f>
        <v>#N/A</v>
      </c>
      <c r="M361" s="1">
        <v>1000000</v>
      </c>
      <c r="N361">
        <v>7</v>
      </c>
      <c r="O361">
        <v>18</v>
      </c>
      <c r="P361">
        <v>14</v>
      </c>
      <c r="Q361" s="6">
        <f>(SUM(Pcfu43[[#This Row],[R1]:[R3]]))/(Pcfu43[[#This Row],[No. Reps]]*0.015)*Pcfu43[[#This Row],[Best DF]]</f>
        <v>866666666.66666675</v>
      </c>
      <c r="R361" s="1">
        <f>_xlfn.STDEV.S(Pcfu43[[#This Row],[R1]:[R3]])/0.015*Pcfu43[[#This Row],[Best DF]]</f>
        <v>371184290.85533476</v>
      </c>
      <c r="S361" s="6">
        <f>Pcfu43[[#This Row],[CFU/mL]]*Pcfu43[[#This Row],[mL]]/Pcfu43[[#This Row],[grams]]</f>
        <v>16466666666.66667</v>
      </c>
      <c r="T361" s="1">
        <f>Pcfu43[[#This Row],[SD CFU/mL]]*Pcfu43[[#This Row],[mL]]/Pcfu43[[#This Row],[grams]]</f>
        <v>7052501526.2513609</v>
      </c>
      <c r="U361" s="7">
        <f>_xlfn.STDEV.S(Pcfu43[[#This Row],[R1]:[R3]])/AVERAGE(Pcfu43[[#This Row],[R1]:[R3]])</f>
        <v>0.42828956637154014</v>
      </c>
      <c r="V361" s="102">
        <v>0.312</v>
      </c>
      <c r="W361" s="7"/>
      <c r="X361" t="s">
        <v>977</v>
      </c>
    </row>
    <row r="362" spans="1:24" x14ac:dyDescent="0.15">
      <c r="A362" t="s">
        <v>773</v>
      </c>
      <c r="B362" t="s">
        <v>328</v>
      </c>
      <c r="C362" s="4"/>
      <c r="D362" t="s">
        <v>194</v>
      </c>
      <c r="E362" s="3">
        <v>3</v>
      </c>
      <c r="G362">
        <v>0.3</v>
      </c>
      <c r="H362" s="5">
        <v>5.7</v>
      </c>
      <c r="I362" s="3" t="s">
        <v>98</v>
      </c>
      <c r="J362" s="59">
        <v>45037</v>
      </c>
      <c r="K362" s="59"/>
      <c r="L362" s="59" t="e" cm="1">
        <f t="array" ref="L362">INDEX($J$4:J1452, MATCH(1,(A362=$A$4:A1450)*("Y"=$K$4:K1452),0))</f>
        <v>#N/A</v>
      </c>
      <c r="M362" s="1">
        <v>1000000</v>
      </c>
      <c r="N362">
        <v>21</v>
      </c>
      <c r="O362">
        <v>12</v>
      </c>
      <c r="P362">
        <v>15</v>
      </c>
      <c r="Q362" s="6">
        <f>(SUM(Pcfu43[[#This Row],[R1]:[R3]]))/(Pcfu43[[#This Row],[No. Reps]]*0.015)*Pcfu43[[#This Row],[Best DF]]</f>
        <v>1066666666.6666667</v>
      </c>
      <c r="R362" s="1">
        <f>_xlfn.STDEV.S(Pcfu43[[#This Row],[R1]:[R3]])/0.015*Pcfu43[[#This Row],[Best DF]]</f>
        <v>305505046.33038932</v>
      </c>
      <c r="S362" s="6">
        <f>Pcfu43[[#This Row],[CFU/mL]]*Pcfu43[[#This Row],[mL]]/Pcfu43[[#This Row],[grams]]</f>
        <v>20266666666.666672</v>
      </c>
      <c r="T362" s="1">
        <f>Pcfu43[[#This Row],[SD CFU/mL]]*Pcfu43[[#This Row],[mL]]/Pcfu43[[#This Row],[grams]]</f>
        <v>5804595880.2773981</v>
      </c>
      <c r="U362" s="7">
        <f>_xlfn.STDEV.S(Pcfu43[[#This Row],[R1]:[R3]])/AVERAGE(Pcfu43[[#This Row],[R1]:[R3]])</f>
        <v>0.28641098093473999</v>
      </c>
      <c r="V362" s="102">
        <v>0.26500000000000001</v>
      </c>
      <c r="W362" s="7"/>
      <c r="X362" t="s">
        <v>383</v>
      </c>
    </row>
    <row r="363" spans="1:24" x14ac:dyDescent="0.15">
      <c r="A363" t="s">
        <v>942</v>
      </c>
      <c r="B363" t="s">
        <v>328</v>
      </c>
      <c r="C363" s="4"/>
      <c r="D363" t="s">
        <v>194</v>
      </c>
      <c r="E363" s="3">
        <v>3</v>
      </c>
      <c r="G363">
        <v>0.3</v>
      </c>
      <c r="H363" s="5">
        <v>5.7</v>
      </c>
      <c r="I363" s="3" t="s">
        <v>98</v>
      </c>
      <c r="J363" s="59">
        <v>45037</v>
      </c>
      <c r="K363" s="59"/>
      <c r="L363" s="59" t="e" cm="1">
        <f t="array" ref="L363">INDEX($J$4:J1453, MATCH(1,(A363=$A$4:A1451)*("Y"=$K$4:K1453),0))</f>
        <v>#N/A</v>
      </c>
      <c r="M363" s="1">
        <v>1000000</v>
      </c>
      <c r="N363">
        <v>22</v>
      </c>
      <c r="O363">
        <v>42</v>
      </c>
      <c r="P363">
        <v>23</v>
      </c>
      <c r="Q363" s="6">
        <f>(SUM(Pcfu43[[#This Row],[R1]:[R3]]))/(Pcfu43[[#This Row],[No. Reps]]*0.015)*Pcfu43[[#This Row],[Best DF]]</f>
        <v>1933333333.3333335</v>
      </c>
      <c r="R363" s="1">
        <f>_xlfn.STDEV.S(Pcfu43[[#This Row],[R1]:[R3]])/0.015*Pcfu43[[#This Row],[Best DF]]</f>
        <v>751295177.97230959</v>
      </c>
      <c r="S363" s="6">
        <f>Pcfu43[[#This Row],[CFU/mL]]*Pcfu43[[#This Row],[mL]]/Pcfu43[[#This Row],[grams]]</f>
        <v>36733333333.333344</v>
      </c>
      <c r="T363" s="1">
        <f>Pcfu43[[#This Row],[SD CFU/mL]]*Pcfu43[[#This Row],[mL]]/Pcfu43[[#This Row],[grams]]</f>
        <v>14274608381.473883</v>
      </c>
      <c r="U363" s="7">
        <f>_xlfn.STDEV.S(Pcfu43[[#This Row],[R1]:[R3]])/AVERAGE(Pcfu43[[#This Row],[R1]:[R3]])</f>
        <v>0.3886009541236084</v>
      </c>
      <c r="V363" s="102">
        <v>0.33200000000000002</v>
      </c>
      <c r="W363" s="7"/>
      <c r="X363" t="s">
        <v>909</v>
      </c>
    </row>
    <row r="364" spans="1:24" x14ac:dyDescent="0.15">
      <c r="A364" t="s">
        <v>777</v>
      </c>
      <c r="B364" t="s">
        <v>328</v>
      </c>
      <c r="C364" s="4"/>
      <c r="D364" t="s">
        <v>194</v>
      </c>
      <c r="E364" s="3">
        <v>3</v>
      </c>
      <c r="G364">
        <v>0.3</v>
      </c>
      <c r="H364" s="5">
        <v>5.7</v>
      </c>
      <c r="I364" s="3" t="s">
        <v>98</v>
      </c>
      <c r="J364" s="59">
        <v>45037</v>
      </c>
      <c r="K364" s="59"/>
      <c r="L364" s="59" t="e" cm="1">
        <f t="array" ref="L364">INDEX($J$4:J1454, MATCH(1,(A364=$A$4:A1452)*("Y"=$K$4:K1454),0))</f>
        <v>#N/A</v>
      </c>
      <c r="M364" s="1">
        <v>1000000</v>
      </c>
      <c r="N364">
        <v>31</v>
      </c>
      <c r="O364">
        <v>37</v>
      </c>
      <c r="P364">
        <v>37</v>
      </c>
      <c r="Q364" s="6">
        <f>(SUM(Pcfu43[[#This Row],[R1]:[R3]]))/(Pcfu43[[#This Row],[No. Reps]]*0.015)*Pcfu43[[#This Row],[Best DF]]</f>
        <v>2333333333.3333335</v>
      </c>
      <c r="R364" s="1">
        <f>_xlfn.STDEV.S(Pcfu43[[#This Row],[R1]:[R3]])/0.015*Pcfu43[[#This Row],[Best DF]]</f>
        <v>230940107.6758503</v>
      </c>
      <c r="S364" s="6">
        <f>Pcfu43[[#This Row],[CFU/mL]]*Pcfu43[[#This Row],[mL]]/Pcfu43[[#This Row],[grams]]</f>
        <v>44333333333.333344</v>
      </c>
      <c r="T364" s="1">
        <f>Pcfu43[[#This Row],[SD CFU/mL]]*Pcfu43[[#This Row],[mL]]/Pcfu43[[#This Row],[grams]]</f>
        <v>4387862045.841156</v>
      </c>
      <c r="U364" s="7">
        <f>_xlfn.STDEV.S(Pcfu43[[#This Row],[R1]:[R3]])/AVERAGE(Pcfu43[[#This Row],[R1]:[R3]])</f>
        <v>9.8974331861078693E-2</v>
      </c>
      <c r="V364" s="102">
        <v>0.309</v>
      </c>
      <c r="W364" s="7"/>
      <c r="X364" t="s">
        <v>524</v>
      </c>
    </row>
    <row r="365" spans="1:24" x14ac:dyDescent="0.15">
      <c r="A365" t="s">
        <v>776</v>
      </c>
      <c r="B365" t="s">
        <v>328</v>
      </c>
      <c r="C365" s="4"/>
      <c r="D365" t="s">
        <v>194</v>
      </c>
      <c r="E365" s="3">
        <v>3</v>
      </c>
      <c r="G365">
        <v>0.3</v>
      </c>
      <c r="H365" s="5">
        <v>5.7</v>
      </c>
      <c r="I365" s="3" t="s">
        <v>98</v>
      </c>
      <c r="J365" s="59">
        <v>45037</v>
      </c>
      <c r="K365" s="59"/>
      <c r="L365" s="59" t="e" cm="1">
        <f t="array" ref="L365">INDEX($J$4:J1455, MATCH(1,(A365=$A$4:A1453)*("Y"=$K$4:K1455),0))</f>
        <v>#N/A</v>
      </c>
      <c r="M365" s="1">
        <v>1000000</v>
      </c>
      <c r="N365">
        <v>44</v>
      </c>
      <c r="O365">
        <v>52</v>
      </c>
      <c r="P365">
        <v>46</v>
      </c>
      <c r="Q365" s="6">
        <f>(SUM(Pcfu43[[#This Row],[R1]:[R3]]))/(Pcfu43[[#This Row],[No. Reps]]*0.015)*Pcfu43[[#This Row],[Best DF]]</f>
        <v>3155555555.5555558</v>
      </c>
      <c r="R365" s="1">
        <f>_xlfn.STDEV.S(Pcfu43[[#This Row],[R1]:[R3]])/0.015*Pcfu43[[#This Row],[Best DF]]</f>
        <v>277555466.59548438</v>
      </c>
      <c r="S365" s="6">
        <f>Pcfu43[[#This Row],[CFU/mL]]*Pcfu43[[#This Row],[mL]]/Pcfu43[[#This Row],[grams]]</f>
        <v>59955555555.555565</v>
      </c>
      <c r="T365" s="1">
        <f>Pcfu43[[#This Row],[SD CFU/mL]]*Pcfu43[[#This Row],[mL]]/Pcfu43[[#This Row],[grams]]</f>
        <v>5273553865.3142033</v>
      </c>
      <c r="U365" s="7">
        <f>_xlfn.STDEV.S(Pcfu43[[#This Row],[R1]:[R3]])/AVERAGE(Pcfu43[[#This Row],[R1]:[R3]])</f>
        <v>8.7957718287301395E-2</v>
      </c>
      <c r="V365" s="102">
        <v>0.24199999999999999</v>
      </c>
      <c r="W365" s="7"/>
      <c r="X365" t="s">
        <v>978</v>
      </c>
    </row>
    <row r="366" spans="1:24" x14ac:dyDescent="0.15">
      <c r="A366" t="s">
        <v>481</v>
      </c>
      <c r="B366" t="s">
        <v>328</v>
      </c>
      <c r="C366" s="4"/>
      <c r="D366" t="s">
        <v>26</v>
      </c>
      <c r="E366" s="3">
        <v>3</v>
      </c>
      <c r="G366">
        <v>0.3</v>
      </c>
      <c r="H366" s="5">
        <v>5.7</v>
      </c>
      <c r="I366" s="3" t="s">
        <v>950</v>
      </c>
      <c r="J366" s="59">
        <v>45040</v>
      </c>
      <c r="K366" s="59"/>
      <c r="L366" s="59" t="e" cm="1">
        <f t="array" ref="L366">INDEX($J$4:J1456, MATCH(1,(A366=$A$4:A1454)*("Y"=$K$4:K1456),0))</f>
        <v>#N/A</v>
      </c>
      <c r="M366" s="1">
        <v>100000</v>
      </c>
      <c r="N366">
        <v>73</v>
      </c>
      <c r="O366">
        <v>82</v>
      </c>
      <c r="P366">
        <v>78</v>
      </c>
      <c r="Q366" s="6">
        <f>(SUM(Pcfu43[[#This Row],[R1]:[R3]]))/(Pcfu43[[#This Row],[No. Reps]]*0.015)*Pcfu43[[#This Row],[Best DF]]</f>
        <v>517777777.77777785</v>
      </c>
      <c r="R366" s="1">
        <f>_xlfn.STDEV.S(Pcfu43[[#This Row],[R1]:[R3]])/0.015*Pcfu43[[#This Row],[Best DF]]</f>
        <v>30061665.018819299</v>
      </c>
      <c r="S366" s="6">
        <f>Pcfu43[[#This Row],[CFU/mL]]*Pcfu43[[#This Row],[mL]]/Pcfu43[[#This Row],[grams]]</f>
        <v>9837777777.7777805</v>
      </c>
      <c r="T366" s="1">
        <f>Pcfu43[[#This Row],[SD CFU/mL]]*Pcfu43[[#This Row],[mL]]/Pcfu43[[#This Row],[grams]]</f>
        <v>571171635.35756671</v>
      </c>
      <c r="U366" s="7">
        <f>_xlfn.STDEV.S(Pcfu43[[#This Row],[R1]:[R3]])/AVERAGE(Pcfu43[[#This Row],[R1]:[R3]])</f>
        <v>5.8059009692998632E-2</v>
      </c>
      <c r="V366" s="102"/>
      <c r="W366" s="7"/>
    </row>
    <row r="367" spans="1:24" x14ac:dyDescent="0.15">
      <c r="A367" t="s">
        <v>486</v>
      </c>
      <c r="B367" t="s">
        <v>328</v>
      </c>
      <c r="C367" s="4"/>
      <c r="D367" t="s">
        <v>26</v>
      </c>
      <c r="E367" s="3">
        <v>3</v>
      </c>
      <c r="G367">
        <v>0.3</v>
      </c>
      <c r="H367" s="5">
        <v>5.7</v>
      </c>
      <c r="I367" s="3" t="s">
        <v>950</v>
      </c>
      <c r="J367" s="59">
        <v>45040</v>
      </c>
      <c r="K367" s="59"/>
      <c r="L367" s="59" t="e" cm="1">
        <f t="array" ref="L367">INDEX($J$4:J1457, MATCH(1,(A367=$A$4:A1455)*("Y"=$K$4:K1457),0))</f>
        <v>#N/A</v>
      </c>
      <c r="M367" s="1">
        <v>10000</v>
      </c>
      <c r="N367">
        <v>137</v>
      </c>
      <c r="O367">
        <v>129</v>
      </c>
      <c r="P367">
        <v>136</v>
      </c>
      <c r="Q367" s="6">
        <f>(SUM(Pcfu43[[#This Row],[R1]:[R3]]))/(Pcfu43[[#This Row],[No. Reps]]*0.015)*Pcfu43[[#This Row],[Best DF]]</f>
        <v>89333333.333333343</v>
      </c>
      <c r="R367" s="1">
        <f>_xlfn.STDEV.S(Pcfu43[[#This Row],[R1]:[R3]])/0.015*Pcfu43[[#This Row],[Best DF]]</f>
        <v>2905932.6290271161</v>
      </c>
      <c r="S367" s="6">
        <f>Pcfu43[[#This Row],[CFU/mL]]*Pcfu43[[#This Row],[mL]]/Pcfu43[[#This Row],[grams]]</f>
        <v>1697333333.3333335</v>
      </c>
      <c r="T367" s="1">
        <f>Pcfu43[[#This Row],[SD CFU/mL]]*Pcfu43[[#This Row],[mL]]/Pcfu43[[#This Row],[grams]]</f>
        <v>55212719.951515213</v>
      </c>
      <c r="U367" s="7">
        <f>_xlfn.STDEV.S(Pcfu43[[#This Row],[R1]:[R3]])/AVERAGE(Pcfu43[[#This Row],[R1]:[R3]])</f>
        <v>3.2529096593587117E-2</v>
      </c>
      <c r="V367" s="102"/>
      <c r="W367" s="7"/>
    </row>
    <row r="368" spans="1:24" x14ac:dyDescent="0.15">
      <c r="A368" t="s">
        <v>490</v>
      </c>
      <c r="B368" t="s">
        <v>328</v>
      </c>
      <c r="C368" s="4"/>
      <c r="D368" t="s">
        <v>26</v>
      </c>
      <c r="E368" s="3">
        <v>3</v>
      </c>
      <c r="G368">
        <v>0.3</v>
      </c>
      <c r="H368" s="5">
        <v>5.7</v>
      </c>
      <c r="I368" s="3" t="s">
        <v>950</v>
      </c>
      <c r="J368" s="59">
        <v>45040</v>
      </c>
      <c r="K368" s="59"/>
      <c r="L368" s="59" t="e" cm="1">
        <f t="array" ref="L368">INDEX($J$4:J1458, MATCH(1,(A368=$A$4:A1456)*("Y"=$K$4:K1458),0))</f>
        <v>#N/A</v>
      </c>
      <c r="M368" s="1">
        <v>100000</v>
      </c>
      <c r="N368">
        <v>131</v>
      </c>
      <c r="O368">
        <v>107</v>
      </c>
      <c r="P368">
        <v>117</v>
      </c>
      <c r="Q368" s="6">
        <f>(SUM(Pcfu43[[#This Row],[R1]:[R3]]))/(Pcfu43[[#This Row],[No. Reps]]*0.015)*Pcfu43[[#This Row],[Best DF]]</f>
        <v>788888888.88888896</v>
      </c>
      <c r="R368" s="1">
        <f>_xlfn.STDEV.S(Pcfu43[[#This Row],[R1]:[R3]])/0.015*Pcfu43[[#This Row],[Best DF]]</f>
        <v>80369516.977889448</v>
      </c>
      <c r="S368" s="6">
        <f>Pcfu43[[#This Row],[CFU/mL]]*Pcfu43[[#This Row],[mL]]/Pcfu43[[#This Row],[grams]]</f>
        <v>14988888888.888891</v>
      </c>
      <c r="T368" s="1">
        <f>Pcfu43[[#This Row],[SD CFU/mL]]*Pcfu43[[#This Row],[mL]]/Pcfu43[[#This Row],[grams]]</f>
        <v>1527020822.5798998</v>
      </c>
      <c r="U368" s="7">
        <f>_xlfn.STDEV.S(Pcfu43[[#This Row],[R1]:[R3]])/AVERAGE(Pcfu43[[#This Row],[R1]:[R3]])</f>
        <v>0.10187685250718381</v>
      </c>
      <c r="V368" s="102"/>
      <c r="W368" s="7"/>
    </row>
    <row r="369" spans="1:24" x14ac:dyDescent="0.15">
      <c r="A369" t="s">
        <v>502</v>
      </c>
      <c r="B369" t="s">
        <v>328</v>
      </c>
      <c r="C369" s="4"/>
      <c r="D369" t="s">
        <v>26</v>
      </c>
      <c r="E369" s="3">
        <v>3</v>
      </c>
      <c r="G369">
        <v>0.3</v>
      </c>
      <c r="H369" s="5">
        <v>5.7</v>
      </c>
      <c r="I369" s="3" t="s">
        <v>950</v>
      </c>
      <c r="J369" s="59">
        <v>45040</v>
      </c>
      <c r="K369" s="59"/>
      <c r="L369" s="59" t="e" cm="1">
        <f t="array" ref="L369">INDEX($J$4:J1459, MATCH(1,(A369=$A$4:A1457)*("Y"=$K$4:K1459),0))</f>
        <v>#N/A</v>
      </c>
      <c r="M369" s="1">
        <v>100000</v>
      </c>
      <c r="N369">
        <v>118</v>
      </c>
      <c r="O369">
        <v>111</v>
      </c>
      <c r="P369">
        <v>121</v>
      </c>
      <c r="Q369" s="6">
        <f>(SUM(Pcfu43[[#This Row],[R1]:[R3]]))/(Pcfu43[[#This Row],[No. Reps]]*0.015)*Pcfu43[[#This Row],[Best DF]]</f>
        <v>777777777.77777779</v>
      </c>
      <c r="R369" s="1">
        <f>_xlfn.STDEV.S(Pcfu43[[#This Row],[R1]:[R3]])/0.015*Pcfu43[[#This Row],[Best DF]]</f>
        <v>34210676.262979232</v>
      </c>
      <c r="S369" s="6">
        <f>Pcfu43[[#This Row],[CFU/mL]]*Pcfu43[[#This Row],[mL]]/Pcfu43[[#This Row],[grams]]</f>
        <v>14777777777.777781</v>
      </c>
      <c r="T369" s="1">
        <f>Pcfu43[[#This Row],[SD CFU/mL]]*Pcfu43[[#This Row],[mL]]/Pcfu43[[#This Row],[grams]]</f>
        <v>650002848.9966054</v>
      </c>
      <c r="U369" s="7">
        <f>_xlfn.STDEV.S(Pcfu43[[#This Row],[R1]:[R3]])/AVERAGE(Pcfu43[[#This Row],[R1]:[R3]])</f>
        <v>4.3985155195259001E-2</v>
      </c>
      <c r="V369" s="102"/>
      <c r="W369" s="7"/>
    </row>
    <row r="370" spans="1:24" x14ac:dyDescent="0.15">
      <c r="A370" t="s">
        <v>979</v>
      </c>
      <c r="C370" s="4"/>
      <c r="D370" t="s">
        <v>215</v>
      </c>
      <c r="E370" s="3">
        <v>2</v>
      </c>
      <c r="G370">
        <v>0.3</v>
      </c>
      <c r="H370" s="5">
        <f>19*Pcfu4[[#This Row],[grams]]</f>
        <v>5.7</v>
      </c>
      <c r="I370" s="3" t="s">
        <v>98</v>
      </c>
      <c r="J370" s="59">
        <v>45041</v>
      </c>
      <c r="K370" s="59"/>
      <c r="L370" s="59" t="e" cm="1">
        <f t="array" ref="L370">INDEX($J$4:J1460, MATCH(1,(A370=$A$4:A1458)*("Y"=$K$4:K1460),0))</f>
        <v>#N/A</v>
      </c>
      <c r="M370" s="1">
        <v>1000000</v>
      </c>
      <c r="N370">
        <v>93</v>
      </c>
      <c r="O370">
        <v>98</v>
      </c>
      <c r="Q370" s="6">
        <f>(SUM(Pcfu43[[#This Row],[R1]:[R3]]))/(Pcfu43[[#This Row],[No. Reps]]*0.015)*Pcfu43[[#This Row],[Best DF]]</f>
        <v>6366666666.666667</v>
      </c>
      <c r="R370" s="1">
        <f>_xlfn.STDEV.S(Pcfu43[[#This Row],[R1]:[R3]])/0.015*Pcfu43[[#This Row],[Best DF]]</f>
        <v>235702260.39551586</v>
      </c>
      <c r="S370" s="6">
        <f>Pcfu43[[#This Row],[CFU/mL]]*Pcfu43[[#This Row],[mL]]/Pcfu43[[#This Row],[grams]]</f>
        <v>120966666666.66667</v>
      </c>
      <c r="T370" s="1">
        <f>Pcfu43[[#This Row],[SD CFU/mL]]*Pcfu43[[#This Row],[mL]]/Pcfu43[[#This Row],[grams]]</f>
        <v>4478342947.514802</v>
      </c>
      <c r="U370" s="7">
        <f>_xlfn.STDEV.S(Pcfu43[[#This Row],[R1]:[R3]])/AVERAGE(Pcfu43[[#This Row],[R1]:[R3]])</f>
        <v>3.7021297444321859E-2</v>
      </c>
      <c r="V370" s="102"/>
      <c r="W370" s="7"/>
    </row>
    <row r="371" spans="1:24" x14ac:dyDescent="0.15">
      <c r="A371" t="s">
        <v>980</v>
      </c>
      <c r="C371" s="4"/>
      <c r="D371" t="s">
        <v>215</v>
      </c>
      <c r="E371" s="3">
        <v>2</v>
      </c>
      <c r="G371">
        <v>0.3</v>
      </c>
      <c r="H371" s="5">
        <f>19*Pcfu4[[#This Row],[grams]]</f>
        <v>5.7</v>
      </c>
      <c r="I371" s="3" t="s">
        <v>98</v>
      </c>
      <c r="J371" s="59">
        <v>45041</v>
      </c>
      <c r="K371" s="59"/>
      <c r="L371" s="59" t="e" cm="1">
        <f t="array" ref="L371">INDEX($J$4:J1461, MATCH(1,(A371=$A$4:A1459)*("Y"=$K$4:K1461),0))</f>
        <v>#N/A</v>
      </c>
      <c r="M371" s="1">
        <v>1000000</v>
      </c>
      <c r="N371">
        <v>88</v>
      </c>
      <c r="O371">
        <v>74</v>
      </c>
      <c r="Q371" s="6">
        <f>(SUM(Pcfu43[[#This Row],[R1]:[R3]]))/(Pcfu43[[#This Row],[No. Reps]]*0.015)*Pcfu43[[#This Row],[Best DF]]</f>
        <v>5400000000</v>
      </c>
      <c r="R371" s="1">
        <f>_xlfn.STDEV.S(Pcfu43[[#This Row],[R1]:[R3]])/0.015*Pcfu43[[#This Row],[Best DF]]</f>
        <v>659966329.10744441</v>
      </c>
      <c r="S371" s="6">
        <f>Pcfu43[[#This Row],[CFU/mL]]*Pcfu43[[#This Row],[mL]]/Pcfu43[[#This Row],[grams]]</f>
        <v>102600000000</v>
      </c>
      <c r="T371" s="1">
        <f>Pcfu43[[#This Row],[SD CFU/mL]]*Pcfu43[[#This Row],[mL]]/Pcfu43[[#This Row],[grams]]</f>
        <v>12539360253.041445</v>
      </c>
      <c r="U371" s="7">
        <f>_xlfn.STDEV.S(Pcfu43[[#This Row],[R1]:[R3]])/AVERAGE(Pcfu43[[#This Row],[R1]:[R3]])</f>
        <v>0.12221598687174895</v>
      </c>
      <c r="V371" s="102"/>
      <c r="W371" s="7"/>
    </row>
    <row r="372" spans="1:24" x14ac:dyDescent="0.15">
      <c r="A372" t="s">
        <v>981</v>
      </c>
      <c r="C372" s="4"/>
      <c r="D372" t="s">
        <v>215</v>
      </c>
      <c r="E372" s="3">
        <v>2</v>
      </c>
      <c r="G372">
        <v>0.3</v>
      </c>
      <c r="H372" s="5">
        <f>19*Pcfu4[[#This Row],[grams]]</f>
        <v>5.7</v>
      </c>
      <c r="I372" s="3" t="s">
        <v>98</v>
      </c>
      <c r="J372" s="59">
        <v>45041</v>
      </c>
      <c r="K372" s="59"/>
      <c r="L372" s="59" t="e" cm="1">
        <f t="array" ref="L372">INDEX($J$4:J1462, MATCH(1,(A372=$A$4:A1460)*("Y"=$K$4:K1462),0))</f>
        <v>#N/A</v>
      </c>
      <c r="M372" s="1">
        <v>1000000</v>
      </c>
      <c r="N372">
        <v>65</v>
      </c>
      <c r="O372">
        <v>68</v>
      </c>
      <c r="Q372" s="6">
        <f>(SUM(Pcfu43[[#This Row],[R1]:[R3]]))/(Pcfu43[[#This Row],[No. Reps]]*0.015)*Pcfu43[[#This Row],[Best DF]]</f>
        <v>4433333333.333334</v>
      </c>
      <c r="R372" s="1">
        <f>_xlfn.STDEV.S(Pcfu43[[#This Row],[R1]:[R3]])/0.015*Pcfu43[[#This Row],[Best DF]]</f>
        <v>141421356.23730952</v>
      </c>
      <c r="S372" s="6">
        <f>Pcfu43[[#This Row],[CFU/mL]]*Pcfu43[[#This Row],[mL]]/Pcfu43[[#This Row],[grams]]</f>
        <v>84233333333.333344</v>
      </c>
      <c r="T372" s="1">
        <f>Pcfu43[[#This Row],[SD CFU/mL]]*Pcfu43[[#This Row],[mL]]/Pcfu43[[#This Row],[grams]]</f>
        <v>2687005768.5088811</v>
      </c>
      <c r="U372" s="7">
        <f>_xlfn.STDEV.S(Pcfu43[[#This Row],[R1]:[R3]])/AVERAGE(Pcfu43[[#This Row],[R1]:[R3]])</f>
        <v>3.189955403849086E-2</v>
      </c>
      <c r="V372" s="102"/>
      <c r="W372" s="7"/>
    </row>
    <row r="373" spans="1:24" x14ac:dyDescent="0.15">
      <c r="A373" t="s">
        <v>982</v>
      </c>
      <c r="C373" s="4"/>
      <c r="D373" t="s">
        <v>215</v>
      </c>
      <c r="E373" s="3">
        <v>2</v>
      </c>
      <c r="G373">
        <v>0.3</v>
      </c>
      <c r="H373" s="5">
        <f>19*Pcfu4[[#This Row],[grams]]</f>
        <v>5.7</v>
      </c>
      <c r="I373" s="3" t="s">
        <v>98</v>
      </c>
      <c r="J373" s="59">
        <v>45041</v>
      </c>
      <c r="K373" s="59"/>
      <c r="L373" s="59" t="e" cm="1">
        <f t="array" ref="L373">INDEX($J$4:J1463, MATCH(1,(A373=$A$4:A1461)*("Y"=$K$4:K1463),0))</f>
        <v>#N/A</v>
      </c>
      <c r="M373" s="1">
        <v>1000000</v>
      </c>
      <c r="N373">
        <v>63</v>
      </c>
      <c r="O373">
        <v>69</v>
      </c>
      <c r="Q373" s="6">
        <f>(SUM(Pcfu43[[#This Row],[R1]:[R3]]))/(Pcfu43[[#This Row],[No. Reps]]*0.015)*Pcfu43[[#This Row],[Best DF]]</f>
        <v>4400000000</v>
      </c>
      <c r="R373" s="1">
        <f>_xlfn.STDEV.S(Pcfu43[[#This Row],[R1]:[R3]])/0.015*Pcfu43[[#This Row],[Best DF]]</f>
        <v>282842712.47461903</v>
      </c>
      <c r="S373" s="6">
        <f>Pcfu43[[#This Row],[CFU/mL]]*Pcfu43[[#This Row],[mL]]/Pcfu43[[#This Row],[grams]]</f>
        <v>83600000000</v>
      </c>
      <c r="T373" s="1">
        <f>Pcfu43[[#This Row],[SD CFU/mL]]*Pcfu43[[#This Row],[mL]]/Pcfu43[[#This Row],[grams]]</f>
        <v>5374011537.0177622</v>
      </c>
      <c r="U373" s="7">
        <f>_xlfn.STDEV.S(Pcfu43[[#This Row],[R1]:[R3]])/AVERAGE(Pcfu43[[#This Row],[R1]:[R3]])</f>
        <v>6.4282434653322493E-2</v>
      </c>
      <c r="V373" s="102"/>
      <c r="W373" s="7"/>
    </row>
    <row r="374" spans="1:24" x14ac:dyDescent="0.15">
      <c r="A374" t="s">
        <v>983</v>
      </c>
      <c r="C374" s="4"/>
      <c r="D374" t="s">
        <v>215</v>
      </c>
      <c r="E374" s="3">
        <v>2</v>
      </c>
      <c r="G374">
        <v>0.3</v>
      </c>
      <c r="H374" s="5">
        <f>19*Pcfu4[[#This Row],[grams]]</f>
        <v>5.7</v>
      </c>
      <c r="I374" s="3" t="s">
        <v>98</v>
      </c>
      <c r="J374" s="59">
        <v>45041</v>
      </c>
      <c r="K374" s="59"/>
      <c r="L374" s="59" t="e" cm="1">
        <f t="array" ref="L374">INDEX($J$4:J1464, MATCH(1,(A374=$A$4:A1462)*("Y"=$K$4:K1464),0))</f>
        <v>#N/A</v>
      </c>
      <c r="M374" s="1">
        <v>1000000</v>
      </c>
      <c r="N374">
        <v>70</v>
      </c>
      <c r="O374">
        <v>57</v>
      </c>
      <c r="Q374" s="6">
        <f>(SUM(Pcfu43[[#This Row],[R1]:[R3]]))/(Pcfu43[[#This Row],[No. Reps]]*0.015)*Pcfu43[[#This Row],[Best DF]]</f>
        <v>4233333333.333334</v>
      </c>
      <c r="R374" s="1">
        <f>_xlfn.STDEV.S(Pcfu43[[#This Row],[R1]:[R3]])/0.015*Pcfu43[[#This Row],[Best DF]]</f>
        <v>612825877.02834117</v>
      </c>
      <c r="S374" s="6">
        <f>Pcfu43[[#This Row],[CFU/mL]]*Pcfu43[[#This Row],[mL]]/Pcfu43[[#This Row],[grams]]</f>
        <v>80433333333.333344</v>
      </c>
      <c r="T374" s="1">
        <f>Pcfu43[[#This Row],[SD CFU/mL]]*Pcfu43[[#This Row],[mL]]/Pcfu43[[#This Row],[grams]]</f>
        <v>11643691663.538483</v>
      </c>
      <c r="U374" s="7">
        <f>_xlfn.STDEV.S(Pcfu43[[#This Row],[R1]:[R3]])/AVERAGE(Pcfu43[[#This Row],[R1]:[R3]])</f>
        <v>0.14476201819567114</v>
      </c>
      <c r="V374" s="102"/>
      <c r="W374" s="7"/>
    </row>
    <row r="375" spans="1:24" x14ac:dyDescent="0.15">
      <c r="A375" t="s">
        <v>984</v>
      </c>
      <c r="C375" s="4"/>
      <c r="D375" t="s">
        <v>215</v>
      </c>
      <c r="E375" s="3">
        <v>2</v>
      </c>
      <c r="G375">
        <v>0.3</v>
      </c>
      <c r="H375" s="5">
        <f>19*Pcfu4[[#This Row],[grams]]</f>
        <v>5.7</v>
      </c>
      <c r="I375" s="3" t="s">
        <v>98</v>
      </c>
      <c r="J375" s="59">
        <v>45041</v>
      </c>
      <c r="K375" s="59"/>
      <c r="L375" s="59" t="e" cm="1">
        <f t="array" ref="L375">INDEX($J$4:J1465, MATCH(1,(A375=$A$4:A1463)*("Y"=$K$4:K1465),0))</f>
        <v>#N/A</v>
      </c>
      <c r="M375" s="1">
        <v>1000000</v>
      </c>
      <c r="N375">
        <v>65</v>
      </c>
      <c r="O375">
        <v>72</v>
      </c>
      <c r="Q375" s="6">
        <f>(SUM(Pcfu43[[#This Row],[R1]:[R3]]))/(Pcfu43[[#This Row],[No. Reps]]*0.015)*Pcfu43[[#This Row],[Best DF]]</f>
        <v>4566666666.666667</v>
      </c>
      <c r="R375" s="1">
        <f>_xlfn.STDEV.S(Pcfu43[[#This Row],[R1]:[R3]])/0.015*Pcfu43[[#This Row],[Best DF]]</f>
        <v>329983164.5537222</v>
      </c>
      <c r="S375" s="6">
        <f>Pcfu43[[#This Row],[CFU/mL]]*Pcfu43[[#This Row],[mL]]/Pcfu43[[#This Row],[grams]]</f>
        <v>86766666666.666687</v>
      </c>
      <c r="T375" s="1">
        <f>Pcfu43[[#This Row],[SD CFU/mL]]*Pcfu43[[#This Row],[mL]]/Pcfu43[[#This Row],[grams]]</f>
        <v>6269680126.5207224</v>
      </c>
      <c r="U375" s="7">
        <f>_xlfn.STDEV.S(Pcfu43[[#This Row],[R1]:[R3]])/AVERAGE(Pcfu43[[#This Row],[R1]:[R3]])</f>
        <v>7.2259087128552307E-2</v>
      </c>
      <c r="V375" s="102"/>
      <c r="W375" s="7"/>
    </row>
    <row r="376" spans="1:24" x14ac:dyDescent="0.15">
      <c r="A376" t="s">
        <v>985</v>
      </c>
      <c r="C376" s="4"/>
      <c r="D376" t="s">
        <v>215</v>
      </c>
      <c r="E376" s="3">
        <v>2</v>
      </c>
      <c r="G376">
        <v>0.3</v>
      </c>
      <c r="H376" s="5">
        <f>19*Pcfu4[[#This Row],[grams]]</f>
        <v>5.7</v>
      </c>
      <c r="I376" s="3" t="s">
        <v>98</v>
      </c>
      <c r="J376" s="59">
        <v>45041</v>
      </c>
      <c r="K376" s="59"/>
      <c r="L376" s="59" t="e" cm="1">
        <f t="array" ref="L376">INDEX($J$4:J1466, MATCH(1,(A376=$A$4:A1464)*("Y"=$K$4:K1466),0))</f>
        <v>#N/A</v>
      </c>
      <c r="M376" s="1">
        <v>1000000</v>
      </c>
      <c r="N376">
        <v>75</v>
      </c>
      <c r="O376">
        <v>56</v>
      </c>
      <c r="Q376" s="6">
        <f>(SUM(Pcfu43[[#This Row],[R1]:[R3]]))/(Pcfu43[[#This Row],[No. Reps]]*0.015)*Pcfu43[[#This Row],[Best DF]]</f>
        <v>4366666666.666667</v>
      </c>
      <c r="R376" s="1">
        <f>_xlfn.STDEV.S(Pcfu43[[#This Row],[R1]:[R3]])/0.015*Pcfu43[[#This Row],[Best DF]]</f>
        <v>895668589.50296021</v>
      </c>
      <c r="S376" s="6">
        <f>Pcfu43[[#This Row],[CFU/mL]]*Pcfu43[[#This Row],[mL]]/Pcfu43[[#This Row],[grams]]</f>
        <v>82966666666.666687</v>
      </c>
      <c r="T376" s="1">
        <f>Pcfu43[[#This Row],[SD CFU/mL]]*Pcfu43[[#This Row],[mL]]/Pcfu43[[#This Row],[grams]]</f>
        <v>17017703200.556244</v>
      </c>
      <c r="U376" s="7">
        <f>_xlfn.STDEV.S(Pcfu43[[#This Row],[R1]:[R3]])/AVERAGE(Pcfu43[[#This Row],[R1]:[R3]])</f>
        <v>0.20511494416098325</v>
      </c>
      <c r="V376" s="102"/>
      <c r="W376" s="7"/>
    </row>
    <row r="377" spans="1:24" x14ac:dyDescent="0.15">
      <c r="A377" t="s">
        <v>986</v>
      </c>
      <c r="C377" s="4"/>
      <c r="D377" t="s">
        <v>215</v>
      </c>
      <c r="E377" s="3">
        <v>2</v>
      </c>
      <c r="G377">
        <v>0.3</v>
      </c>
      <c r="H377" s="5">
        <f>19*Pcfu4[[#This Row],[grams]]</f>
        <v>5.7</v>
      </c>
      <c r="I377" s="3" t="s">
        <v>98</v>
      </c>
      <c r="J377" s="59">
        <v>45041</v>
      </c>
      <c r="K377" s="59"/>
      <c r="L377" s="59" t="e" cm="1">
        <f t="array" ref="L377">INDEX($J$4:J1467, MATCH(1,(A377=$A$4:A1465)*("Y"=$K$4:K1467),0))</f>
        <v>#N/A</v>
      </c>
      <c r="M377" s="1">
        <v>1000000</v>
      </c>
      <c r="N377">
        <v>55</v>
      </c>
      <c r="O377">
        <v>75</v>
      </c>
      <c r="Q377" s="6">
        <f>(SUM(Pcfu43[[#This Row],[R1]:[R3]]))/(Pcfu43[[#This Row],[No. Reps]]*0.015)*Pcfu43[[#This Row],[Best DF]]</f>
        <v>4333333333.333334</v>
      </c>
      <c r="R377" s="1">
        <f>_xlfn.STDEV.S(Pcfu43[[#This Row],[R1]:[R3]])/0.015*Pcfu43[[#This Row],[Best DF]]</f>
        <v>942809041.58206344</v>
      </c>
      <c r="S377" s="6">
        <f>Pcfu43[[#This Row],[CFU/mL]]*Pcfu43[[#This Row],[mL]]/Pcfu43[[#This Row],[grams]]</f>
        <v>82333333333.333344</v>
      </c>
      <c r="T377" s="1">
        <f>Pcfu43[[#This Row],[SD CFU/mL]]*Pcfu43[[#This Row],[mL]]/Pcfu43[[#This Row],[grams]]</f>
        <v>17913371790.059208</v>
      </c>
      <c r="U377" s="7">
        <f>_xlfn.STDEV.S(Pcfu43[[#This Row],[R1]:[R3]])/AVERAGE(Pcfu43[[#This Row],[R1]:[R3]])</f>
        <v>0.21757131728816848</v>
      </c>
      <c r="V377" s="102"/>
      <c r="W377" s="7"/>
    </row>
    <row r="378" spans="1:24" x14ac:dyDescent="0.15">
      <c r="A378" t="s">
        <v>987</v>
      </c>
      <c r="C378" s="4"/>
      <c r="D378" t="s">
        <v>215</v>
      </c>
      <c r="E378" s="3">
        <v>2</v>
      </c>
      <c r="G378">
        <v>0.3</v>
      </c>
      <c r="H378" s="5">
        <f>19*Pcfu4[[#This Row],[grams]]</f>
        <v>5.7</v>
      </c>
      <c r="I378" s="3" t="s">
        <v>98</v>
      </c>
      <c r="J378" s="59">
        <v>45041</v>
      </c>
      <c r="K378" s="59"/>
      <c r="L378" s="59" t="e" cm="1">
        <f t="array" ref="L378">INDEX($J$4:J1468, MATCH(1,(A378=$A$4:A1466)*("Y"=$K$4:K1468),0))</f>
        <v>#N/A</v>
      </c>
      <c r="M378" s="1">
        <v>1000000</v>
      </c>
      <c r="N378">
        <v>69</v>
      </c>
      <c r="O378">
        <v>73</v>
      </c>
      <c r="Q378" s="6">
        <f>(SUM(Pcfu43[[#This Row],[R1]:[R3]]))/(Pcfu43[[#This Row],[No. Reps]]*0.015)*Pcfu43[[#This Row],[Best DF]]</f>
        <v>4733333333.333334</v>
      </c>
      <c r="R378" s="1">
        <f>_xlfn.STDEV.S(Pcfu43[[#This Row],[R1]:[R3]])/0.015*Pcfu43[[#This Row],[Best DF]]</f>
        <v>188561808.31641269</v>
      </c>
      <c r="S378" s="6">
        <f>Pcfu43[[#This Row],[CFU/mL]]*Pcfu43[[#This Row],[mL]]/Pcfu43[[#This Row],[grams]]</f>
        <v>89933333333.333344</v>
      </c>
      <c r="T378" s="1">
        <f>Pcfu43[[#This Row],[SD CFU/mL]]*Pcfu43[[#This Row],[mL]]/Pcfu43[[#This Row],[grams]]</f>
        <v>3582674358.0118413</v>
      </c>
      <c r="U378" s="7">
        <f>_xlfn.STDEV.S(Pcfu43[[#This Row],[R1]:[R3]])/AVERAGE(Pcfu43[[#This Row],[R1]:[R3]])</f>
        <v>3.9837001756988594E-2</v>
      </c>
      <c r="V378" s="102"/>
      <c r="W378" s="7"/>
    </row>
    <row r="379" spans="1:24" x14ac:dyDescent="0.15">
      <c r="A379" t="s">
        <v>891</v>
      </c>
      <c r="B379" t="s">
        <v>328</v>
      </c>
      <c r="C379" s="4"/>
      <c r="D379" t="s">
        <v>37</v>
      </c>
      <c r="E379" s="3">
        <v>3</v>
      </c>
      <c r="G379">
        <v>0.3</v>
      </c>
      <c r="H379" s="5">
        <v>5.7</v>
      </c>
      <c r="I379" s="3" t="s">
        <v>950</v>
      </c>
      <c r="J379" s="59">
        <v>45042</v>
      </c>
      <c r="K379" s="59"/>
      <c r="L379" s="59" t="e" cm="1">
        <f t="array" ref="L379">INDEX($J$4:J1469, MATCH(1,(A379=$A$4:A1467)*("Y"=$K$4:K1469),0))</f>
        <v>#N/A</v>
      </c>
      <c r="M379" s="1">
        <v>1000000</v>
      </c>
      <c r="N379">
        <v>45</v>
      </c>
      <c r="O379">
        <v>36</v>
      </c>
      <c r="P379">
        <v>34</v>
      </c>
      <c r="Q379" s="6">
        <f>(SUM(Pcfu43[[#This Row],[R1]:[R3]]))/(Pcfu43[[#This Row],[No. Reps]]*0.015)*Pcfu43[[#This Row],[Best DF]]</f>
        <v>2555555555.5555558</v>
      </c>
      <c r="R379" s="1">
        <f>_xlfn.STDEV.S(Pcfu43[[#This Row],[R1]:[R3]])/0.015*Pcfu43[[#This Row],[Best DF]]</f>
        <v>390631018.47215521</v>
      </c>
      <c r="S379" s="6">
        <f>Pcfu43[[#This Row],[CFU/mL]]*Pcfu43[[#This Row],[mL]]/Pcfu43[[#This Row],[grams]]</f>
        <v>48555555555.555565</v>
      </c>
      <c r="T379" s="1">
        <f>Pcfu43[[#This Row],[SD CFU/mL]]*Pcfu43[[#This Row],[mL]]/Pcfu43[[#This Row],[grams]]</f>
        <v>7421989350.9709492</v>
      </c>
      <c r="U379" s="7">
        <f>_xlfn.STDEV.S(Pcfu43[[#This Row],[R1]:[R3]])/AVERAGE(Pcfu43[[#This Row],[R1]:[R3]])</f>
        <v>0.1528556159238868</v>
      </c>
      <c r="V379" s="102">
        <v>0.29499999999999998</v>
      </c>
      <c r="W379" s="7"/>
      <c r="X379" t="s">
        <v>988</v>
      </c>
    </row>
    <row r="380" spans="1:24" x14ac:dyDescent="0.15">
      <c r="A380" t="s">
        <v>893</v>
      </c>
      <c r="B380" t="s">
        <v>328</v>
      </c>
      <c r="C380" s="4"/>
      <c r="D380" t="s">
        <v>37</v>
      </c>
      <c r="E380" s="3">
        <v>3</v>
      </c>
      <c r="G380">
        <v>0.3</v>
      </c>
      <c r="H380" s="5">
        <v>5.7</v>
      </c>
      <c r="I380" s="3" t="s">
        <v>950</v>
      </c>
      <c r="J380" s="59">
        <v>45042</v>
      </c>
      <c r="K380" s="59"/>
      <c r="L380" s="59" t="e" cm="1">
        <f t="array" ref="L380">INDEX($J$4:J1470, MATCH(1,(A380=$A$4:A1468)*("Y"=$K$4:K1470),0))</f>
        <v>#N/A</v>
      </c>
      <c r="M380" s="1">
        <v>100000</v>
      </c>
      <c r="N380">
        <v>105</v>
      </c>
      <c r="O380">
        <v>111</v>
      </c>
      <c r="P380">
        <v>96</v>
      </c>
      <c r="Q380" s="6">
        <f>(SUM(Pcfu43[[#This Row],[R1]:[R3]]))/(Pcfu43[[#This Row],[No. Reps]]*0.015)*Pcfu43[[#This Row],[Best DF]]</f>
        <v>693333333.33333337</v>
      </c>
      <c r="R380" s="1">
        <f>_xlfn.STDEV.S(Pcfu43[[#This Row],[R1]:[R3]])/0.015*Pcfu43[[#This Row],[Best DF]]</f>
        <v>50332229.56847167</v>
      </c>
      <c r="S380" s="6">
        <f>Pcfu43[[#This Row],[CFU/mL]]*Pcfu43[[#This Row],[mL]]/Pcfu43[[#This Row],[grams]]</f>
        <v>13173333333.333336</v>
      </c>
      <c r="T380" s="1">
        <f>Pcfu43[[#This Row],[SD CFU/mL]]*Pcfu43[[#This Row],[mL]]/Pcfu43[[#This Row],[grams]]</f>
        <v>956312361.80096173</v>
      </c>
      <c r="U380" s="7">
        <f>_xlfn.STDEV.S(Pcfu43[[#This Row],[R1]:[R3]])/AVERAGE(Pcfu43[[#This Row],[R1]:[R3]])</f>
        <v>7.2594561877603367E-2</v>
      </c>
      <c r="V380" s="102">
        <v>0.27500000000000002</v>
      </c>
      <c r="W380" s="7"/>
      <c r="X380" t="s">
        <v>989</v>
      </c>
    </row>
    <row r="381" spans="1:24" x14ac:dyDescent="0.15">
      <c r="A381" t="s">
        <v>895</v>
      </c>
      <c r="B381" t="s">
        <v>328</v>
      </c>
      <c r="C381" s="4"/>
      <c r="D381" t="s">
        <v>37</v>
      </c>
      <c r="E381" s="3">
        <v>3</v>
      </c>
      <c r="G381">
        <v>0.3</v>
      </c>
      <c r="H381" s="5">
        <v>5.7</v>
      </c>
      <c r="I381" s="3" t="s">
        <v>950</v>
      </c>
      <c r="J381" s="59">
        <v>45042</v>
      </c>
      <c r="K381" s="59"/>
      <c r="L381" s="59" t="e" cm="1">
        <f t="array" ref="L381">INDEX($J$4:J1471, MATCH(1,(A381=$A$4:A1469)*("Y"=$K$4:K1471),0))</f>
        <v>#N/A</v>
      </c>
      <c r="M381" s="1">
        <v>100000</v>
      </c>
      <c r="N381">
        <v>50</v>
      </c>
      <c r="O381">
        <v>54</v>
      </c>
      <c r="P381">
        <v>65</v>
      </c>
      <c r="Q381" s="6">
        <f>(SUM(Pcfu43[[#This Row],[R1]:[R3]]))/(Pcfu43[[#This Row],[No. Reps]]*0.015)*Pcfu43[[#This Row],[Best DF]]</f>
        <v>375555555.55555558</v>
      </c>
      <c r="R381" s="1">
        <f>_xlfn.STDEV.S(Pcfu43[[#This Row],[R1]:[R3]])/0.015*Pcfu43[[#This Row],[Best DF]]</f>
        <v>51783023.101026729</v>
      </c>
      <c r="S381" s="6">
        <f>Pcfu43[[#This Row],[CFU/mL]]*Pcfu43[[#This Row],[mL]]/Pcfu43[[#This Row],[grams]]</f>
        <v>7135555555.5555573</v>
      </c>
      <c r="T381" s="1">
        <f>Pcfu43[[#This Row],[SD CFU/mL]]*Pcfu43[[#This Row],[mL]]/Pcfu43[[#This Row],[grams]]</f>
        <v>983877438.91950786</v>
      </c>
      <c r="U381" s="7">
        <f>_xlfn.STDEV.S(Pcfu43[[#This Row],[R1]:[R3]])/AVERAGE(Pcfu43[[#This Row],[R1]:[R3]])</f>
        <v>0.1378837893222605</v>
      </c>
      <c r="V381" s="102">
        <v>0.28100000000000003</v>
      </c>
      <c r="W381" s="7"/>
      <c r="X381" t="s">
        <v>863</v>
      </c>
    </row>
    <row r="382" spans="1:24" x14ac:dyDescent="0.15">
      <c r="A382" t="s">
        <v>897</v>
      </c>
      <c r="B382" t="s">
        <v>328</v>
      </c>
      <c r="C382" s="4"/>
      <c r="D382" t="s">
        <v>37</v>
      </c>
      <c r="E382" s="3">
        <v>3</v>
      </c>
      <c r="G382">
        <v>0.3</v>
      </c>
      <c r="H382" s="5">
        <v>5.7</v>
      </c>
      <c r="I382" s="3" t="s">
        <v>950</v>
      </c>
      <c r="J382" s="59">
        <v>45042</v>
      </c>
      <c r="K382" s="59"/>
      <c r="L382" s="59" t="e" cm="1">
        <f t="array" ref="L382">INDEX($J$4:J1472, MATCH(1,(A382=$A$4:A1470)*("Y"=$K$4:K1472),0))</f>
        <v>#N/A</v>
      </c>
      <c r="M382" s="1">
        <v>100000</v>
      </c>
      <c r="N382">
        <v>43</v>
      </c>
      <c r="O382">
        <v>36</v>
      </c>
      <c r="P382">
        <v>44</v>
      </c>
      <c r="Q382" s="6">
        <f>(SUM(Pcfu43[[#This Row],[R1]:[R3]]))/(Pcfu43[[#This Row],[No. Reps]]*0.015)*Pcfu43[[#This Row],[Best DF]]</f>
        <v>273333333.33333337</v>
      </c>
      <c r="R382" s="1">
        <f>_xlfn.STDEV.S(Pcfu43[[#This Row],[R1]:[R3]])/0.015*Pcfu43[[#This Row],[Best DF]]</f>
        <v>29059326.290271163</v>
      </c>
      <c r="S382" s="6">
        <f>Pcfu43[[#This Row],[CFU/mL]]*Pcfu43[[#This Row],[mL]]/Pcfu43[[#This Row],[grams]]</f>
        <v>5193333333.333334</v>
      </c>
      <c r="T382" s="1">
        <f>Pcfu43[[#This Row],[SD CFU/mL]]*Pcfu43[[#This Row],[mL]]/Pcfu43[[#This Row],[grams]]</f>
        <v>552127199.5151521</v>
      </c>
      <c r="U382" s="7">
        <f>_xlfn.STDEV.S(Pcfu43[[#This Row],[R1]:[R3]])/AVERAGE(Pcfu43[[#This Row],[R1]:[R3]])</f>
        <v>0.10631460837904083</v>
      </c>
      <c r="V382" s="102">
        <v>0.27100000000000002</v>
      </c>
      <c r="W382" s="7"/>
      <c r="X382" t="s">
        <v>423</v>
      </c>
    </row>
    <row r="383" spans="1:24" x14ac:dyDescent="0.15">
      <c r="A383" t="s">
        <v>990</v>
      </c>
      <c r="B383" t="s">
        <v>328</v>
      </c>
      <c r="C383" s="4"/>
      <c r="D383" t="s">
        <v>37</v>
      </c>
      <c r="E383" s="3">
        <v>3</v>
      </c>
      <c r="G383">
        <v>0.3</v>
      </c>
      <c r="H383" s="5">
        <v>5.7</v>
      </c>
      <c r="I383" s="3" t="s">
        <v>950</v>
      </c>
      <c r="J383" s="59">
        <v>45042</v>
      </c>
      <c r="K383" s="59"/>
      <c r="L383" s="59" t="e" cm="1">
        <f t="array" ref="L383">INDEX($J$4:J1473, MATCH(1,(A383=$A$4:A1471)*("Y"=$K$4:K1473),0))</f>
        <v>#N/A</v>
      </c>
      <c r="M383" s="1">
        <v>1000000</v>
      </c>
      <c r="N383">
        <v>39</v>
      </c>
      <c r="O383">
        <v>22</v>
      </c>
      <c r="P383">
        <v>27</v>
      </c>
      <c r="Q383" s="6">
        <f>(SUM(Pcfu43[[#This Row],[R1]:[R3]]))/(Pcfu43[[#This Row],[No. Reps]]*0.015)*Pcfu43[[#This Row],[Best DF]]</f>
        <v>1955555555.5555556</v>
      </c>
      <c r="R383" s="1">
        <f>_xlfn.STDEV.S(Pcfu43[[#This Row],[R1]:[R3]])/0.015*Pcfu43[[#This Row],[Best DF]]</f>
        <v>582459663.20360672</v>
      </c>
      <c r="S383" s="6">
        <f>Pcfu43[[#This Row],[CFU/mL]]*Pcfu43[[#This Row],[mL]]/Pcfu43[[#This Row],[grams]]</f>
        <v>37155555555.555565</v>
      </c>
      <c r="T383" s="1">
        <f>Pcfu43[[#This Row],[SD CFU/mL]]*Pcfu43[[#This Row],[mL]]/Pcfu43[[#This Row],[grams]]</f>
        <v>11066733600.868528</v>
      </c>
      <c r="U383" s="7">
        <f>_xlfn.STDEV.S(Pcfu43[[#This Row],[R1]:[R3]])/AVERAGE(Pcfu43[[#This Row],[R1]:[R3]])</f>
        <v>0.29784869141093523</v>
      </c>
      <c r="V383" s="102">
        <v>0.26600000000000001</v>
      </c>
      <c r="W383" s="7"/>
      <c r="X383" t="s">
        <v>991</v>
      </c>
    </row>
    <row r="384" spans="1:24" x14ac:dyDescent="0.15">
      <c r="A384" t="s">
        <v>898</v>
      </c>
      <c r="B384" t="s">
        <v>328</v>
      </c>
      <c r="C384" s="4"/>
      <c r="D384" t="s">
        <v>37</v>
      </c>
      <c r="E384" s="3">
        <v>3</v>
      </c>
      <c r="G384">
        <v>0.3</v>
      </c>
      <c r="H384" s="5">
        <v>5.7</v>
      </c>
      <c r="I384" s="3" t="s">
        <v>950</v>
      </c>
      <c r="J384" s="59">
        <v>45042</v>
      </c>
      <c r="K384" s="59"/>
      <c r="L384" s="59" t="e" cm="1">
        <f t="array" ref="L384">INDEX($J$4:J1474, MATCH(1,(A384=$A$4:A1472)*("Y"=$K$4:K1474),0))</f>
        <v>#N/A</v>
      </c>
      <c r="M384" s="1">
        <v>1000000</v>
      </c>
      <c r="N384">
        <v>38</v>
      </c>
      <c r="O384">
        <v>26</v>
      </c>
      <c r="P384">
        <v>35</v>
      </c>
      <c r="Q384" s="6">
        <f>(SUM(Pcfu43[[#This Row],[R1]:[R3]]))/(Pcfu43[[#This Row],[No. Reps]]*0.015)*Pcfu43[[#This Row],[Best DF]]</f>
        <v>2200000000</v>
      </c>
      <c r="R384" s="1">
        <f>_xlfn.STDEV.S(Pcfu43[[#This Row],[R1]:[R3]])/0.015*Pcfu43[[#This Row],[Best DF]]</f>
        <v>416333199.89322656</v>
      </c>
      <c r="S384" s="6">
        <f>Pcfu43[[#This Row],[CFU/mL]]*Pcfu43[[#This Row],[mL]]/Pcfu43[[#This Row],[grams]]</f>
        <v>41800000000</v>
      </c>
      <c r="T384" s="1">
        <f>Pcfu43[[#This Row],[SD CFU/mL]]*Pcfu43[[#This Row],[mL]]/Pcfu43[[#This Row],[grams]]</f>
        <v>7910330797.9713049</v>
      </c>
      <c r="U384" s="7">
        <f>_xlfn.STDEV.S(Pcfu43[[#This Row],[R1]:[R3]])/AVERAGE(Pcfu43[[#This Row],[R1]:[R3]])</f>
        <v>0.18924236358783025</v>
      </c>
      <c r="V384" s="102">
        <v>0.27200000000000002</v>
      </c>
      <c r="W384" s="7"/>
      <c r="X384" t="s">
        <v>404</v>
      </c>
    </row>
    <row r="385" spans="1:24" x14ac:dyDescent="0.15">
      <c r="A385" t="s">
        <v>902</v>
      </c>
      <c r="B385" t="s">
        <v>328</v>
      </c>
      <c r="C385" s="4"/>
      <c r="D385" t="s">
        <v>37</v>
      </c>
      <c r="E385" s="3">
        <v>3</v>
      </c>
      <c r="G385">
        <v>0.3</v>
      </c>
      <c r="H385" s="5">
        <v>5.7</v>
      </c>
      <c r="I385" s="3" t="s">
        <v>950</v>
      </c>
      <c r="J385" s="59">
        <v>45042</v>
      </c>
      <c r="K385" s="59"/>
      <c r="L385" s="59" t="e" cm="1">
        <f t="array" ref="L385">INDEX($J$4:J1475, MATCH(1,(A385=$A$4:A1473)*("Y"=$K$4:K1475),0))</f>
        <v>#N/A</v>
      </c>
      <c r="M385" s="1">
        <v>100000</v>
      </c>
      <c r="N385">
        <v>99</v>
      </c>
      <c r="O385">
        <v>98</v>
      </c>
      <c r="P385">
        <v>97</v>
      </c>
      <c r="Q385" s="6">
        <f>(SUM(Pcfu43[[#This Row],[R1]:[R3]]))/(Pcfu43[[#This Row],[No. Reps]]*0.015)*Pcfu43[[#This Row],[Best DF]]</f>
        <v>653333333.33333337</v>
      </c>
      <c r="R385" s="1">
        <f>_xlfn.STDEV.S(Pcfu43[[#This Row],[R1]:[R3]])/0.015*Pcfu43[[#This Row],[Best DF]]</f>
        <v>6666666.666666667</v>
      </c>
      <c r="S385" s="6">
        <f>Pcfu43[[#This Row],[CFU/mL]]*Pcfu43[[#This Row],[mL]]/Pcfu43[[#This Row],[grams]]</f>
        <v>12413333333.333336</v>
      </c>
      <c r="T385" s="1">
        <f>Pcfu43[[#This Row],[SD CFU/mL]]*Pcfu43[[#This Row],[mL]]/Pcfu43[[#This Row],[grams]]</f>
        <v>126666666.66666667</v>
      </c>
      <c r="U385" s="7">
        <f>_xlfn.STDEV.S(Pcfu43[[#This Row],[R1]:[R3]])/AVERAGE(Pcfu43[[#This Row],[R1]:[R3]])</f>
        <v>1.020408163265306E-2</v>
      </c>
      <c r="V385" s="102">
        <v>0.254</v>
      </c>
      <c r="W385" s="7"/>
      <c r="X385" t="s">
        <v>505</v>
      </c>
    </row>
    <row r="386" spans="1:24" x14ac:dyDescent="0.15">
      <c r="A386" t="s">
        <v>992</v>
      </c>
      <c r="B386" t="s">
        <v>328</v>
      </c>
      <c r="C386" s="4"/>
      <c r="D386" t="s">
        <v>26</v>
      </c>
      <c r="E386" s="3">
        <v>3</v>
      </c>
      <c r="G386">
        <v>0.3</v>
      </c>
      <c r="H386" s="5">
        <v>5.7</v>
      </c>
      <c r="I386" s="3" t="s">
        <v>950</v>
      </c>
      <c r="J386" s="59">
        <v>45044</v>
      </c>
      <c r="K386" s="59"/>
      <c r="L386" s="59" t="e" cm="1">
        <f t="array" ref="L386">INDEX($J$4:J1476, MATCH(1,(A386=$A$4:A1474)*("Y"=$K$4:K1476),0))</f>
        <v>#N/A</v>
      </c>
      <c r="M386" s="1">
        <v>10000</v>
      </c>
      <c r="N386">
        <v>17</v>
      </c>
      <c r="O386">
        <v>19</v>
      </c>
      <c r="P386">
        <v>18</v>
      </c>
      <c r="Q386" s="6">
        <f>(SUM(Pcfu43[[#This Row],[R1]:[R3]]))/(Pcfu43[[#This Row],[No. Reps]]*0.015)*Pcfu43[[#This Row],[Best DF]]</f>
        <v>12000000</v>
      </c>
      <c r="R386" s="1">
        <f>_xlfn.STDEV.S(Pcfu43[[#This Row],[R1]:[R3]])/0.015*Pcfu43[[#This Row],[Best DF]]</f>
        <v>666666.66666666674</v>
      </c>
      <c r="S386" s="6">
        <f>Pcfu43[[#This Row],[CFU/mL]]*Pcfu43[[#This Row],[mL]]/Pcfu43[[#This Row],[grams]]</f>
        <v>228000000</v>
      </c>
      <c r="T386" s="1">
        <f>Pcfu43[[#This Row],[SD CFU/mL]]*Pcfu43[[#This Row],[mL]]/Pcfu43[[#This Row],[grams]]</f>
        <v>12666666.666666668</v>
      </c>
      <c r="U386" s="7">
        <f>_xlfn.STDEV.S(Pcfu43[[#This Row],[R1]:[R3]])/AVERAGE(Pcfu43[[#This Row],[R1]:[R3]])</f>
        <v>5.5555555555555552E-2</v>
      </c>
      <c r="V386" s="102">
        <v>0.29799999999999999</v>
      </c>
      <c r="W386" s="7"/>
      <c r="X386" t="s">
        <v>993</v>
      </c>
    </row>
    <row r="387" spans="1:24" x14ac:dyDescent="0.15">
      <c r="A387" t="s">
        <v>994</v>
      </c>
      <c r="B387" t="s">
        <v>328</v>
      </c>
      <c r="C387" s="4"/>
      <c r="D387" t="s">
        <v>26</v>
      </c>
      <c r="E387" s="3">
        <v>3</v>
      </c>
      <c r="G387">
        <v>0.3</v>
      </c>
      <c r="H387" s="5">
        <v>5.7</v>
      </c>
      <c r="I387" s="3" t="s">
        <v>950</v>
      </c>
      <c r="J387" s="59">
        <v>45044</v>
      </c>
      <c r="K387" s="59"/>
      <c r="L387" s="59" t="e" cm="1">
        <f t="array" ref="L387">INDEX($J$4:J1477, MATCH(1,(A387=$A$4:A1475)*("Y"=$K$4:K1477),0))</f>
        <v>#N/A</v>
      </c>
      <c r="M387" s="1">
        <v>10000</v>
      </c>
      <c r="N387">
        <v>19</v>
      </c>
      <c r="O387">
        <v>26</v>
      </c>
      <c r="P387">
        <v>24</v>
      </c>
      <c r="Q387" s="6">
        <f>(SUM(Pcfu43[[#This Row],[R1]:[R3]]))/(Pcfu43[[#This Row],[No. Reps]]*0.015)*Pcfu43[[#This Row],[Best DF]]</f>
        <v>15333333.333333334</v>
      </c>
      <c r="R387" s="1">
        <f>_xlfn.STDEV.S(Pcfu43[[#This Row],[R1]:[R3]])/0.015*Pcfu43[[#This Row],[Best DF]]</f>
        <v>2403700.8503093263</v>
      </c>
      <c r="S387" s="6">
        <f>Pcfu43[[#This Row],[CFU/mL]]*Pcfu43[[#This Row],[mL]]/Pcfu43[[#This Row],[grams]]</f>
        <v>291333333.33333337</v>
      </c>
      <c r="T387" s="1">
        <f>Pcfu43[[#This Row],[SD CFU/mL]]*Pcfu43[[#This Row],[mL]]/Pcfu43[[#This Row],[grams]]</f>
        <v>45670316.155877203</v>
      </c>
      <c r="U387" s="7">
        <f>_xlfn.STDEV.S(Pcfu43[[#This Row],[R1]:[R3]])/AVERAGE(Pcfu43[[#This Row],[R1]:[R3]])</f>
        <v>0.15676309893321691</v>
      </c>
      <c r="V387" s="102">
        <v>0.26600000000000001</v>
      </c>
      <c r="W387" s="7"/>
      <c r="X387" t="s">
        <v>991</v>
      </c>
    </row>
    <row r="388" spans="1:24" x14ac:dyDescent="0.15">
      <c r="A388" t="s">
        <v>995</v>
      </c>
      <c r="B388" t="s">
        <v>328</v>
      </c>
      <c r="C388" s="4"/>
      <c r="D388" t="s">
        <v>26</v>
      </c>
      <c r="E388" s="3">
        <v>3</v>
      </c>
      <c r="G388">
        <v>0.3</v>
      </c>
      <c r="H388" s="5">
        <v>5.7</v>
      </c>
      <c r="I388" s="3" t="s">
        <v>950</v>
      </c>
      <c r="J388" s="59">
        <v>45044</v>
      </c>
      <c r="K388" s="59"/>
      <c r="L388" s="59" t="e" cm="1">
        <f t="array" ref="L388">INDEX($J$4:J1478, MATCH(1,(A388=$A$4:A1476)*("Y"=$K$4:K1478),0))</f>
        <v>#N/A</v>
      </c>
      <c r="M388" s="1">
        <v>10000</v>
      </c>
      <c r="N388">
        <v>25</v>
      </c>
      <c r="O388">
        <v>26</v>
      </c>
      <c r="P388">
        <v>33</v>
      </c>
      <c r="Q388" s="6">
        <f>(SUM(Pcfu43[[#This Row],[R1]:[R3]]))/(Pcfu43[[#This Row],[No. Reps]]*0.015)*Pcfu43[[#This Row],[Best DF]]</f>
        <v>18666666.666666668</v>
      </c>
      <c r="R388" s="1">
        <f>_xlfn.STDEV.S(Pcfu43[[#This Row],[R1]:[R3]])/0.015*Pcfu43[[#This Row],[Best DF]]</f>
        <v>2905932.6290271161</v>
      </c>
      <c r="S388" s="6">
        <f>Pcfu43[[#This Row],[CFU/mL]]*Pcfu43[[#This Row],[mL]]/Pcfu43[[#This Row],[grams]]</f>
        <v>354666666.66666675</v>
      </c>
      <c r="T388" s="1">
        <f>Pcfu43[[#This Row],[SD CFU/mL]]*Pcfu43[[#This Row],[mL]]/Pcfu43[[#This Row],[grams]]</f>
        <v>55212719.951515213</v>
      </c>
      <c r="U388" s="7">
        <f>_xlfn.STDEV.S(Pcfu43[[#This Row],[R1]:[R3]])/AVERAGE(Pcfu43[[#This Row],[R1]:[R3]])</f>
        <v>0.1556749622693098</v>
      </c>
      <c r="V388" s="102">
        <v>0.193</v>
      </c>
      <c r="W388" s="7"/>
      <c r="X388" t="s">
        <v>996</v>
      </c>
    </row>
    <row r="389" spans="1:24" x14ac:dyDescent="0.15">
      <c r="A389" t="s">
        <v>651</v>
      </c>
      <c r="B389" t="s">
        <v>328</v>
      </c>
      <c r="C389" s="4"/>
      <c r="D389" t="s">
        <v>26</v>
      </c>
      <c r="E389" s="3">
        <v>3</v>
      </c>
      <c r="G389">
        <v>0.3</v>
      </c>
      <c r="H389" s="5">
        <v>5.7</v>
      </c>
      <c r="I389" s="3" t="s">
        <v>950</v>
      </c>
      <c r="J389" s="59">
        <v>45044</v>
      </c>
      <c r="K389" s="59"/>
      <c r="L389" s="59" t="e" cm="1">
        <f t="array" ref="L389">INDEX($J$4:J1479, MATCH(1,(A389=$A$4:A1477)*("Y"=$K$4:K1479),0))</f>
        <v>#N/A</v>
      </c>
      <c r="M389" s="1">
        <v>10000</v>
      </c>
      <c r="N389">
        <v>13</v>
      </c>
      <c r="O389">
        <v>12</v>
      </c>
      <c r="P389">
        <v>12</v>
      </c>
      <c r="Q389" s="6">
        <f>(SUM(Pcfu43[[#This Row],[R1]:[R3]]))/(Pcfu43[[#This Row],[No. Reps]]*0.015)*Pcfu43[[#This Row],[Best DF]]</f>
        <v>8222222.2222222229</v>
      </c>
      <c r="R389" s="1">
        <f>_xlfn.STDEV.S(Pcfu43[[#This Row],[R1]:[R3]])/0.015*Pcfu43[[#This Row],[Best DF]]</f>
        <v>384900.17945975048</v>
      </c>
      <c r="S389" s="6">
        <f>Pcfu43[[#This Row],[CFU/mL]]*Pcfu43[[#This Row],[mL]]/Pcfu43[[#This Row],[grams]]</f>
        <v>156222222.22222224</v>
      </c>
      <c r="T389" s="1">
        <f>Pcfu43[[#This Row],[SD CFU/mL]]*Pcfu43[[#This Row],[mL]]/Pcfu43[[#This Row],[grams]]</f>
        <v>7313103.4097352596</v>
      </c>
      <c r="U389" s="7">
        <f>_xlfn.STDEV.S(Pcfu43[[#This Row],[R1]:[R3]])/AVERAGE(Pcfu43[[#This Row],[R1]:[R3]])</f>
        <v>4.6812183988348029E-2</v>
      </c>
      <c r="V389" s="102">
        <v>0.27600000000000002</v>
      </c>
      <c r="W389" s="7"/>
      <c r="X389" t="s">
        <v>997</v>
      </c>
    </row>
    <row r="390" spans="1:24" x14ac:dyDescent="0.15">
      <c r="A390" t="s">
        <v>658</v>
      </c>
      <c r="B390" t="s">
        <v>328</v>
      </c>
      <c r="C390" s="4"/>
      <c r="D390" t="s">
        <v>26</v>
      </c>
      <c r="E390" s="3">
        <v>3</v>
      </c>
      <c r="G390">
        <v>0.3</v>
      </c>
      <c r="H390" s="5">
        <v>5.7</v>
      </c>
      <c r="I390" s="3" t="s">
        <v>950</v>
      </c>
      <c r="J390" s="59">
        <v>45044</v>
      </c>
      <c r="K390" s="59"/>
      <c r="L390" s="59" t="e" cm="1">
        <f t="array" ref="L390">INDEX($J$4:J1480, MATCH(1,(A390=$A$4:A1478)*("Y"=$K$4:K1480),0))</f>
        <v>#N/A</v>
      </c>
      <c r="M390" s="1">
        <v>10000</v>
      </c>
      <c r="N390">
        <v>20</v>
      </c>
      <c r="O390">
        <v>20</v>
      </c>
      <c r="P390">
        <v>13</v>
      </c>
      <c r="Q390" s="6">
        <f>(SUM(Pcfu43[[#This Row],[R1]:[R3]]))/(Pcfu43[[#This Row],[No. Reps]]*0.015)*Pcfu43[[#This Row],[Best DF]]</f>
        <v>11777777.777777778</v>
      </c>
      <c r="R390" s="1">
        <f>_xlfn.STDEV.S(Pcfu43[[#This Row],[R1]:[R3]])/0.015*Pcfu43[[#This Row],[Best DF]]</f>
        <v>2694301.2562182518</v>
      </c>
      <c r="S390" s="6">
        <f>Pcfu43[[#This Row],[CFU/mL]]*Pcfu43[[#This Row],[mL]]/Pcfu43[[#This Row],[grams]]</f>
        <v>223777777.77777782</v>
      </c>
      <c r="T390" s="1">
        <f>Pcfu43[[#This Row],[SD CFU/mL]]*Pcfu43[[#This Row],[mL]]/Pcfu43[[#This Row],[grams]]</f>
        <v>51191723.868146792</v>
      </c>
      <c r="U390" s="7">
        <f>_xlfn.STDEV.S(Pcfu43[[#This Row],[R1]:[R3]])/AVERAGE(Pcfu43[[#This Row],[R1]:[R3]])</f>
        <v>0.22876142741475722</v>
      </c>
      <c r="V390" s="102">
        <v>0.246</v>
      </c>
      <c r="W390" s="7"/>
      <c r="X390" t="s">
        <v>386</v>
      </c>
    </row>
    <row r="391" spans="1:24" x14ac:dyDescent="0.15">
      <c r="A391" t="s">
        <v>686</v>
      </c>
      <c r="B391" t="s">
        <v>328</v>
      </c>
      <c r="C391" s="4"/>
      <c r="D391" t="s">
        <v>26</v>
      </c>
      <c r="E391" s="3">
        <v>3</v>
      </c>
      <c r="G391">
        <v>0.3</v>
      </c>
      <c r="H391" s="5">
        <v>5.7</v>
      </c>
      <c r="I391" s="3" t="s">
        <v>950</v>
      </c>
      <c r="J391" s="59">
        <v>45044</v>
      </c>
      <c r="K391" s="59"/>
      <c r="L391" s="59" t="e" cm="1">
        <f t="array" ref="L391">INDEX($J$4:J1481, MATCH(1,(A391=$A$4:A1479)*("Y"=$K$4:K1481),0))</f>
        <v>#N/A</v>
      </c>
      <c r="M391" s="1">
        <v>10000</v>
      </c>
      <c r="N391">
        <v>27</v>
      </c>
      <c r="O391">
        <v>29</v>
      </c>
      <c r="P391">
        <v>37</v>
      </c>
      <c r="Q391" s="6">
        <f>(SUM(Pcfu43[[#This Row],[R1]:[R3]]))/(Pcfu43[[#This Row],[No. Reps]]*0.015)*Pcfu43[[#This Row],[Best DF]]</f>
        <v>20666666.666666668</v>
      </c>
      <c r="R391" s="1">
        <f>_xlfn.STDEV.S(Pcfu43[[#This Row],[R1]:[R3]])/0.015*Pcfu43[[#This Row],[Best DF]]</f>
        <v>3527668.4147527879</v>
      </c>
      <c r="S391" s="6">
        <f>Pcfu43[[#This Row],[CFU/mL]]*Pcfu43[[#This Row],[mL]]/Pcfu43[[#This Row],[grams]]</f>
        <v>392666666.66666675</v>
      </c>
      <c r="T391" s="1">
        <f>Pcfu43[[#This Row],[SD CFU/mL]]*Pcfu43[[#This Row],[mL]]/Pcfu43[[#This Row],[grams]]</f>
        <v>67025699.880302973</v>
      </c>
      <c r="U391" s="7">
        <f>_xlfn.STDEV.S(Pcfu43[[#This Row],[R1]:[R3]])/AVERAGE(Pcfu43[[#This Row],[R1]:[R3]])</f>
        <v>0.17069363297190907</v>
      </c>
      <c r="V391" s="102">
        <v>0.22900000000000001</v>
      </c>
      <c r="W391" s="7"/>
      <c r="X391" t="s">
        <v>998</v>
      </c>
    </row>
    <row r="392" spans="1:24" x14ac:dyDescent="0.15">
      <c r="A392" t="s">
        <v>647</v>
      </c>
      <c r="B392" t="s">
        <v>328</v>
      </c>
      <c r="C392" s="4"/>
      <c r="D392" t="s">
        <v>26</v>
      </c>
      <c r="E392" s="3">
        <v>3</v>
      </c>
      <c r="G392">
        <v>0.3</v>
      </c>
      <c r="H392" s="5">
        <v>5.7</v>
      </c>
      <c r="I392" s="3" t="s">
        <v>950</v>
      </c>
      <c r="J392" s="59">
        <v>45044</v>
      </c>
      <c r="K392" s="59"/>
      <c r="L392" s="59" t="e" cm="1">
        <f t="array" ref="L392">INDEX($J$4:J1482, MATCH(1,(A392=$A$4:A1480)*("Y"=$K$4:K1482),0))</f>
        <v>#N/A</v>
      </c>
      <c r="M392" s="1">
        <v>10000</v>
      </c>
      <c r="N392">
        <v>1</v>
      </c>
      <c r="O392">
        <v>3</v>
      </c>
      <c r="P392">
        <v>1</v>
      </c>
      <c r="Q392" s="6">
        <f>(SUM(Pcfu43[[#This Row],[R1]:[R3]]))/(Pcfu43[[#This Row],[No. Reps]]*0.015)*Pcfu43[[#This Row],[Best DF]]</f>
        <v>1111111.1111111112</v>
      </c>
      <c r="R392" s="1">
        <f>_xlfn.STDEV.S(Pcfu43[[#This Row],[R1]:[R3]])/0.015*Pcfu43[[#This Row],[Best DF]]</f>
        <v>769800.35891950096</v>
      </c>
      <c r="S392" s="6">
        <f>Pcfu43[[#This Row],[CFU/mL]]*Pcfu43[[#This Row],[mL]]/Pcfu43[[#This Row],[grams]]</f>
        <v>21111111.111111116</v>
      </c>
      <c r="T392" s="1">
        <f>Pcfu43[[#This Row],[SD CFU/mL]]*Pcfu43[[#This Row],[mL]]/Pcfu43[[#This Row],[grams]]</f>
        <v>14626206.819470519</v>
      </c>
      <c r="U392" s="7">
        <f>_xlfn.STDEV.S(Pcfu43[[#This Row],[R1]:[R3]])/AVERAGE(Pcfu43[[#This Row],[R1]:[R3]])</f>
        <v>0.69282032302755081</v>
      </c>
      <c r="V392" s="102">
        <v>0.28499999999999998</v>
      </c>
      <c r="W392" s="7"/>
      <c r="X392" t="s">
        <v>999</v>
      </c>
    </row>
    <row r="393" spans="1:24" x14ac:dyDescent="0.15">
      <c r="A393" t="s">
        <v>659</v>
      </c>
      <c r="B393" t="s">
        <v>328</v>
      </c>
      <c r="C393" s="4"/>
      <c r="D393" t="s">
        <v>26</v>
      </c>
      <c r="E393" s="3">
        <v>3</v>
      </c>
      <c r="G393">
        <v>0.3</v>
      </c>
      <c r="H393" s="5">
        <v>5.7</v>
      </c>
      <c r="I393" s="3" t="s">
        <v>950</v>
      </c>
      <c r="J393" s="59">
        <v>45044</v>
      </c>
      <c r="K393" s="59"/>
      <c r="L393" s="59" t="e" cm="1">
        <f t="array" ref="L393">INDEX($J$4:J1483, MATCH(1,(A393=$A$4:A1481)*("Y"=$K$4:K1483),0))</f>
        <v>#N/A</v>
      </c>
      <c r="M393" s="1">
        <v>10000</v>
      </c>
      <c r="N393">
        <v>2</v>
      </c>
      <c r="O393">
        <v>4</v>
      </c>
      <c r="P393">
        <v>5</v>
      </c>
      <c r="Q393" s="6">
        <f>(SUM(Pcfu43[[#This Row],[R1]:[R3]]))/(Pcfu43[[#This Row],[No. Reps]]*0.015)*Pcfu43[[#This Row],[Best DF]]</f>
        <v>2444444.4444444445</v>
      </c>
      <c r="R393" s="1">
        <f>_xlfn.STDEV.S(Pcfu43[[#This Row],[R1]:[R3]])/0.015*Pcfu43[[#This Row],[Best DF]]</f>
        <v>1018350.1544346309</v>
      </c>
      <c r="S393" s="6">
        <f>Pcfu43[[#This Row],[CFU/mL]]*Pcfu43[[#This Row],[mL]]/Pcfu43[[#This Row],[grams]]</f>
        <v>46444444.444444448</v>
      </c>
      <c r="T393" s="1">
        <f>Pcfu43[[#This Row],[SD CFU/mL]]*Pcfu43[[#This Row],[mL]]/Pcfu43[[#This Row],[grams]]</f>
        <v>19348652.934257988</v>
      </c>
      <c r="U393" s="7">
        <f>_xlfn.STDEV.S(Pcfu43[[#This Row],[R1]:[R3]])/AVERAGE(Pcfu43[[#This Row],[R1]:[R3]])</f>
        <v>0.4165977904505308</v>
      </c>
      <c r="V393" s="102">
        <v>0.23</v>
      </c>
      <c r="W393" s="7"/>
      <c r="X393" t="s">
        <v>1000</v>
      </c>
    </row>
    <row r="394" spans="1:24" x14ac:dyDescent="0.15">
      <c r="A394" t="s">
        <v>689</v>
      </c>
      <c r="B394" t="s">
        <v>328</v>
      </c>
      <c r="C394" s="4"/>
      <c r="D394" t="s">
        <v>26</v>
      </c>
      <c r="E394" s="3">
        <v>3</v>
      </c>
      <c r="G394">
        <v>0.3</v>
      </c>
      <c r="H394" s="5">
        <v>5.7</v>
      </c>
      <c r="I394" s="3" t="s">
        <v>950</v>
      </c>
      <c r="J394" s="59">
        <v>45044</v>
      </c>
      <c r="K394" s="59"/>
      <c r="L394" s="59" t="e" cm="1">
        <f t="array" ref="L394">INDEX($J$4:J1484, MATCH(1,(A394=$A$4:A1482)*("Y"=$K$4:K1484),0))</f>
        <v>#N/A</v>
      </c>
      <c r="M394" s="1">
        <v>10000</v>
      </c>
      <c r="N394">
        <v>0</v>
      </c>
      <c r="O394">
        <v>0</v>
      </c>
      <c r="P394">
        <v>0</v>
      </c>
      <c r="Q394" s="6">
        <f>(SUM(Pcfu43[[#This Row],[R1]:[R3]]))/(Pcfu43[[#This Row],[No. Reps]]*0.015)*Pcfu43[[#This Row],[Best DF]]</f>
        <v>0</v>
      </c>
      <c r="R394" s="1">
        <f>_xlfn.STDEV.S(Pcfu43[[#This Row],[R1]:[R3]])/0.015*Pcfu43[[#This Row],[Best DF]]</f>
        <v>0</v>
      </c>
      <c r="S394" s="6">
        <f>Pcfu43[[#This Row],[CFU/mL]]*Pcfu43[[#This Row],[mL]]/Pcfu43[[#This Row],[grams]]</f>
        <v>0</v>
      </c>
      <c r="T394" s="1">
        <f>Pcfu43[[#This Row],[SD CFU/mL]]*Pcfu43[[#This Row],[mL]]/Pcfu43[[#This Row],[grams]]</f>
        <v>0</v>
      </c>
      <c r="U394" s="7" t="e">
        <f>_xlfn.STDEV.S(Pcfu43[[#This Row],[R1]:[R3]])/AVERAGE(Pcfu43[[#This Row],[R1]:[R3]])</f>
        <v>#DIV/0!</v>
      </c>
      <c r="V394" s="102">
        <v>0.20499999999999999</v>
      </c>
      <c r="W394" s="7"/>
      <c r="X394" t="s">
        <v>1001</v>
      </c>
    </row>
    <row r="395" spans="1:24" x14ac:dyDescent="0.15">
      <c r="A395" t="s">
        <v>671</v>
      </c>
      <c r="B395" t="s">
        <v>328</v>
      </c>
      <c r="C395" s="4"/>
      <c r="D395" t="s">
        <v>37</v>
      </c>
      <c r="E395" s="3">
        <v>3</v>
      </c>
      <c r="G395">
        <v>0.3</v>
      </c>
      <c r="H395" s="5">
        <v>5.7</v>
      </c>
      <c r="I395" s="3" t="s">
        <v>950</v>
      </c>
      <c r="J395" s="59">
        <v>45048</v>
      </c>
      <c r="K395" s="59"/>
      <c r="L395" s="59" t="e" cm="1">
        <f t="array" ref="L395">INDEX($J$4:J1485, MATCH(1,(A395=$A$4:A1483)*("Y"=$K$4:K1485),0))</f>
        <v>#N/A</v>
      </c>
      <c r="M395" s="1">
        <v>100000</v>
      </c>
      <c r="N395">
        <v>18</v>
      </c>
      <c r="O395">
        <v>12</v>
      </c>
      <c r="P395">
        <v>20</v>
      </c>
      <c r="Q395" s="6">
        <f>(SUM(Pcfu43[[#This Row],[R1]:[R3]]))/(Pcfu43[[#This Row],[No. Reps]]*0.015)*Pcfu43[[#This Row],[Best DF]]</f>
        <v>111111111.1111111</v>
      </c>
      <c r="R395" s="1">
        <f>_xlfn.STDEV.S(Pcfu43[[#This Row],[R1]:[R3]])/0.015*Pcfu43[[#This Row],[Best DF]]</f>
        <v>27755546.659548424</v>
      </c>
      <c r="S395" s="6">
        <f>Pcfu43[[#This Row],[CFU/mL]]*Pcfu43[[#This Row],[mL]]/Pcfu43[[#This Row],[grams]]</f>
        <v>2111111111.1111114</v>
      </c>
      <c r="T395" s="1">
        <f>Pcfu43[[#This Row],[SD CFU/mL]]*Pcfu43[[#This Row],[mL]]/Pcfu43[[#This Row],[grams]]</f>
        <v>527355386.53142005</v>
      </c>
      <c r="U395" s="7">
        <f>_xlfn.STDEV.S(Pcfu43[[#This Row],[R1]:[R3]])/AVERAGE(Pcfu43[[#This Row],[R1]:[R3]])</f>
        <v>0.24979991993593578</v>
      </c>
      <c r="V395" s="102">
        <v>0.32200000000000001</v>
      </c>
      <c r="W395" s="7"/>
      <c r="X395" t="s">
        <v>915</v>
      </c>
    </row>
    <row r="396" spans="1:24" x14ac:dyDescent="0.15">
      <c r="A396" t="s">
        <v>796</v>
      </c>
      <c r="B396" t="s">
        <v>328</v>
      </c>
      <c r="C396" s="4"/>
      <c r="D396" t="s">
        <v>37</v>
      </c>
      <c r="E396" s="3">
        <v>3</v>
      </c>
      <c r="G396">
        <v>0.3</v>
      </c>
      <c r="H396" s="5">
        <v>5.7</v>
      </c>
      <c r="I396" s="3" t="s">
        <v>950</v>
      </c>
      <c r="J396" s="59">
        <v>45048</v>
      </c>
      <c r="K396" s="59"/>
      <c r="L396" s="59" t="e" cm="1">
        <f t="array" ref="L396">INDEX($J$4:J1486, MATCH(1,(A396=$A$4:A1484)*("Y"=$K$4:K1486),0))</f>
        <v>#N/A</v>
      </c>
      <c r="M396" s="1">
        <v>100000</v>
      </c>
      <c r="N396">
        <v>74</v>
      </c>
      <c r="O396">
        <v>77</v>
      </c>
      <c r="P396">
        <v>78</v>
      </c>
      <c r="Q396" s="6">
        <f>(SUM(Pcfu43[[#This Row],[R1]:[R3]]))/(Pcfu43[[#This Row],[No. Reps]]*0.015)*Pcfu43[[#This Row],[Best DF]]</f>
        <v>508888888.8888889</v>
      </c>
      <c r="R396" s="1">
        <f>_xlfn.STDEV.S(Pcfu43[[#This Row],[R1]:[R3]])/0.015*Pcfu43[[#This Row],[Best DF]]</f>
        <v>13877773.32977422</v>
      </c>
      <c r="S396" s="6">
        <f>Pcfu43[[#This Row],[CFU/mL]]*Pcfu43[[#This Row],[mL]]/Pcfu43[[#This Row],[grams]]</f>
        <v>9668888888.8888912</v>
      </c>
      <c r="T396" s="1">
        <f>Pcfu43[[#This Row],[SD CFU/mL]]*Pcfu43[[#This Row],[mL]]/Pcfu43[[#This Row],[grams]]</f>
        <v>263677693.26571018</v>
      </c>
      <c r="U396" s="7">
        <f>_xlfn.STDEV.S(Pcfu43[[#This Row],[R1]:[R3]])/AVERAGE(Pcfu43[[#This Row],[R1]:[R3]])</f>
        <v>2.7270733617460262E-2</v>
      </c>
      <c r="V396" s="102">
        <v>0.26600000000000001</v>
      </c>
      <c r="W396" s="7"/>
      <c r="X396" t="s">
        <v>991</v>
      </c>
    </row>
    <row r="397" spans="1:24" x14ac:dyDescent="0.15">
      <c r="A397" t="s">
        <v>797</v>
      </c>
      <c r="B397" t="s">
        <v>328</v>
      </c>
      <c r="C397" s="4"/>
      <c r="D397" t="s">
        <v>37</v>
      </c>
      <c r="E397" s="3">
        <v>3</v>
      </c>
      <c r="G397">
        <v>0.3</v>
      </c>
      <c r="H397" s="5">
        <v>5.7</v>
      </c>
      <c r="I397" s="3" t="s">
        <v>950</v>
      </c>
      <c r="J397" s="59">
        <v>45048</v>
      </c>
      <c r="K397" s="59"/>
      <c r="L397" s="59" t="e" cm="1">
        <f t="array" ref="L397">INDEX($J$4:J1487, MATCH(1,(A397=$A$4:A1485)*("Y"=$K$4:K1487),0))</f>
        <v>#N/A</v>
      </c>
      <c r="M397" s="1">
        <v>100000</v>
      </c>
      <c r="N397">
        <v>38</v>
      </c>
      <c r="O397">
        <v>41</v>
      </c>
      <c r="P397">
        <v>28</v>
      </c>
      <c r="Q397" s="6">
        <f>(SUM(Pcfu43[[#This Row],[R1]:[R3]]))/(Pcfu43[[#This Row],[No. Reps]]*0.015)*Pcfu43[[#This Row],[Best DF]]</f>
        <v>237777777.77777779</v>
      </c>
      <c r="R397" s="1">
        <f>_xlfn.STDEV.S(Pcfu43[[#This Row],[R1]:[R3]])/0.015*Pcfu43[[#This Row],[Best DF]]</f>
        <v>45379061.903693601</v>
      </c>
      <c r="S397" s="6">
        <f>Pcfu43[[#This Row],[CFU/mL]]*Pcfu43[[#This Row],[mL]]/Pcfu43[[#This Row],[grams]]</f>
        <v>4517777777.7777786</v>
      </c>
      <c r="T397" s="1">
        <f>Pcfu43[[#This Row],[SD CFU/mL]]*Pcfu43[[#This Row],[mL]]/Pcfu43[[#This Row],[grams]]</f>
        <v>862202176.17017853</v>
      </c>
      <c r="U397" s="7">
        <f>_xlfn.STDEV.S(Pcfu43[[#This Row],[R1]:[R3]])/AVERAGE(Pcfu43[[#This Row],[R1]:[R3]])</f>
        <v>0.19084652202487964</v>
      </c>
      <c r="V397" s="102">
        <v>0.32100000000000001</v>
      </c>
      <c r="W397" s="7"/>
      <c r="X397" t="s">
        <v>1002</v>
      </c>
    </row>
    <row r="398" spans="1:24" x14ac:dyDescent="0.15">
      <c r="A398" t="s">
        <v>672</v>
      </c>
      <c r="B398" t="s">
        <v>328</v>
      </c>
      <c r="C398" s="4"/>
      <c r="D398" t="s">
        <v>37</v>
      </c>
      <c r="E398" s="3">
        <v>3</v>
      </c>
      <c r="G398">
        <v>0.3</v>
      </c>
      <c r="H398" s="5">
        <v>5.7</v>
      </c>
      <c r="I398" s="3" t="s">
        <v>950</v>
      </c>
      <c r="J398" s="59">
        <v>45048</v>
      </c>
      <c r="K398" s="59"/>
      <c r="L398" s="59" t="e" cm="1">
        <f t="array" ref="L398">INDEX($J$4:J1488, MATCH(1,(A398=$A$4:A1486)*("Y"=$K$4:K1488),0))</f>
        <v>#N/A</v>
      </c>
      <c r="M398" s="1">
        <v>100000</v>
      </c>
      <c r="N398">
        <v>45</v>
      </c>
      <c r="O398">
        <v>48</v>
      </c>
      <c r="P398">
        <v>60</v>
      </c>
      <c r="Q398" s="6">
        <f>(SUM(Pcfu43[[#This Row],[R1]:[R3]]))/(Pcfu43[[#This Row],[No. Reps]]*0.015)*Pcfu43[[#This Row],[Best DF]]</f>
        <v>340000000</v>
      </c>
      <c r="R398" s="1">
        <f>_xlfn.STDEV.S(Pcfu43[[#This Row],[R1]:[R3]])/0.015*Pcfu43[[#This Row],[Best DF]]</f>
        <v>52915026.221291818</v>
      </c>
      <c r="S398" s="6">
        <f>Pcfu43[[#This Row],[CFU/mL]]*Pcfu43[[#This Row],[mL]]/Pcfu43[[#This Row],[grams]]</f>
        <v>6460000000</v>
      </c>
      <c r="T398" s="1">
        <f>Pcfu43[[#This Row],[SD CFU/mL]]*Pcfu43[[#This Row],[mL]]/Pcfu43[[#This Row],[grams]]</f>
        <v>1005385498.2045447</v>
      </c>
      <c r="U398" s="7">
        <f>_xlfn.STDEV.S(Pcfu43[[#This Row],[R1]:[R3]])/AVERAGE(Pcfu43[[#This Row],[R1]:[R3]])</f>
        <v>0.15563243006262298</v>
      </c>
      <c r="V398" s="102">
        <v>0.33</v>
      </c>
      <c r="W398" s="7"/>
      <c r="X398" t="s">
        <v>421</v>
      </c>
    </row>
    <row r="399" spans="1:24" x14ac:dyDescent="0.15">
      <c r="A399" t="s">
        <v>798</v>
      </c>
      <c r="B399" t="s">
        <v>328</v>
      </c>
      <c r="C399" s="4"/>
      <c r="D399" t="s">
        <v>37</v>
      </c>
      <c r="E399" s="3">
        <v>3</v>
      </c>
      <c r="G399">
        <v>0.3</v>
      </c>
      <c r="H399" s="5">
        <v>5.7</v>
      </c>
      <c r="I399" s="3" t="s">
        <v>950</v>
      </c>
      <c r="J399" s="59">
        <v>45048</v>
      </c>
      <c r="K399" s="59"/>
      <c r="L399" s="59" t="e" cm="1">
        <f t="array" ref="L399">INDEX($J$4:J1489, MATCH(1,(A399=$A$4:A1487)*("Y"=$K$4:K1489),0))</f>
        <v>#N/A</v>
      </c>
      <c r="M399" s="1">
        <v>1000000</v>
      </c>
      <c r="N399">
        <v>18</v>
      </c>
      <c r="O399">
        <v>20</v>
      </c>
      <c r="P399">
        <v>22</v>
      </c>
      <c r="Q399" s="6">
        <f>(SUM(Pcfu43[[#This Row],[R1]:[R3]]))/(Pcfu43[[#This Row],[No. Reps]]*0.015)*Pcfu43[[#This Row],[Best DF]]</f>
        <v>1333333333.3333335</v>
      </c>
      <c r="R399" s="1">
        <f>_xlfn.STDEV.S(Pcfu43[[#This Row],[R1]:[R3]])/0.015*Pcfu43[[#This Row],[Best DF]]</f>
        <v>133333333.33333334</v>
      </c>
      <c r="S399" s="6">
        <f>Pcfu43[[#This Row],[CFU/mL]]*Pcfu43[[#This Row],[mL]]/Pcfu43[[#This Row],[grams]]</f>
        <v>25333333333.333336</v>
      </c>
      <c r="T399" s="1">
        <f>Pcfu43[[#This Row],[SD CFU/mL]]*Pcfu43[[#This Row],[mL]]/Pcfu43[[#This Row],[grams]]</f>
        <v>2533333333.333334</v>
      </c>
      <c r="U399" s="7">
        <f>_xlfn.STDEV.S(Pcfu43[[#This Row],[R1]:[R3]])/AVERAGE(Pcfu43[[#This Row],[R1]:[R3]])</f>
        <v>0.1</v>
      </c>
      <c r="V399" s="102">
        <v>0.28999999999999998</v>
      </c>
      <c r="W399" s="7"/>
      <c r="X399" t="s">
        <v>487</v>
      </c>
    </row>
    <row r="400" spans="1:24" x14ac:dyDescent="0.15">
      <c r="A400" t="s">
        <v>799</v>
      </c>
      <c r="B400" t="s">
        <v>328</v>
      </c>
      <c r="C400" s="4"/>
      <c r="D400" t="s">
        <v>37</v>
      </c>
      <c r="E400" s="3">
        <v>3</v>
      </c>
      <c r="G400">
        <v>0.3</v>
      </c>
      <c r="H400" s="5">
        <v>5.7</v>
      </c>
      <c r="I400" s="3" t="s">
        <v>950</v>
      </c>
      <c r="J400" s="59">
        <v>45048</v>
      </c>
      <c r="K400" s="59"/>
      <c r="L400" s="59" t="e" cm="1">
        <f t="array" ref="L400">INDEX($J$4:J1490, MATCH(1,(A400=$A$4:A1488)*("Y"=$K$4:K1490),0))</f>
        <v>#N/A</v>
      </c>
      <c r="M400" s="1">
        <v>100000</v>
      </c>
      <c r="N400">
        <v>81</v>
      </c>
      <c r="O400">
        <v>82</v>
      </c>
      <c r="P400">
        <v>98</v>
      </c>
      <c r="Q400" s="6">
        <f>(SUM(Pcfu43[[#This Row],[R1]:[R3]]))/(Pcfu43[[#This Row],[No. Reps]]*0.015)*Pcfu43[[#This Row],[Best DF]]</f>
        <v>580000000</v>
      </c>
      <c r="R400" s="1">
        <f>_xlfn.STDEV.S(Pcfu43[[#This Row],[R1]:[R3]])/0.015*Pcfu43[[#This Row],[Best DF]]</f>
        <v>63595946.761129707</v>
      </c>
      <c r="S400" s="6">
        <f>Pcfu43[[#This Row],[CFU/mL]]*Pcfu43[[#This Row],[mL]]/Pcfu43[[#This Row],[grams]]</f>
        <v>11020000000</v>
      </c>
      <c r="T400" s="1">
        <f>Pcfu43[[#This Row],[SD CFU/mL]]*Pcfu43[[#This Row],[mL]]/Pcfu43[[#This Row],[grams]]</f>
        <v>1208322988.4614644</v>
      </c>
      <c r="U400" s="7">
        <f>_xlfn.STDEV.S(Pcfu43[[#This Row],[R1]:[R3]])/AVERAGE(Pcfu43[[#This Row],[R1]:[R3]])</f>
        <v>0.10964818407091328</v>
      </c>
      <c r="V400" s="102">
        <v>0.308</v>
      </c>
      <c r="W400" s="7"/>
      <c r="X400" t="s">
        <v>504</v>
      </c>
    </row>
    <row r="401" spans="1:24" x14ac:dyDescent="0.15">
      <c r="A401" t="s">
        <v>675</v>
      </c>
      <c r="B401" t="s">
        <v>328</v>
      </c>
      <c r="C401" s="4"/>
      <c r="D401" t="s">
        <v>37</v>
      </c>
      <c r="E401" s="3">
        <v>3</v>
      </c>
      <c r="G401">
        <v>0.3</v>
      </c>
      <c r="H401" s="5">
        <v>5.7</v>
      </c>
      <c r="I401" s="3" t="s">
        <v>950</v>
      </c>
      <c r="J401" s="59">
        <v>45048</v>
      </c>
      <c r="K401" s="59"/>
      <c r="L401" s="59" t="e" cm="1">
        <f t="array" ref="L401">INDEX($J$4:J1491, MATCH(1,(A401=$A$4:A1489)*("Y"=$K$4:K1491),0))</f>
        <v>#N/A</v>
      </c>
      <c r="M401" s="1">
        <v>100000</v>
      </c>
      <c r="N401">
        <v>21</v>
      </c>
      <c r="O401">
        <v>35</v>
      </c>
      <c r="P401">
        <v>32</v>
      </c>
      <c r="Q401" s="6">
        <f>(SUM(Pcfu43[[#This Row],[R1]:[R3]]))/(Pcfu43[[#This Row],[No. Reps]]*0.015)*Pcfu43[[#This Row],[Best DF]]</f>
        <v>195555555.55555555</v>
      </c>
      <c r="R401" s="1">
        <f>_xlfn.STDEV.S(Pcfu43[[#This Row],[R1]:[R3]])/0.015*Pcfu43[[#This Row],[Best DF]]</f>
        <v>49140765.305546589</v>
      </c>
      <c r="S401" s="6">
        <f>Pcfu43[[#This Row],[CFU/mL]]*Pcfu43[[#This Row],[mL]]/Pcfu43[[#This Row],[grams]]</f>
        <v>3715555555.5555558</v>
      </c>
      <c r="T401" s="1">
        <f>Pcfu43[[#This Row],[SD CFU/mL]]*Pcfu43[[#This Row],[mL]]/Pcfu43[[#This Row],[grams]]</f>
        <v>933674540.80538535</v>
      </c>
      <c r="U401" s="7">
        <f>_xlfn.STDEV.S(Pcfu43[[#This Row],[R1]:[R3]])/AVERAGE(Pcfu43[[#This Row],[R1]:[R3]])</f>
        <v>0.25128800440336324</v>
      </c>
      <c r="V401" s="102">
        <v>0.248</v>
      </c>
      <c r="W401" s="7"/>
      <c r="X401" t="s">
        <v>970</v>
      </c>
    </row>
    <row r="402" spans="1:24" x14ac:dyDescent="0.15">
      <c r="A402" t="s">
        <v>1003</v>
      </c>
      <c r="B402" t="s">
        <v>328</v>
      </c>
      <c r="C402" s="4"/>
      <c r="D402" t="s">
        <v>37</v>
      </c>
      <c r="E402" s="3">
        <v>3</v>
      </c>
      <c r="G402">
        <v>0.3</v>
      </c>
      <c r="H402" s="5">
        <v>5.7</v>
      </c>
      <c r="I402" s="3" t="s">
        <v>950</v>
      </c>
      <c r="J402" s="59">
        <v>45048</v>
      </c>
      <c r="K402" s="59"/>
      <c r="L402" s="59" t="e" cm="1">
        <f t="array" ref="L402">INDEX($J$4:J1492, MATCH(1,(A402=$A$4:A1490)*("Y"=$K$4:K1492),0))</f>
        <v>#N/A</v>
      </c>
      <c r="M402" s="1">
        <v>100000</v>
      </c>
      <c r="N402">
        <v>57</v>
      </c>
      <c r="O402">
        <v>53</v>
      </c>
      <c r="P402">
        <v>68</v>
      </c>
      <c r="Q402" s="6">
        <f>(SUM(Pcfu43[[#This Row],[R1]:[R3]]))/(Pcfu43[[#This Row],[No. Reps]]*0.015)*Pcfu43[[#This Row],[Best DF]]</f>
        <v>395555555.55555558</v>
      </c>
      <c r="R402" s="1">
        <f>_xlfn.STDEV.S(Pcfu43[[#This Row],[R1]:[R3]])/0.015*Pcfu43[[#This Row],[Best DF]]</f>
        <v>51783023.101026729</v>
      </c>
      <c r="S402" s="6">
        <f>Pcfu43[[#This Row],[CFU/mL]]*Pcfu43[[#This Row],[mL]]/Pcfu43[[#This Row],[grams]]</f>
        <v>7515555555.5555573</v>
      </c>
      <c r="T402" s="1">
        <f>Pcfu43[[#This Row],[SD CFU/mL]]*Pcfu43[[#This Row],[mL]]/Pcfu43[[#This Row],[grams]]</f>
        <v>983877438.91950786</v>
      </c>
      <c r="U402" s="7">
        <f>_xlfn.STDEV.S(Pcfu43[[#This Row],[R1]:[R3]])/AVERAGE(Pcfu43[[#This Row],[R1]:[R3]])</f>
        <v>0.13091213705315746</v>
      </c>
      <c r="V402" s="102">
        <v>0.17699999999999999</v>
      </c>
      <c r="W402" s="7"/>
      <c r="X402" t="s">
        <v>1004</v>
      </c>
    </row>
    <row r="403" spans="1:24" x14ac:dyDescent="0.15">
      <c r="A403" t="s">
        <v>1005</v>
      </c>
      <c r="B403" t="s">
        <v>328</v>
      </c>
      <c r="C403" s="4"/>
      <c r="D403" t="s">
        <v>37</v>
      </c>
      <c r="E403" s="3">
        <v>3</v>
      </c>
      <c r="G403">
        <v>0.3</v>
      </c>
      <c r="H403" s="5">
        <v>5.7</v>
      </c>
      <c r="I403" s="3" t="s">
        <v>950</v>
      </c>
      <c r="J403" s="59">
        <v>45048</v>
      </c>
      <c r="K403" s="59"/>
      <c r="L403" s="59" t="e" cm="1">
        <f t="array" ref="L403">INDEX($J$4:J1493, MATCH(1,(A403=$A$4:A1491)*("Y"=$K$4:K1493),0))</f>
        <v>#N/A</v>
      </c>
      <c r="M403" s="1">
        <v>100000</v>
      </c>
      <c r="N403">
        <v>56</v>
      </c>
      <c r="O403">
        <v>42</v>
      </c>
      <c r="P403">
        <v>42</v>
      </c>
      <c r="Q403" s="6">
        <f>(SUM(Pcfu43[[#This Row],[R1]:[R3]]))/(Pcfu43[[#This Row],[No. Reps]]*0.015)*Pcfu43[[#This Row],[Best DF]]</f>
        <v>311111111.1111111</v>
      </c>
      <c r="R403" s="1">
        <f>_xlfn.STDEV.S(Pcfu43[[#This Row],[R1]:[R3]])/0.015*Pcfu43[[#This Row],[Best DF]]</f>
        <v>53886025.124365129</v>
      </c>
      <c r="S403" s="6">
        <f>Pcfu43[[#This Row],[CFU/mL]]*Pcfu43[[#This Row],[mL]]/Pcfu43[[#This Row],[grams]]</f>
        <v>5911111111.1111107</v>
      </c>
      <c r="T403" s="1">
        <f>Pcfu43[[#This Row],[SD CFU/mL]]*Pcfu43[[#This Row],[mL]]/Pcfu43[[#This Row],[grams]]</f>
        <v>1023834477.3629376</v>
      </c>
      <c r="U403" s="7">
        <f>_xlfn.STDEV.S(Pcfu43[[#This Row],[R1]:[R3]])/AVERAGE(Pcfu43[[#This Row],[R1]:[R3]])</f>
        <v>0.17320508075688792</v>
      </c>
      <c r="V403" s="102">
        <v>0.23400000000000001</v>
      </c>
      <c r="W403" s="7"/>
      <c r="X403" t="s">
        <v>1006</v>
      </c>
    </row>
    <row r="404" spans="1:24" x14ac:dyDescent="0.15">
      <c r="A404" t="s">
        <v>676</v>
      </c>
      <c r="B404" t="s">
        <v>328</v>
      </c>
      <c r="C404" s="4"/>
      <c r="D404" t="s">
        <v>37</v>
      </c>
      <c r="E404" s="3">
        <v>3</v>
      </c>
      <c r="G404">
        <v>0.3</v>
      </c>
      <c r="H404" s="5">
        <v>5.7</v>
      </c>
      <c r="I404" s="3" t="s">
        <v>950</v>
      </c>
      <c r="J404" s="59">
        <v>45048</v>
      </c>
      <c r="K404" s="59"/>
      <c r="L404" s="59" t="e" cm="1">
        <f t="array" ref="L404">INDEX($J$4:J1494, MATCH(1,(A404=$A$4:A1492)*("Y"=$K$4:K1494),0))</f>
        <v>#N/A</v>
      </c>
      <c r="M404" s="1">
        <v>100000</v>
      </c>
      <c r="N404">
        <v>102</v>
      </c>
      <c r="O404">
        <v>99</v>
      </c>
      <c r="P404">
        <v>96</v>
      </c>
      <c r="Q404" s="6">
        <f>(SUM(Pcfu43[[#This Row],[R1]:[R3]]))/(Pcfu43[[#This Row],[No. Reps]]*0.015)*Pcfu43[[#This Row],[Best DF]]</f>
        <v>660000000</v>
      </c>
      <c r="R404" s="1">
        <f>_xlfn.STDEV.S(Pcfu43[[#This Row],[R1]:[R3]])/0.015*Pcfu43[[#This Row],[Best DF]]</f>
        <v>20000000</v>
      </c>
      <c r="S404" s="6">
        <f>Pcfu43[[#This Row],[CFU/mL]]*Pcfu43[[#This Row],[mL]]/Pcfu43[[#This Row],[grams]]</f>
        <v>12540000000</v>
      </c>
      <c r="T404" s="1">
        <f>Pcfu43[[#This Row],[SD CFU/mL]]*Pcfu43[[#This Row],[mL]]/Pcfu43[[#This Row],[grams]]</f>
        <v>380000000</v>
      </c>
      <c r="U404" s="7">
        <f>_xlfn.STDEV.S(Pcfu43[[#This Row],[R1]:[R3]])/AVERAGE(Pcfu43[[#This Row],[R1]:[R3]])</f>
        <v>3.0303030303030304E-2</v>
      </c>
      <c r="V404" s="102">
        <v>0.218</v>
      </c>
      <c r="W404" s="7"/>
      <c r="X404" t="s">
        <v>907</v>
      </c>
    </row>
    <row r="405" spans="1:24" x14ac:dyDescent="0.15">
      <c r="A405" t="s">
        <v>1007</v>
      </c>
      <c r="B405" t="s">
        <v>328</v>
      </c>
      <c r="C405" s="4"/>
      <c r="D405" t="s">
        <v>37</v>
      </c>
      <c r="E405" s="3">
        <v>3</v>
      </c>
      <c r="G405">
        <v>0.3</v>
      </c>
      <c r="H405" s="5">
        <v>5.7</v>
      </c>
      <c r="I405" s="3" t="s">
        <v>950</v>
      </c>
      <c r="J405" s="59">
        <v>45048</v>
      </c>
      <c r="K405" s="59"/>
      <c r="L405" s="59" t="e" cm="1">
        <f t="array" ref="L405">INDEX($J$4:J1495, MATCH(1,(A405=$A$4:A1493)*("Y"=$K$4:K1495),0))</f>
        <v>#N/A</v>
      </c>
      <c r="M405" s="1">
        <v>100000</v>
      </c>
      <c r="N405">
        <v>102</v>
      </c>
      <c r="O405">
        <v>109</v>
      </c>
      <c r="P405">
        <v>110</v>
      </c>
      <c r="Q405" s="6">
        <f>(SUM(Pcfu43[[#This Row],[R1]:[R3]]))/(Pcfu43[[#This Row],[No. Reps]]*0.015)*Pcfu43[[#This Row],[Best DF]]</f>
        <v>713333333.33333337</v>
      </c>
      <c r="R405" s="1">
        <f>_xlfn.STDEV.S(Pcfu43[[#This Row],[R1]:[R3]])/0.015*Pcfu43[[#This Row],[Best DF]]</f>
        <v>29059326.290271163</v>
      </c>
      <c r="S405" s="6">
        <f>Pcfu43[[#This Row],[CFU/mL]]*Pcfu43[[#This Row],[mL]]/Pcfu43[[#This Row],[grams]]</f>
        <v>13553333333.333336</v>
      </c>
      <c r="T405" s="1">
        <f>Pcfu43[[#This Row],[SD CFU/mL]]*Pcfu43[[#This Row],[mL]]/Pcfu43[[#This Row],[grams]]</f>
        <v>552127199.5151521</v>
      </c>
      <c r="U405" s="7">
        <f>_xlfn.STDEV.S(Pcfu43[[#This Row],[R1]:[R3]])/AVERAGE(Pcfu43[[#This Row],[R1]:[R3]])</f>
        <v>4.0737373304118446E-2</v>
      </c>
      <c r="V405" s="102">
        <v>0.185</v>
      </c>
      <c r="W405" s="7"/>
      <c r="X405" t="s">
        <v>512</v>
      </c>
    </row>
    <row r="406" spans="1:24" x14ac:dyDescent="0.15">
      <c r="A406" t="s">
        <v>1008</v>
      </c>
      <c r="B406" t="s">
        <v>328</v>
      </c>
      <c r="C406" s="4"/>
      <c r="D406" t="s">
        <v>37</v>
      </c>
      <c r="E406" s="3">
        <v>3</v>
      </c>
      <c r="G406">
        <v>0.3</v>
      </c>
      <c r="H406" s="5">
        <v>5.7</v>
      </c>
      <c r="I406" s="3" t="s">
        <v>950</v>
      </c>
      <c r="J406" s="59">
        <v>45048</v>
      </c>
      <c r="K406" s="59"/>
      <c r="L406" s="59" t="e" cm="1">
        <f t="array" ref="L406">INDEX($J$4:J1496, MATCH(1,(A406=$A$4:A1494)*("Y"=$K$4:K1496),0))</f>
        <v>#N/A</v>
      </c>
      <c r="M406" s="1">
        <v>100000</v>
      </c>
      <c r="N406">
        <v>109</v>
      </c>
      <c r="O406">
        <v>97</v>
      </c>
      <c r="P406">
        <v>105</v>
      </c>
      <c r="Q406" s="6">
        <f>(SUM(Pcfu43[[#This Row],[R1]:[R3]]))/(Pcfu43[[#This Row],[No. Reps]]*0.015)*Pcfu43[[#This Row],[Best DF]]</f>
        <v>691111111.11111116</v>
      </c>
      <c r="R406" s="1">
        <f>_xlfn.STDEV.S(Pcfu43[[#This Row],[R1]:[R3]])/0.015*Pcfu43[[#This Row],[Best DF]]</f>
        <v>40734006.177385248</v>
      </c>
      <c r="S406" s="6">
        <f>Pcfu43[[#This Row],[CFU/mL]]*Pcfu43[[#This Row],[mL]]/Pcfu43[[#This Row],[grams]]</f>
        <v>13131111111.111115</v>
      </c>
      <c r="T406" s="1">
        <f>Pcfu43[[#This Row],[SD CFU/mL]]*Pcfu43[[#This Row],[mL]]/Pcfu43[[#This Row],[grams]]</f>
        <v>773946117.37031984</v>
      </c>
      <c r="U406" s="7">
        <f>_xlfn.STDEV.S(Pcfu43[[#This Row],[R1]:[R3]])/AVERAGE(Pcfu43[[#This Row],[R1]:[R3]])</f>
        <v>5.8939880320975434E-2</v>
      </c>
      <c r="V406" s="102">
        <v>0.20799999999999999</v>
      </c>
      <c r="W406" s="7"/>
      <c r="X406" t="s">
        <v>1009</v>
      </c>
    </row>
    <row r="407" spans="1:24" x14ac:dyDescent="0.15">
      <c r="A407" t="s">
        <v>1010</v>
      </c>
      <c r="B407" t="s">
        <v>854</v>
      </c>
      <c r="C407" s="4"/>
      <c r="D407" t="s">
        <v>86</v>
      </c>
      <c r="E407" s="3">
        <v>1</v>
      </c>
      <c r="G407">
        <v>0.3</v>
      </c>
      <c r="H407" s="5">
        <v>5.7</v>
      </c>
      <c r="I407" s="3" t="s">
        <v>950</v>
      </c>
      <c r="J407" s="59">
        <v>45049</v>
      </c>
      <c r="K407" s="59"/>
      <c r="L407" s="59" t="e" cm="1">
        <f t="array" ref="L407">INDEX($J$4:J1497, MATCH(1,(A407=$A$4:A1495)*("Y"=$K$4:K1497),0))</f>
        <v>#N/A</v>
      </c>
      <c r="M407" s="1">
        <v>10000000</v>
      </c>
      <c r="N407">
        <v>20</v>
      </c>
      <c r="Q407" s="6">
        <f>(SUM(Pcfu43[[#This Row],[R1]:[R3]]))/(Pcfu43[[#This Row],[No. Reps]]*0.015)*Pcfu43[[#This Row],[Best DF]]</f>
        <v>13333333333.333334</v>
      </c>
      <c r="R407" s="1" t="e">
        <f>_xlfn.STDEV.S(Pcfu43[[#This Row],[R1]:[R3]])/0.015*Pcfu43[[#This Row],[Best DF]]</f>
        <v>#DIV/0!</v>
      </c>
      <c r="S407" s="6">
        <f>Pcfu43[[#This Row],[CFU/mL]]*Pcfu43[[#This Row],[mL]]/Pcfu43[[#This Row],[grams]]</f>
        <v>253333333333.33334</v>
      </c>
      <c r="T407" s="1" t="e">
        <f>Pcfu43[[#This Row],[SD CFU/mL]]*Pcfu43[[#This Row],[mL]]/Pcfu43[[#This Row],[grams]]</f>
        <v>#DIV/0!</v>
      </c>
      <c r="U407" s="7" t="e">
        <f>_xlfn.STDEV.S(Pcfu43[[#This Row],[R1]:[R3]])/AVERAGE(Pcfu43[[#This Row],[R1]:[R3]])</f>
        <v>#DIV/0!</v>
      </c>
      <c r="V407" s="102"/>
      <c r="W407" s="7"/>
    </row>
    <row r="408" spans="1:24" x14ac:dyDescent="0.15">
      <c r="A408" t="s">
        <v>1010</v>
      </c>
      <c r="B408" t="s">
        <v>855</v>
      </c>
      <c r="C408" s="4"/>
      <c r="D408" t="s">
        <v>86</v>
      </c>
      <c r="E408" s="3">
        <v>1</v>
      </c>
      <c r="G408">
        <v>0.3</v>
      </c>
      <c r="H408" s="5">
        <v>5.7</v>
      </c>
      <c r="I408" s="3" t="s">
        <v>950</v>
      </c>
      <c r="J408" s="59">
        <v>45049</v>
      </c>
      <c r="K408" s="59"/>
      <c r="L408" s="59" t="e" cm="1">
        <f t="array" ref="L408">INDEX($J$4:J1498, MATCH(1,(A408=$A$4:A1496)*("Y"=$K$4:K1498),0))</f>
        <v>#N/A</v>
      </c>
      <c r="M408" s="1">
        <v>10000000</v>
      </c>
      <c r="N408">
        <v>14</v>
      </c>
      <c r="Q408" s="6">
        <f>(SUM(Pcfu43[[#This Row],[R1]:[R3]]))/(Pcfu43[[#This Row],[No. Reps]]*0.015)*Pcfu43[[#This Row],[Best DF]]</f>
        <v>9333333333.333334</v>
      </c>
      <c r="R408" s="1" t="e">
        <f>_xlfn.STDEV.S(Pcfu43[[#This Row],[R1]:[R3]])/0.015*Pcfu43[[#This Row],[Best DF]]</f>
        <v>#DIV/0!</v>
      </c>
      <c r="S408" s="6">
        <f>Pcfu43[[#This Row],[CFU/mL]]*Pcfu43[[#This Row],[mL]]/Pcfu43[[#This Row],[grams]]</f>
        <v>177333333333.33337</v>
      </c>
      <c r="T408" s="1" t="e">
        <f>Pcfu43[[#This Row],[SD CFU/mL]]*Pcfu43[[#This Row],[mL]]/Pcfu43[[#This Row],[grams]]</f>
        <v>#DIV/0!</v>
      </c>
      <c r="U408" s="7" t="e">
        <f>_xlfn.STDEV.S(Pcfu43[[#This Row],[R1]:[R3]])/AVERAGE(Pcfu43[[#This Row],[R1]:[R3]])</f>
        <v>#DIV/0!</v>
      </c>
      <c r="V408" s="102"/>
      <c r="W408" s="7"/>
    </row>
    <row r="409" spans="1:24" x14ac:dyDescent="0.15">
      <c r="A409" t="s">
        <v>1010</v>
      </c>
      <c r="B409" t="s">
        <v>856</v>
      </c>
      <c r="C409" s="4"/>
      <c r="D409" t="s">
        <v>86</v>
      </c>
      <c r="E409" s="3">
        <v>1</v>
      </c>
      <c r="G409">
        <v>0.3</v>
      </c>
      <c r="H409" s="5">
        <v>5.7</v>
      </c>
      <c r="I409" s="3" t="s">
        <v>950</v>
      </c>
      <c r="J409" s="59">
        <v>45049</v>
      </c>
      <c r="K409" s="59"/>
      <c r="L409" s="59" t="e" cm="1">
        <f t="array" ref="L409">INDEX($J$4:J1499, MATCH(1,(A409=$A$4:A1497)*("Y"=$K$4:K1499),0))</f>
        <v>#N/A</v>
      </c>
      <c r="M409" s="1">
        <v>10000000</v>
      </c>
      <c r="N409">
        <v>24</v>
      </c>
      <c r="Q409" s="6">
        <f>(SUM(Pcfu43[[#This Row],[R1]:[R3]]))/(Pcfu43[[#This Row],[No. Reps]]*0.015)*Pcfu43[[#This Row],[Best DF]]</f>
        <v>16000000000</v>
      </c>
      <c r="R409" s="1" t="e">
        <f>_xlfn.STDEV.S(Pcfu43[[#This Row],[R1]:[R3]])/0.015*Pcfu43[[#This Row],[Best DF]]</f>
        <v>#DIV/0!</v>
      </c>
      <c r="S409" s="6">
        <f>Pcfu43[[#This Row],[CFU/mL]]*Pcfu43[[#This Row],[mL]]/Pcfu43[[#This Row],[grams]]</f>
        <v>304000000000</v>
      </c>
      <c r="T409" s="1" t="e">
        <f>Pcfu43[[#This Row],[SD CFU/mL]]*Pcfu43[[#This Row],[mL]]/Pcfu43[[#This Row],[grams]]</f>
        <v>#DIV/0!</v>
      </c>
      <c r="U409" s="7" t="e">
        <f>_xlfn.STDEV.S(Pcfu43[[#This Row],[R1]:[R3]])/AVERAGE(Pcfu43[[#This Row],[R1]:[R3]])</f>
        <v>#DIV/0!</v>
      </c>
      <c r="V409" s="102"/>
      <c r="W409" s="7"/>
    </row>
    <row r="410" spans="1:24" x14ac:dyDescent="0.15">
      <c r="A410" t="s">
        <v>1011</v>
      </c>
      <c r="B410" t="s">
        <v>854</v>
      </c>
      <c r="C410" s="4"/>
      <c r="D410" t="s">
        <v>86</v>
      </c>
      <c r="E410" s="3">
        <v>1</v>
      </c>
      <c r="G410">
        <v>0.3</v>
      </c>
      <c r="H410" s="5">
        <v>5.7</v>
      </c>
      <c r="I410" s="3" t="s">
        <v>950</v>
      </c>
      <c r="J410" s="59">
        <v>45049</v>
      </c>
      <c r="K410" s="59"/>
      <c r="L410" s="59" t="e" cm="1">
        <f t="array" ref="L410">INDEX($J$4:J1500, MATCH(1,(A410=$A$4:A1498)*("Y"=$K$4:K1500),0))</f>
        <v>#N/A</v>
      </c>
      <c r="M410" s="1">
        <v>10000000</v>
      </c>
      <c r="N410">
        <v>28</v>
      </c>
      <c r="Q410" s="6">
        <f>(SUM(Pcfu43[[#This Row],[R1]:[R3]]))/(Pcfu43[[#This Row],[No. Reps]]*0.015)*Pcfu43[[#This Row],[Best DF]]</f>
        <v>18666666666.666668</v>
      </c>
      <c r="R410" s="1" t="e">
        <f>_xlfn.STDEV.S(Pcfu43[[#This Row],[R1]:[R3]])/0.015*Pcfu43[[#This Row],[Best DF]]</f>
        <v>#DIV/0!</v>
      </c>
      <c r="S410" s="6">
        <f>Pcfu43[[#This Row],[CFU/mL]]*Pcfu43[[#This Row],[mL]]/Pcfu43[[#This Row],[grams]]</f>
        <v>354666666666.66675</v>
      </c>
      <c r="T410" s="1" t="e">
        <f>Pcfu43[[#This Row],[SD CFU/mL]]*Pcfu43[[#This Row],[mL]]/Pcfu43[[#This Row],[grams]]</f>
        <v>#DIV/0!</v>
      </c>
      <c r="U410" s="7" t="e">
        <f>_xlfn.STDEV.S(Pcfu43[[#This Row],[R1]:[R3]])/AVERAGE(Pcfu43[[#This Row],[R1]:[R3]])</f>
        <v>#DIV/0!</v>
      </c>
      <c r="V410" s="102"/>
      <c r="W410" s="7"/>
    </row>
    <row r="411" spans="1:24" x14ac:dyDescent="0.15">
      <c r="A411" t="s">
        <v>1011</v>
      </c>
      <c r="B411" t="s">
        <v>855</v>
      </c>
      <c r="C411" s="4"/>
      <c r="D411" t="s">
        <v>86</v>
      </c>
      <c r="E411" s="3">
        <v>1</v>
      </c>
      <c r="G411">
        <v>0.3</v>
      </c>
      <c r="H411" s="5">
        <v>5.7</v>
      </c>
      <c r="I411" s="3" t="s">
        <v>950</v>
      </c>
      <c r="J411" s="59">
        <v>45049</v>
      </c>
      <c r="K411" s="59"/>
      <c r="L411" s="59" t="e" cm="1">
        <f t="array" ref="L411">INDEX($J$4:J1501, MATCH(1,(A411=$A$4:A1499)*("Y"=$K$4:K1501),0))</f>
        <v>#N/A</v>
      </c>
      <c r="M411" s="1">
        <v>10000000</v>
      </c>
      <c r="N411">
        <v>27</v>
      </c>
      <c r="Q411" s="6">
        <f>(SUM(Pcfu43[[#This Row],[R1]:[R3]]))/(Pcfu43[[#This Row],[No. Reps]]*0.015)*Pcfu43[[#This Row],[Best DF]]</f>
        <v>18000000000</v>
      </c>
      <c r="R411" s="1" t="e">
        <f>_xlfn.STDEV.S(Pcfu43[[#This Row],[R1]:[R3]])/0.015*Pcfu43[[#This Row],[Best DF]]</f>
        <v>#DIV/0!</v>
      </c>
      <c r="S411" s="6">
        <f>Pcfu43[[#This Row],[CFU/mL]]*Pcfu43[[#This Row],[mL]]/Pcfu43[[#This Row],[grams]]</f>
        <v>342000000000</v>
      </c>
      <c r="T411" s="1" t="e">
        <f>Pcfu43[[#This Row],[SD CFU/mL]]*Pcfu43[[#This Row],[mL]]/Pcfu43[[#This Row],[grams]]</f>
        <v>#DIV/0!</v>
      </c>
      <c r="U411" s="7" t="e">
        <f>_xlfn.STDEV.S(Pcfu43[[#This Row],[R1]:[R3]])/AVERAGE(Pcfu43[[#This Row],[R1]:[R3]])</f>
        <v>#DIV/0!</v>
      </c>
      <c r="V411" s="102"/>
      <c r="W411" s="7"/>
    </row>
    <row r="412" spans="1:24" x14ac:dyDescent="0.15">
      <c r="A412" t="s">
        <v>1011</v>
      </c>
      <c r="B412" t="s">
        <v>856</v>
      </c>
      <c r="C412" s="4"/>
      <c r="D412" t="s">
        <v>86</v>
      </c>
      <c r="E412" s="3">
        <v>1</v>
      </c>
      <c r="G412">
        <v>0.3</v>
      </c>
      <c r="H412" s="5">
        <v>5.7</v>
      </c>
      <c r="I412" s="3" t="s">
        <v>950</v>
      </c>
      <c r="J412" s="59">
        <v>45049</v>
      </c>
      <c r="K412" s="59"/>
      <c r="L412" s="59" t="e" cm="1">
        <f t="array" ref="L412">INDEX($J$4:J1502, MATCH(1,(A412=$A$4:A1500)*("Y"=$K$4:K1502),0))</f>
        <v>#N/A</v>
      </c>
      <c r="M412" s="1">
        <v>10000000</v>
      </c>
      <c r="N412">
        <v>28</v>
      </c>
      <c r="Q412" s="6">
        <f>(SUM(Pcfu43[[#This Row],[R1]:[R3]]))/(Pcfu43[[#This Row],[No. Reps]]*0.015)*Pcfu43[[#This Row],[Best DF]]</f>
        <v>18666666666.666668</v>
      </c>
      <c r="R412" s="1" t="e">
        <f>_xlfn.STDEV.S(Pcfu43[[#This Row],[R1]:[R3]])/0.015*Pcfu43[[#This Row],[Best DF]]</f>
        <v>#DIV/0!</v>
      </c>
      <c r="S412" s="6">
        <f>Pcfu43[[#This Row],[CFU/mL]]*Pcfu43[[#This Row],[mL]]/Pcfu43[[#This Row],[grams]]</f>
        <v>354666666666.66675</v>
      </c>
      <c r="T412" s="1" t="e">
        <f>Pcfu43[[#This Row],[SD CFU/mL]]*Pcfu43[[#This Row],[mL]]/Pcfu43[[#This Row],[grams]]</f>
        <v>#DIV/0!</v>
      </c>
      <c r="U412" s="7" t="e">
        <f>_xlfn.STDEV.S(Pcfu43[[#This Row],[R1]:[R3]])/AVERAGE(Pcfu43[[#This Row],[R1]:[R3]])</f>
        <v>#DIV/0!</v>
      </c>
      <c r="V412" s="102"/>
      <c r="W412" s="7"/>
    </row>
    <row r="413" spans="1:24" x14ac:dyDescent="0.15">
      <c r="A413" t="s">
        <v>1012</v>
      </c>
      <c r="B413" t="s">
        <v>854</v>
      </c>
      <c r="C413" s="4"/>
      <c r="D413" t="s">
        <v>86</v>
      </c>
      <c r="E413" s="3">
        <v>1</v>
      </c>
      <c r="G413">
        <v>0.3</v>
      </c>
      <c r="H413" s="5">
        <v>5.7</v>
      </c>
      <c r="I413" s="3" t="s">
        <v>950</v>
      </c>
      <c r="J413" s="59">
        <v>45049</v>
      </c>
      <c r="K413" s="59"/>
      <c r="L413" s="59" t="e" cm="1">
        <f t="array" ref="L413">INDEX($J$4:J1503, MATCH(1,(A413=$A$4:A1501)*("Y"=$K$4:K1503),0))</f>
        <v>#N/A</v>
      </c>
      <c r="M413" s="1">
        <v>1000000</v>
      </c>
      <c r="N413">
        <v>36</v>
      </c>
      <c r="Q413" s="6">
        <f>(SUM(Pcfu43[[#This Row],[R1]:[R3]]))/(Pcfu43[[#This Row],[No. Reps]]*0.015)*Pcfu43[[#This Row],[Best DF]]</f>
        <v>2400000000</v>
      </c>
      <c r="R413" s="1" t="e">
        <f>_xlfn.STDEV.S(Pcfu43[[#This Row],[R1]:[R3]])/0.015*Pcfu43[[#This Row],[Best DF]]</f>
        <v>#DIV/0!</v>
      </c>
      <c r="S413" s="6">
        <f>Pcfu43[[#This Row],[CFU/mL]]*Pcfu43[[#This Row],[mL]]/Pcfu43[[#This Row],[grams]]</f>
        <v>45600000000</v>
      </c>
      <c r="T413" s="1" t="e">
        <f>Pcfu43[[#This Row],[SD CFU/mL]]*Pcfu43[[#This Row],[mL]]/Pcfu43[[#This Row],[grams]]</f>
        <v>#DIV/0!</v>
      </c>
      <c r="U413" s="7" t="e">
        <f>_xlfn.STDEV.S(Pcfu43[[#This Row],[R1]:[R3]])/AVERAGE(Pcfu43[[#This Row],[R1]:[R3]])</f>
        <v>#DIV/0!</v>
      </c>
      <c r="V413" s="102"/>
      <c r="W413" s="7"/>
    </row>
    <row r="414" spans="1:24" x14ac:dyDescent="0.15">
      <c r="A414" t="s">
        <v>1012</v>
      </c>
      <c r="B414" t="s">
        <v>855</v>
      </c>
      <c r="C414" s="4"/>
      <c r="D414" t="s">
        <v>86</v>
      </c>
      <c r="E414" s="3">
        <v>1</v>
      </c>
      <c r="G414">
        <v>0.3</v>
      </c>
      <c r="H414" s="5">
        <v>5.7</v>
      </c>
      <c r="I414" s="3" t="s">
        <v>950</v>
      </c>
      <c r="J414" s="59">
        <v>45049</v>
      </c>
      <c r="K414" s="59"/>
      <c r="L414" s="59" t="e" cm="1">
        <f t="array" ref="L414">INDEX($J$4:J1504, MATCH(1,(A414=$A$4:A1502)*("Y"=$K$4:K1504),0))</f>
        <v>#N/A</v>
      </c>
      <c r="M414" s="1">
        <v>1000000</v>
      </c>
      <c r="N414">
        <v>38</v>
      </c>
      <c r="Q414" s="6">
        <f>(SUM(Pcfu43[[#This Row],[R1]:[R3]]))/(Pcfu43[[#This Row],[No. Reps]]*0.015)*Pcfu43[[#This Row],[Best DF]]</f>
        <v>2533333333.3333335</v>
      </c>
      <c r="R414" s="1" t="e">
        <f>_xlfn.STDEV.S(Pcfu43[[#This Row],[R1]:[R3]])/0.015*Pcfu43[[#This Row],[Best DF]]</f>
        <v>#DIV/0!</v>
      </c>
      <c r="S414" s="6">
        <f>Pcfu43[[#This Row],[CFU/mL]]*Pcfu43[[#This Row],[mL]]/Pcfu43[[#This Row],[grams]]</f>
        <v>48133333333.333344</v>
      </c>
      <c r="T414" s="1" t="e">
        <f>Pcfu43[[#This Row],[SD CFU/mL]]*Pcfu43[[#This Row],[mL]]/Pcfu43[[#This Row],[grams]]</f>
        <v>#DIV/0!</v>
      </c>
      <c r="U414" s="7" t="e">
        <f>_xlfn.STDEV.S(Pcfu43[[#This Row],[R1]:[R3]])/AVERAGE(Pcfu43[[#This Row],[R1]:[R3]])</f>
        <v>#DIV/0!</v>
      </c>
      <c r="V414" s="102"/>
      <c r="W414" s="7"/>
    </row>
    <row r="415" spans="1:24" x14ac:dyDescent="0.15">
      <c r="A415" t="s">
        <v>1012</v>
      </c>
      <c r="B415" t="s">
        <v>856</v>
      </c>
      <c r="C415" s="4"/>
      <c r="D415" t="s">
        <v>86</v>
      </c>
      <c r="E415" s="3">
        <v>1</v>
      </c>
      <c r="G415">
        <v>0.3</v>
      </c>
      <c r="H415" s="5">
        <v>5.7</v>
      </c>
      <c r="I415" s="3" t="s">
        <v>950</v>
      </c>
      <c r="J415" s="59">
        <v>45049</v>
      </c>
      <c r="K415" s="59"/>
      <c r="L415" s="59" t="e" cm="1">
        <f t="array" ref="L415">INDEX($J$4:J1505, MATCH(1,(A415=$A$4:A1503)*("Y"=$K$4:K1505),0))</f>
        <v>#N/A</v>
      </c>
      <c r="M415" s="1">
        <v>1000000</v>
      </c>
      <c r="N415">
        <v>31</v>
      </c>
      <c r="Q415" s="6">
        <f>(SUM(Pcfu43[[#This Row],[R1]:[R3]]))/(Pcfu43[[#This Row],[No. Reps]]*0.015)*Pcfu43[[#This Row],[Best DF]]</f>
        <v>2066666666.666667</v>
      </c>
      <c r="R415" s="1" t="e">
        <f>_xlfn.STDEV.S(Pcfu43[[#This Row],[R1]:[R3]])/0.015*Pcfu43[[#This Row],[Best DF]]</f>
        <v>#DIV/0!</v>
      </c>
      <c r="S415" s="6">
        <f>Pcfu43[[#This Row],[CFU/mL]]*Pcfu43[[#This Row],[mL]]/Pcfu43[[#This Row],[grams]]</f>
        <v>39266666666.666672</v>
      </c>
      <c r="T415" s="1" t="e">
        <f>Pcfu43[[#This Row],[SD CFU/mL]]*Pcfu43[[#This Row],[mL]]/Pcfu43[[#This Row],[grams]]</f>
        <v>#DIV/0!</v>
      </c>
      <c r="U415" s="7" t="e">
        <f>_xlfn.STDEV.S(Pcfu43[[#This Row],[R1]:[R3]])/AVERAGE(Pcfu43[[#This Row],[R1]:[R3]])</f>
        <v>#DIV/0!</v>
      </c>
      <c r="V415" s="102"/>
      <c r="W415" s="7"/>
    </row>
    <row r="416" spans="1:24" x14ac:dyDescent="0.15">
      <c r="A416" t="s">
        <v>592</v>
      </c>
      <c r="B416" t="s">
        <v>328</v>
      </c>
      <c r="C416" s="4"/>
      <c r="D416" t="s">
        <v>37</v>
      </c>
      <c r="E416" s="3">
        <v>3</v>
      </c>
      <c r="G416">
        <v>0.3</v>
      </c>
      <c r="H416" s="5">
        <v>5.7</v>
      </c>
      <c r="I416" s="3" t="s">
        <v>950</v>
      </c>
      <c r="J416" s="59">
        <v>45049</v>
      </c>
      <c r="K416" s="59"/>
      <c r="L416" s="59" t="e" cm="1">
        <f t="array" ref="L416">INDEX($J$4:J1506, MATCH(1,(A416=$A$4:A1504)*("Y"=$K$4:K1506),0))</f>
        <v>#N/A</v>
      </c>
      <c r="M416" s="1">
        <v>100000</v>
      </c>
      <c r="N416">
        <v>11</v>
      </c>
      <c r="O416">
        <v>11</v>
      </c>
      <c r="P416">
        <v>16</v>
      </c>
      <c r="Q416" s="6">
        <f>(SUM(Pcfu43[[#This Row],[R1]:[R3]]))/(Pcfu43[[#This Row],[No. Reps]]*0.015)*Pcfu43[[#This Row],[Best DF]]</f>
        <v>84444444.444444448</v>
      </c>
      <c r="R416" s="1">
        <f>_xlfn.STDEV.S(Pcfu43[[#This Row],[R1]:[R3]])/0.015*Pcfu43[[#This Row],[Best DF]]</f>
        <v>19245008.972987536</v>
      </c>
      <c r="S416" s="6">
        <f>Pcfu43[[#This Row],[CFU/mL]]*Pcfu43[[#This Row],[mL]]/Pcfu43[[#This Row],[grams]]</f>
        <v>1604444444.4444447</v>
      </c>
      <c r="T416" s="1">
        <f>Pcfu43[[#This Row],[SD CFU/mL]]*Pcfu43[[#This Row],[mL]]/Pcfu43[[#This Row],[grams]]</f>
        <v>365655170.48676324</v>
      </c>
      <c r="U416" s="7">
        <f>_xlfn.STDEV.S(Pcfu43[[#This Row],[R1]:[R3]])/AVERAGE(Pcfu43[[#This Row],[R1]:[R3]])</f>
        <v>0.22790142204853661</v>
      </c>
      <c r="V416" s="102">
        <v>0.317</v>
      </c>
      <c r="W416" s="7"/>
      <c r="X416" t="s">
        <v>1013</v>
      </c>
    </row>
    <row r="417" spans="1:24" x14ac:dyDescent="0.15">
      <c r="A417" t="s">
        <v>595</v>
      </c>
      <c r="B417" t="s">
        <v>328</v>
      </c>
      <c r="C417" s="4"/>
      <c r="D417" t="s">
        <v>37</v>
      </c>
      <c r="E417" s="3">
        <v>3</v>
      </c>
      <c r="G417">
        <v>0.3</v>
      </c>
      <c r="H417" s="5">
        <v>5.7</v>
      </c>
      <c r="I417" s="3" t="s">
        <v>950</v>
      </c>
      <c r="J417" s="59">
        <v>45049</v>
      </c>
      <c r="K417" s="59"/>
      <c r="L417" s="59" t="e" cm="1">
        <f t="array" ref="L417">INDEX($J$4:J1507, MATCH(1,(A417=$A$4:A1505)*("Y"=$K$4:K1507),0))</f>
        <v>#N/A</v>
      </c>
      <c r="M417" s="1">
        <v>100000</v>
      </c>
      <c r="N417">
        <v>14</v>
      </c>
      <c r="O417">
        <v>16</v>
      </c>
      <c r="P417">
        <v>13</v>
      </c>
      <c r="Q417" s="6">
        <f>(SUM(Pcfu43[[#This Row],[R1]:[R3]]))/(Pcfu43[[#This Row],[No. Reps]]*0.015)*Pcfu43[[#This Row],[Best DF]]</f>
        <v>95555555.555555552</v>
      </c>
      <c r="R417" s="1">
        <f>_xlfn.STDEV.S(Pcfu43[[#This Row],[R1]:[R3]])/0.015*Pcfu43[[#This Row],[Best DF]]</f>
        <v>10183501.544346312</v>
      </c>
      <c r="S417" s="6">
        <f>Pcfu43[[#This Row],[CFU/mL]]*Pcfu43[[#This Row],[mL]]/Pcfu43[[#This Row],[grams]]</f>
        <v>1815555555.5555556</v>
      </c>
      <c r="T417" s="1">
        <f>Pcfu43[[#This Row],[SD CFU/mL]]*Pcfu43[[#This Row],[mL]]/Pcfu43[[#This Row],[grams]]</f>
        <v>193486529.34257996</v>
      </c>
      <c r="U417" s="7">
        <f>_xlfn.STDEV.S(Pcfu43[[#This Row],[R1]:[R3]])/AVERAGE(Pcfu43[[#This Row],[R1]:[R3]])</f>
        <v>0.1065715277896707</v>
      </c>
      <c r="V417" s="102">
        <v>0.39200000000000002</v>
      </c>
      <c r="W417" s="7"/>
      <c r="X417" t="s">
        <v>1014</v>
      </c>
    </row>
    <row r="418" spans="1:24" x14ac:dyDescent="0.15">
      <c r="A418" t="s">
        <v>1015</v>
      </c>
      <c r="B418" t="s">
        <v>328</v>
      </c>
      <c r="C418" s="4"/>
      <c r="D418" t="s">
        <v>194</v>
      </c>
      <c r="E418" s="3">
        <v>3</v>
      </c>
      <c r="G418">
        <v>0.3</v>
      </c>
      <c r="H418" s="5">
        <v>5.7</v>
      </c>
      <c r="I418" s="3" t="s">
        <v>950</v>
      </c>
      <c r="J418" s="59">
        <v>45054</v>
      </c>
      <c r="K418" s="59"/>
      <c r="L418" s="59" t="e" cm="1">
        <f t="array" ref="L418">INDEX($J$4:J1508, MATCH(1,(A418=$A$4:A1506)*("Y"=$K$4:K1508),0))</f>
        <v>#N/A</v>
      </c>
      <c r="M418" s="1">
        <v>100000</v>
      </c>
      <c r="N418">
        <v>19</v>
      </c>
      <c r="O418">
        <v>15</v>
      </c>
      <c r="P418">
        <v>22</v>
      </c>
      <c r="Q418" s="6">
        <f>(SUM(Pcfu43[[#This Row],[R1]:[R3]]))/(Pcfu43[[#This Row],[No. Reps]]*0.015)*Pcfu43[[#This Row],[Best DF]]</f>
        <v>124444444.44444446</v>
      </c>
      <c r="R418" s="1">
        <f>_xlfn.STDEV.S(Pcfu43[[#This Row],[R1]:[R3]])/0.015*Pcfu43[[#This Row],[Best DF]]</f>
        <v>23412563.895228349</v>
      </c>
      <c r="S418" s="6">
        <f>Pcfu43[[#This Row],[CFU/mL]]*Pcfu43[[#This Row],[mL]]/Pcfu43[[#This Row],[grams]]</f>
        <v>2364444444.4444451</v>
      </c>
      <c r="T418" s="1">
        <f>Pcfu43[[#This Row],[SD CFU/mL]]*Pcfu43[[#This Row],[mL]]/Pcfu43[[#This Row],[grams]]</f>
        <v>444838714.00933862</v>
      </c>
      <c r="U418" s="7">
        <f>_xlfn.STDEV.S(Pcfu43[[#This Row],[R1]:[R3]])/AVERAGE(Pcfu43[[#This Row],[R1]:[R3]])</f>
        <v>0.18813667415808491</v>
      </c>
      <c r="V418" s="102">
        <v>0.34499999999999997</v>
      </c>
      <c r="W418" s="7"/>
      <c r="X418" t="s">
        <v>1016</v>
      </c>
    </row>
    <row r="419" spans="1:24" x14ac:dyDescent="0.15">
      <c r="A419" t="s">
        <v>938</v>
      </c>
      <c r="B419" t="s">
        <v>328</v>
      </c>
      <c r="C419" s="4"/>
      <c r="D419" t="s">
        <v>194</v>
      </c>
      <c r="E419" s="3">
        <v>3</v>
      </c>
      <c r="G419">
        <v>0.3</v>
      </c>
      <c r="H419" s="5">
        <v>5.7</v>
      </c>
      <c r="I419" s="3" t="s">
        <v>950</v>
      </c>
      <c r="J419" s="59">
        <v>45054</v>
      </c>
      <c r="K419" s="59"/>
      <c r="L419" s="59" t="e" cm="1">
        <f t="array" ref="L419">INDEX($J$4:J1509, MATCH(1,(A419=$A$4:A1507)*("Y"=$K$4:K1509),0))</f>
        <v>#N/A</v>
      </c>
      <c r="M419" s="1">
        <v>1000000</v>
      </c>
      <c r="N419">
        <v>9</v>
      </c>
      <c r="O419">
        <v>12</v>
      </c>
      <c r="P419">
        <v>10</v>
      </c>
      <c r="Q419" s="6">
        <f>(SUM(Pcfu43[[#This Row],[R1]:[R3]]))/(Pcfu43[[#This Row],[No. Reps]]*0.015)*Pcfu43[[#This Row],[Best DF]]</f>
        <v>688888888.88888896</v>
      </c>
      <c r="R419" s="1">
        <f>_xlfn.STDEV.S(Pcfu43[[#This Row],[R1]:[R3]])/0.015*Pcfu43[[#This Row],[Best DF]]</f>
        <v>101835015.44346334</v>
      </c>
      <c r="S419" s="6">
        <f>Pcfu43[[#This Row],[CFU/mL]]*Pcfu43[[#This Row],[mL]]/Pcfu43[[#This Row],[grams]]</f>
        <v>13088888888.888891</v>
      </c>
      <c r="T419" s="1">
        <f>Pcfu43[[#This Row],[SD CFU/mL]]*Pcfu43[[#This Row],[mL]]/Pcfu43[[#This Row],[grams]]</f>
        <v>1934865293.4258037</v>
      </c>
      <c r="U419" s="7">
        <f>_xlfn.STDEV.S(Pcfu43[[#This Row],[R1]:[R3]])/AVERAGE(Pcfu43[[#This Row],[R1]:[R3]])</f>
        <v>0.14782502241793063</v>
      </c>
      <c r="V419" s="102">
        <v>0.255</v>
      </c>
      <c r="W419" s="7"/>
      <c r="X419" t="s">
        <v>449</v>
      </c>
    </row>
    <row r="420" spans="1:24" x14ac:dyDescent="0.15">
      <c r="A420" t="s">
        <v>939</v>
      </c>
      <c r="B420" t="s">
        <v>328</v>
      </c>
      <c r="C420" s="4"/>
      <c r="D420" t="s">
        <v>194</v>
      </c>
      <c r="E420" s="3">
        <v>3</v>
      </c>
      <c r="G420">
        <v>0.3</v>
      </c>
      <c r="H420" s="5">
        <v>5.7</v>
      </c>
      <c r="I420" s="3" t="s">
        <v>950</v>
      </c>
      <c r="J420" s="59">
        <v>45054</v>
      </c>
      <c r="K420" s="59"/>
      <c r="L420" s="59" t="e" cm="1">
        <f t="array" ref="L420">INDEX($J$4:J1510, MATCH(1,(A420=$A$4:A1508)*("Y"=$K$4:K1510),0))</f>
        <v>#N/A</v>
      </c>
      <c r="M420" s="1">
        <v>100000</v>
      </c>
      <c r="N420">
        <v>33</v>
      </c>
      <c r="O420">
        <v>33</v>
      </c>
      <c r="P420">
        <v>34</v>
      </c>
      <c r="Q420" s="6">
        <f>(SUM(Pcfu43[[#This Row],[R1]:[R3]]))/(Pcfu43[[#This Row],[No. Reps]]*0.015)*Pcfu43[[#This Row],[Best DF]]</f>
        <v>222222222.22222221</v>
      </c>
      <c r="R420" s="1">
        <f>_xlfn.STDEV.S(Pcfu43[[#This Row],[R1]:[R3]])/0.015*Pcfu43[[#This Row],[Best DF]]</f>
        <v>3849001.7945975056</v>
      </c>
      <c r="S420" s="6">
        <f>Pcfu43[[#This Row],[CFU/mL]]*Pcfu43[[#This Row],[mL]]/Pcfu43[[#This Row],[grams]]</f>
        <v>4222222222.2222228</v>
      </c>
      <c r="T420" s="1">
        <f>Pcfu43[[#This Row],[SD CFU/mL]]*Pcfu43[[#This Row],[mL]]/Pcfu43[[#This Row],[grams]]</f>
        <v>73131034.097352609</v>
      </c>
      <c r="U420" s="7">
        <f>_xlfn.STDEV.S(Pcfu43[[#This Row],[R1]:[R3]])/AVERAGE(Pcfu43[[#This Row],[R1]:[R3]])</f>
        <v>1.7320508075688773E-2</v>
      </c>
      <c r="V420" s="102">
        <v>0.35699999999999998</v>
      </c>
      <c r="W420" s="7"/>
      <c r="X420" t="s">
        <v>1017</v>
      </c>
    </row>
    <row r="421" spans="1:24" x14ac:dyDescent="0.15">
      <c r="A421" t="s">
        <v>664</v>
      </c>
      <c r="B421" t="s">
        <v>328</v>
      </c>
      <c r="C421" s="4"/>
      <c r="D421" t="s">
        <v>194</v>
      </c>
      <c r="E421" s="3">
        <v>3</v>
      </c>
      <c r="G421">
        <v>0.3</v>
      </c>
      <c r="H421" s="5">
        <v>5.7</v>
      </c>
      <c r="I421" s="3" t="s">
        <v>950</v>
      </c>
      <c r="J421" s="59">
        <v>45054</v>
      </c>
      <c r="K421" s="59"/>
      <c r="L421" s="59" t="e" cm="1">
        <f t="array" ref="L421">INDEX($J$4:J1511, MATCH(1,(A421=$A$4:A1509)*("Y"=$K$4:K1511),0))</f>
        <v>#N/A</v>
      </c>
      <c r="M421" s="1">
        <v>100000</v>
      </c>
      <c r="N421">
        <v>1</v>
      </c>
      <c r="O421">
        <v>0</v>
      </c>
      <c r="P421">
        <v>0</v>
      </c>
      <c r="Q421" s="6">
        <f>(SUM(Pcfu43[[#This Row],[R1]:[R3]]))/(Pcfu43[[#This Row],[No. Reps]]*0.015)*Pcfu43[[#This Row],[Best DF]]</f>
        <v>2222222.222222222</v>
      </c>
      <c r="R421" s="1">
        <f>_xlfn.STDEV.S(Pcfu43[[#This Row],[R1]:[R3]])/0.015*Pcfu43[[#This Row],[Best DF]]</f>
        <v>3849001.7945975056</v>
      </c>
      <c r="S421" s="6">
        <f>Pcfu43[[#This Row],[CFU/mL]]*Pcfu43[[#This Row],[mL]]/Pcfu43[[#This Row],[grams]]</f>
        <v>42222222.222222224</v>
      </c>
      <c r="T421" s="1">
        <f>Pcfu43[[#This Row],[SD CFU/mL]]*Pcfu43[[#This Row],[mL]]/Pcfu43[[#This Row],[grams]]</f>
        <v>73131034.097352609</v>
      </c>
      <c r="U421" s="7">
        <f>_xlfn.STDEV.S(Pcfu43[[#This Row],[R1]:[R3]])/AVERAGE(Pcfu43[[#This Row],[R1]:[R3]])</f>
        <v>1.7320508075688776</v>
      </c>
      <c r="V421" s="102">
        <v>0.30499999999999999</v>
      </c>
      <c r="W421" s="7"/>
      <c r="X421" t="s">
        <v>417</v>
      </c>
    </row>
    <row r="422" spans="1:24" x14ac:dyDescent="0.15">
      <c r="A422" t="s">
        <v>773</v>
      </c>
      <c r="B422" t="s">
        <v>328</v>
      </c>
      <c r="C422" s="4"/>
      <c r="D422" t="s">
        <v>194</v>
      </c>
      <c r="E422" s="3">
        <v>3</v>
      </c>
      <c r="G422">
        <v>0.3</v>
      </c>
      <c r="H422" s="5">
        <v>5.7</v>
      </c>
      <c r="I422" s="3" t="s">
        <v>950</v>
      </c>
      <c r="J422" s="59">
        <v>45054</v>
      </c>
      <c r="K422" s="59"/>
      <c r="L422" s="59" t="e" cm="1">
        <f t="array" ref="L422">INDEX($J$4:J1512, MATCH(1,(A422=$A$4:A1510)*("Y"=$K$4:K1512),0))</f>
        <v>#N/A</v>
      </c>
      <c r="M422" s="1">
        <v>100000</v>
      </c>
      <c r="N422">
        <v>7</v>
      </c>
      <c r="O422">
        <v>7</v>
      </c>
      <c r="P422">
        <v>4</v>
      </c>
      <c r="Q422" s="6">
        <f>(SUM(Pcfu43[[#This Row],[R1]:[R3]]))/(Pcfu43[[#This Row],[No. Reps]]*0.015)*Pcfu43[[#This Row],[Best DF]]</f>
        <v>40000000</v>
      </c>
      <c r="R422" s="1">
        <f>_xlfn.STDEV.S(Pcfu43[[#This Row],[R1]:[R3]])/0.015*Pcfu43[[#This Row],[Best DF]]</f>
        <v>11547005.383792516</v>
      </c>
      <c r="S422" s="6">
        <f>Pcfu43[[#This Row],[CFU/mL]]*Pcfu43[[#This Row],[mL]]/Pcfu43[[#This Row],[grams]]</f>
        <v>760000000</v>
      </c>
      <c r="T422" s="1">
        <f>Pcfu43[[#This Row],[SD CFU/mL]]*Pcfu43[[#This Row],[mL]]/Pcfu43[[#This Row],[grams]]</f>
        <v>219393102.29205781</v>
      </c>
      <c r="U422" s="7">
        <f>_xlfn.STDEV.S(Pcfu43[[#This Row],[R1]:[R3]])/AVERAGE(Pcfu43[[#This Row],[R1]:[R3]])</f>
        <v>0.28867513459481287</v>
      </c>
      <c r="V422" s="102">
        <v>0.26100000000000001</v>
      </c>
      <c r="W422" s="7"/>
      <c r="X422" t="s">
        <v>499</v>
      </c>
    </row>
    <row r="423" spans="1:24" x14ac:dyDescent="0.15">
      <c r="A423" t="s">
        <v>775</v>
      </c>
      <c r="B423" t="s">
        <v>328</v>
      </c>
      <c r="C423" s="4"/>
      <c r="D423" t="s">
        <v>194</v>
      </c>
      <c r="E423" s="3">
        <v>3</v>
      </c>
      <c r="G423">
        <v>0.3</v>
      </c>
      <c r="H423" s="5">
        <v>5.7</v>
      </c>
      <c r="I423" s="3" t="s">
        <v>950</v>
      </c>
      <c r="J423" s="59">
        <v>45054</v>
      </c>
      <c r="K423" s="59"/>
      <c r="L423" s="59" t="e" cm="1">
        <f t="array" ref="L423">INDEX($J$4:J1513, MATCH(1,(A423=$A$4:A1511)*("Y"=$K$4:K1513),0))</f>
        <v>#N/A</v>
      </c>
      <c r="M423" s="1">
        <v>100000</v>
      </c>
      <c r="N423">
        <v>2</v>
      </c>
      <c r="O423">
        <v>2</v>
      </c>
      <c r="P423">
        <v>3</v>
      </c>
      <c r="Q423" s="6">
        <f>(SUM(Pcfu43[[#This Row],[R1]:[R3]]))/(Pcfu43[[#This Row],[No. Reps]]*0.015)*Pcfu43[[#This Row],[Best DF]]</f>
        <v>15555555.555555558</v>
      </c>
      <c r="R423" s="1">
        <f>_xlfn.STDEV.S(Pcfu43[[#This Row],[R1]:[R3]])/0.015*Pcfu43[[#This Row],[Best DF]]</f>
        <v>3849001.7945975089</v>
      </c>
      <c r="S423" s="6">
        <f>Pcfu43[[#This Row],[CFU/mL]]*Pcfu43[[#This Row],[mL]]/Pcfu43[[#This Row],[grams]]</f>
        <v>295555555.55555564</v>
      </c>
      <c r="T423" s="1">
        <f>Pcfu43[[#This Row],[SD CFU/mL]]*Pcfu43[[#This Row],[mL]]/Pcfu43[[#This Row],[grams]]</f>
        <v>73131034.097352684</v>
      </c>
      <c r="U423" s="7">
        <f>_xlfn.STDEV.S(Pcfu43[[#This Row],[R1]:[R3]])/AVERAGE(Pcfu43[[#This Row],[R1]:[R3]])</f>
        <v>0.24743582965269698</v>
      </c>
      <c r="V423" s="102">
        <v>0.32</v>
      </c>
      <c r="W423" s="7"/>
      <c r="X423" t="s">
        <v>1018</v>
      </c>
    </row>
    <row r="424" spans="1:24" x14ac:dyDescent="0.15">
      <c r="A424" t="s">
        <v>1019</v>
      </c>
      <c r="B424" t="s">
        <v>328</v>
      </c>
      <c r="C424" s="4"/>
      <c r="D424" t="s">
        <v>194</v>
      </c>
      <c r="E424" s="3">
        <v>3</v>
      </c>
      <c r="G424">
        <v>0.3</v>
      </c>
      <c r="H424" s="5">
        <v>5.7</v>
      </c>
      <c r="I424" s="3" t="s">
        <v>950</v>
      </c>
      <c r="J424" s="59">
        <v>45054</v>
      </c>
      <c r="K424" s="59"/>
      <c r="L424" s="59" t="e" cm="1">
        <f t="array" ref="L424">INDEX($J$4:J1514, MATCH(1,(A424=$A$4:A1512)*("Y"=$K$4:K1514),0))</f>
        <v>#N/A</v>
      </c>
      <c r="M424" s="1">
        <v>100000</v>
      </c>
      <c r="N424">
        <v>7</v>
      </c>
      <c r="O424">
        <v>4</v>
      </c>
      <c r="P424">
        <v>6</v>
      </c>
      <c r="Q424" s="6">
        <f>(SUM(Pcfu43[[#This Row],[R1]:[R3]]))/(Pcfu43[[#This Row],[No. Reps]]*0.015)*Pcfu43[[#This Row],[Best DF]]</f>
        <v>37777777.777777776</v>
      </c>
      <c r="R424" s="1">
        <f>_xlfn.STDEV.S(Pcfu43[[#This Row],[R1]:[R3]])/0.015*Pcfu43[[#This Row],[Best DF]]</f>
        <v>10183501.544346316</v>
      </c>
      <c r="S424" s="6">
        <f>Pcfu43[[#This Row],[CFU/mL]]*Pcfu43[[#This Row],[mL]]/Pcfu43[[#This Row],[grams]]</f>
        <v>717777777.77777779</v>
      </c>
      <c r="T424" s="1">
        <f>Pcfu43[[#This Row],[SD CFU/mL]]*Pcfu43[[#This Row],[mL]]/Pcfu43[[#This Row],[grams]]</f>
        <v>193486529.34258002</v>
      </c>
      <c r="U424" s="7">
        <f>_xlfn.STDEV.S(Pcfu43[[#This Row],[R1]:[R3]])/AVERAGE(Pcfu43[[#This Row],[R1]:[R3]])</f>
        <v>0.26956327617387305</v>
      </c>
      <c r="V424" s="102">
        <v>0.307</v>
      </c>
      <c r="W424" s="7"/>
      <c r="X424" t="s">
        <v>425</v>
      </c>
    </row>
    <row r="425" spans="1:24" x14ac:dyDescent="0.15">
      <c r="A425" t="s">
        <v>1020</v>
      </c>
      <c r="B425" t="s">
        <v>328</v>
      </c>
      <c r="C425" s="4"/>
      <c r="D425" t="s">
        <v>194</v>
      </c>
      <c r="E425" s="3">
        <v>3</v>
      </c>
      <c r="G425">
        <v>0.3</v>
      </c>
      <c r="H425" s="5">
        <v>5.7</v>
      </c>
      <c r="I425" s="3" t="s">
        <v>950</v>
      </c>
      <c r="J425" s="59">
        <v>45054</v>
      </c>
      <c r="K425" s="59"/>
      <c r="L425" s="59" t="e" cm="1">
        <f t="array" ref="L425">INDEX($J$4:J1515, MATCH(1,(A425=$A$4:A1513)*("Y"=$K$4:K1515),0))</f>
        <v>#N/A</v>
      </c>
      <c r="M425" s="1">
        <v>1000000</v>
      </c>
      <c r="N425">
        <v>8</v>
      </c>
      <c r="O425">
        <v>13</v>
      </c>
      <c r="P425">
        <v>9</v>
      </c>
      <c r="Q425" s="6">
        <f>(SUM(Pcfu43[[#This Row],[R1]:[R3]]))/(Pcfu43[[#This Row],[No. Reps]]*0.015)*Pcfu43[[#This Row],[Best DF]]</f>
        <v>666666666.66666675</v>
      </c>
      <c r="R425" s="1">
        <f>_xlfn.STDEV.S(Pcfu43[[#This Row],[R1]:[R3]])/0.015*Pcfu43[[#This Row],[Best DF]]</f>
        <v>176383420.7376394</v>
      </c>
      <c r="S425" s="6">
        <f>Pcfu43[[#This Row],[CFU/mL]]*Pcfu43[[#This Row],[mL]]/Pcfu43[[#This Row],[grams]]</f>
        <v>12666666666.666668</v>
      </c>
      <c r="T425" s="1">
        <f>Pcfu43[[#This Row],[SD CFU/mL]]*Pcfu43[[#This Row],[mL]]/Pcfu43[[#This Row],[grams]]</f>
        <v>3351284994.0151486</v>
      </c>
      <c r="U425" s="7">
        <f>_xlfn.STDEV.S(Pcfu43[[#This Row],[R1]:[R3]])/AVERAGE(Pcfu43[[#This Row],[R1]:[R3]])</f>
        <v>0.26457513110645908</v>
      </c>
      <c r="V425" s="102">
        <v>0.247</v>
      </c>
      <c r="W425" s="7"/>
      <c r="X425" t="s">
        <v>1021</v>
      </c>
    </row>
    <row r="426" spans="1:24" x14ac:dyDescent="0.15">
      <c r="A426" t="s">
        <v>1022</v>
      </c>
      <c r="B426" t="s">
        <v>328</v>
      </c>
      <c r="C426" s="4"/>
      <c r="D426" t="s">
        <v>194</v>
      </c>
      <c r="E426" s="3">
        <v>3</v>
      </c>
      <c r="G426">
        <v>0.3</v>
      </c>
      <c r="H426" s="5">
        <v>5.7</v>
      </c>
      <c r="I426" s="3" t="s">
        <v>950</v>
      </c>
      <c r="J426" s="59">
        <v>45054</v>
      </c>
      <c r="K426" s="59"/>
      <c r="L426" s="59" t="e" cm="1">
        <f t="array" ref="L426">INDEX($J$4:J1516, MATCH(1,(A426=$A$4:A1514)*("Y"=$K$4:K1516),0))</f>
        <v>#N/A</v>
      </c>
      <c r="M426" s="1">
        <v>100000</v>
      </c>
      <c r="N426">
        <v>8</v>
      </c>
      <c r="O426">
        <v>9</v>
      </c>
      <c r="P426">
        <v>9</v>
      </c>
      <c r="Q426" s="6">
        <f>(SUM(Pcfu43[[#This Row],[R1]:[R3]]))/(Pcfu43[[#This Row],[No. Reps]]*0.015)*Pcfu43[[#This Row],[Best DF]]</f>
        <v>57777777.777777784</v>
      </c>
      <c r="R426" s="1">
        <f>_xlfn.STDEV.S(Pcfu43[[#This Row],[R1]:[R3]])/0.015*Pcfu43[[#This Row],[Best DF]]</f>
        <v>3849001.7945975047</v>
      </c>
      <c r="S426" s="6">
        <f>Pcfu43[[#This Row],[CFU/mL]]*Pcfu43[[#This Row],[mL]]/Pcfu43[[#This Row],[grams]]</f>
        <v>1097777777.7777779</v>
      </c>
      <c r="T426" s="1">
        <f>Pcfu43[[#This Row],[SD CFU/mL]]*Pcfu43[[#This Row],[mL]]/Pcfu43[[#This Row],[grams]]</f>
        <v>73131034.097352594</v>
      </c>
      <c r="U426" s="7">
        <f>_xlfn.STDEV.S(Pcfu43[[#This Row],[R1]:[R3]])/AVERAGE(Pcfu43[[#This Row],[R1]:[R3]])</f>
        <v>6.6617338752649122E-2</v>
      </c>
      <c r="V426" s="102">
        <v>0.318</v>
      </c>
      <c r="W426" s="7"/>
      <c r="X426" t="s">
        <v>522</v>
      </c>
    </row>
    <row r="427" spans="1:24" x14ac:dyDescent="0.15">
      <c r="A427" t="s">
        <v>862</v>
      </c>
      <c r="B427" t="s">
        <v>1023</v>
      </c>
      <c r="C427" s="4"/>
      <c r="D427" t="s">
        <v>194</v>
      </c>
      <c r="E427" s="3">
        <v>3</v>
      </c>
      <c r="G427">
        <v>0.3</v>
      </c>
      <c r="H427" s="5">
        <v>5.7</v>
      </c>
      <c r="I427" s="3" t="s">
        <v>950</v>
      </c>
      <c r="J427" s="59">
        <v>45056</v>
      </c>
      <c r="K427" s="59"/>
      <c r="L427" s="59" t="e" cm="1">
        <f t="array" ref="L427">INDEX($J$4:J1517, MATCH(1,(A427=$A$4:A1515)*("Y"=$K$4:K1517),0))</f>
        <v>#N/A</v>
      </c>
      <c r="M427" s="1">
        <v>100000</v>
      </c>
      <c r="N427">
        <v>73</v>
      </c>
      <c r="O427">
        <v>76</v>
      </c>
      <c r="P427">
        <v>72</v>
      </c>
      <c r="Q427" s="6">
        <f>(SUM(Pcfu43[[#This Row],[R1]:[R3]]))/(Pcfu43[[#This Row],[No. Reps]]*0.015)*Pcfu43[[#This Row],[Best DF]]</f>
        <v>491111111.1111111</v>
      </c>
      <c r="R427" s="1">
        <f>_xlfn.STDEV.S(Pcfu43[[#This Row],[R1]:[R3]])/0.015*Pcfu43[[#This Row],[Best DF]]</f>
        <v>13877773.32977422</v>
      </c>
      <c r="S427" s="6">
        <f>Pcfu43[[#This Row],[CFU/mL]]*Pcfu43[[#This Row],[mL]]/Pcfu43[[#This Row],[grams]]</f>
        <v>9331111111.1111126</v>
      </c>
      <c r="T427" s="1">
        <f>Pcfu43[[#This Row],[SD CFU/mL]]*Pcfu43[[#This Row],[mL]]/Pcfu43[[#This Row],[grams]]</f>
        <v>263677693.26571018</v>
      </c>
      <c r="U427" s="7">
        <f>_xlfn.STDEV.S(Pcfu43[[#This Row],[R1]:[R3]])/AVERAGE(Pcfu43[[#This Row],[R1]:[R3]])</f>
        <v>2.8257909495015381E-2</v>
      </c>
      <c r="V427" s="102"/>
      <c r="W427" s="7"/>
    </row>
    <row r="428" spans="1:24" x14ac:dyDescent="0.15">
      <c r="A428" t="s">
        <v>669</v>
      </c>
      <c r="B428" t="s">
        <v>1023</v>
      </c>
      <c r="C428" s="4"/>
      <c r="D428" t="s">
        <v>194</v>
      </c>
      <c r="E428" s="3">
        <v>3</v>
      </c>
      <c r="G428">
        <v>0.3</v>
      </c>
      <c r="H428" s="5">
        <v>5.7</v>
      </c>
      <c r="I428" s="3" t="s">
        <v>950</v>
      </c>
      <c r="J428" s="59">
        <v>45056</v>
      </c>
      <c r="K428" s="59"/>
      <c r="L428" s="59" t="e" cm="1">
        <f t="array" ref="L428">INDEX($J$4:J1518, MATCH(1,(A428=$A$4:A1516)*("Y"=$K$4:K1518),0))</f>
        <v>#N/A</v>
      </c>
      <c r="M428" s="1">
        <v>100000</v>
      </c>
      <c r="N428">
        <v>92</v>
      </c>
      <c r="O428">
        <v>78</v>
      </c>
      <c r="P428">
        <v>76</v>
      </c>
      <c r="Q428" s="6">
        <f>(SUM(Pcfu43[[#This Row],[R1]:[R3]]))/(Pcfu43[[#This Row],[No. Reps]]*0.015)*Pcfu43[[#This Row],[Best DF]]</f>
        <v>546666666.66666675</v>
      </c>
      <c r="R428" s="1">
        <f>_xlfn.STDEV.S(Pcfu43[[#This Row],[R1]:[R3]])/0.015*Pcfu43[[#This Row],[Best DF]]</f>
        <v>58118652.580542326</v>
      </c>
      <c r="S428" s="6">
        <f>Pcfu43[[#This Row],[CFU/mL]]*Pcfu43[[#This Row],[mL]]/Pcfu43[[#This Row],[grams]]</f>
        <v>10386666666.666668</v>
      </c>
      <c r="T428" s="1">
        <f>Pcfu43[[#This Row],[SD CFU/mL]]*Pcfu43[[#This Row],[mL]]/Pcfu43[[#This Row],[grams]]</f>
        <v>1104254399.0303042</v>
      </c>
      <c r="U428" s="7">
        <f>_xlfn.STDEV.S(Pcfu43[[#This Row],[R1]:[R3]])/AVERAGE(Pcfu43[[#This Row],[R1]:[R3]])</f>
        <v>0.10631460837904083</v>
      </c>
      <c r="V428" s="102"/>
      <c r="W428" s="7"/>
    </row>
    <row r="429" spans="1:24" x14ac:dyDescent="0.15">
      <c r="A429" t="s">
        <v>1024</v>
      </c>
      <c r="B429" t="s">
        <v>1023</v>
      </c>
      <c r="C429" s="4"/>
      <c r="D429" t="s">
        <v>194</v>
      </c>
      <c r="E429" s="3">
        <v>3</v>
      </c>
      <c r="G429">
        <v>0.3</v>
      </c>
      <c r="H429" s="5">
        <v>5.7</v>
      </c>
      <c r="I429" s="3" t="s">
        <v>950</v>
      </c>
      <c r="J429" s="59">
        <v>45056</v>
      </c>
      <c r="K429" s="59"/>
      <c r="L429" s="59" t="e" cm="1">
        <f t="array" ref="L429">INDEX($J$4:J1519, MATCH(1,(A429=$A$4:A1517)*("Y"=$K$4:K1519),0))</f>
        <v>#N/A</v>
      </c>
      <c r="M429" s="1">
        <v>1000000</v>
      </c>
      <c r="N429">
        <v>44</v>
      </c>
      <c r="O429">
        <v>53</v>
      </c>
      <c r="P429">
        <v>36</v>
      </c>
      <c r="Q429" s="6">
        <f>(SUM(Pcfu43[[#This Row],[R1]:[R3]]))/(Pcfu43[[#This Row],[No. Reps]]*0.015)*Pcfu43[[#This Row],[Best DF]]</f>
        <v>2955555555.5555558</v>
      </c>
      <c r="R429" s="1">
        <f>_xlfn.STDEV.S(Pcfu43[[#This Row],[R1]:[R3]])/0.015*Pcfu43[[#This Row],[Best DF]]</f>
        <v>566993369.87435937</v>
      </c>
      <c r="S429" s="6">
        <f>Pcfu43[[#This Row],[CFU/mL]]*Pcfu43[[#This Row],[mL]]/Pcfu43[[#This Row],[grams]]</f>
        <v>56155555555.555565</v>
      </c>
      <c r="T429" s="1">
        <f>Pcfu43[[#This Row],[SD CFU/mL]]*Pcfu43[[#This Row],[mL]]/Pcfu43[[#This Row],[grams]]</f>
        <v>10772874027.612827</v>
      </c>
      <c r="U429" s="7">
        <f>_xlfn.STDEV.S(Pcfu43[[#This Row],[R1]:[R3]])/AVERAGE(Pcfu43[[#This Row],[R1]:[R3]])</f>
        <v>0.1918398619875652</v>
      </c>
      <c r="V429" s="102"/>
      <c r="W429" s="7"/>
    </row>
    <row r="430" spans="1:24" x14ac:dyDescent="0.15">
      <c r="A430" t="s">
        <v>876</v>
      </c>
      <c r="B430" t="s">
        <v>1023</v>
      </c>
      <c r="C430" s="4"/>
      <c r="D430" t="s">
        <v>194</v>
      </c>
      <c r="E430" s="3">
        <v>3</v>
      </c>
      <c r="G430">
        <v>0.3</v>
      </c>
      <c r="H430" s="5">
        <v>5.7</v>
      </c>
      <c r="I430" s="3" t="s">
        <v>950</v>
      </c>
      <c r="J430" s="59">
        <v>45056</v>
      </c>
      <c r="K430" s="59"/>
      <c r="L430" s="59" t="e" cm="1">
        <f t="array" ref="L430">INDEX($J$4:J1520, MATCH(1,(A430=$A$4:A1518)*("Y"=$K$4:K1520),0))</f>
        <v>#N/A</v>
      </c>
      <c r="M430" s="1">
        <v>1000000</v>
      </c>
      <c r="N430">
        <v>75</v>
      </c>
      <c r="O430">
        <v>89</v>
      </c>
      <c r="P430">
        <v>92</v>
      </c>
      <c r="Q430" s="6">
        <f>(SUM(Pcfu43[[#This Row],[R1]:[R3]]))/(Pcfu43[[#This Row],[No. Reps]]*0.015)*Pcfu43[[#This Row],[Best DF]]</f>
        <v>5688888888.8888884</v>
      </c>
      <c r="R430" s="1">
        <f>_xlfn.STDEV.S(Pcfu43[[#This Row],[R1]:[R3]])/0.015*Pcfu43[[#This Row],[Best DF]]</f>
        <v>604918115.05849791</v>
      </c>
      <c r="S430" s="6">
        <f>Pcfu43[[#This Row],[CFU/mL]]*Pcfu43[[#This Row],[mL]]/Pcfu43[[#This Row],[grams]]</f>
        <v>108088888888.88889</v>
      </c>
      <c r="T430" s="1">
        <f>Pcfu43[[#This Row],[SD CFU/mL]]*Pcfu43[[#This Row],[mL]]/Pcfu43[[#This Row],[grams]]</f>
        <v>11493444186.111462</v>
      </c>
      <c r="U430" s="7">
        <f>_xlfn.STDEV.S(Pcfu43[[#This Row],[R1]:[R3]])/AVERAGE(Pcfu43[[#This Row],[R1]:[R3]])</f>
        <v>0.10633326241262657</v>
      </c>
      <c r="V430" s="102"/>
      <c r="W430" s="7"/>
    </row>
    <row r="431" spans="1:24" x14ac:dyDescent="0.15">
      <c r="A431" t="s">
        <v>870</v>
      </c>
      <c r="B431" t="s">
        <v>1023</v>
      </c>
      <c r="C431" s="4"/>
      <c r="D431" t="s">
        <v>194</v>
      </c>
      <c r="E431" s="3">
        <v>3</v>
      </c>
      <c r="G431">
        <v>0.3</v>
      </c>
      <c r="H431" s="5">
        <v>5.7</v>
      </c>
      <c r="I431" s="3" t="s">
        <v>950</v>
      </c>
      <c r="J431" s="59">
        <v>45056</v>
      </c>
      <c r="K431" s="59"/>
      <c r="L431" s="59" t="e" cm="1">
        <f t="array" ref="L431">INDEX($J$4:J1521, MATCH(1,(A431=$A$4:A1519)*("Y"=$K$4:K1521),0))</f>
        <v>#N/A</v>
      </c>
      <c r="M431" s="1">
        <v>1000000</v>
      </c>
      <c r="N431">
        <v>48</v>
      </c>
      <c r="O431">
        <v>58</v>
      </c>
      <c r="P431">
        <v>45</v>
      </c>
      <c r="Q431" s="6">
        <f>(SUM(Pcfu43[[#This Row],[R1]:[R3]]))/(Pcfu43[[#This Row],[No. Reps]]*0.015)*Pcfu43[[#This Row],[Best DF]]</f>
        <v>3355555555.5555558</v>
      </c>
      <c r="R431" s="1">
        <f>_xlfn.STDEV.S(Pcfu43[[#This Row],[R1]:[R3]])/0.015*Pcfu43[[#This Row],[Best DF]]</f>
        <v>453790619.03693712</v>
      </c>
      <c r="S431" s="6">
        <f>Pcfu43[[#This Row],[CFU/mL]]*Pcfu43[[#This Row],[mL]]/Pcfu43[[#This Row],[grams]]</f>
        <v>63755555555.555565</v>
      </c>
      <c r="T431" s="1">
        <f>Pcfu43[[#This Row],[SD CFU/mL]]*Pcfu43[[#This Row],[mL]]/Pcfu43[[#This Row],[grams]]</f>
        <v>8622021761.7018051</v>
      </c>
      <c r="U431" s="7">
        <f>_xlfn.STDEV.S(Pcfu43[[#This Row],[R1]:[R3]])/AVERAGE(Pcfu43[[#This Row],[R1]:[R3]])</f>
        <v>0.13523561494478259</v>
      </c>
      <c r="V431" s="102"/>
      <c r="W431" s="7"/>
    </row>
    <row r="432" spans="1:24" x14ac:dyDescent="0.15">
      <c r="A432" t="s">
        <v>747</v>
      </c>
      <c r="B432" t="s">
        <v>1023</v>
      </c>
      <c r="C432" s="4"/>
      <c r="D432" t="s">
        <v>194</v>
      </c>
      <c r="E432" s="3">
        <v>3</v>
      </c>
      <c r="G432">
        <v>0.3</v>
      </c>
      <c r="H432" s="5">
        <v>5.7</v>
      </c>
      <c r="I432" s="3" t="s">
        <v>950</v>
      </c>
      <c r="J432" s="59">
        <v>45056</v>
      </c>
      <c r="K432" s="59"/>
      <c r="L432" s="59" t="e" cm="1">
        <f t="array" ref="L432">INDEX($J$4:J1522, MATCH(1,(A432=$A$4:A1520)*("Y"=$K$4:K1522),0))</f>
        <v>#N/A</v>
      </c>
      <c r="M432" s="1">
        <v>10000000</v>
      </c>
      <c r="N432">
        <v>25</v>
      </c>
      <c r="O432">
        <v>29</v>
      </c>
      <c r="P432">
        <v>21</v>
      </c>
      <c r="Q432" s="6">
        <f>(SUM(Pcfu43[[#This Row],[R1]:[R3]]))/(Pcfu43[[#This Row],[No. Reps]]*0.015)*Pcfu43[[#This Row],[Best DF]]</f>
        <v>16666666666.666668</v>
      </c>
      <c r="R432" s="1">
        <f>_xlfn.STDEV.S(Pcfu43[[#This Row],[R1]:[R3]])/0.015*Pcfu43[[#This Row],[Best DF]]</f>
        <v>2666666666.666667</v>
      </c>
      <c r="S432" s="6">
        <f>Pcfu43[[#This Row],[CFU/mL]]*Pcfu43[[#This Row],[mL]]/Pcfu43[[#This Row],[grams]]</f>
        <v>316666666666.66675</v>
      </c>
      <c r="T432" s="1">
        <f>Pcfu43[[#This Row],[SD CFU/mL]]*Pcfu43[[#This Row],[mL]]/Pcfu43[[#This Row],[grams]]</f>
        <v>50666666666.666672</v>
      </c>
      <c r="U432" s="7">
        <f>_xlfn.STDEV.S(Pcfu43[[#This Row],[R1]:[R3]])/AVERAGE(Pcfu43[[#This Row],[R1]:[R3]])</f>
        <v>0.16</v>
      </c>
      <c r="V432" s="102"/>
      <c r="W432" s="7"/>
    </row>
    <row r="433" spans="1:24" x14ac:dyDescent="0.15">
      <c r="A433" t="s">
        <v>880</v>
      </c>
      <c r="B433" t="s">
        <v>328</v>
      </c>
      <c r="C433" s="4"/>
      <c r="D433" t="s">
        <v>86</v>
      </c>
      <c r="E433" s="3">
        <v>3</v>
      </c>
      <c r="G433">
        <v>0.3</v>
      </c>
      <c r="H433" s="5">
        <v>5.7</v>
      </c>
      <c r="I433" s="3" t="s">
        <v>950</v>
      </c>
      <c r="J433" s="59">
        <v>45056</v>
      </c>
      <c r="K433" s="59"/>
      <c r="L433" s="59" t="e" cm="1">
        <f t="array" ref="L433">INDEX($J$4:J1523, MATCH(1,(A433=$A$4:A1521)*("Y"=$K$4:K1523),0))</f>
        <v>#N/A</v>
      </c>
      <c r="M433" s="1">
        <v>1000000</v>
      </c>
      <c r="N433">
        <v>28</v>
      </c>
      <c r="O433">
        <v>18</v>
      </c>
      <c r="P433">
        <v>22</v>
      </c>
      <c r="Q433" s="6">
        <f>(SUM(Pcfu43[[#This Row],[R1]:[R3]]))/(Pcfu43[[#This Row],[No. Reps]]*0.015)*Pcfu43[[#This Row],[Best DF]]</f>
        <v>1511111111.1111112</v>
      </c>
      <c r="R433" s="1">
        <f>_xlfn.STDEV.S(Pcfu43[[#This Row],[R1]:[R3]])/0.015*Pcfu43[[#This Row],[Best DF]]</f>
        <v>335548197.12314469</v>
      </c>
      <c r="S433" s="6">
        <f>Pcfu43[[#This Row],[CFU/mL]]*Pcfu43[[#This Row],[mL]]/Pcfu43[[#This Row],[grams]]</f>
        <v>28711111111.111115</v>
      </c>
      <c r="T433" s="1">
        <f>Pcfu43[[#This Row],[SD CFU/mL]]*Pcfu43[[#This Row],[mL]]/Pcfu43[[#This Row],[grams]]</f>
        <v>6375415745.3397493</v>
      </c>
      <c r="U433" s="7">
        <f>_xlfn.STDEV.S(Pcfu43[[#This Row],[R1]:[R3]])/AVERAGE(Pcfu43[[#This Row],[R1]:[R3]])</f>
        <v>0.2220539539785516</v>
      </c>
      <c r="V433" s="102">
        <v>0.33100000000000002</v>
      </c>
      <c r="W433" s="7"/>
      <c r="X433" t="s">
        <v>867</v>
      </c>
    </row>
    <row r="434" spans="1:24" x14ac:dyDescent="0.15">
      <c r="A434" t="s">
        <v>919</v>
      </c>
      <c r="B434" t="s">
        <v>328</v>
      </c>
      <c r="C434" s="4"/>
      <c r="D434" t="s">
        <v>86</v>
      </c>
      <c r="E434" s="3">
        <v>3</v>
      </c>
      <c r="G434">
        <v>0.3</v>
      </c>
      <c r="H434" s="5">
        <v>5.7</v>
      </c>
      <c r="I434" s="3" t="s">
        <v>950</v>
      </c>
      <c r="J434" s="59">
        <v>45056</v>
      </c>
      <c r="K434" s="59"/>
      <c r="L434" s="59" t="e" cm="1">
        <f t="array" ref="L434">INDEX($J$4:J1524, MATCH(1,(A434=$A$4:A1522)*("Y"=$K$4:K1524),0))</f>
        <v>#N/A</v>
      </c>
      <c r="M434" s="1">
        <v>1000000</v>
      </c>
      <c r="N434">
        <v>11</v>
      </c>
      <c r="O434">
        <v>4</v>
      </c>
      <c r="P434">
        <v>4</v>
      </c>
      <c r="Q434" s="6">
        <f>(SUM(Pcfu43[[#This Row],[R1]:[R3]]))/(Pcfu43[[#This Row],[No. Reps]]*0.015)*Pcfu43[[#This Row],[Best DF]]</f>
        <v>422222222.22222221</v>
      </c>
      <c r="R434" s="1">
        <f>_xlfn.STDEV.S(Pcfu43[[#This Row],[R1]:[R3]])/0.015*Pcfu43[[#This Row],[Best DF]]</f>
        <v>269430125.6218254</v>
      </c>
      <c r="S434" s="6">
        <f>Pcfu43[[#This Row],[CFU/mL]]*Pcfu43[[#This Row],[mL]]/Pcfu43[[#This Row],[grams]]</f>
        <v>8022222222.2222223</v>
      </c>
      <c r="T434" s="1">
        <f>Pcfu43[[#This Row],[SD CFU/mL]]*Pcfu43[[#This Row],[mL]]/Pcfu43[[#This Row],[grams]]</f>
        <v>5119172386.814683</v>
      </c>
      <c r="U434" s="7">
        <f>_xlfn.STDEV.S(Pcfu43[[#This Row],[R1]:[R3]])/AVERAGE(Pcfu43[[#This Row],[R1]:[R3]])</f>
        <v>0.63812398173590223</v>
      </c>
      <c r="V434" s="102">
        <v>0.29199999999999998</v>
      </c>
      <c r="W434" s="7"/>
      <c r="X434" t="s">
        <v>530</v>
      </c>
    </row>
    <row r="435" spans="1:24" x14ac:dyDescent="0.15">
      <c r="A435" t="s">
        <v>877</v>
      </c>
      <c r="B435" t="s">
        <v>328</v>
      </c>
      <c r="C435" s="4"/>
      <c r="D435" t="s">
        <v>86</v>
      </c>
      <c r="E435" s="3">
        <v>3</v>
      </c>
      <c r="G435">
        <v>0.3</v>
      </c>
      <c r="H435" s="5">
        <v>5.7</v>
      </c>
      <c r="I435" s="3" t="s">
        <v>950</v>
      </c>
      <c r="J435" s="59">
        <v>45056</v>
      </c>
      <c r="K435" s="59"/>
      <c r="L435" s="59" t="e" cm="1">
        <f t="array" ref="L435">INDEX($J$4:J1525, MATCH(1,(A435=$A$4:A1523)*("Y"=$K$4:K1525),0))</f>
        <v>#N/A</v>
      </c>
      <c r="M435" s="1">
        <v>1000000</v>
      </c>
      <c r="N435">
        <v>17</v>
      </c>
      <c r="O435">
        <v>19</v>
      </c>
      <c r="P435">
        <v>18</v>
      </c>
      <c r="Q435" s="6">
        <f>(SUM(Pcfu43[[#This Row],[R1]:[R3]]))/(Pcfu43[[#This Row],[No. Reps]]*0.015)*Pcfu43[[#This Row],[Best DF]]</f>
        <v>1200000000</v>
      </c>
      <c r="R435" s="1">
        <f>_xlfn.STDEV.S(Pcfu43[[#This Row],[R1]:[R3]])/0.015*Pcfu43[[#This Row],[Best DF]]</f>
        <v>66666666.666666672</v>
      </c>
      <c r="S435" s="6">
        <f>Pcfu43[[#This Row],[CFU/mL]]*Pcfu43[[#This Row],[mL]]/Pcfu43[[#This Row],[grams]]</f>
        <v>22800000000</v>
      </c>
      <c r="T435" s="1">
        <f>Pcfu43[[#This Row],[SD CFU/mL]]*Pcfu43[[#This Row],[mL]]/Pcfu43[[#This Row],[grams]]</f>
        <v>1266666666.666667</v>
      </c>
      <c r="U435" s="7">
        <f>_xlfn.STDEV.S(Pcfu43[[#This Row],[R1]:[R3]])/AVERAGE(Pcfu43[[#This Row],[R1]:[R3]])</f>
        <v>5.5555555555555552E-2</v>
      </c>
      <c r="V435" s="102">
        <v>0.375</v>
      </c>
      <c r="W435" s="7"/>
      <c r="X435" t="s">
        <v>1025</v>
      </c>
    </row>
    <row r="436" spans="1:24" x14ac:dyDescent="0.15">
      <c r="A436" t="s">
        <v>875</v>
      </c>
      <c r="B436" t="s">
        <v>328</v>
      </c>
      <c r="C436" s="4"/>
      <c r="D436" t="s">
        <v>86</v>
      </c>
      <c r="E436" s="3">
        <v>3</v>
      </c>
      <c r="G436">
        <v>0.3</v>
      </c>
      <c r="H436" s="5">
        <v>5.7</v>
      </c>
      <c r="I436" s="3" t="s">
        <v>950</v>
      </c>
      <c r="J436" s="59">
        <v>45056</v>
      </c>
      <c r="K436" s="59"/>
      <c r="L436" s="59" t="e" cm="1">
        <f t="array" ref="L436">INDEX($J$4:J1526, MATCH(1,(A436=$A$4:A1524)*("Y"=$K$4:K1526),0))</f>
        <v>#N/A</v>
      </c>
      <c r="M436" s="1">
        <v>1000000</v>
      </c>
      <c r="N436">
        <v>37</v>
      </c>
      <c r="O436">
        <v>38</v>
      </c>
      <c r="P436">
        <v>52</v>
      </c>
      <c r="Q436" s="6">
        <f>(SUM(Pcfu43[[#This Row],[R1]:[R3]]))/(Pcfu43[[#This Row],[No. Reps]]*0.015)*Pcfu43[[#This Row],[Best DF]]</f>
        <v>2822222222.2222223</v>
      </c>
      <c r="R436" s="1">
        <f>_xlfn.STDEV.S(Pcfu43[[#This Row],[R1]:[R3]])/0.015*Pcfu43[[#This Row],[Best DF]]</f>
        <v>559099805.57373941</v>
      </c>
      <c r="S436" s="6">
        <f>Pcfu43[[#This Row],[CFU/mL]]*Pcfu43[[#This Row],[mL]]/Pcfu43[[#This Row],[grams]]</f>
        <v>53622222222.222229</v>
      </c>
      <c r="T436" s="1">
        <f>Pcfu43[[#This Row],[SD CFU/mL]]*Pcfu43[[#This Row],[mL]]/Pcfu43[[#This Row],[grams]]</f>
        <v>10622896305.901049</v>
      </c>
      <c r="U436" s="7">
        <f>_xlfn.STDEV.S(Pcfu43[[#This Row],[R1]:[R3]])/AVERAGE(Pcfu43[[#This Row],[R1]:[R3]])</f>
        <v>0.19810623032140373</v>
      </c>
      <c r="V436" s="102">
        <v>0.13</v>
      </c>
      <c r="W436" s="7"/>
      <c r="X436" t="s">
        <v>1026</v>
      </c>
    </row>
    <row r="437" spans="1:24" x14ac:dyDescent="0.15">
      <c r="A437" t="s">
        <v>878</v>
      </c>
      <c r="B437" t="s">
        <v>328</v>
      </c>
      <c r="C437" s="4"/>
      <c r="D437" t="s">
        <v>86</v>
      </c>
      <c r="E437" s="3">
        <v>3</v>
      </c>
      <c r="G437">
        <v>0.3</v>
      </c>
      <c r="H437" s="5">
        <v>5.7</v>
      </c>
      <c r="I437" s="3" t="s">
        <v>950</v>
      </c>
      <c r="J437" s="59">
        <v>45056</v>
      </c>
      <c r="K437" s="59"/>
      <c r="L437" s="59" t="e" cm="1">
        <f t="array" ref="L437">INDEX($J$4:J1527, MATCH(1,(A437=$A$4:A1525)*("Y"=$K$4:K1527),0))</f>
        <v>#N/A</v>
      </c>
      <c r="M437" s="1">
        <v>1000000</v>
      </c>
      <c r="N437">
        <v>8</v>
      </c>
      <c r="O437">
        <v>9</v>
      </c>
      <c r="P437">
        <v>10</v>
      </c>
      <c r="Q437" s="6">
        <f>(SUM(Pcfu43[[#This Row],[R1]:[R3]]))/(Pcfu43[[#This Row],[No. Reps]]*0.015)*Pcfu43[[#This Row],[Best DF]]</f>
        <v>600000000</v>
      </c>
      <c r="R437" s="1">
        <f>_xlfn.STDEV.S(Pcfu43[[#This Row],[R1]:[R3]])/0.015*Pcfu43[[#This Row],[Best DF]]</f>
        <v>66666666.666666672</v>
      </c>
      <c r="S437" s="6">
        <f>Pcfu43[[#This Row],[CFU/mL]]*Pcfu43[[#This Row],[mL]]/Pcfu43[[#This Row],[grams]]</f>
        <v>11400000000</v>
      </c>
      <c r="T437" s="1">
        <f>Pcfu43[[#This Row],[SD CFU/mL]]*Pcfu43[[#This Row],[mL]]/Pcfu43[[#This Row],[grams]]</f>
        <v>1266666666.666667</v>
      </c>
      <c r="U437" s="7">
        <f>_xlfn.STDEV.S(Pcfu43[[#This Row],[R1]:[R3]])/AVERAGE(Pcfu43[[#This Row],[R1]:[R3]])</f>
        <v>0.1111111111111111</v>
      </c>
      <c r="V437" s="102">
        <v>0.37</v>
      </c>
      <c r="W437" s="7"/>
      <c r="X437" t="s">
        <v>1027</v>
      </c>
    </row>
    <row r="438" spans="1:24" x14ac:dyDescent="0.15">
      <c r="A438" t="s">
        <v>879</v>
      </c>
      <c r="B438" t="s">
        <v>328</v>
      </c>
      <c r="C438" s="4"/>
      <c r="D438" t="s">
        <v>86</v>
      </c>
      <c r="E438" s="3">
        <v>3</v>
      </c>
      <c r="G438">
        <v>0.3</v>
      </c>
      <c r="H438" s="5">
        <v>5.7</v>
      </c>
      <c r="I438" s="3" t="s">
        <v>950</v>
      </c>
      <c r="J438" s="59">
        <v>45056</v>
      </c>
      <c r="K438" s="59"/>
      <c r="L438" s="59" t="e" cm="1">
        <f t="array" ref="L438">INDEX($J$4:J1528, MATCH(1,(A438=$A$4:A1526)*("Y"=$K$4:K1528),0))</f>
        <v>#N/A</v>
      </c>
      <c r="M438" s="1">
        <v>1000000</v>
      </c>
      <c r="N438">
        <v>5</v>
      </c>
      <c r="O438">
        <v>3</v>
      </c>
      <c r="P438">
        <v>6</v>
      </c>
      <c r="Q438" s="6">
        <f>(SUM(Pcfu43[[#This Row],[R1]:[R3]]))/(Pcfu43[[#This Row],[No. Reps]]*0.015)*Pcfu43[[#This Row],[Best DF]]</f>
        <v>311111111.11111116</v>
      </c>
      <c r="R438" s="1">
        <f>_xlfn.STDEV.S(Pcfu43[[#This Row],[R1]:[R3]])/0.015*Pcfu43[[#This Row],[Best DF]]</f>
        <v>101835015.44346316</v>
      </c>
      <c r="S438" s="6">
        <f>Pcfu43[[#This Row],[CFU/mL]]*Pcfu43[[#This Row],[mL]]/Pcfu43[[#This Row],[grams]]</f>
        <v>5911111111.1111126</v>
      </c>
      <c r="T438" s="1">
        <f>Pcfu43[[#This Row],[SD CFU/mL]]*Pcfu43[[#This Row],[mL]]/Pcfu43[[#This Row],[grams]]</f>
        <v>1934865293.4258001</v>
      </c>
      <c r="U438" s="7">
        <f>_xlfn.STDEV.S(Pcfu43[[#This Row],[R1]:[R3]])/AVERAGE(Pcfu43[[#This Row],[R1]:[R3]])</f>
        <v>0.32732683535398871</v>
      </c>
      <c r="V438" s="102">
        <v>0.41899999999999998</v>
      </c>
      <c r="W438" s="7"/>
      <c r="X438" t="s">
        <v>1028</v>
      </c>
    </row>
    <row r="439" spans="1:24" x14ac:dyDescent="0.15">
      <c r="A439" t="s">
        <v>874</v>
      </c>
      <c r="B439" t="s">
        <v>328</v>
      </c>
      <c r="C439" s="4"/>
      <c r="D439" t="s">
        <v>86</v>
      </c>
      <c r="E439" s="3">
        <v>3</v>
      </c>
      <c r="G439">
        <v>0.3</v>
      </c>
      <c r="H439" s="5">
        <v>5.7</v>
      </c>
      <c r="I439" s="3" t="s">
        <v>950</v>
      </c>
      <c r="J439" s="59">
        <v>45057</v>
      </c>
      <c r="K439" s="59"/>
      <c r="L439" s="59" t="e" cm="1">
        <f t="array" ref="L439">INDEX($J$4:J1529, MATCH(1,(A439=$A$4:A1527)*("Y"=$K$4:K1529),0))</f>
        <v>#N/A</v>
      </c>
      <c r="M439" s="1">
        <v>1000000</v>
      </c>
      <c r="N439">
        <v>19</v>
      </c>
      <c r="O439">
        <v>14</v>
      </c>
      <c r="P439">
        <v>15</v>
      </c>
      <c r="Q439" s="6">
        <f>(SUM(Pcfu43[[#This Row],[R1]:[R3]]))/(Pcfu43[[#This Row],[No. Reps]]*0.015)*Pcfu43[[#This Row],[Best DF]]</f>
        <v>1066666666.6666667</v>
      </c>
      <c r="R439" s="1">
        <f>_xlfn.STDEV.S(Pcfu43[[#This Row],[R1]:[R3]])/0.015*Pcfu43[[#This Row],[Best DF]]</f>
        <v>176383420.7376394</v>
      </c>
      <c r="S439" s="6">
        <f>Pcfu43[[#This Row],[CFU/mL]]*Pcfu43[[#This Row],[mL]]/Pcfu43[[#This Row],[grams]]</f>
        <v>20266666666.666672</v>
      </c>
      <c r="T439" s="1">
        <f>Pcfu43[[#This Row],[SD CFU/mL]]*Pcfu43[[#This Row],[mL]]/Pcfu43[[#This Row],[grams]]</f>
        <v>3351284994.0151486</v>
      </c>
      <c r="U439" s="7">
        <f>_xlfn.STDEV.S(Pcfu43[[#This Row],[R1]:[R3]])/AVERAGE(Pcfu43[[#This Row],[R1]:[R3]])</f>
        <v>0.16535945694153692</v>
      </c>
      <c r="V439" s="102">
        <v>0.318</v>
      </c>
      <c r="W439" s="7"/>
      <c r="X439" t="s">
        <v>522</v>
      </c>
    </row>
    <row r="440" spans="1:24" x14ac:dyDescent="0.15">
      <c r="A440" t="s">
        <v>876</v>
      </c>
      <c r="B440" t="s">
        <v>328</v>
      </c>
      <c r="C440" s="4"/>
      <c r="D440" t="s">
        <v>86</v>
      </c>
      <c r="E440" s="3">
        <v>3</v>
      </c>
      <c r="G440">
        <v>0.3</v>
      </c>
      <c r="H440" s="5">
        <v>5.7</v>
      </c>
      <c r="I440" s="3" t="s">
        <v>950</v>
      </c>
      <c r="J440" s="59">
        <v>45057</v>
      </c>
      <c r="K440" s="59"/>
      <c r="L440" s="59" t="e" cm="1">
        <f t="array" ref="L440">INDEX($J$4:J1530, MATCH(1,(A440=$A$4:A1528)*("Y"=$K$4:K1530),0))</f>
        <v>#N/A</v>
      </c>
      <c r="M440" s="1">
        <v>1000000</v>
      </c>
      <c r="N440">
        <v>14</v>
      </c>
      <c r="O440">
        <v>16</v>
      </c>
      <c r="P440">
        <v>20</v>
      </c>
      <c r="Q440" s="6">
        <f>(SUM(Pcfu43[[#This Row],[R1]:[R3]]))/(Pcfu43[[#This Row],[No. Reps]]*0.015)*Pcfu43[[#This Row],[Best DF]]</f>
        <v>1111111111.1111112</v>
      </c>
      <c r="R440" s="1">
        <f>_xlfn.STDEV.S(Pcfu43[[#This Row],[R1]:[R3]])/0.015*Pcfu43[[#This Row],[Best DF]]</f>
        <v>203670030.88692605</v>
      </c>
      <c r="S440" s="6">
        <f>Pcfu43[[#This Row],[CFU/mL]]*Pcfu43[[#This Row],[mL]]/Pcfu43[[#This Row],[grams]]</f>
        <v>21111111111.111115</v>
      </c>
      <c r="T440" s="1">
        <f>Pcfu43[[#This Row],[SD CFU/mL]]*Pcfu43[[#This Row],[mL]]/Pcfu43[[#This Row],[grams]]</f>
        <v>3869730586.8515954</v>
      </c>
      <c r="U440" s="7">
        <f>_xlfn.STDEV.S(Pcfu43[[#This Row],[R1]:[R3]])/AVERAGE(Pcfu43[[#This Row],[R1]:[R3]])</f>
        <v>0.1833030277982334</v>
      </c>
      <c r="V440" s="102">
        <v>0.33200000000000002</v>
      </c>
      <c r="W440" s="7"/>
      <c r="X440" t="s">
        <v>909</v>
      </c>
    </row>
    <row r="441" spans="1:24" x14ac:dyDescent="0.15">
      <c r="A441" t="s">
        <v>862</v>
      </c>
      <c r="B441" t="s">
        <v>328</v>
      </c>
      <c r="C441" s="4"/>
      <c r="D441" t="s">
        <v>37</v>
      </c>
      <c r="E441" s="3">
        <v>3</v>
      </c>
      <c r="G441">
        <v>0.3</v>
      </c>
      <c r="H441" s="5">
        <v>5.7</v>
      </c>
      <c r="I441" s="3" t="s">
        <v>950</v>
      </c>
      <c r="J441" s="59">
        <v>45057</v>
      </c>
      <c r="K441" s="59"/>
      <c r="L441" s="59" t="e" cm="1">
        <f t="array" ref="L441">INDEX($J$4:J1531, MATCH(1,(A441=$A$4:A1529)*("Y"=$K$4:K1531),0))</f>
        <v>#N/A</v>
      </c>
      <c r="M441" s="1">
        <v>100000</v>
      </c>
      <c r="N441">
        <v>24</v>
      </c>
      <c r="O441">
        <v>28</v>
      </c>
      <c r="P441">
        <v>26</v>
      </c>
      <c r="Q441" s="6">
        <f>(SUM(Pcfu43[[#This Row],[R1]:[R3]]))/(Pcfu43[[#This Row],[No. Reps]]*0.015)*Pcfu43[[#This Row],[Best DF]]</f>
        <v>173333333.33333334</v>
      </c>
      <c r="R441" s="1">
        <f>_xlfn.STDEV.S(Pcfu43[[#This Row],[R1]:[R3]])/0.015*Pcfu43[[#This Row],[Best DF]]</f>
        <v>13333333.333333334</v>
      </c>
      <c r="S441" s="6">
        <f>Pcfu43[[#This Row],[CFU/mL]]*Pcfu43[[#This Row],[mL]]/Pcfu43[[#This Row],[grams]]</f>
        <v>3293333333.333334</v>
      </c>
      <c r="T441" s="1">
        <f>Pcfu43[[#This Row],[SD CFU/mL]]*Pcfu43[[#This Row],[mL]]/Pcfu43[[#This Row],[grams]]</f>
        <v>253333333.33333334</v>
      </c>
      <c r="U441" s="7">
        <f>_xlfn.STDEV.S(Pcfu43[[#This Row],[R1]:[R3]])/AVERAGE(Pcfu43[[#This Row],[R1]:[R3]])</f>
        <v>7.6923076923076927E-2</v>
      </c>
      <c r="V441" s="102">
        <v>0.29499999999999998</v>
      </c>
      <c r="W441" s="7"/>
      <c r="X441" t="s">
        <v>988</v>
      </c>
    </row>
    <row r="442" spans="1:24" x14ac:dyDescent="0.15">
      <c r="A442" t="s">
        <v>864</v>
      </c>
      <c r="B442" t="s">
        <v>328</v>
      </c>
      <c r="C442" s="4"/>
      <c r="D442" t="s">
        <v>37</v>
      </c>
      <c r="E442" s="3">
        <v>3</v>
      </c>
      <c r="G442">
        <v>0.3</v>
      </c>
      <c r="H442" s="5">
        <v>5.7</v>
      </c>
      <c r="I442" s="3" t="s">
        <v>950</v>
      </c>
      <c r="J442" s="59">
        <v>45057</v>
      </c>
      <c r="K442" s="59"/>
      <c r="L442" s="59" t="e" cm="1">
        <f t="array" ref="L442">INDEX($J$4:J1532, MATCH(1,(A442=$A$4:A1530)*("Y"=$K$4:K1532),0))</f>
        <v>#N/A</v>
      </c>
      <c r="M442" s="1">
        <v>100000</v>
      </c>
      <c r="N442">
        <v>59</v>
      </c>
      <c r="O442">
        <v>68</v>
      </c>
      <c r="P442">
        <v>62</v>
      </c>
      <c r="Q442" s="6">
        <f>(SUM(Pcfu43[[#This Row],[R1]:[R3]]))/(Pcfu43[[#This Row],[No. Reps]]*0.015)*Pcfu43[[#This Row],[Best DF]]</f>
        <v>420000000</v>
      </c>
      <c r="R442" s="1">
        <f>_xlfn.STDEV.S(Pcfu43[[#This Row],[R1]:[R3]])/0.015*Pcfu43[[#This Row],[Best DF]]</f>
        <v>30550504.633038934</v>
      </c>
      <c r="S442" s="6">
        <f>Pcfu43[[#This Row],[CFU/mL]]*Pcfu43[[#This Row],[mL]]/Pcfu43[[#This Row],[grams]]</f>
        <v>7980000000</v>
      </c>
      <c r="T442" s="1">
        <f>Pcfu43[[#This Row],[SD CFU/mL]]*Pcfu43[[#This Row],[mL]]/Pcfu43[[#This Row],[grams]]</f>
        <v>580459588.02773976</v>
      </c>
      <c r="U442" s="7">
        <f>_xlfn.STDEV.S(Pcfu43[[#This Row],[R1]:[R3]])/AVERAGE(Pcfu43[[#This Row],[R1]:[R3]])</f>
        <v>7.2739296745330792E-2</v>
      </c>
      <c r="V442" s="102">
        <v>0.125</v>
      </c>
      <c r="W442" s="7"/>
      <c r="X442" t="s">
        <v>1029</v>
      </c>
    </row>
    <row r="443" spans="1:24" x14ac:dyDescent="0.15">
      <c r="A443" t="s">
        <v>669</v>
      </c>
      <c r="B443" t="s">
        <v>328</v>
      </c>
      <c r="C443" s="4"/>
      <c r="D443" t="s">
        <v>37</v>
      </c>
      <c r="E443" s="3">
        <v>3</v>
      </c>
      <c r="G443">
        <v>0.3</v>
      </c>
      <c r="H443" s="5">
        <v>5.7</v>
      </c>
      <c r="I443" s="3" t="s">
        <v>950</v>
      </c>
      <c r="J443" s="59">
        <v>45057</v>
      </c>
      <c r="K443" s="59"/>
      <c r="L443" s="59" t="e" cm="1">
        <f t="array" ref="L443">INDEX($J$4:J1533, MATCH(1,(A443=$A$4:A1531)*("Y"=$K$4:K1533),0))</f>
        <v>#N/A</v>
      </c>
      <c r="M443" s="1">
        <v>100000</v>
      </c>
      <c r="N443">
        <v>34</v>
      </c>
      <c r="O443">
        <v>28</v>
      </c>
      <c r="P443">
        <v>29</v>
      </c>
      <c r="Q443" s="6">
        <f>(SUM(Pcfu43[[#This Row],[R1]:[R3]]))/(Pcfu43[[#This Row],[No. Reps]]*0.015)*Pcfu43[[#This Row],[Best DF]]</f>
        <v>202222222.22222224</v>
      </c>
      <c r="R443" s="1">
        <f>_xlfn.STDEV.S(Pcfu43[[#This Row],[R1]:[R3]])/0.015*Pcfu43[[#This Row],[Best DF]]</f>
        <v>21430335.024428792</v>
      </c>
      <c r="S443" s="6">
        <f>Pcfu43[[#This Row],[CFU/mL]]*Pcfu43[[#This Row],[mL]]/Pcfu43[[#This Row],[grams]]</f>
        <v>3842222222.2222228</v>
      </c>
      <c r="T443" s="1">
        <f>Pcfu43[[#This Row],[SD CFU/mL]]*Pcfu43[[#This Row],[mL]]/Pcfu43[[#This Row],[grams]]</f>
        <v>407176365.46414709</v>
      </c>
      <c r="U443" s="7">
        <f>_xlfn.STDEV.S(Pcfu43[[#This Row],[R1]:[R3]])/AVERAGE(Pcfu43[[#This Row],[R1]:[R3]])</f>
        <v>0.10597418418673578</v>
      </c>
      <c r="V443" s="102">
        <v>0.31900000000000001</v>
      </c>
      <c r="W443" s="7"/>
      <c r="X443" t="s">
        <v>419</v>
      </c>
    </row>
    <row r="444" spans="1:24" x14ac:dyDescent="0.15">
      <c r="A444" t="s">
        <v>670</v>
      </c>
      <c r="B444" t="s">
        <v>328</v>
      </c>
      <c r="C444" s="4"/>
      <c r="D444" t="s">
        <v>37</v>
      </c>
      <c r="E444" s="3">
        <v>3</v>
      </c>
      <c r="G444">
        <v>0.3</v>
      </c>
      <c r="H444" s="5">
        <v>5.7</v>
      </c>
      <c r="I444" s="3" t="s">
        <v>950</v>
      </c>
      <c r="J444" s="59">
        <v>45057</v>
      </c>
      <c r="K444" s="59"/>
      <c r="L444" s="59" t="e" cm="1">
        <f t="array" ref="L444">INDEX($J$4:J1534, MATCH(1,(A444=$A$4:A1532)*("Y"=$K$4:K1534),0))</f>
        <v>#N/A</v>
      </c>
      <c r="M444" s="1">
        <v>100000</v>
      </c>
      <c r="N444">
        <v>76</v>
      </c>
      <c r="O444">
        <v>82</v>
      </c>
      <c r="P444">
        <v>78</v>
      </c>
      <c r="Q444" s="6">
        <f>(SUM(Pcfu43[[#This Row],[R1]:[R3]]))/(Pcfu43[[#This Row],[No. Reps]]*0.015)*Pcfu43[[#This Row],[Best DF]]</f>
        <v>524444444.44444442</v>
      </c>
      <c r="R444" s="1">
        <f>_xlfn.STDEV.S(Pcfu43[[#This Row],[R1]:[R3]])/0.015*Pcfu43[[#This Row],[Best DF]]</f>
        <v>20367003.08869262</v>
      </c>
      <c r="S444" s="6">
        <f>Pcfu43[[#This Row],[CFU/mL]]*Pcfu43[[#This Row],[mL]]/Pcfu43[[#This Row],[grams]]</f>
        <v>9964444444.4444447</v>
      </c>
      <c r="T444" s="1">
        <f>Pcfu43[[#This Row],[SD CFU/mL]]*Pcfu43[[#This Row],[mL]]/Pcfu43[[#This Row],[grams]]</f>
        <v>386973058.6851598</v>
      </c>
      <c r="U444" s="7">
        <f>_xlfn.STDEV.S(Pcfu43[[#This Row],[R1]:[R3]])/AVERAGE(Pcfu43[[#This Row],[R1]:[R3]])</f>
        <v>3.8835387245388465E-2</v>
      </c>
      <c r="V444" s="102">
        <v>0.28299999999999997</v>
      </c>
      <c r="W444" s="7"/>
      <c r="X444" t="s">
        <v>1030</v>
      </c>
    </row>
    <row r="445" spans="1:24" x14ac:dyDescent="0.15">
      <c r="A445" t="s">
        <v>866</v>
      </c>
      <c r="B445" t="s">
        <v>328</v>
      </c>
      <c r="C445" s="4"/>
      <c r="D445" t="s">
        <v>37</v>
      </c>
      <c r="E445" s="3">
        <v>3</v>
      </c>
      <c r="G445">
        <v>0.3</v>
      </c>
      <c r="H445" s="5">
        <v>5.7</v>
      </c>
      <c r="I445" s="3" t="s">
        <v>950</v>
      </c>
      <c r="J445" s="59">
        <v>45057</v>
      </c>
      <c r="K445" s="59"/>
      <c r="L445" s="59" t="e" cm="1">
        <f t="array" ref="L445">INDEX($J$4:J1535, MATCH(1,(A445=$A$4:A1533)*("Y"=$K$4:K1535),0))</f>
        <v>#N/A</v>
      </c>
      <c r="M445" s="1">
        <v>100000</v>
      </c>
      <c r="N445">
        <v>27</v>
      </c>
      <c r="O445">
        <v>23</v>
      </c>
      <c r="P445">
        <v>21</v>
      </c>
      <c r="Q445" s="6">
        <f>(SUM(Pcfu43[[#This Row],[R1]:[R3]]))/(Pcfu43[[#This Row],[No. Reps]]*0.015)*Pcfu43[[#This Row],[Best DF]]</f>
        <v>157777777.77777779</v>
      </c>
      <c r="R445" s="1">
        <f>_xlfn.STDEV.S(Pcfu43[[#This Row],[R1]:[R3]])/0.015*Pcfu43[[#This Row],[Best DF]]</f>
        <v>20367003.088692665</v>
      </c>
      <c r="S445" s="6">
        <f>Pcfu43[[#This Row],[CFU/mL]]*Pcfu43[[#This Row],[mL]]/Pcfu43[[#This Row],[grams]]</f>
        <v>2997777777.7777786</v>
      </c>
      <c r="T445" s="1">
        <f>Pcfu43[[#This Row],[SD CFU/mL]]*Pcfu43[[#This Row],[mL]]/Pcfu43[[#This Row],[grams]]</f>
        <v>386973058.68516064</v>
      </c>
      <c r="U445" s="7">
        <f>_xlfn.STDEV.S(Pcfu43[[#This Row],[R1]:[R3]])/AVERAGE(Pcfu43[[#This Row],[R1]:[R3]])</f>
        <v>0.12908663929453096</v>
      </c>
      <c r="V445" s="102">
        <v>0.33</v>
      </c>
      <c r="W445" s="7"/>
      <c r="X445" t="s">
        <v>421</v>
      </c>
    </row>
    <row r="446" spans="1:24" x14ac:dyDescent="0.15">
      <c r="A446" t="s">
        <v>868</v>
      </c>
      <c r="B446" t="s">
        <v>328</v>
      </c>
      <c r="C446" s="4"/>
      <c r="D446" t="s">
        <v>37</v>
      </c>
      <c r="E446" s="3">
        <v>3</v>
      </c>
      <c r="G446">
        <v>0.3</v>
      </c>
      <c r="H446" s="5">
        <v>5.7</v>
      </c>
      <c r="I446" s="3" t="s">
        <v>950</v>
      </c>
      <c r="J446" s="59">
        <v>45057</v>
      </c>
      <c r="K446" s="59"/>
      <c r="L446" s="59" t="e" cm="1">
        <f t="array" ref="L446">INDEX($J$4:J1536, MATCH(1,(A446=$A$4:A1534)*("Y"=$K$4:K1536),0))</f>
        <v>#N/A</v>
      </c>
      <c r="M446" s="1">
        <v>100000</v>
      </c>
      <c r="N446">
        <v>24</v>
      </c>
      <c r="O446">
        <v>21</v>
      </c>
      <c r="P446">
        <v>17</v>
      </c>
      <c r="Q446" s="6">
        <f>(SUM(Pcfu43[[#This Row],[R1]:[R3]]))/(Pcfu43[[#This Row],[No. Reps]]*0.015)*Pcfu43[[#This Row],[Best DF]]</f>
        <v>137777777.77777779</v>
      </c>
      <c r="R446" s="1">
        <f>_xlfn.STDEV.S(Pcfu43[[#This Row],[R1]:[R3]])/0.015*Pcfu43[[#This Row],[Best DF]]</f>
        <v>23412563.895228349</v>
      </c>
      <c r="S446" s="6">
        <f>Pcfu43[[#This Row],[CFU/mL]]*Pcfu43[[#This Row],[mL]]/Pcfu43[[#This Row],[grams]]</f>
        <v>2617777777.7777786</v>
      </c>
      <c r="T446" s="1">
        <f>Pcfu43[[#This Row],[SD CFU/mL]]*Pcfu43[[#This Row],[mL]]/Pcfu43[[#This Row],[grams]]</f>
        <v>444838714.00933862</v>
      </c>
      <c r="U446" s="7">
        <f>_xlfn.STDEV.S(Pcfu43[[#This Row],[R1]:[R3]])/AVERAGE(Pcfu43[[#This Row],[R1]:[R3]])</f>
        <v>0.16992989923956056</v>
      </c>
      <c r="V446" s="102">
        <v>0.33900000000000002</v>
      </c>
      <c r="W446" s="7"/>
      <c r="X446" t="s">
        <v>1031</v>
      </c>
    </row>
    <row r="447" spans="1:24" x14ac:dyDescent="0.15">
      <c r="A447" t="s">
        <v>870</v>
      </c>
      <c r="B447" t="s">
        <v>328</v>
      </c>
      <c r="C447" s="4"/>
      <c r="D447" t="s">
        <v>37</v>
      </c>
      <c r="E447" s="3">
        <v>3</v>
      </c>
      <c r="G447">
        <v>0.3</v>
      </c>
      <c r="H447" s="5">
        <v>5.7</v>
      </c>
      <c r="I447" s="3" t="s">
        <v>950</v>
      </c>
      <c r="J447" s="59">
        <v>45057</v>
      </c>
      <c r="K447" s="59"/>
      <c r="L447" s="59" t="e" cm="1">
        <f t="array" ref="L447">INDEX($J$4:J1537, MATCH(1,(A447=$A$4:A1535)*("Y"=$K$4:K1537),0))</f>
        <v>#N/A</v>
      </c>
      <c r="M447" s="1">
        <v>1000000</v>
      </c>
      <c r="N447">
        <v>22</v>
      </c>
      <c r="O447">
        <v>19</v>
      </c>
      <c r="P447">
        <v>26</v>
      </c>
      <c r="Q447" s="6">
        <f>(SUM(Pcfu43[[#This Row],[R1]:[R3]]))/(Pcfu43[[#This Row],[No. Reps]]*0.015)*Pcfu43[[#This Row],[Best DF]]</f>
        <v>1488888888.8888888</v>
      </c>
      <c r="R447" s="1">
        <f>_xlfn.STDEV.S(Pcfu43[[#This Row],[R1]:[R3]])/0.015*Pcfu43[[#This Row],[Best DF]]</f>
        <v>234125638.95228347</v>
      </c>
      <c r="S447" s="6">
        <f>Pcfu43[[#This Row],[CFU/mL]]*Pcfu43[[#This Row],[mL]]/Pcfu43[[#This Row],[grams]]</f>
        <v>28288888888.888889</v>
      </c>
      <c r="T447" s="1">
        <f>Pcfu43[[#This Row],[SD CFU/mL]]*Pcfu43[[#This Row],[mL]]/Pcfu43[[#This Row],[grams]]</f>
        <v>4448387140.0933867</v>
      </c>
      <c r="U447" s="7">
        <f>_xlfn.STDEV.S(Pcfu43[[#This Row],[R1]:[R3]])/AVERAGE(Pcfu43[[#This Row],[R1]:[R3]])</f>
        <v>0.15724856347541427</v>
      </c>
      <c r="V447" s="102">
        <v>0.28999999999999998</v>
      </c>
      <c r="W447" s="7"/>
      <c r="X447" t="s">
        <v>487</v>
      </c>
    </row>
    <row r="448" spans="1:24" x14ac:dyDescent="0.15">
      <c r="A448" t="s">
        <v>872</v>
      </c>
      <c r="B448" t="s">
        <v>328</v>
      </c>
      <c r="C448" s="4"/>
      <c r="D448" t="s">
        <v>37</v>
      </c>
      <c r="E448" s="3">
        <v>3</v>
      </c>
      <c r="G448">
        <v>0.3</v>
      </c>
      <c r="H448" s="5">
        <v>5.7</v>
      </c>
      <c r="I448" s="3" t="s">
        <v>950</v>
      </c>
      <c r="J448" s="59">
        <v>45057</v>
      </c>
      <c r="K448" s="59"/>
      <c r="L448" s="59" t="e" cm="1">
        <f t="array" ref="L448">INDEX($J$4:J1538, MATCH(1,(A448=$A$4:A1536)*("Y"=$K$4:K1538),0))</f>
        <v>#N/A</v>
      </c>
      <c r="M448" s="1">
        <v>1000000</v>
      </c>
      <c r="N448">
        <v>46</v>
      </c>
      <c r="O448">
        <v>59</v>
      </c>
      <c r="P448">
        <v>56</v>
      </c>
      <c r="Q448" s="6">
        <f>(SUM(Pcfu43[[#This Row],[R1]:[R3]]))/(Pcfu43[[#This Row],[No. Reps]]*0.015)*Pcfu43[[#This Row],[Best DF]]</f>
        <v>3577777777.7777777</v>
      </c>
      <c r="R448" s="1">
        <f>_xlfn.STDEV.S(Pcfu43[[#This Row],[R1]:[R3]])/0.015*Pcfu43[[#This Row],[Best DF]]</f>
        <v>453790619.03693491</v>
      </c>
      <c r="S448" s="6">
        <f>Pcfu43[[#This Row],[CFU/mL]]*Pcfu43[[#This Row],[mL]]/Pcfu43[[#This Row],[grams]]</f>
        <v>67977777777.777779</v>
      </c>
      <c r="T448" s="1">
        <f>Pcfu43[[#This Row],[SD CFU/mL]]*Pcfu43[[#This Row],[mL]]/Pcfu43[[#This Row],[grams]]</f>
        <v>8622021761.7017632</v>
      </c>
      <c r="U448" s="7">
        <f>_xlfn.STDEV.S(Pcfu43[[#This Row],[R1]:[R3]])/AVERAGE(Pcfu43[[#This Row],[R1]:[R3]])</f>
        <v>0.12683588730846007</v>
      </c>
      <c r="V448" s="102">
        <v>0.216</v>
      </c>
      <c r="W448" s="7"/>
      <c r="X448" t="s">
        <v>454</v>
      </c>
    </row>
    <row r="449" spans="1:24" x14ac:dyDescent="0.15">
      <c r="A449" t="s">
        <v>726</v>
      </c>
      <c r="B449" t="s">
        <v>854</v>
      </c>
      <c r="C449" s="4"/>
      <c r="D449" t="s">
        <v>86</v>
      </c>
      <c r="E449" s="3">
        <v>3</v>
      </c>
      <c r="G449">
        <v>0.3</v>
      </c>
      <c r="H449" s="5">
        <v>5.7</v>
      </c>
      <c r="I449" s="3" t="s">
        <v>950</v>
      </c>
      <c r="J449" s="59">
        <v>45063</v>
      </c>
      <c r="K449" s="59"/>
      <c r="L449" s="59" t="e" cm="1">
        <f t="array" ref="L449">INDEX($J$4:J1539, MATCH(1,(A449=$A$4:A1537)*("Y"=$K$4:K1539),0))</f>
        <v>#N/A</v>
      </c>
      <c r="M449" s="1">
        <v>1000000</v>
      </c>
      <c r="N449">
        <v>63</v>
      </c>
      <c r="O449">
        <v>74</v>
      </c>
      <c r="P449">
        <v>75</v>
      </c>
      <c r="Q449" s="6">
        <f>(SUM(Pcfu43[[#This Row],[R1]:[R3]]))/(Pcfu43[[#This Row],[No. Reps]]*0.015)*Pcfu43[[#This Row],[Best DF]]</f>
        <v>4711111111.1111116</v>
      </c>
      <c r="R449" s="1">
        <f>_xlfn.STDEV.S(Pcfu43[[#This Row],[R1]:[R3]])/0.015*Pcfu43[[#This Row],[Best DF]]</f>
        <v>443888541.23195952</v>
      </c>
      <c r="S449" s="6">
        <f>Pcfu43[[#This Row],[CFU/mL]]*Pcfu43[[#This Row],[mL]]/Pcfu43[[#This Row],[grams]]</f>
        <v>89511111111.11113</v>
      </c>
      <c r="T449" s="1">
        <f>Pcfu43[[#This Row],[SD CFU/mL]]*Pcfu43[[#This Row],[mL]]/Pcfu43[[#This Row],[grams]]</f>
        <v>8433882283.4072323</v>
      </c>
      <c r="U449" s="7">
        <f>_xlfn.STDEV.S(Pcfu43[[#This Row],[R1]:[R3]])/AVERAGE(Pcfu43[[#This Row],[R1]:[R3]])</f>
        <v>9.4221624318104602E-2</v>
      </c>
      <c r="V449" s="102"/>
      <c r="W449" s="7"/>
    </row>
    <row r="450" spans="1:24" x14ac:dyDescent="0.15">
      <c r="A450" t="s">
        <v>728</v>
      </c>
      <c r="B450" t="s">
        <v>854</v>
      </c>
      <c r="C450" s="4"/>
      <c r="D450" t="s">
        <v>86</v>
      </c>
      <c r="E450" s="3">
        <v>3</v>
      </c>
      <c r="G450">
        <v>0.3</v>
      </c>
      <c r="H450" s="5">
        <v>5.7</v>
      </c>
      <c r="I450" s="3" t="s">
        <v>950</v>
      </c>
      <c r="J450" s="59">
        <v>45063</v>
      </c>
      <c r="K450" s="59"/>
      <c r="L450" s="59" t="e" cm="1">
        <f t="array" ref="L450">INDEX($J$4:J1540, MATCH(1,(A450=$A$4:A1538)*("Y"=$K$4:K1540),0))</f>
        <v>#N/A</v>
      </c>
      <c r="M450" s="1">
        <v>10000000</v>
      </c>
      <c r="N450">
        <v>26</v>
      </c>
      <c r="O450">
        <v>20</v>
      </c>
      <c r="P450">
        <v>22</v>
      </c>
      <c r="Q450" s="6">
        <f>(SUM(Pcfu43[[#This Row],[R1]:[R3]]))/(Pcfu43[[#This Row],[No. Reps]]*0.015)*Pcfu43[[#This Row],[Best DF]]</f>
        <v>15111111111.111111</v>
      </c>
      <c r="R450" s="1">
        <f>_xlfn.STDEV.S(Pcfu43[[#This Row],[R1]:[R3]])/0.015*Pcfu43[[#This Row],[Best DF]]</f>
        <v>2036700308.8692667</v>
      </c>
      <c r="S450" s="6">
        <f>Pcfu43[[#This Row],[CFU/mL]]*Pcfu43[[#This Row],[mL]]/Pcfu43[[#This Row],[grams]]</f>
        <v>287111111111.11108</v>
      </c>
      <c r="T450" s="1">
        <f>Pcfu43[[#This Row],[SD CFU/mL]]*Pcfu43[[#This Row],[mL]]/Pcfu43[[#This Row],[grams]]</f>
        <v>38697305868.516075</v>
      </c>
      <c r="U450" s="7">
        <f>_xlfn.STDEV.S(Pcfu43[[#This Row],[R1]:[R3]])/AVERAGE(Pcfu43[[#This Row],[R1]:[R3]])</f>
        <v>0.13478163808693674</v>
      </c>
      <c r="V450" s="102"/>
      <c r="W450" s="7"/>
    </row>
    <row r="451" spans="1:24" x14ac:dyDescent="0.15">
      <c r="A451" t="s">
        <v>728</v>
      </c>
      <c r="B451" t="s">
        <v>328</v>
      </c>
      <c r="C451" s="4"/>
      <c r="D451" t="s">
        <v>86</v>
      </c>
      <c r="E451" s="3">
        <v>3</v>
      </c>
      <c r="G451">
        <v>0.3</v>
      </c>
      <c r="H451" s="5">
        <v>5.7</v>
      </c>
      <c r="I451" s="3" t="s">
        <v>950</v>
      </c>
      <c r="J451" s="59">
        <v>45063</v>
      </c>
      <c r="K451" s="59"/>
      <c r="L451" s="59" t="e" cm="1">
        <f t="array" ref="L451">INDEX($J$4:J1541, MATCH(1,(A451=$A$4:A1539)*("Y"=$K$4:K1541),0))</f>
        <v>#N/A</v>
      </c>
      <c r="M451" s="1">
        <v>1000000</v>
      </c>
      <c r="N451">
        <v>58</v>
      </c>
      <c r="O451">
        <v>54</v>
      </c>
      <c r="P451">
        <v>54</v>
      </c>
      <c r="Q451" s="6">
        <f>(SUM(Pcfu43[[#This Row],[R1]:[R3]]))/(Pcfu43[[#This Row],[No. Reps]]*0.015)*Pcfu43[[#This Row],[Best DF]]</f>
        <v>3688888888.8888893</v>
      </c>
      <c r="R451" s="1">
        <f>_xlfn.STDEV.S(Pcfu43[[#This Row],[R1]:[R3]])/0.015*Pcfu43[[#This Row],[Best DF]]</f>
        <v>153960071.7839002</v>
      </c>
      <c r="S451" s="6">
        <f>Pcfu43[[#This Row],[CFU/mL]]*Pcfu43[[#This Row],[mL]]/Pcfu43[[#This Row],[grams]]</f>
        <v>70088888888.888901</v>
      </c>
      <c r="T451" s="1">
        <f>Pcfu43[[#This Row],[SD CFU/mL]]*Pcfu43[[#This Row],[mL]]/Pcfu43[[#This Row],[grams]]</f>
        <v>2925241363.894104</v>
      </c>
      <c r="U451" s="7">
        <f>_xlfn.STDEV.S(Pcfu43[[#This Row],[R1]:[R3]])/AVERAGE(Pcfu43[[#This Row],[R1]:[R3]])</f>
        <v>4.1736164037804266E-2</v>
      </c>
      <c r="V451" s="102"/>
      <c r="W451" s="7"/>
    </row>
    <row r="452" spans="1:24" x14ac:dyDescent="0.15">
      <c r="A452" t="s">
        <v>726</v>
      </c>
      <c r="B452" t="s">
        <v>328</v>
      </c>
      <c r="C452" s="4"/>
      <c r="D452" t="s">
        <v>86</v>
      </c>
      <c r="E452" s="3">
        <v>3</v>
      </c>
      <c r="G452">
        <v>0.3</v>
      </c>
      <c r="H452" s="5">
        <v>5.7</v>
      </c>
      <c r="I452" s="3" t="s">
        <v>950</v>
      </c>
      <c r="J452" s="59">
        <v>45063</v>
      </c>
      <c r="K452" s="59"/>
      <c r="L452" s="59" t="e" cm="1">
        <f t="array" ref="L452">INDEX($J$4:J1542, MATCH(1,(A452=$A$4:A1540)*("Y"=$K$4:K1542),0))</f>
        <v>#N/A</v>
      </c>
      <c r="M452" s="1">
        <v>10000000</v>
      </c>
      <c r="N452">
        <v>13</v>
      </c>
      <c r="O452">
        <v>8</v>
      </c>
      <c r="P452">
        <v>13</v>
      </c>
      <c r="Q452" s="6">
        <f>(SUM(Pcfu43[[#This Row],[R1]:[R3]]))/(Pcfu43[[#This Row],[No. Reps]]*0.015)*Pcfu43[[#This Row],[Best DF]]</f>
        <v>7555555555.5555553</v>
      </c>
      <c r="R452" s="1">
        <f>_xlfn.STDEV.S(Pcfu43[[#This Row],[R1]:[R3]])/0.015*Pcfu43[[#This Row],[Best DF]]</f>
        <v>1924500897.2987537</v>
      </c>
      <c r="S452" s="6">
        <f>Pcfu43[[#This Row],[CFU/mL]]*Pcfu43[[#This Row],[mL]]/Pcfu43[[#This Row],[grams]]</f>
        <v>143555555555.55554</v>
      </c>
      <c r="T452" s="1">
        <f>Pcfu43[[#This Row],[SD CFU/mL]]*Pcfu43[[#This Row],[mL]]/Pcfu43[[#This Row],[grams]]</f>
        <v>36565517048.676323</v>
      </c>
      <c r="U452" s="7">
        <f>_xlfn.STDEV.S(Pcfu43[[#This Row],[R1]:[R3]])/AVERAGE(Pcfu43[[#This Row],[R1]:[R3]])</f>
        <v>0.25471335405424678</v>
      </c>
      <c r="V452" s="102"/>
      <c r="W452" s="7"/>
    </row>
    <row r="453" spans="1:24" x14ac:dyDescent="0.15">
      <c r="A453" t="s">
        <v>671</v>
      </c>
      <c r="B453" t="s">
        <v>328</v>
      </c>
      <c r="C453" s="4"/>
      <c r="D453" t="s">
        <v>26</v>
      </c>
      <c r="E453" s="3">
        <v>3</v>
      </c>
      <c r="G453">
        <v>0.3</v>
      </c>
      <c r="H453" s="5">
        <v>5.7</v>
      </c>
      <c r="I453" s="3" t="s">
        <v>950</v>
      </c>
      <c r="J453" s="59">
        <v>45064</v>
      </c>
      <c r="K453" s="59"/>
      <c r="L453" s="59" t="e" cm="1">
        <f t="array" ref="L453">INDEX($J$4:J1543, MATCH(1,(A453=$A$4:A1541)*("Y"=$K$4:K1543),0))</f>
        <v>#N/A</v>
      </c>
      <c r="M453" s="1">
        <v>10000</v>
      </c>
      <c r="N453">
        <v>2</v>
      </c>
      <c r="O453">
        <v>8</v>
      </c>
      <c r="P453">
        <v>7</v>
      </c>
      <c r="Q453" s="6">
        <f>(SUM(Pcfu43[[#This Row],[R1]:[R3]]))/(Pcfu43[[#This Row],[No. Reps]]*0.015)*Pcfu43[[#This Row],[Best DF]]</f>
        <v>3777777.7777777775</v>
      </c>
      <c r="R453" s="1">
        <f>_xlfn.STDEV.S(Pcfu43[[#This Row],[R1]:[R3]])/0.015*Pcfu43[[#This Row],[Best DF]]</f>
        <v>2143033.5024428796</v>
      </c>
      <c r="S453" s="6">
        <f>Pcfu43[[#This Row],[CFU/mL]]*Pcfu43[[#This Row],[mL]]/Pcfu43[[#This Row],[grams]]</f>
        <v>71777777.777777776</v>
      </c>
      <c r="T453" s="1">
        <f>Pcfu43[[#This Row],[SD CFU/mL]]*Pcfu43[[#This Row],[mL]]/Pcfu43[[#This Row],[grams]]</f>
        <v>40717636.546414711</v>
      </c>
      <c r="U453" s="7">
        <f>_xlfn.STDEV.S(Pcfu43[[#This Row],[R1]:[R3]])/AVERAGE(Pcfu43[[#This Row],[R1]:[R3]])</f>
        <v>0.56727357417605628</v>
      </c>
      <c r="V453" s="102">
        <v>0.32800000000000001</v>
      </c>
      <c r="W453" s="7"/>
      <c r="X453" t="s">
        <v>1032</v>
      </c>
    </row>
    <row r="454" spans="1:24" x14ac:dyDescent="0.15">
      <c r="A454" t="s">
        <v>796</v>
      </c>
      <c r="B454" t="s">
        <v>328</v>
      </c>
      <c r="C454" s="4"/>
      <c r="D454" t="s">
        <v>26</v>
      </c>
      <c r="E454" s="3">
        <v>3</v>
      </c>
      <c r="G454">
        <v>0.3</v>
      </c>
      <c r="H454" s="5">
        <v>5.7</v>
      </c>
      <c r="I454" s="3" t="s">
        <v>950</v>
      </c>
      <c r="J454" s="59">
        <v>45064</v>
      </c>
      <c r="K454" s="59"/>
      <c r="L454" s="59" t="e" cm="1">
        <f t="array" ref="L454">INDEX($J$4:J1544, MATCH(1,(A454=$A$4:A1542)*("Y"=$K$4:K1544),0))</f>
        <v>#N/A</v>
      </c>
      <c r="M454" s="1">
        <v>10000</v>
      </c>
      <c r="N454">
        <v>31</v>
      </c>
      <c r="O454">
        <v>27</v>
      </c>
      <c r="P454">
        <v>34</v>
      </c>
      <c r="Q454" s="6">
        <f>(SUM(Pcfu43[[#This Row],[R1]:[R3]]))/(Pcfu43[[#This Row],[No. Reps]]*0.015)*Pcfu43[[#This Row],[Best DF]]</f>
        <v>20444444.444444444</v>
      </c>
      <c r="R454" s="1">
        <f>_xlfn.STDEV.S(Pcfu43[[#This Row],[R1]:[R3]])/0.015*Pcfu43[[#This Row],[Best DF]]</f>
        <v>2341256.389522831</v>
      </c>
      <c r="S454" s="6">
        <f>Pcfu43[[#This Row],[CFU/mL]]*Pcfu43[[#This Row],[mL]]/Pcfu43[[#This Row],[grams]]</f>
        <v>388444444.44444442</v>
      </c>
      <c r="T454" s="1">
        <f>Pcfu43[[#This Row],[SD CFU/mL]]*Pcfu43[[#This Row],[mL]]/Pcfu43[[#This Row],[grams]]</f>
        <v>44483871.400933787</v>
      </c>
      <c r="U454" s="7">
        <f>_xlfn.STDEV.S(Pcfu43[[#This Row],[R1]:[R3]])/AVERAGE(Pcfu43[[#This Row],[R1]:[R3]])</f>
        <v>0.1145179755744863</v>
      </c>
      <c r="V454" s="102">
        <v>0.27900000000000003</v>
      </c>
      <c r="W454" s="7"/>
      <c r="X454" t="s">
        <v>408</v>
      </c>
    </row>
    <row r="455" spans="1:24" x14ac:dyDescent="0.15">
      <c r="A455" t="s">
        <v>797</v>
      </c>
      <c r="B455" t="s">
        <v>328</v>
      </c>
      <c r="C455" s="4"/>
      <c r="D455" t="s">
        <v>26</v>
      </c>
      <c r="E455" s="3">
        <v>3</v>
      </c>
      <c r="G455">
        <v>0.3</v>
      </c>
      <c r="H455" s="5">
        <v>5.7</v>
      </c>
      <c r="I455" s="3" t="s">
        <v>950</v>
      </c>
      <c r="J455" s="59">
        <v>45064</v>
      </c>
      <c r="K455" s="59"/>
      <c r="L455" s="59" t="e" cm="1">
        <f t="array" ref="L455">INDEX($J$4:J1545, MATCH(1,(A455=$A$4:A1543)*("Y"=$K$4:K1545),0))</f>
        <v>#N/A</v>
      </c>
      <c r="M455" s="1">
        <v>10000</v>
      </c>
      <c r="N455">
        <v>10</v>
      </c>
      <c r="O455">
        <v>13</v>
      </c>
      <c r="P455">
        <v>17</v>
      </c>
      <c r="Q455" s="6">
        <f>(SUM(Pcfu43[[#This Row],[R1]:[R3]]))/(Pcfu43[[#This Row],[No. Reps]]*0.015)*Pcfu43[[#This Row],[Best DF]]</f>
        <v>8888888.8888888899</v>
      </c>
      <c r="R455" s="1">
        <f>_xlfn.STDEV.S(Pcfu43[[#This Row],[R1]:[R3]])/0.015*Pcfu43[[#This Row],[Best DF]]</f>
        <v>2341256.3895228291</v>
      </c>
      <c r="S455" s="6">
        <f>Pcfu43[[#This Row],[CFU/mL]]*Pcfu43[[#This Row],[mL]]/Pcfu43[[#This Row],[grams]]</f>
        <v>168888888.88888893</v>
      </c>
      <c r="T455" s="1">
        <f>Pcfu43[[#This Row],[SD CFU/mL]]*Pcfu43[[#This Row],[mL]]/Pcfu43[[#This Row],[grams]]</f>
        <v>44483871.400933757</v>
      </c>
      <c r="U455" s="7">
        <f>_xlfn.STDEV.S(Pcfu43[[#This Row],[R1]:[R3]])/AVERAGE(Pcfu43[[#This Row],[R1]:[R3]])</f>
        <v>0.26339134382131824</v>
      </c>
      <c r="V455" s="102">
        <v>0.32400000000000001</v>
      </c>
      <c r="W455" s="7"/>
      <c r="X455" t="s">
        <v>1033</v>
      </c>
    </row>
    <row r="456" spans="1:24" x14ac:dyDescent="0.15">
      <c r="A456" t="s">
        <v>672</v>
      </c>
      <c r="B456" t="s">
        <v>328</v>
      </c>
      <c r="C456" s="4"/>
      <c r="D456" t="s">
        <v>26</v>
      </c>
      <c r="E456" s="3">
        <v>3</v>
      </c>
      <c r="G456">
        <v>0.3</v>
      </c>
      <c r="H456" s="5">
        <v>5.7</v>
      </c>
      <c r="I456" s="3" t="s">
        <v>950</v>
      </c>
      <c r="J456" s="59">
        <v>45064</v>
      </c>
      <c r="K456" s="59"/>
      <c r="L456" s="59" t="e" cm="1">
        <f t="array" ref="L456">INDEX($J$4:J1546, MATCH(1,(A456=$A$4:A1544)*("Y"=$K$4:K1546),0))</f>
        <v>#N/A</v>
      </c>
      <c r="M456" s="1">
        <v>10000</v>
      </c>
      <c r="N456">
        <v>10</v>
      </c>
      <c r="O456">
        <v>12</v>
      </c>
      <c r="P456">
        <v>16</v>
      </c>
      <c r="Q456" s="6">
        <f>(SUM(Pcfu43[[#This Row],[R1]:[R3]]))/(Pcfu43[[#This Row],[No. Reps]]*0.015)*Pcfu43[[#This Row],[Best DF]]</f>
        <v>8444444.444444444</v>
      </c>
      <c r="R456" s="1">
        <f>_xlfn.STDEV.S(Pcfu43[[#This Row],[R1]:[R3]])/0.015*Pcfu43[[#This Row],[Best DF]]</f>
        <v>2036700.3088692632</v>
      </c>
      <c r="S456" s="6">
        <f>Pcfu43[[#This Row],[CFU/mL]]*Pcfu43[[#This Row],[mL]]/Pcfu43[[#This Row],[grams]]</f>
        <v>160444444.44444445</v>
      </c>
      <c r="T456" s="1">
        <f>Pcfu43[[#This Row],[SD CFU/mL]]*Pcfu43[[#This Row],[mL]]/Pcfu43[[#This Row],[grams]]</f>
        <v>38697305.868515998</v>
      </c>
      <c r="U456" s="7">
        <f>_xlfn.STDEV.S(Pcfu43[[#This Row],[R1]:[R3]])/AVERAGE(Pcfu43[[#This Row],[R1]:[R3]])</f>
        <v>0.24118819447136014</v>
      </c>
      <c r="V456" s="102">
        <v>0.33500000000000002</v>
      </c>
      <c r="W456" s="7"/>
      <c r="X456" t="s">
        <v>1034</v>
      </c>
    </row>
    <row r="457" spans="1:24" x14ac:dyDescent="0.15">
      <c r="A457" t="s">
        <v>798</v>
      </c>
      <c r="B457" t="s">
        <v>328</v>
      </c>
      <c r="C457" s="4"/>
      <c r="D457" t="s">
        <v>26</v>
      </c>
      <c r="E457" s="3">
        <v>3</v>
      </c>
      <c r="G457">
        <v>0.3</v>
      </c>
      <c r="H457" s="5">
        <v>5.7</v>
      </c>
      <c r="I457" s="3" t="s">
        <v>950</v>
      </c>
      <c r="J457" s="59">
        <v>45064</v>
      </c>
      <c r="K457" s="59"/>
      <c r="L457" s="59" t="e" cm="1">
        <f t="array" ref="L457">INDEX($J$4:J1547, MATCH(1,(A457=$A$4:A1545)*("Y"=$K$4:K1547),0))</f>
        <v>#N/A</v>
      </c>
      <c r="M457" s="1">
        <v>10000</v>
      </c>
      <c r="N457">
        <v>69</v>
      </c>
      <c r="O457">
        <v>79</v>
      </c>
      <c r="P457">
        <v>72</v>
      </c>
      <c r="Q457" s="6">
        <f>(SUM(Pcfu43[[#This Row],[R1]:[R3]]))/(Pcfu43[[#This Row],[No. Reps]]*0.015)*Pcfu43[[#This Row],[Best DF]]</f>
        <v>48888888.888888888</v>
      </c>
      <c r="R457" s="1">
        <f>_xlfn.STDEV.S(Pcfu43[[#This Row],[R1]:[R3]])/0.015*Pcfu43[[#This Row],[Best DF]]</f>
        <v>3421067.6262979228</v>
      </c>
      <c r="S457" s="6">
        <f>Pcfu43[[#This Row],[CFU/mL]]*Pcfu43[[#This Row],[mL]]/Pcfu43[[#This Row],[grams]]</f>
        <v>928888888.88888896</v>
      </c>
      <c r="T457" s="1">
        <f>Pcfu43[[#This Row],[SD CFU/mL]]*Pcfu43[[#This Row],[mL]]/Pcfu43[[#This Row],[grams]]</f>
        <v>65000284.899660535</v>
      </c>
      <c r="U457" s="7">
        <f>_xlfn.STDEV.S(Pcfu43[[#This Row],[R1]:[R3]])/AVERAGE(Pcfu43[[#This Row],[R1]:[R3]])</f>
        <v>6.9976383265184794E-2</v>
      </c>
      <c r="V457" s="102">
        <v>0.29899999999999999</v>
      </c>
      <c r="W457" s="7"/>
      <c r="X457" t="s">
        <v>521</v>
      </c>
    </row>
    <row r="458" spans="1:24" x14ac:dyDescent="0.15">
      <c r="A458" t="s">
        <v>799</v>
      </c>
      <c r="B458" t="s">
        <v>328</v>
      </c>
      <c r="C458" s="4"/>
      <c r="D458" t="s">
        <v>26</v>
      </c>
      <c r="E458" s="3">
        <v>3</v>
      </c>
      <c r="G458">
        <v>0.3</v>
      </c>
      <c r="H458" s="5">
        <v>5.7</v>
      </c>
      <c r="I458" s="3" t="s">
        <v>950</v>
      </c>
      <c r="J458" s="59">
        <v>45064</v>
      </c>
      <c r="K458" s="59"/>
      <c r="L458" s="59" t="e" cm="1">
        <f t="array" ref="L458">INDEX($J$4:J1548, MATCH(1,(A458=$A$4:A1546)*("Y"=$K$4:K1548),0))</f>
        <v>#N/A</v>
      </c>
      <c r="M458" s="1">
        <v>10000</v>
      </c>
      <c r="N458">
        <v>47</v>
      </c>
      <c r="O458">
        <v>35</v>
      </c>
      <c r="P458">
        <v>44</v>
      </c>
      <c r="Q458" s="6">
        <f>(SUM(Pcfu43[[#This Row],[R1]:[R3]]))/(Pcfu43[[#This Row],[No. Reps]]*0.015)*Pcfu43[[#This Row],[Best DF]]</f>
        <v>28000000</v>
      </c>
      <c r="R458" s="1">
        <f>_xlfn.STDEV.S(Pcfu43[[#This Row],[R1]:[R3]])/0.015*Pcfu43[[#This Row],[Best DF]]</f>
        <v>4163331.9989322657</v>
      </c>
      <c r="S458" s="6">
        <f>Pcfu43[[#This Row],[CFU/mL]]*Pcfu43[[#This Row],[mL]]/Pcfu43[[#This Row],[grams]]</f>
        <v>532000000</v>
      </c>
      <c r="T458" s="1">
        <f>Pcfu43[[#This Row],[SD CFU/mL]]*Pcfu43[[#This Row],[mL]]/Pcfu43[[#This Row],[grams]]</f>
        <v>79103307.979713053</v>
      </c>
      <c r="U458" s="7">
        <f>_xlfn.STDEV.S(Pcfu43[[#This Row],[R1]:[R3]])/AVERAGE(Pcfu43[[#This Row],[R1]:[R3]])</f>
        <v>0.1486904285332952</v>
      </c>
      <c r="V458" s="102">
        <v>0.31</v>
      </c>
      <c r="W458" s="7"/>
      <c r="X458" t="s">
        <v>491</v>
      </c>
    </row>
    <row r="459" spans="1:24" x14ac:dyDescent="0.15">
      <c r="A459" t="s">
        <v>675</v>
      </c>
      <c r="B459" t="s">
        <v>328</v>
      </c>
      <c r="C459" s="4"/>
      <c r="D459" t="s">
        <v>26</v>
      </c>
      <c r="E459" s="3">
        <v>3</v>
      </c>
      <c r="G459">
        <v>0.3</v>
      </c>
      <c r="H459" s="5">
        <v>5.7</v>
      </c>
      <c r="I459" s="3" t="s">
        <v>950</v>
      </c>
      <c r="J459" s="59">
        <v>45064</v>
      </c>
      <c r="K459" s="59"/>
      <c r="L459" s="59" t="e" cm="1">
        <f t="array" ref="L459">INDEX($J$4:J1549, MATCH(1,(A459=$A$4:A1547)*("Y"=$K$4:K1549),0))</f>
        <v>#N/A</v>
      </c>
      <c r="M459" s="1">
        <v>10000</v>
      </c>
      <c r="N459">
        <v>19</v>
      </c>
      <c r="O459">
        <v>28</v>
      </c>
      <c r="P459">
        <v>19</v>
      </c>
      <c r="Q459" s="6">
        <f>(SUM(Pcfu43[[#This Row],[R1]:[R3]]))/(Pcfu43[[#This Row],[No. Reps]]*0.015)*Pcfu43[[#This Row],[Best DF]]</f>
        <v>14666666.666666668</v>
      </c>
      <c r="R459" s="1">
        <f>_xlfn.STDEV.S(Pcfu43[[#This Row],[R1]:[R3]])/0.015*Pcfu43[[#This Row],[Best DF]]</f>
        <v>3464101.6151377549</v>
      </c>
      <c r="S459" s="6">
        <f>Pcfu43[[#This Row],[CFU/mL]]*Pcfu43[[#This Row],[mL]]/Pcfu43[[#This Row],[grams]]</f>
        <v>278666666.66666675</v>
      </c>
      <c r="T459" s="1">
        <f>Pcfu43[[#This Row],[SD CFU/mL]]*Pcfu43[[#This Row],[mL]]/Pcfu43[[#This Row],[grams]]</f>
        <v>65817930.687617354</v>
      </c>
      <c r="U459" s="7">
        <f>_xlfn.STDEV.S(Pcfu43[[#This Row],[R1]:[R3]])/AVERAGE(Pcfu43[[#This Row],[R1]:[R3]])</f>
        <v>0.2361887464866651</v>
      </c>
      <c r="V459" s="102">
        <v>0.26400000000000001</v>
      </c>
      <c r="W459" s="7"/>
      <c r="X459" t="s">
        <v>557</v>
      </c>
    </row>
    <row r="460" spans="1:24" x14ac:dyDescent="0.15">
      <c r="A460" t="s">
        <v>1003</v>
      </c>
      <c r="B460" t="s">
        <v>328</v>
      </c>
      <c r="C460" s="4"/>
      <c r="D460" t="s">
        <v>26</v>
      </c>
      <c r="E460" s="3">
        <v>3</v>
      </c>
      <c r="G460">
        <v>0.3</v>
      </c>
      <c r="H460" s="5">
        <v>5.7</v>
      </c>
      <c r="I460" s="3" t="s">
        <v>950</v>
      </c>
      <c r="J460" s="59">
        <v>45064</v>
      </c>
      <c r="K460" s="59"/>
      <c r="L460" s="59" t="e" cm="1">
        <f t="array" ref="L460">INDEX($J$4:J1550, MATCH(1,(A460=$A$4:A1548)*("Y"=$K$4:K1550),0))</f>
        <v>#N/A</v>
      </c>
      <c r="M460" s="1">
        <v>10000</v>
      </c>
      <c r="N460">
        <v>81</v>
      </c>
      <c r="O460">
        <v>81</v>
      </c>
      <c r="P460">
        <v>85</v>
      </c>
      <c r="Q460" s="6">
        <f>(SUM(Pcfu43[[#This Row],[R1]:[R3]]))/(Pcfu43[[#This Row],[No. Reps]]*0.015)*Pcfu43[[#This Row],[Best DF]]</f>
        <v>54888888.888888888</v>
      </c>
      <c r="R460" s="1">
        <f>_xlfn.STDEV.S(Pcfu43[[#This Row],[R1]:[R3]])/0.015*Pcfu43[[#This Row],[Best DF]]</f>
        <v>1539600.7178390021</v>
      </c>
      <c r="S460" s="6">
        <f>Pcfu43[[#This Row],[CFU/mL]]*Pcfu43[[#This Row],[mL]]/Pcfu43[[#This Row],[grams]]</f>
        <v>1042888888.888889</v>
      </c>
      <c r="T460" s="1">
        <f>Pcfu43[[#This Row],[SD CFU/mL]]*Pcfu43[[#This Row],[mL]]/Pcfu43[[#This Row],[grams]]</f>
        <v>29252413.638941046</v>
      </c>
      <c r="U460" s="7">
        <f>_xlfn.STDEV.S(Pcfu43[[#This Row],[R1]:[R3]])/AVERAGE(Pcfu43[[#This Row],[R1]:[R3]])</f>
        <v>2.8049405790589111E-2</v>
      </c>
      <c r="V460" s="102">
        <v>0.19800000000000001</v>
      </c>
      <c r="W460" s="7"/>
      <c r="X460" t="s">
        <v>1035</v>
      </c>
    </row>
    <row r="461" spans="1:24" x14ac:dyDescent="0.15">
      <c r="A461" t="s">
        <v>1005</v>
      </c>
      <c r="B461" t="s">
        <v>328</v>
      </c>
      <c r="C461" s="4"/>
      <c r="D461" t="s">
        <v>26</v>
      </c>
      <c r="E461" s="3">
        <v>3</v>
      </c>
      <c r="G461">
        <v>0.3</v>
      </c>
      <c r="H461" s="5">
        <v>5.7</v>
      </c>
      <c r="I461" s="3" t="s">
        <v>950</v>
      </c>
      <c r="J461" s="59">
        <v>45064</v>
      </c>
      <c r="K461" s="59"/>
      <c r="L461" s="59" t="e" cm="1">
        <f t="array" ref="L461">INDEX($J$4:J1551, MATCH(1,(A461=$A$4:A1549)*("Y"=$K$4:K1551),0))</f>
        <v>#N/A</v>
      </c>
      <c r="M461" s="1">
        <v>10000</v>
      </c>
      <c r="N461">
        <v>47</v>
      </c>
      <c r="O461">
        <v>44</v>
      </c>
      <c r="P461">
        <v>53</v>
      </c>
      <c r="Q461" s="6">
        <f>(SUM(Pcfu43[[#This Row],[R1]:[R3]]))/(Pcfu43[[#This Row],[No. Reps]]*0.015)*Pcfu43[[#This Row],[Best DF]]</f>
        <v>32000000</v>
      </c>
      <c r="R461" s="1">
        <f>_xlfn.STDEV.S(Pcfu43[[#This Row],[R1]:[R3]])/0.015*Pcfu43[[#This Row],[Best DF]]</f>
        <v>3055050.4633038933</v>
      </c>
      <c r="S461" s="6">
        <f>Pcfu43[[#This Row],[CFU/mL]]*Pcfu43[[#This Row],[mL]]/Pcfu43[[#This Row],[grams]]</f>
        <v>608000000</v>
      </c>
      <c r="T461" s="1">
        <f>Pcfu43[[#This Row],[SD CFU/mL]]*Pcfu43[[#This Row],[mL]]/Pcfu43[[#This Row],[grams]]</f>
        <v>58045958.802773982</v>
      </c>
      <c r="U461" s="7">
        <f>_xlfn.STDEV.S(Pcfu43[[#This Row],[R1]:[R3]])/AVERAGE(Pcfu43[[#This Row],[R1]:[R3]])</f>
        <v>9.5470326978246658E-2</v>
      </c>
      <c r="V461" s="102">
        <v>0.25600000000000001</v>
      </c>
      <c r="W461" s="7"/>
      <c r="X461" t="s">
        <v>936</v>
      </c>
    </row>
    <row r="462" spans="1:24" x14ac:dyDescent="0.15">
      <c r="A462" t="s">
        <v>676</v>
      </c>
      <c r="B462" t="s">
        <v>328</v>
      </c>
      <c r="C462" s="4"/>
      <c r="D462" t="s">
        <v>26</v>
      </c>
      <c r="E462" s="3">
        <v>3</v>
      </c>
      <c r="G462">
        <v>0.3</v>
      </c>
      <c r="H462" s="5">
        <v>5.7</v>
      </c>
      <c r="I462" s="3" t="s">
        <v>950</v>
      </c>
      <c r="J462" s="59">
        <v>45064</v>
      </c>
      <c r="K462" s="59"/>
      <c r="L462" s="59" t="e" cm="1">
        <f t="array" ref="L462">INDEX($J$4:J1552, MATCH(1,(A462=$A$4:A1550)*("Y"=$K$4:K1552),0))</f>
        <v>#N/A</v>
      </c>
      <c r="M462" s="1">
        <v>100000</v>
      </c>
      <c r="N462">
        <v>24</v>
      </c>
      <c r="O462">
        <v>21</v>
      </c>
      <c r="P462">
        <v>20</v>
      </c>
      <c r="Q462" s="6">
        <f>(SUM(Pcfu43[[#This Row],[R1]:[R3]]))/(Pcfu43[[#This Row],[No. Reps]]*0.015)*Pcfu43[[#This Row],[Best DF]]</f>
        <v>144444444.44444445</v>
      </c>
      <c r="R462" s="1">
        <f>_xlfn.STDEV.S(Pcfu43[[#This Row],[R1]:[R3]])/0.015*Pcfu43[[#This Row],[Best DF]]</f>
        <v>13877773.32977422</v>
      </c>
      <c r="S462" s="6">
        <f>Pcfu43[[#This Row],[CFU/mL]]*Pcfu43[[#This Row],[mL]]/Pcfu43[[#This Row],[grams]]</f>
        <v>2744444444.4444447</v>
      </c>
      <c r="T462" s="1">
        <f>Pcfu43[[#This Row],[SD CFU/mL]]*Pcfu43[[#This Row],[mL]]/Pcfu43[[#This Row],[grams]]</f>
        <v>263677693.26571018</v>
      </c>
      <c r="U462" s="7">
        <f>_xlfn.STDEV.S(Pcfu43[[#This Row],[R1]:[R3]])/AVERAGE(Pcfu43[[#This Row],[R1]:[R3]])</f>
        <v>9.6076892283052287E-2</v>
      </c>
      <c r="V462" s="102">
        <v>0.23799999999999999</v>
      </c>
      <c r="W462" s="7"/>
      <c r="X462" t="s">
        <v>410</v>
      </c>
    </row>
    <row r="463" spans="1:24" x14ac:dyDescent="0.15">
      <c r="A463" t="s">
        <v>1007</v>
      </c>
      <c r="B463" t="s">
        <v>328</v>
      </c>
      <c r="C463" s="4"/>
      <c r="D463" t="s">
        <v>26</v>
      </c>
      <c r="E463" s="3">
        <v>3</v>
      </c>
      <c r="G463">
        <v>0.3</v>
      </c>
      <c r="H463" s="5">
        <v>5.7</v>
      </c>
      <c r="I463" s="3" t="s">
        <v>950</v>
      </c>
      <c r="J463" s="59">
        <v>45064</v>
      </c>
      <c r="K463" s="59"/>
      <c r="L463" s="59" t="e" cm="1">
        <f t="array" ref="L463">INDEX($J$4:J1553, MATCH(1,(A463=$A$4:A1551)*("Y"=$K$4:K1553),0))</f>
        <v>#N/A</v>
      </c>
      <c r="M463" s="1">
        <v>100000</v>
      </c>
      <c r="N463">
        <v>46</v>
      </c>
      <c r="O463">
        <v>50</v>
      </c>
      <c r="P463">
        <v>41</v>
      </c>
      <c r="Q463" s="6">
        <f>(SUM(Pcfu43[[#This Row],[R1]:[R3]]))/(Pcfu43[[#This Row],[No. Reps]]*0.015)*Pcfu43[[#This Row],[Best DF]]</f>
        <v>304444444.44444442</v>
      </c>
      <c r="R463" s="1">
        <f>_xlfn.STDEV.S(Pcfu43[[#This Row],[R1]:[R3]])/0.015*Pcfu43[[#This Row],[Best DF]]</f>
        <v>30061665.018819299</v>
      </c>
      <c r="S463" s="6">
        <f>Pcfu43[[#This Row],[CFU/mL]]*Pcfu43[[#This Row],[mL]]/Pcfu43[[#This Row],[grams]]</f>
        <v>5784444444.4444447</v>
      </c>
      <c r="T463" s="1">
        <f>Pcfu43[[#This Row],[SD CFU/mL]]*Pcfu43[[#This Row],[mL]]/Pcfu43[[#This Row],[grams]]</f>
        <v>571171635.35756671</v>
      </c>
      <c r="U463" s="7">
        <f>_xlfn.STDEV.S(Pcfu43[[#This Row],[R1]:[R3]])/AVERAGE(Pcfu43[[#This Row],[R1]:[R3]])</f>
        <v>9.8742695317289658E-2</v>
      </c>
      <c r="V463" s="102">
        <v>0.20899999999999999</v>
      </c>
      <c r="W463" s="7"/>
      <c r="X463" t="s">
        <v>1036</v>
      </c>
    </row>
    <row r="464" spans="1:24" x14ac:dyDescent="0.15">
      <c r="A464" t="s">
        <v>1008</v>
      </c>
      <c r="B464" t="s">
        <v>328</v>
      </c>
      <c r="C464" s="4"/>
      <c r="D464" t="s">
        <v>26</v>
      </c>
      <c r="E464" s="3">
        <v>3</v>
      </c>
      <c r="G464">
        <v>0.3</v>
      </c>
      <c r="H464" s="5">
        <v>5.7</v>
      </c>
      <c r="I464" s="3" t="s">
        <v>950</v>
      </c>
      <c r="J464" s="59">
        <v>45064</v>
      </c>
      <c r="K464" s="59"/>
      <c r="L464" s="59" t="e" cm="1">
        <f t="array" ref="L464">INDEX($J$4:J1554, MATCH(1,(A464=$A$4:A1552)*("Y"=$K$4:K1554),0))</f>
        <v>#N/A</v>
      </c>
      <c r="M464" s="1">
        <v>100000</v>
      </c>
      <c r="N464">
        <v>30</v>
      </c>
      <c r="O464">
        <v>34</v>
      </c>
      <c r="P464">
        <v>39</v>
      </c>
      <c r="Q464" s="6">
        <f>(SUM(Pcfu43[[#This Row],[R1]:[R3]]))/(Pcfu43[[#This Row],[No. Reps]]*0.015)*Pcfu43[[#This Row],[Best DF]]</f>
        <v>228888888.88888893</v>
      </c>
      <c r="R464" s="1">
        <f>_xlfn.STDEV.S(Pcfu43[[#This Row],[R1]:[R3]])/0.015*Pcfu43[[#This Row],[Best DF]]</f>
        <v>30061665.018819243</v>
      </c>
      <c r="S464" s="6">
        <f>Pcfu43[[#This Row],[CFU/mL]]*Pcfu43[[#This Row],[mL]]/Pcfu43[[#This Row],[grams]]</f>
        <v>4348888888.8888903</v>
      </c>
      <c r="T464" s="1">
        <f>Pcfu43[[#This Row],[SD CFU/mL]]*Pcfu43[[#This Row],[mL]]/Pcfu43[[#This Row],[grams]]</f>
        <v>571171635.35756564</v>
      </c>
      <c r="U464" s="7">
        <f>_xlfn.STDEV.S(Pcfu43[[#This Row],[R1]:[R3]])/AVERAGE(Pcfu43[[#This Row],[R1]:[R3]])</f>
        <v>0.13133737144144328</v>
      </c>
      <c r="V464" s="102">
        <v>0.23200000000000001</v>
      </c>
      <c r="W464" s="7"/>
      <c r="X464" t="s">
        <v>1037</v>
      </c>
    </row>
    <row r="465" spans="1:24" x14ac:dyDescent="0.15">
      <c r="A465" t="s">
        <v>862</v>
      </c>
      <c r="B465" t="s">
        <v>328</v>
      </c>
      <c r="C465" s="4"/>
      <c r="D465" t="s">
        <v>37</v>
      </c>
      <c r="E465" s="3">
        <v>3</v>
      </c>
      <c r="G465">
        <v>0.3</v>
      </c>
      <c r="H465" s="5">
        <v>5.7</v>
      </c>
      <c r="I465" s="3" t="s">
        <v>950</v>
      </c>
      <c r="J465" s="59">
        <v>45076</v>
      </c>
      <c r="K465" s="59"/>
      <c r="L465" s="59" t="e" cm="1">
        <f t="array" ref="L465">INDEX($J$4:J1555, MATCH(1,(A465=$A$4:A1553)*("Y"=$K$4:K1555),0))</f>
        <v>#N/A</v>
      </c>
      <c r="M465" s="1">
        <v>100000</v>
      </c>
      <c r="N465">
        <v>22</v>
      </c>
      <c r="O465">
        <v>20</v>
      </c>
      <c r="P465">
        <v>24</v>
      </c>
      <c r="Q465" s="6">
        <f>(SUM(Pcfu43[[#This Row],[R1]:[R3]]))/(Pcfu43[[#This Row],[No. Reps]]*0.015)*Pcfu43[[#This Row],[Best DF]]</f>
        <v>146666666.66666669</v>
      </c>
      <c r="R465" s="1">
        <f>_xlfn.STDEV.S(Pcfu43[[#This Row],[R1]:[R3]])/0.015*Pcfu43[[#This Row],[Best DF]]</f>
        <v>13333333.333333334</v>
      </c>
      <c r="S465" s="6">
        <f>Pcfu43[[#This Row],[CFU/mL]]*Pcfu43[[#This Row],[mL]]/Pcfu43[[#This Row],[grams]]</f>
        <v>2786666666.666667</v>
      </c>
      <c r="T465" s="1">
        <f>Pcfu43[[#This Row],[SD CFU/mL]]*Pcfu43[[#This Row],[mL]]/Pcfu43[[#This Row],[grams]]</f>
        <v>253333333.33333334</v>
      </c>
      <c r="U465" s="7">
        <f>_xlfn.STDEV.S(Pcfu43[[#This Row],[R1]:[R3]])/AVERAGE(Pcfu43[[#This Row],[R1]:[R3]])</f>
        <v>9.0909090909090912E-2</v>
      </c>
      <c r="V465" s="102">
        <v>0.30499999999999999</v>
      </c>
      <c r="W465" s="7"/>
      <c r="X465" t="s">
        <v>417</v>
      </c>
    </row>
    <row r="466" spans="1:24" x14ac:dyDescent="0.15">
      <c r="A466" t="s">
        <v>864</v>
      </c>
      <c r="B466" t="s">
        <v>328</v>
      </c>
      <c r="C466" s="4"/>
      <c r="D466" t="s">
        <v>37</v>
      </c>
      <c r="E466" s="3">
        <v>3</v>
      </c>
      <c r="G466">
        <v>0.3</v>
      </c>
      <c r="H466" s="5">
        <v>5.7</v>
      </c>
      <c r="I466" s="3" t="s">
        <v>950</v>
      </c>
      <c r="J466" s="59">
        <v>45076</v>
      </c>
      <c r="K466" s="59"/>
      <c r="L466" s="59" t="e" cm="1">
        <f t="array" ref="L466">INDEX($J$4:J1556, MATCH(1,(A466=$A$4:A1554)*("Y"=$K$4:K1556),0))</f>
        <v>#N/A</v>
      </c>
      <c r="M466" s="1">
        <v>100000</v>
      </c>
      <c r="N466">
        <v>52</v>
      </c>
      <c r="O466">
        <v>55</v>
      </c>
      <c r="P466">
        <v>61</v>
      </c>
      <c r="Q466" s="6">
        <f>(SUM(Pcfu43[[#This Row],[R1]:[R3]]))/(Pcfu43[[#This Row],[No. Reps]]*0.015)*Pcfu43[[#This Row],[Best DF]]</f>
        <v>373333333.33333337</v>
      </c>
      <c r="R466" s="1">
        <f>_xlfn.STDEV.S(Pcfu43[[#This Row],[R1]:[R3]])/0.015*Pcfu43[[#This Row],[Best DF]]</f>
        <v>30550504.633038934</v>
      </c>
      <c r="S466" s="6">
        <f>Pcfu43[[#This Row],[CFU/mL]]*Pcfu43[[#This Row],[mL]]/Pcfu43[[#This Row],[grams]]</f>
        <v>7093333333.333334</v>
      </c>
      <c r="T466" s="1">
        <f>Pcfu43[[#This Row],[SD CFU/mL]]*Pcfu43[[#This Row],[mL]]/Pcfu43[[#This Row],[grams]]</f>
        <v>580459588.02773976</v>
      </c>
      <c r="U466" s="7">
        <f>_xlfn.STDEV.S(Pcfu43[[#This Row],[R1]:[R3]])/AVERAGE(Pcfu43[[#This Row],[R1]:[R3]])</f>
        <v>8.1831708838497136E-2</v>
      </c>
      <c r="V466" s="102">
        <v>0.13300000000000001</v>
      </c>
      <c r="W466" s="7"/>
      <c r="X466" t="s">
        <v>1038</v>
      </c>
    </row>
    <row r="467" spans="1:24" x14ac:dyDescent="0.15">
      <c r="A467" t="s">
        <v>866</v>
      </c>
      <c r="B467" t="s">
        <v>328</v>
      </c>
      <c r="C467" s="4"/>
      <c r="D467" t="s">
        <v>37</v>
      </c>
      <c r="E467" s="3">
        <v>3</v>
      </c>
      <c r="G467">
        <v>0.3</v>
      </c>
      <c r="H467" s="5">
        <v>5.7</v>
      </c>
      <c r="I467" s="3" t="s">
        <v>950</v>
      </c>
      <c r="J467" s="59">
        <v>45076</v>
      </c>
      <c r="K467" s="59"/>
      <c r="L467" s="59" t="e" cm="1">
        <f t="array" ref="L467">INDEX($J$4:J1557, MATCH(1,(A467=$A$4:A1555)*("Y"=$K$4:K1557),0))</f>
        <v>#N/A</v>
      </c>
      <c r="M467" s="1">
        <v>100000</v>
      </c>
      <c r="N467">
        <v>11</v>
      </c>
      <c r="O467">
        <v>12</v>
      </c>
      <c r="P467">
        <v>10</v>
      </c>
      <c r="Q467" s="6">
        <f>(SUM(Pcfu43[[#This Row],[R1]:[R3]]))/(Pcfu43[[#This Row],[No. Reps]]*0.015)*Pcfu43[[#This Row],[Best DF]]</f>
        <v>73333333.333333343</v>
      </c>
      <c r="R467" s="1">
        <f>_xlfn.STDEV.S(Pcfu43[[#This Row],[R1]:[R3]])/0.015*Pcfu43[[#This Row],[Best DF]]</f>
        <v>6666666.666666667</v>
      </c>
      <c r="S467" s="6">
        <f>Pcfu43[[#This Row],[CFU/mL]]*Pcfu43[[#This Row],[mL]]/Pcfu43[[#This Row],[grams]]</f>
        <v>1393333333.3333335</v>
      </c>
      <c r="T467" s="1">
        <f>Pcfu43[[#This Row],[SD CFU/mL]]*Pcfu43[[#This Row],[mL]]/Pcfu43[[#This Row],[grams]]</f>
        <v>126666666.66666667</v>
      </c>
      <c r="U467" s="7">
        <f>_xlfn.STDEV.S(Pcfu43[[#This Row],[R1]:[R3]])/AVERAGE(Pcfu43[[#This Row],[R1]:[R3]])</f>
        <v>9.0909090909090912E-2</v>
      </c>
      <c r="V467" s="102">
        <v>0.33500000000000002</v>
      </c>
      <c r="W467" s="7"/>
      <c r="X467" t="s">
        <v>1034</v>
      </c>
    </row>
    <row r="468" spans="1:24" x14ac:dyDescent="0.15">
      <c r="A468" t="s">
        <v>868</v>
      </c>
      <c r="B468" t="s">
        <v>328</v>
      </c>
      <c r="C468" s="4"/>
      <c r="D468" t="s">
        <v>37</v>
      </c>
      <c r="E468" s="3">
        <v>3</v>
      </c>
      <c r="G468">
        <v>0.3</v>
      </c>
      <c r="H468" s="5">
        <v>5.7</v>
      </c>
      <c r="I468" s="3" t="s">
        <v>950</v>
      </c>
      <c r="J468" s="59">
        <v>45076</v>
      </c>
      <c r="K468" s="59"/>
      <c r="L468" s="59" t="e" cm="1">
        <f t="array" ref="L468">INDEX($J$4:J1558, MATCH(1,(A468=$A$4:A1556)*("Y"=$K$4:K1558),0))</f>
        <v>#N/A</v>
      </c>
      <c r="M468" s="1">
        <v>100000</v>
      </c>
      <c r="N468">
        <v>11</v>
      </c>
      <c r="O468">
        <v>9</v>
      </c>
      <c r="P468">
        <v>8</v>
      </c>
      <c r="Q468" s="6">
        <f>(SUM(Pcfu43[[#This Row],[R1]:[R3]]))/(Pcfu43[[#This Row],[No. Reps]]*0.015)*Pcfu43[[#This Row],[Best DF]]</f>
        <v>62222222.222222231</v>
      </c>
      <c r="R468" s="1">
        <f>_xlfn.STDEV.S(Pcfu43[[#This Row],[R1]:[R3]])/0.015*Pcfu43[[#This Row],[Best DF]]</f>
        <v>10183501.544346333</v>
      </c>
      <c r="S468" s="6">
        <f>Pcfu43[[#This Row],[CFU/mL]]*Pcfu43[[#This Row],[mL]]/Pcfu43[[#This Row],[grams]]</f>
        <v>1182222222.2222226</v>
      </c>
      <c r="T468" s="1">
        <f>Pcfu43[[#This Row],[SD CFU/mL]]*Pcfu43[[#This Row],[mL]]/Pcfu43[[#This Row],[grams]]</f>
        <v>193486529.34258032</v>
      </c>
      <c r="U468" s="7">
        <f>_xlfn.STDEV.S(Pcfu43[[#This Row],[R1]:[R3]])/AVERAGE(Pcfu43[[#This Row],[R1]:[R3]])</f>
        <v>0.1636634176769946</v>
      </c>
      <c r="V468" s="102">
        <v>0.34499999999999997</v>
      </c>
      <c r="W468" s="7"/>
      <c r="X468" t="s">
        <v>1016</v>
      </c>
    </row>
    <row r="469" spans="1:24" x14ac:dyDescent="0.15">
      <c r="A469" t="s">
        <v>669</v>
      </c>
      <c r="B469" t="s">
        <v>328</v>
      </c>
      <c r="C469" s="4"/>
      <c r="D469" t="s">
        <v>37</v>
      </c>
      <c r="E469" s="3">
        <v>3</v>
      </c>
      <c r="G469">
        <v>0.3</v>
      </c>
      <c r="H469" s="5">
        <v>5.7</v>
      </c>
      <c r="I469" s="3" t="s">
        <v>950</v>
      </c>
      <c r="J469" s="59">
        <v>45076</v>
      </c>
      <c r="K469" s="59"/>
      <c r="L469" s="59" t="e" cm="1">
        <f t="array" ref="L469">INDEX($J$4:J1559, MATCH(1,(A469=$A$4:A1557)*("Y"=$K$4:K1559),0))</f>
        <v>#N/A</v>
      </c>
      <c r="M469" s="1">
        <v>100000</v>
      </c>
      <c r="N469">
        <v>25</v>
      </c>
      <c r="O469">
        <v>23</v>
      </c>
      <c r="P469">
        <v>29</v>
      </c>
      <c r="Q469" s="6">
        <f>(SUM(Pcfu43[[#This Row],[R1]:[R3]]))/(Pcfu43[[#This Row],[No. Reps]]*0.015)*Pcfu43[[#This Row],[Best DF]]</f>
        <v>171111111.1111111</v>
      </c>
      <c r="R469" s="1">
        <f>_xlfn.STDEV.S(Pcfu43[[#This Row],[R1]:[R3]])/0.015*Pcfu43[[#This Row],[Best DF]]</f>
        <v>20367003.088692624</v>
      </c>
      <c r="S469" s="6">
        <f>Pcfu43[[#This Row],[CFU/mL]]*Pcfu43[[#This Row],[mL]]/Pcfu43[[#This Row],[grams]]</f>
        <v>3251111111.1111112</v>
      </c>
      <c r="T469" s="1">
        <f>Pcfu43[[#This Row],[SD CFU/mL]]*Pcfu43[[#This Row],[mL]]/Pcfu43[[#This Row],[grams]]</f>
        <v>386973058.68515992</v>
      </c>
      <c r="U469" s="7">
        <f>_xlfn.STDEV.S(Pcfu43[[#This Row],[R1]:[R3]])/AVERAGE(Pcfu43[[#This Row],[R1]:[R3]])</f>
        <v>0.11902794012872311</v>
      </c>
      <c r="V469" s="102">
        <v>0.32900000000000001</v>
      </c>
      <c r="W469" s="7"/>
      <c r="X469" t="s">
        <v>975</v>
      </c>
    </row>
    <row r="470" spans="1:24" x14ac:dyDescent="0.15">
      <c r="A470" t="s">
        <v>670</v>
      </c>
      <c r="B470" t="s">
        <v>328</v>
      </c>
      <c r="C470" s="4"/>
      <c r="D470" t="s">
        <v>37</v>
      </c>
      <c r="E470" s="3">
        <v>3</v>
      </c>
      <c r="G470">
        <v>0.3</v>
      </c>
      <c r="H470" s="5">
        <v>5.7</v>
      </c>
      <c r="I470" s="3" t="s">
        <v>950</v>
      </c>
      <c r="J470" s="59">
        <v>45076</v>
      </c>
      <c r="K470" s="59"/>
      <c r="L470" s="59" t="e" cm="1">
        <f t="array" ref="L470">INDEX($J$4:J1560, MATCH(1,(A470=$A$4:A1558)*("Y"=$K$4:K1560),0))</f>
        <v>#N/A</v>
      </c>
      <c r="M470" s="1">
        <v>100000</v>
      </c>
      <c r="N470">
        <v>67</v>
      </c>
      <c r="O470">
        <v>57</v>
      </c>
      <c r="P470">
        <v>65</v>
      </c>
      <c r="Q470" s="6">
        <f>(SUM(Pcfu43[[#This Row],[R1]:[R3]]))/(Pcfu43[[#This Row],[No. Reps]]*0.015)*Pcfu43[[#This Row],[Best DF]]</f>
        <v>420000000</v>
      </c>
      <c r="R470" s="1">
        <f>_xlfn.STDEV.S(Pcfu43[[#This Row],[R1]:[R3]])/0.015*Pcfu43[[#This Row],[Best DF]]</f>
        <v>35276684.147527881</v>
      </c>
      <c r="S470" s="6">
        <f>Pcfu43[[#This Row],[CFU/mL]]*Pcfu43[[#This Row],[mL]]/Pcfu43[[#This Row],[grams]]</f>
        <v>7980000000</v>
      </c>
      <c r="T470" s="1">
        <f>Pcfu43[[#This Row],[SD CFU/mL]]*Pcfu43[[#This Row],[mL]]/Pcfu43[[#This Row],[grams]]</f>
        <v>670256998.80302978</v>
      </c>
      <c r="U470" s="7">
        <f>_xlfn.STDEV.S(Pcfu43[[#This Row],[R1]:[R3]])/AVERAGE(Pcfu43[[#This Row],[R1]:[R3]])</f>
        <v>8.3992105113161616E-2</v>
      </c>
      <c r="V470" s="102">
        <v>0.32200000000000001</v>
      </c>
      <c r="W470" s="7"/>
      <c r="X470" t="s">
        <v>915</v>
      </c>
    </row>
    <row r="471" spans="1:24" x14ac:dyDescent="0.15">
      <c r="A471" t="s">
        <v>870</v>
      </c>
      <c r="B471" t="s">
        <v>328</v>
      </c>
      <c r="C471" s="4"/>
      <c r="D471" t="s">
        <v>37</v>
      </c>
      <c r="E471" s="3">
        <v>3</v>
      </c>
      <c r="G471">
        <v>0.3</v>
      </c>
      <c r="H471" s="5">
        <v>5.7</v>
      </c>
      <c r="I471" s="3" t="s">
        <v>950</v>
      </c>
      <c r="J471" s="59">
        <v>45076</v>
      </c>
      <c r="K471" s="59"/>
      <c r="L471" s="59" t="e" cm="1">
        <f t="array" ref="L471">INDEX($J$4:J1561, MATCH(1,(A471=$A$4:A1559)*("Y"=$K$4:K1561),0))</f>
        <v>#N/A</v>
      </c>
      <c r="M471" s="1">
        <v>1000000</v>
      </c>
      <c r="N471">
        <v>18</v>
      </c>
      <c r="O471">
        <v>25</v>
      </c>
      <c r="P471">
        <v>29</v>
      </c>
      <c r="Q471" s="6">
        <f>(SUM(Pcfu43[[#This Row],[R1]:[R3]]))/(Pcfu43[[#This Row],[No. Reps]]*0.015)*Pcfu43[[#This Row],[Best DF]]</f>
        <v>1600000000</v>
      </c>
      <c r="R471" s="1">
        <f>_xlfn.STDEV.S(Pcfu43[[#This Row],[R1]:[R3]])/0.015*Pcfu43[[#This Row],[Best DF]]</f>
        <v>371184290.85533476</v>
      </c>
      <c r="S471" s="6">
        <f>Pcfu43[[#This Row],[CFU/mL]]*Pcfu43[[#This Row],[mL]]/Pcfu43[[#This Row],[grams]]</f>
        <v>30400000000</v>
      </c>
      <c r="T471" s="1">
        <f>Pcfu43[[#This Row],[SD CFU/mL]]*Pcfu43[[#This Row],[mL]]/Pcfu43[[#This Row],[grams]]</f>
        <v>7052501526.2513609</v>
      </c>
      <c r="U471" s="7">
        <f>_xlfn.STDEV.S(Pcfu43[[#This Row],[R1]:[R3]])/AVERAGE(Pcfu43[[#This Row],[R1]:[R3]])</f>
        <v>0.23199018178458422</v>
      </c>
      <c r="V471" s="102">
        <v>0.32100000000000001</v>
      </c>
      <c r="W471" s="7"/>
      <c r="X471" t="s">
        <v>1002</v>
      </c>
    </row>
    <row r="472" spans="1:24" x14ac:dyDescent="0.15">
      <c r="A472" t="s">
        <v>872</v>
      </c>
      <c r="B472" t="s">
        <v>328</v>
      </c>
      <c r="C472" s="4"/>
      <c r="D472" t="s">
        <v>37</v>
      </c>
      <c r="E472" s="3">
        <v>3</v>
      </c>
      <c r="G472">
        <v>0.3</v>
      </c>
      <c r="H472" s="5">
        <v>5.7</v>
      </c>
      <c r="I472" s="3" t="s">
        <v>950</v>
      </c>
      <c r="J472" s="59">
        <v>45076</v>
      </c>
      <c r="K472" s="59"/>
      <c r="L472" s="59" t="e" cm="1">
        <f t="array" ref="L472">INDEX($J$4:J1562, MATCH(1,(A472=$A$4:A1560)*("Y"=$K$4:K1562),0))</f>
        <v>#N/A</v>
      </c>
      <c r="M472" s="1">
        <v>1000000</v>
      </c>
      <c r="N472">
        <v>56</v>
      </c>
      <c r="O472">
        <v>63</v>
      </c>
      <c r="P472">
        <v>60</v>
      </c>
      <c r="Q472" s="6">
        <f>(SUM(Pcfu43[[#This Row],[R1]:[R3]]))/(Pcfu43[[#This Row],[No. Reps]]*0.015)*Pcfu43[[#This Row],[Best DF]]</f>
        <v>3977777777.7777777</v>
      </c>
      <c r="R472" s="1">
        <f>_xlfn.STDEV.S(Pcfu43[[#This Row],[R1]:[R3]])/0.015*Pcfu43[[#This Row],[Best DF]]</f>
        <v>234125638.95228311</v>
      </c>
      <c r="S472" s="6">
        <f>Pcfu43[[#This Row],[CFU/mL]]*Pcfu43[[#This Row],[mL]]/Pcfu43[[#This Row],[grams]]</f>
        <v>75577777777.777771</v>
      </c>
      <c r="T472" s="1">
        <f>Pcfu43[[#This Row],[SD CFU/mL]]*Pcfu43[[#This Row],[mL]]/Pcfu43[[#This Row],[grams]]</f>
        <v>4448387140.093379</v>
      </c>
      <c r="U472" s="7">
        <f>_xlfn.STDEV.S(Pcfu43[[#This Row],[R1]:[R3]])/AVERAGE(Pcfu43[[#This Row],[R1]:[R3]])</f>
        <v>5.8858400853925921E-2</v>
      </c>
      <c r="V472" s="102">
        <v>0.126</v>
      </c>
      <c r="W472" s="7"/>
      <c r="X472" t="s">
        <v>1039</v>
      </c>
    </row>
    <row r="473" spans="1:24" x14ac:dyDescent="0.15">
      <c r="A473" t="s">
        <v>808</v>
      </c>
      <c r="B473" t="s">
        <v>328</v>
      </c>
      <c r="C473" s="4"/>
      <c r="D473" t="s">
        <v>86</v>
      </c>
      <c r="E473" s="3">
        <v>3</v>
      </c>
      <c r="G473">
        <v>0.3</v>
      </c>
      <c r="H473" s="5">
        <v>5.7</v>
      </c>
      <c r="I473" s="3" t="s">
        <v>950</v>
      </c>
      <c r="J473" s="59">
        <v>45077</v>
      </c>
      <c r="K473" s="59"/>
      <c r="L473" s="59" t="e" cm="1">
        <f t="array" ref="L473">INDEX($J$4:J1563, MATCH(1,(A473=$A$4:A1561)*("Y"=$K$4:K1563),0))</f>
        <v>#N/A</v>
      </c>
      <c r="M473" s="1">
        <v>10000000</v>
      </c>
      <c r="N473">
        <v>11</v>
      </c>
      <c r="O473">
        <v>11</v>
      </c>
      <c r="P473">
        <v>15</v>
      </c>
      <c r="Q473" s="6">
        <f>(SUM(Pcfu43[[#This Row],[R1]:[R3]]))/(Pcfu43[[#This Row],[No. Reps]]*0.015)*Pcfu43[[#This Row],[Best DF]]</f>
        <v>8222222222.2222233</v>
      </c>
      <c r="R473" s="1">
        <f>_xlfn.STDEV.S(Pcfu43[[#This Row],[R1]:[R3]])/0.015*Pcfu43[[#This Row],[Best DF]]</f>
        <v>1539600717.8390036</v>
      </c>
      <c r="S473" s="6">
        <f>Pcfu43[[#This Row],[CFU/mL]]*Pcfu43[[#This Row],[mL]]/Pcfu43[[#This Row],[grams]]</f>
        <v>156222222222.22226</v>
      </c>
      <c r="T473" s="1">
        <f>Pcfu43[[#This Row],[SD CFU/mL]]*Pcfu43[[#This Row],[mL]]/Pcfu43[[#This Row],[grams]]</f>
        <v>29252413638.941067</v>
      </c>
      <c r="U473" s="7">
        <f>_xlfn.STDEV.S(Pcfu43[[#This Row],[R1]:[R3]])/AVERAGE(Pcfu43[[#This Row],[R1]:[R3]])</f>
        <v>0.18724873595339231</v>
      </c>
      <c r="V473" s="102"/>
      <c r="W473" s="7"/>
    </row>
    <row r="474" spans="1:24" x14ac:dyDescent="0.15">
      <c r="A474" t="s">
        <v>809</v>
      </c>
      <c r="B474" t="s">
        <v>328</v>
      </c>
      <c r="C474" s="4"/>
      <c r="D474" t="s">
        <v>86</v>
      </c>
      <c r="E474" s="3">
        <v>3</v>
      </c>
      <c r="G474">
        <v>0.3</v>
      </c>
      <c r="H474" s="5">
        <v>5.7</v>
      </c>
      <c r="I474" s="3" t="s">
        <v>950</v>
      </c>
      <c r="J474" s="59">
        <v>45077</v>
      </c>
      <c r="K474" s="59"/>
      <c r="L474" s="59" t="e" cm="1">
        <f t="array" ref="L474">INDEX($J$4:J1564, MATCH(1,(A474=$A$4:A1562)*("Y"=$K$4:K1564),0))</f>
        <v>#N/A</v>
      </c>
      <c r="M474" s="1">
        <v>1000000</v>
      </c>
      <c r="N474">
        <v>120</v>
      </c>
      <c r="O474">
        <v>127</v>
      </c>
      <c r="P474">
        <v>119</v>
      </c>
      <c r="Q474" s="6">
        <f>(SUM(Pcfu43[[#This Row],[R1]:[R3]]))/(Pcfu43[[#This Row],[No. Reps]]*0.015)*Pcfu43[[#This Row],[Best DF]]</f>
        <v>8133333333.333334</v>
      </c>
      <c r="R474" s="1">
        <f>_xlfn.STDEV.S(Pcfu43[[#This Row],[R1]:[R3]])/0.015*Pcfu43[[#This Row],[Best DF]]</f>
        <v>290593262.90271163</v>
      </c>
      <c r="S474" s="6">
        <f>Pcfu43[[#This Row],[CFU/mL]]*Pcfu43[[#This Row],[mL]]/Pcfu43[[#This Row],[grams]]</f>
        <v>154533333333.33337</v>
      </c>
      <c r="T474" s="1">
        <f>Pcfu43[[#This Row],[SD CFU/mL]]*Pcfu43[[#This Row],[mL]]/Pcfu43[[#This Row],[grams]]</f>
        <v>5521271995.1515217</v>
      </c>
      <c r="U474" s="7">
        <f>_xlfn.STDEV.S(Pcfu43[[#This Row],[R1]:[R3]])/AVERAGE(Pcfu43[[#This Row],[R1]:[R3]])</f>
        <v>3.5728679865087494E-2</v>
      </c>
      <c r="V474" s="102"/>
      <c r="W474" s="7"/>
    </row>
    <row r="475" spans="1:24" x14ac:dyDescent="0.15">
      <c r="A475" t="s">
        <v>810</v>
      </c>
      <c r="B475" t="s">
        <v>328</v>
      </c>
      <c r="C475" s="4"/>
      <c r="D475" t="s">
        <v>86</v>
      </c>
      <c r="E475" s="3">
        <v>3</v>
      </c>
      <c r="G475">
        <v>0.3</v>
      </c>
      <c r="H475" s="5">
        <v>5.7</v>
      </c>
      <c r="I475" s="3" t="s">
        <v>950</v>
      </c>
      <c r="J475" s="59">
        <v>45077</v>
      </c>
      <c r="K475" s="59"/>
      <c r="L475" s="59" t="e" cm="1">
        <f t="array" ref="L475">INDEX($J$4:J1565, MATCH(1,(A475=$A$4:A1563)*("Y"=$K$4:K1565),0))</f>
        <v>#N/A</v>
      </c>
      <c r="M475" s="1">
        <v>10000000</v>
      </c>
      <c r="N475">
        <v>12</v>
      </c>
      <c r="O475">
        <v>14</v>
      </c>
      <c r="P475">
        <v>13</v>
      </c>
      <c r="Q475" s="6">
        <f>(SUM(Pcfu43[[#This Row],[R1]:[R3]]))/(Pcfu43[[#This Row],[No. Reps]]*0.015)*Pcfu43[[#This Row],[Best DF]]</f>
        <v>8666666666.6666679</v>
      </c>
      <c r="R475" s="1">
        <f>_xlfn.STDEV.S(Pcfu43[[#This Row],[R1]:[R3]])/0.015*Pcfu43[[#This Row],[Best DF]]</f>
        <v>666666666.66666675</v>
      </c>
      <c r="S475" s="6">
        <f>Pcfu43[[#This Row],[CFU/mL]]*Pcfu43[[#This Row],[mL]]/Pcfu43[[#This Row],[grams]]</f>
        <v>164666666666.66669</v>
      </c>
      <c r="T475" s="1">
        <f>Pcfu43[[#This Row],[SD CFU/mL]]*Pcfu43[[#This Row],[mL]]/Pcfu43[[#This Row],[grams]]</f>
        <v>12666666666.666668</v>
      </c>
      <c r="U475" s="7">
        <f>_xlfn.STDEV.S(Pcfu43[[#This Row],[R1]:[R3]])/AVERAGE(Pcfu43[[#This Row],[R1]:[R3]])</f>
        <v>7.6923076923076927E-2</v>
      </c>
      <c r="V475" s="102"/>
      <c r="W475" s="7"/>
    </row>
    <row r="476" spans="1:24" x14ac:dyDescent="0.15">
      <c r="A476" t="s">
        <v>811</v>
      </c>
      <c r="B476" t="s">
        <v>328</v>
      </c>
      <c r="C476" s="4"/>
      <c r="D476" t="s">
        <v>86</v>
      </c>
      <c r="E476" s="3">
        <v>3</v>
      </c>
      <c r="G476">
        <v>0.3</v>
      </c>
      <c r="H476" s="5">
        <v>5.7</v>
      </c>
      <c r="I476" s="3" t="s">
        <v>950</v>
      </c>
      <c r="J476" s="59">
        <v>45077</v>
      </c>
      <c r="K476" s="59"/>
      <c r="L476" s="59" t="e" cm="1">
        <f t="array" ref="L476">INDEX($J$4:J1566, MATCH(1,(A476=$A$4:A1564)*("Y"=$K$4:K1566),0))</f>
        <v>#N/A</v>
      </c>
      <c r="M476" s="1">
        <v>1000000</v>
      </c>
      <c r="N476">
        <v>113</v>
      </c>
      <c r="O476">
        <v>104</v>
      </c>
      <c r="P476">
        <v>105</v>
      </c>
      <c r="Q476" s="6">
        <f>(SUM(Pcfu43[[#This Row],[R1]:[R3]]))/(Pcfu43[[#This Row],[No. Reps]]*0.015)*Pcfu43[[#This Row],[Best DF]]</f>
        <v>7155555555.5555553</v>
      </c>
      <c r="R476" s="1">
        <f>_xlfn.STDEV.S(Pcfu43[[#This Row],[R1]:[R3]])/0.015*Pcfu43[[#This Row],[Best DF]]</f>
        <v>328858857.48774981</v>
      </c>
      <c r="S476" s="6">
        <f>Pcfu43[[#This Row],[CFU/mL]]*Pcfu43[[#This Row],[mL]]/Pcfu43[[#This Row],[grams]]</f>
        <v>135955555555.55556</v>
      </c>
      <c r="T476" s="1">
        <f>Pcfu43[[#This Row],[SD CFU/mL]]*Pcfu43[[#This Row],[mL]]/Pcfu43[[#This Row],[grams]]</f>
        <v>6248318292.2672472</v>
      </c>
      <c r="U476" s="7">
        <f>_xlfn.STDEV.S(Pcfu43[[#This Row],[R1]:[R3]])/AVERAGE(Pcfu43[[#This Row],[R1]:[R3]])</f>
        <v>4.5958535984312862E-2</v>
      </c>
      <c r="V476" s="102"/>
      <c r="W476" s="7"/>
    </row>
    <row r="477" spans="1:24" x14ac:dyDescent="0.15">
      <c r="A477" t="s">
        <v>821</v>
      </c>
      <c r="B477" t="s">
        <v>328</v>
      </c>
      <c r="C477" s="4"/>
      <c r="D477" t="s">
        <v>86</v>
      </c>
      <c r="E477" s="3">
        <v>3</v>
      </c>
      <c r="G477">
        <v>0.3</v>
      </c>
      <c r="H477" s="5">
        <v>5.7</v>
      </c>
      <c r="I477" s="3" t="s">
        <v>950</v>
      </c>
      <c r="J477" s="59">
        <v>45077</v>
      </c>
      <c r="K477" s="59"/>
      <c r="L477" s="59" t="e" cm="1">
        <f t="array" ref="L477">INDEX($J$4:J1567, MATCH(1,(A477=$A$4:A1565)*("Y"=$K$4:K1567),0))</f>
        <v>#N/A</v>
      </c>
      <c r="M477" s="1">
        <v>10000000</v>
      </c>
      <c r="N477">
        <v>13</v>
      </c>
      <c r="O477">
        <v>19</v>
      </c>
      <c r="P477">
        <v>18</v>
      </c>
      <c r="Q477" s="6">
        <f>(SUM(Pcfu43[[#This Row],[R1]:[R3]]))/(Pcfu43[[#This Row],[No. Reps]]*0.015)*Pcfu43[[#This Row],[Best DF]]</f>
        <v>11111111111.111111</v>
      </c>
      <c r="R477" s="1">
        <f>_xlfn.STDEV.S(Pcfu43[[#This Row],[R1]:[R3]])/0.015*Pcfu43[[#This Row],[Best DF]]</f>
        <v>2143033502.4428768</v>
      </c>
      <c r="S477" s="6">
        <f>Pcfu43[[#This Row],[CFU/mL]]*Pcfu43[[#This Row],[mL]]/Pcfu43[[#This Row],[grams]]</f>
        <v>211111111111.11111</v>
      </c>
      <c r="T477" s="1">
        <f>Pcfu43[[#This Row],[SD CFU/mL]]*Pcfu43[[#This Row],[mL]]/Pcfu43[[#This Row],[grams]]</f>
        <v>40717636546.414665</v>
      </c>
      <c r="U477" s="7">
        <f>_xlfn.STDEV.S(Pcfu43[[#This Row],[R1]:[R3]])/AVERAGE(Pcfu43[[#This Row],[R1]:[R3]])</f>
        <v>0.19287301521985892</v>
      </c>
      <c r="V477" s="102"/>
      <c r="W477" s="7"/>
    </row>
    <row r="478" spans="1:24" x14ac:dyDescent="0.15">
      <c r="A478" t="s">
        <v>823</v>
      </c>
      <c r="B478" t="s">
        <v>328</v>
      </c>
      <c r="C478" s="4"/>
      <c r="D478" t="s">
        <v>86</v>
      </c>
      <c r="E478" s="3">
        <v>3</v>
      </c>
      <c r="G478">
        <v>0.3</v>
      </c>
      <c r="H478" s="5">
        <v>5.7</v>
      </c>
      <c r="I478" s="3" t="s">
        <v>950</v>
      </c>
      <c r="J478" s="59">
        <v>45077</v>
      </c>
      <c r="K478" s="59"/>
      <c r="L478" s="59" t="e" cm="1">
        <f t="array" ref="L478">INDEX($J$4:J1568, MATCH(1,(A478=$A$4:A1566)*("Y"=$K$4:K1568),0))</f>
        <v>#N/A</v>
      </c>
      <c r="M478" s="1">
        <v>1000000</v>
      </c>
      <c r="N478">
        <v>127</v>
      </c>
      <c r="O478">
        <v>134</v>
      </c>
      <c r="P478">
        <v>131</v>
      </c>
      <c r="Q478" s="6">
        <f>(SUM(Pcfu43[[#This Row],[R1]:[R3]]))/(Pcfu43[[#This Row],[No. Reps]]*0.015)*Pcfu43[[#This Row],[Best DF]]</f>
        <v>8711111111.1111107</v>
      </c>
      <c r="R478" s="1">
        <f>_xlfn.STDEV.S(Pcfu43[[#This Row],[R1]:[R3]])/0.015*Pcfu43[[#This Row],[Best DF]]</f>
        <v>234125638.95228311</v>
      </c>
      <c r="S478" s="6">
        <f>Pcfu43[[#This Row],[CFU/mL]]*Pcfu43[[#This Row],[mL]]/Pcfu43[[#This Row],[grams]]</f>
        <v>165511111111.11111</v>
      </c>
      <c r="T478" s="1">
        <f>Pcfu43[[#This Row],[SD CFU/mL]]*Pcfu43[[#This Row],[mL]]/Pcfu43[[#This Row],[grams]]</f>
        <v>4448387140.093379</v>
      </c>
      <c r="U478" s="7">
        <f>_xlfn.STDEV.S(Pcfu43[[#This Row],[R1]:[R3]])/AVERAGE(Pcfu43[[#This Row],[R1]:[R3]])</f>
        <v>2.6876667736869236E-2</v>
      </c>
      <c r="V478" s="102"/>
      <c r="W478" s="7"/>
    </row>
    <row r="479" spans="1:24" x14ac:dyDescent="0.15">
      <c r="A479" t="s">
        <v>1040</v>
      </c>
      <c r="B479" t="s">
        <v>328</v>
      </c>
      <c r="C479" s="4"/>
      <c r="D479" t="s">
        <v>86</v>
      </c>
      <c r="E479" s="3">
        <v>3</v>
      </c>
      <c r="G479">
        <v>0.3</v>
      </c>
      <c r="H479" s="5">
        <v>5.7</v>
      </c>
      <c r="I479" s="3" t="s">
        <v>950</v>
      </c>
      <c r="J479" s="59">
        <v>45077</v>
      </c>
      <c r="K479" s="59"/>
      <c r="L479" s="59" t="e" cm="1">
        <f t="array" ref="L479">INDEX($J$4:J1569, MATCH(1,(A479=$A$4:A1567)*("Y"=$K$4:K1569),0))</f>
        <v>#N/A</v>
      </c>
      <c r="M479" s="1">
        <v>10000000</v>
      </c>
      <c r="N479">
        <v>25</v>
      </c>
      <c r="O479">
        <v>30</v>
      </c>
      <c r="P479">
        <v>16</v>
      </c>
      <c r="Q479" s="6">
        <f>(SUM(Pcfu43[[#This Row],[R1]:[R3]]))/(Pcfu43[[#This Row],[No. Reps]]*0.015)*Pcfu43[[#This Row],[Best DF]]</f>
        <v>15777777777.777779</v>
      </c>
      <c r="R479" s="1">
        <f>_xlfn.STDEV.S(Pcfu43[[#This Row],[R1]:[R3]])/0.015*Pcfu43[[#This Row],[Best DF]]</f>
        <v>4729732589.7317266</v>
      </c>
      <c r="S479" s="6">
        <f>Pcfu43[[#This Row],[CFU/mL]]*Pcfu43[[#This Row],[mL]]/Pcfu43[[#This Row],[grams]]</f>
        <v>299777777777.77783</v>
      </c>
      <c r="T479" s="1">
        <f>Pcfu43[[#This Row],[SD CFU/mL]]*Pcfu43[[#This Row],[mL]]/Pcfu43[[#This Row],[grams]]</f>
        <v>89864919204.902817</v>
      </c>
      <c r="U479" s="7">
        <f>_xlfn.STDEV.S(Pcfu43[[#This Row],[R1]:[R3]])/AVERAGE(Pcfu43[[#This Row],[R1]:[R3]])</f>
        <v>0.29977178385623621</v>
      </c>
      <c r="V479" s="102"/>
      <c r="W479" s="7"/>
    </row>
    <row r="480" spans="1:24" x14ac:dyDescent="0.15">
      <c r="A480" t="s">
        <v>824</v>
      </c>
      <c r="B480" t="s">
        <v>328</v>
      </c>
      <c r="C480" s="4"/>
      <c r="D480" t="s">
        <v>86</v>
      </c>
      <c r="E480" s="3">
        <v>3</v>
      </c>
      <c r="G480">
        <v>0.3</v>
      </c>
      <c r="H480" s="5">
        <v>5.7</v>
      </c>
      <c r="I480" s="3" t="s">
        <v>950</v>
      </c>
      <c r="J480" s="59">
        <v>45077</v>
      </c>
      <c r="K480" s="59"/>
      <c r="L480" s="59" t="e" cm="1">
        <f t="array" ref="L480">INDEX($J$4:J1570, MATCH(1,(A480=$A$4:A1568)*("Y"=$K$4:K1570),0))</f>
        <v>#N/A</v>
      </c>
      <c r="M480" s="1">
        <v>10000000</v>
      </c>
      <c r="N480">
        <v>20</v>
      </c>
      <c r="O480">
        <v>14</v>
      </c>
      <c r="P480">
        <v>16</v>
      </c>
      <c r="Q480" s="6">
        <f>(SUM(Pcfu43[[#This Row],[R1]:[R3]]))/(Pcfu43[[#This Row],[No. Reps]]*0.015)*Pcfu43[[#This Row],[Best DF]]</f>
        <v>11111111111.111111</v>
      </c>
      <c r="R480" s="1">
        <f>_xlfn.STDEV.S(Pcfu43[[#This Row],[R1]:[R3]])/0.015*Pcfu43[[#This Row],[Best DF]]</f>
        <v>2036700308.8692603</v>
      </c>
      <c r="S480" s="6">
        <f>Pcfu43[[#This Row],[CFU/mL]]*Pcfu43[[#This Row],[mL]]/Pcfu43[[#This Row],[grams]]</f>
        <v>211111111111.11111</v>
      </c>
      <c r="T480" s="1">
        <f>Pcfu43[[#This Row],[SD CFU/mL]]*Pcfu43[[#This Row],[mL]]/Pcfu43[[#This Row],[grams]]</f>
        <v>38697305868.515953</v>
      </c>
      <c r="U480" s="7">
        <f>_xlfn.STDEV.S(Pcfu43[[#This Row],[R1]:[R3]])/AVERAGE(Pcfu43[[#This Row],[R1]:[R3]])</f>
        <v>0.1833030277982334</v>
      </c>
      <c r="V480" s="102"/>
      <c r="W480" s="7"/>
    </row>
    <row r="481" spans="1:24" x14ac:dyDescent="0.15">
      <c r="A481" t="s">
        <v>1041</v>
      </c>
      <c r="B481" t="s">
        <v>1042</v>
      </c>
      <c r="C481" s="4"/>
      <c r="D481" t="s">
        <v>86</v>
      </c>
      <c r="E481" s="3">
        <v>3</v>
      </c>
      <c r="G481">
        <v>0.3</v>
      </c>
      <c r="H481" s="5">
        <v>5.7</v>
      </c>
      <c r="I481" s="3" t="s">
        <v>950</v>
      </c>
      <c r="J481" s="59">
        <v>45078</v>
      </c>
      <c r="K481" s="59"/>
      <c r="L481" s="59" t="e" cm="1">
        <f t="array" ref="L481">INDEX($J$4:J1571, MATCH(1,(A481=$A$4:A1569)*("Y"=$K$4:K1571),0))</f>
        <v>#N/A</v>
      </c>
      <c r="M481" s="1">
        <v>1000000</v>
      </c>
      <c r="N481">
        <v>53</v>
      </c>
      <c r="O481">
        <v>56</v>
      </c>
      <c r="P481">
        <v>50</v>
      </c>
      <c r="Q481" s="6">
        <f>(SUM(Pcfu43[[#This Row],[R1]:[R3]]))/(Pcfu43[[#This Row],[No. Reps]]*0.015)*Pcfu43[[#This Row],[Best DF]]</f>
        <v>3533333333.3333335</v>
      </c>
      <c r="R481" s="1">
        <f>_xlfn.STDEV.S(Pcfu43[[#This Row],[R1]:[R3]])/0.015*Pcfu43[[#This Row],[Best DF]]</f>
        <v>200000000</v>
      </c>
      <c r="S481" s="6">
        <f>Pcfu43[[#This Row],[CFU/mL]]*Pcfu43[[#This Row],[mL]]/Pcfu43[[#This Row],[grams]]</f>
        <v>67133333333.333336</v>
      </c>
      <c r="T481" s="1">
        <f>Pcfu43[[#This Row],[SD CFU/mL]]*Pcfu43[[#This Row],[mL]]/Pcfu43[[#This Row],[grams]]</f>
        <v>3800000000</v>
      </c>
      <c r="U481" s="7">
        <f>_xlfn.STDEV.S(Pcfu43[[#This Row],[R1]:[R3]])/AVERAGE(Pcfu43[[#This Row],[R1]:[R3]])</f>
        <v>5.6603773584905662E-2</v>
      </c>
      <c r="V481" s="102">
        <v>0.25</v>
      </c>
      <c r="W481" s="7"/>
      <c r="X481" t="s">
        <v>562</v>
      </c>
    </row>
    <row r="482" spans="1:24" x14ac:dyDescent="0.15">
      <c r="A482" t="s">
        <v>1043</v>
      </c>
      <c r="B482" t="s">
        <v>1042</v>
      </c>
      <c r="C482" s="4"/>
      <c r="D482" t="s">
        <v>86</v>
      </c>
      <c r="E482" s="3">
        <v>3</v>
      </c>
      <c r="G482">
        <v>0.3</v>
      </c>
      <c r="H482" s="5">
        <v>5.7</v>
      </c>
      <c r="I482" s="3" t="s">
        <v>950</v>
      </c>
      <c r="J482" s="59">
        <v>45078</v>
      </c>
      <c r="K482" s="59"/>
      <c r="L482" s="59" t="e" cm="1">
        <f t="array" ref="L482">INDEX($J$4:J1572, MATCH(1,(A482=$A$4:A1570)*("Y"=$K$4:K1572),0))</f>
        <v>#N/A</v>
      </c>
      <c r="M482" s="1">
        <v>1000000</v>
      </c>
      <c r="N482">
        <v>94</v>
      </c>
      <c r="O482">
        <v>83</v>
      </c>
      <c r="P482">
        <v>86</v>
      </c>
      <c r="Q482" s="6">
        <f>(SUM(Pcfu43[[#This Row],[R1]:[R3]]))/(Pcfu43[[#This Row],[No. Reps]]*0.015)*Pcfu43[[#This Row],[Best DF]]</f>
        <v>5844444444.4444447</v>
      </c>
      <c r="R482" s="1">
        <f>_xlfn.STDEV.S(Pcfu43[[#This Row],[R1]:[R3]])/0.015*Pcfu43[[#This Row],[Best DF]]</f>
        <v>379082713.53848845</v>
      </c>
      <c r="S482" s="6">
        <f>Pcfu43[[#This Row],[CFU/mL]]*Pcfu43[[#This Row],[mL]]/Pcfu43[[#This Row],[grams]]</f>
        <v>111044444444.44446</v>
      </c>
      <c r="T482" s="1">
        <f>Pcfu43[[#This Row],[SD CFU/mL]]*Pcfu43[[#This Row],[mL]]/Pcfu43[[#This Row],[grams]]</f>
        <v>7202571557.2312803</v>
      </c>
      <c r="U482" s="7">
        <f>_xlfn.STDEV.S(Pcfu43[[#This Row],[R1]:[R3]])/AVERAGE(Pcfu43[[#This Row],[R1]:[R3]])</f>
        <v>6.4862061251832623E-2</v>
      </c>
      <c r="V482" s="102">
        <v>0.19800000000000001</v>
      </c>
      <c r="W482" s="7"/>
      <c r="X482" t="s">
        <v>1035</v>
      </c>
    </row>
    <row r="483" spans="1:24" x14ac:dyDescent="0.15">
      <c r="A483" t="s">
        <v>747</v>
      </c>
      <c r="B483" t="s">
        <v>1042</v>
      </c>
      <c r="C483" s="4"/>
      <c r="D483" t="s">
        <v>86</v>
      </c>
      <c r="E483" s="3">
        <v>3</v>
      </c>
      <c r="G483">
        <v>0.3</v>
      </c>
      <c r="H483" s="5">
        <v>5.7</v>
      </c>
      <c r="I483" s="3" t="s">
        <v>950</v>
      </c>
      <c r="J483" s="59">
        <v>45078</v>
      </c>
      <c r="K483" s="59"/>
      <c r="L483" s="59" t="e" cm="1">
        <f t="array" ref="L483">INDEX($J$4:J1573, MATCH(1,(A483=$A$4:A1571)*("Y"=$K$4:K1573),0))</f>
        <v>#N/A</v>
      </c>
      <c r="M483" s="1">
        <v>1000000</v>
      </c>
      <c r="N483">
        <v>88</v>
      </c>
      <c r="O483">
        <v>75</v>
      </c>
      <c r="P483">
        <v>75</v>
      </c>
      <c r="Q483" s="6">
        <f>(SUM(Pcfu43[[#This Row],[R1]:[R3]]))/(Pcfu43[[#This Row],[No. Reps]]*0.015)*Pcfu43[[#This Row],[Best DF]]</f>
        <v>5288888888.8888884</v>
      </c>
      <c r="R483" s="1">
        <f>_xlfn.STDEV.S(Pcfu43[[#This Row],[R1]:[R3]])/0.015*Pcfu43[[#This Row],[Best DF]]</f>
        <v>500370233.29767573</v>
      </c>
      <c r="S483" s="6">
        <f>Pcfu43[[#This Row],[CFU/mL]]*Pcfu43[[#This Row],[mL]]/Pcfu43[[#This Row],[grams]]</f>
        <v>100488888888.88889</v>
      </c>
      <c r="T483" s="1">
        <f>Pcfu43[[#This Row],[SD CFU/mL]]*Pcfu43[[#This Row],[mL]]/Pcfu43[[#This Row],[grams]]</f>
        <v>9507034432.6558399</v>
      </c>
      <c r="U483" s="7">
        <f>_xlfn.STDEV.S(Pcfu43[[#This Row],[R1]:[R3]])/AVERAGE(Pcfu43[[#This Row],[R1]:[R3]])</f>
        <v>9.4607817220148771E-2</v>
      </c>
      <c r="V483" s="102">
        <v>0.24399999999999999</v>
      </c>
      <c r="W483" s="7"/>
      <c r="X483" t="s">
        <v>1044</v>
      </c>
    </row>
    <row r="484" spans="1:24" x14ac:dyDescent="0.15">
      <c r="A484" t="s">
        <v>592</v>
      </c>
      <c r="B484" t="s">
        <v>328</v>
      </c>
      <c r="C484" s="4"/>
      <c r="D484" t="s">
        <v>26</v>
      </c>
      <c r="E484" s="3">
        <v>3</v>
      </c>
      <c r="G484">
        <v>0.3</v>
      </c>
      <c r="H484" s="5">
        <v>5.7</v>
      </c>
      <c r="I484" s="3" t="s">
        <v>950</v>
      </c>
      <c r="J484" s="59">
        <v>45078</v>
      </c>
      <c r="K484" s="59"/>
      <c r="L484" s="59" t="e" cm="1">
        <f t="array" ref="L484">INDEX($J$4:J1574, MATCH(1,(A484=$A$4:A1572)*("Y"=$K$4:K1574),0))</f>
        <v>#N/A</v>
      </c>
      <c r="M484" s="1">
        <v>10000</v>
      </c>
      <c r="N484">
        <v>63</v>
      </c>
      <c r="O484">
        <v>48</v>
      </c>
      <c r="P484">
        <v>64</v>
      </c>
      <c r="Q484" s="6">
        <f>(SUM(Pcfu43[[#This Row],[R1]:[R3]]))/(Pcfu43[[#This Row],[No. Reps]]*0.015)*Pcfu43[[#This Row],[Best DF]]</f>
        <v>38888888.888888888</v>
      </c>
      <c r="R484" s="1">
        <f>_xlfn.STDEV.S(Pcfu43[[#This Row],[R1]:[R3]])/0.015*Pcfu43[[#This Row],[Best DF]]</f>
        <v>5975257.6265549893</v>
      </c>
      <c r="S484" s="6">
        <f>Pcfu43[[#This Row],[CFU/mL]]*Pcfu43[[#This Row],[mL]]/Pcfu43[[#This Row],[grams]]</f>
        <v>738888888.88888884</v>
      </c>
      <c r="T484" s="1">
        <f>Pcfu43[[#This Row],[SD CFU/mL]]*Pcfu43[[#This Row],[mL]]/Pcfu43[[#This Row],[grams]]</f>
        <v>113529894.9045448</v>
      </c>
      <c r="U484" s="7">
        <f>_xlfn.STDEV.S(Pcfu43[[#This Row],[R1]:[R3]])/AVERAGE(Pcfu43[[#This Row],[R1]:[R3]])</f>
        <v>0.15364948182569974</v>
      </c>
      <c r="V484" s="102">
        <v>0.32300000000000001</v>
      </c>
      <c r="W484" s="7"/>
      <c r="X484" t="s">
        <v>1045</v>
      </c>
    </row>
    <row r="485" spans="1:24" x14ac:dyDescent="0.15">
      <c r="A485" t="s">
        <v>595</v>
      </c>
      <c r="B485" t="s">
        <v>328</v>
      </c>
      <c r="C485" s="4"/>
      <c r="D485" t="s">
        <v>26</v>
      </c>
      <c r="E485" s="3">
        <v>3</v>
      </c>
      <c r="G485">
        <v>0.3</v>
      </c>
      <c r="H485" s="5">
        <v>5.7</v>
      </c>
      <c r="I485" s="3" t="s">
        <v>950</v>
      </c>
      <c r="J485" s="59">
        <v>45078</v>
      </c>
      <c r="K485" s="59"/>
      <c r="L485" s="59" t="e" cm="1">
        <f t="array" ref="L485">INDEX($J$4:J1575, MATCH(1,(A485=$A$4:A1573)*("Y"=$K$4:K1575),0))</f>
        <v>#N/A</v>
      </c>
      <c r="M485" s="1">
        <v>10000</v>
      </c>
      <c r="N485">
        <v>52</v>
      </c>
      <c r="O485">
        <v>73</v>
      </c>
      <c r="P485">
        <v>60</v>
      </c>
      <c r="Q485" s="6">
        <f>(SUM(Pcfu43[[#This Row],[R1]:[R3]]))/(Pcfu43[[#This Row],[No. Reps]]*0.015)*Pcfu43[[#This Row],[Best DF]]</f>
        <v>41111111.111111112</v>
      </c>
      <c r="R485" s="1">
        <f>_xlfn.STDEV.S(Pcfu43[[#This Row],[R1]:[R3]])/0.015*Pcfu43[[#This Row],[Best DF]]</f>
        <v>7065828.0424820557</v>
      </c>
      <c r="S485" s="6">
        <f>Pcfu43[[#This Row],[CFU/mL]]*Pcfu43[[#This Row],[mL]]/Pcfu43[[#This Row],[grams]]</f>
        <v>781111111.11111116</v>
      </c>
      <c r="T485" s="1">
        <f>Pcfu43[[#This Row],[SD CFU/mL]]*Pcfu43[[#This Row],[mL]]/Pcfu43[[#This Row],[grams]]</f>
        <v>134250732.80715907</v>
      </c>
      <c r="U485" s="7">
        <f>_xlfn.STDEV.S(Pcfu43[[#This Row],[R1]:[R3]])/AVERAGE(Pcfu43[[#This Row],[R1]:[R3]])</f>
        <v>0.17187149292523921</v>
      </c>
      <c r="V485" s="102">
        <v>0.39</v>
      </c>
      <c r="W485" s="7"/>
      <c r="X485" t="s">
        <v>1046</v>
      </c>
    </row>
    <row r="486" spans="1:24" x14ac:dyDescent="0.15">
      <c r="A486" t="s">
        <v>1047</v>
      </c>
      <c r="B486" t="s">
        <v>1048</v>
      </c>
      <c r="C486" s="4"/>
      <c r="D486" t="s">
        <v>86</v>
      </c>
      <c r="E486" s="3">
        <v>3</v>
      </c>
      <c r="G486">
        <v>0.3</v>
      </c>
      <c r="H486" s="5">
        <v>5.7</v>
      </c>
      <c r="I486" s="3" t="s">
        <v>950</v>
      </c>
      <c r="J486" s="59">
        <v>45078</v>
      </c>
      <c r="K486" s="59"/>
      <c r="L486" s="59" t="e" cm="1">
        <f t="array" ref="L486">INDEX($J$4:J1576, MATCH(1,(A486=$A$4:A1574)*("Y"=$K$4:K1576),0))</f>
        <v>#N/A</v>
      </c>
      <c r="M486" s="1">
        <v>10000000</v>
      </c>
      <c r="N486">
        <v>41</v>
      </c>
      <c r="O486">
        <v>35</v>
      </c>
      <c r="P486">
        <v>36</v>
      </c>
      <c r="Q486" s="6">
        <f>(SUM(Pcfu43[[#This Row],[R1]:[R3]]))/(Pcfu43[[#This Row],[No. Reps]]*0.015)*Pcfu43[[#This Row],[Best DF]]</f>
        <v>24888888888.888893</v>
      </c>
      <c r="R486" s="1">
        <f>_xlfn.STDEV.S(Pcfu43[[#This Row],[R1]:[R3]])/0.015*Pcfu43[[#This Row],[Best DF]]</f>
        <v>2143033502.4428792</v>
      </c>
      <c r="S486" s="6">
        <f>Pcfu43[[#This Row],[CFU/mL]]*Pcfu43[[#This Row],[mL]]/Pcfu43[[#This Row],[grams]]</f>
        <v>472888888888.88898</v>
      </c>
      <c r="T486" s="1">
        <f>Pcfu43[[#This Row],[SD CFU/mL]]*Pcfu43[[#This Row],[mL]]/Pcfu43[[#This Row],[grams]]</f>
        <v>40717636546.414711</v>
      </c>
      <c r="U486" s="7">
        <f>_xlfn.STDEV.S(Pcfu43[[#This Row],[R1]:[R3]])/AVERAGE(Pcfu43[[#This Row],[R1]:[R3]])</f>
        <v>8.6104024651722816E-2</v>
      </c>
      <c r="V486" s="102"/>
      <c r="W486" s="7"/>
    </row>
    <row r="487" spans="1:24" x14ac:dyDescent="0.15">
      <c r="A487" t="s">
        <v>1049</v>
      </c>
      <c r="B487" t="s">
        <v>1048</v>
      </c>
      <c r="C487" s="4"/>
      <c r="D487" t="s">
        <v>86</v>
      </c>
      <c r="E487" s="3">
        <v>3</v>
      </c>
      <c r="G487">
        <v>0.3</v>
      </c>
      <c r="H487" s="5">
        <v>5.7</v>
      </c>
      <c r="I487" s="3" t="s">
        <v>950</v>
      </c>
      <c r="J487" s="59">
        <v>45078</v>
      </c>
      <c r="K487" s="59"/>
      <c r="L487" s="59" t="e" cm="1">
        <f t="array" ref="L487">INDEX($J$4:J1577, MATCH(1,(A487=$A$4:A1575)*("Y"=$K$4:K1577),0))</f>
        <v>#N/A</v>
      </c>
      <c r="M487" s="1">
        <v>10000000</v>
      </c>
      <c r="N487">
        <v>17</v>
      </c>
      <c r="O487">
        <v>13</v>
      </c>
      <c r="P487">
        <v>23</v>
      </c>
      <c r="Q487" s="6">
        <f>(SUM(Pcfu43[[#This Row],[R1]:[R3]]))/(Pcfu43[[#This Row],[No. Reps]]*0.015)*Pcfu43[[#This Row],[Best DF]]</f>
        <v>11777777777.777779</v>
      </c>
      <c r="R487" s="1">
        <f>_xlfn.STDEV.S(Pcfu43[[#This Row],[R1]:[R3]])/0.015*Pcfu43[[#This Row],[Best DF]]</f>
        <v>3355481971.2314429</v>
      </c>
      <c r="S487" s="6">
        <f>Pcfu43[[#This Row],[CFU/mL]]*Pcfu43[[#This Row],[mL]]/Pcfu43[[#This Row],[grams]]</f>
        <v>223777777777.77783</v>
      </c>
      <c r="T487" s="1">
        <f>Pcfu43[[#This Row],[SD CFU/mL]]*Pcfu43[[#This Row],[mL]]/Pcfu43[[#This Row],[grams]]</f>
        <v>63754157453.397423</v>
      </c>
      <c r="U487" s="7">
        <f>_xlfn.STDEV.S(Pcfu43[[#This Row],[R1]:[R3]])/AVERAGE(Pcfu43[[#This Row],[R1]:[R3]])</f>
        <v>0.28489941265172625</v>
      </c>
      <c r="V487" s="102"/>
      <c r="W487" s="7"/>
    </row>
    <row r="488" spans="1:24" x14ac:dyDescent="0.15">
      <c r="A488" t="s">
        <v>938</v>
      </c>
      <c r="B488" t="s">
        <v>328</v>
      </c>
      <c r="C488" s="4"/>
      <c r="D488" t="s">
        <v>26</v>
      </c>
      <c r="E488" s="3">
        <v>3</v>
      </c>
      <c r="G488">
        <v>0.3</v>
      </c>
      <c r="H488" s="5">
        <v>5.7</v>
      </c>
      <c r="I488" s="3" t="s">
        <v>950</v>
      </c>
      <c r="J488" s="59">
        <v>45082</v>
      </c>
      <c r="K488" s="59"/>
      <c r="L488" s="59" t="e" cm="1">
        <f t="array" ref="L488">INDEX($J$4:J1578, MATCH(1,(A488=$A$4:A1576)*("Y"=$K$4:K1578),0))</f>
        <v>#N/A</v>
      </c>
      <c r="M488" s="1">
        <v>10000</v>
      </c>
      <c r="N488">
        <v>84</v>
      </c>
      <c r="O488">
        <v>96</v>
      </c>
      <c r="P488">
        <v>81</v>
      </c>
      <c r="Q488" s="6">
        <f>(SUM(Pcfu43[[#This Row],[R1]:[R3]]))/(Pcfu43[[#This Row],[No. Reps]]*0.015)*Pcfu43[[#This Row],[Best DF]]</f>
        <v>58000000</v>
      </c>
      <c r="R488" s="1">
        <f>_xlfn.STDEV.S(Pcfu43[[#This Row],[R1]:[R3]])/0.015*Pcfu43[[#This Row],[Best DF]]</f>
        <v>5291502.6221291814</v>
      </c>
      <c r="S488" s="6">
        <f>Pcfu43[[#This Row],[CFU/mL]]*Pcfu43[[#This Row],[mL]]/Pcfu43[[#This Row],[grams]]</f>
        <v>1102000000</v>
      </c>
      <c r="T488" s="1">
        <f>Pcfu43[[#This Row],[SD CFU/mL]]*Pcfu43[[#This Row],[mL]]/Pcfu43[[#This Row],[grams]]</f>
        <v>100538549.82045446</v>
      </c>
      <c r="U488" s="7">
        <f>_xlfn.STDEV.S(Pcfu43[[#This Row],[R1]:[R3]])/AVERAGE(Pcfu43[[#This Row],[R1]:[R3]])</f>
        <v>9.1232803829813469E-2</v>
      </c>
      <c r="V488" s="102">
        <v>0.28899999999999998</v>
      </c>
      <c r="W488" s="7"/>
      <c r="X488" t="s">
        <v>485</v>
      </c>
    </row>
    <row r="489" spans="1:24" x14ac:dyDescent="0.15">
      <c r="A489" t="s">
        <v>939</v>
      </c>
      <c r="B489" t="s">
        <v>328</v>
      </c>
      <c r="C489" s="4"/>
      <c r="D489" t="s">
        <v>26</v>
      </c>
      <c r="E489" s="3">
        <v>3</v>
      </c>
      <c r="G489">
        <v>0.3</v>
      </c>
      <c r="H489" s="5">
        <v>5.7</v>
      </c>
      <c r="I489" s="3" t="s">
        <v>950</v>
      </c>
      <c r="J489" s="59">
        <v>45082</v>
      </c>
      <c r="K489" s="59"/>
      <c r="L489" s="59" t="e" cm="1">
        <f t="array" ref="L489">INDEX($J$4:J1579, MATCH(1,(A489=$A$4:A1577)*("Y"=$K$4:K1579),0))</f>
        <v>#N/A</v>
      </c>
      <c r="M489" s="1">
        <v>10000</v>
      </c>
      <c r="N489">
        <v>23</v>
      </c>
      <c r="O489">
        <v>23</v>
      </c>
      <c r="P489">
        <v>25</v>
      </c>
      <c r="Q489" s="6">
        <f>(SUM(Pcfu43[[#This Row],[R1]:[R3]]))/(Pcfu43[[#This Row],[No. Reps]]*0.015)*Pcfu43[[#This Row],[Best DF]]</f>
        <v>15777777.777777778</v>
      </c>
      <c r="R489" s="1">
        <f>_xlfn.STDEV.S(Pcfu43[[#This Row],[R1]:[R3]])/0.015*Pcfu43[[#This Row],[Best DF]]</f>
        <v>769800.35891950096</v>
      </c>
      <c r="S489" s="6">
        <f>Pcfu43[[#This Row],[CFU/mL]]*Pcfu43[[#This Row],[mL]]/Pcfu43[[#This Row],[grams]]</f>
        <v>299777777.77777785</v>
      </c>
      <c r="T489" s="1">
        <f>Pcfu43[[#This Row],[SD CFU/mL]]*Pcfu43[[#This Row],[mL]]/Pcfu43[[#This Row],[grams]]</f>
        <v>14626206.819470519</v>
      </c>
      <c r="U489" s="7">
        <f>_xlfn.STDEV.S(Pcfu43[[#This Row],[R1]:[R3]])/AVERAGE(Pcfu43[[#This Row],[R1]:[R3]])</f>
        <v>4.8790163593489498E-2</v>
      </c>
      <c r="V489" s="102">
        <v>0.35899999999999999</v>
      </c>
      <c r="W489" s="7"/>
      <c r="X489" t="s">
        <v>1050</v>
      </c>
    </row>
    <row r="490" spans="1:24" x14ac:dyDescent="0.15">
      <c r="A490" t="s">
        <v>940</v>
      </c>
      <c r="B490" t="s">
        <v>328</v>
      </c>
      <c r="C490" s="4"/>
      <c r="D490" t="s">
        <v>26</v>
      </c>
      <c r="E490" s="3">
        <v>3</v>
      </c>
      <c r="G490">
        <v>0.3</v>
      </c>
      <c r="H490" s="5">
        <v>5.7</v>
      </c>
      <c r="I490" s="3" t="s">
        <v>950</v>
      </c>
      <c r="J490" s="59">
        <v>45082</v>
      </c>
      <c r="K490" s="59"/>
      <c r="L490" s="59" t="e" cm="1">
        <f t="array" ref="L490">INDEX($J$4:J1580, MATCH(1,(A490=$A$4:A1578)*("Y"=$K$4:K1580),0))</f>
        <v>#N/A</v>
      </c>
      <c r="M490" s="1">
        <v>10000</v>
      </c>
      <c r="N490">
        <v>16</v>
      </c>
      <c r="O490">
        <v>23</v>
      </c>
      <c r="P490">
        <v>14</v>
      </c>
      <c r="Q490" s="6">
        <f>(SUM(Pcfu43[[#This Row],[R1]:[R3]]))/(Pcfu43[[#This Row],[No. Reps]]*0.015)*Pcfu43[[#This Row],[Best DF]]</f>
        <v>11777777.777777778</v>
      </c>
      <c r="R490" s="1">
        <f>_xlfn.STDEV.S(Pcfu43[[#This Row],[R1]:[R3]])/0.015*Pcfu43[[#This Row],[Best DF]]</f>
        <v>3150543.7508350709</v>
      </c>
      <c r="S490" s="6">
        <f>Pcfu43[[#This Row],[CFU/mL]]*Pcfu43[[#This Row],[mL]]/Pcfu43[[#This Row],[grams]]</f>
        <v>223777777.77777782</v>
      </c>
      <c r="T490" s="1">
        <f>Pcfu43[[#This Row],[SD CFU/mL]]*Pcfu43[[#This Row],[mL]]/Pcfu43[[#This Row],[grams]]</f>
        <v>59860331.265866347</v>
      </c>
      <c r="U490" s="7">
        <f>_xlfn.STDEV.S(Pcfu43[[#This Row],[R1]:[R3]])/AVERAGE(Pcfu43[[#This Row],[R1]:[R3]])</f>
        <v>0.26749899771241165</v>
      </c>
      <c r="V490" s="102">
        <v>0.375</v>
      </c>
      <c r="W490" s="7"/>
      <c r="X490" t="s">
        <v>1025</v>
      </c>
    </row>
    <row r="491" spans="1:24" x14ac:dyDescent="0.15">
      <c r="A491" t="s">
        <v>773</v>
      </c>
      <c r="B491" t="s">
        <v>328</v>
      </c>
      <c r="C491" s="4"/>
      <c r="D491" t="s">
        <v>26</v>
      </c>
      <c r="E491" s="3">
        <v>3</v>
      </c>
      <c r="G491">
        <v>0.3</v>
      </c>
      <c r="H491" s="5">
        <v>5.7</v>
      </c>
      <c r="I491" s="3" t="s">
        <v>950</v>
      </c>
      <c r="J491" s="59">
        <v>45082</v>
      </c>
      <c r="K491" s="59"/>
      <c r="L491" s="59" t="e" cm="1">
        <f t="array" ref="L491">INDEX($J$4:J1581, MATCH(1,(A491=$A$4:A1579)*("Y"=$K$4:K1581),0))</f>
        <v>#N/A</v>
      </c>
      <c r="M491" s="1">
        <v>10000</v>
      </c>
      <c r="N491">
        <v>9</v>
      </c>
      <c r="O491">
        <v>8</v>
      </c>
      <c r="P491">
        <v>7</v>
      </c>
      <c r="Q491" s="6">
        <f>(SUM(Pcfu43[[#This Row],[R1]:[R3]]))/(Pcfu43[[#This Row],[No. Reps]]*0.015)*Pcfu43[[#This Row],[Best DF]]</f>
        <v>5333333.333333334</v>
      </c>
      <c r="R491" s="1">
        <f>_xlfn.STDEV.S(Pcfu43[[#This Row],[R1]:[R3]])/0.015*Pcfu43[[#This Row],[Best DF]]</f>
        <v>666666.66666666674</v>
      </c>
      <c r="S491" s="6">
        <f>Pcfu43[[#This Row],[CFU/mL]]*Pcfu43[[#This Row],[mL]]/Pcfu43[[#This Row],[grams]]</f>
        <v>101333333.33333334</v>
      </c>
      <c r="T491" s="1">
        <f>Pcfu43[[#This Row],[SD CFU/mL]]*Pcfu43[[#This Row],[mL]]/Pcfu43[[#This Row],[grams]]</f>
        <v>12666666.666666668</v>
      </c>
      <c r="U491" s="7">
        <f>_xlfn.STDEV.S(Pcfu43[[#This Row],[R1]:[R3]])/AVERAGE(Pcfu43[[#This Row],[R1]:[R3]])</f>
        <v>0.125</v>
      </c>
      <c r="V491" s="102">
        <v>0.29199999999999998</v>
      </c>
      <c r="W491" s="7"/>
      <c r="X491" t="s">
        <v>530</v>
      </c>
    </row>
    <row r="492" spans="1:24" x14ac:dyDescent="0.15">
      <c r="A492" t="s">
        <v>775</v>
      </c>
      <c r="B492" t="s">
        <v>328</v>
      </c>
      <c r="C492" s="4"/>
      <c r="D492" t="s">
        <v>26</v>
      </c>
      <c r="E492" s="3">
        <v>3</v>
      </c>
      <c r="G492">
        <v>0.3</v>
      </c>
      <c r="H492" s="5">
        <v>5.7</v>
      </c>
      <c r="I492" s="3" t="s">
        <v>950</v>
      </c>
      <c r="J492" s="59">
        <v>45082</v>
      </c>
      <c r="K492" s="59"/>
      <c r="L492" s="59" t="e" cm="1">
        <f t="array" ref="L492">INDEX($J$4:J1582, MATCH(1,(A492=$A$4:A1580)*("Y"=$K$4:K1582),0))</f>
        <v>#N/A</v>
      </c>
      <c r="M492" s="1">
        <v>10000</v>
      </c>
      <c r="N492">
        <v>2</v>
      </c>
      <c r="O492">
        <v>3</v>
      </c>
      <c r="P492">
        <v>3</v>
      </c>
      <c r="Q492" s="6">
        <f>(SUM(Pcfu43[[#This Row],[R1]:[R3]]))/(Pcfu43[[#This Row],[No. Reps]]*0.015)*Pcfu43[[#This Row],[Best DF]]</f>
        <v>1777777.7777777778</v>
      </c>
      <c r="R492" s="1">
        <f>_xlfn.STDEV.S(Pcfu43[[#This Row],[R1]:[R3]])/0.015*Pcfu43[[#This Row],[Best DF]]</f>
        <v>384900.17945975089</v>
      </c>
      <c r="S492" s="6">
        <f>Pcfu43[[#This Row],[CFU/mL]]*Pcfu43[[#This Row],[mL]]/Pcfu43[[#This Row],[grams]]</f>
        <v>33777777.777777784</v>
      </c>
      <c r="T492" s="1">
        <f>Pcfu43[[#This Row],[SD CFU/mL]]*Pcfu43[[#This Row],[mL]]/Pcfu43[[#This Row],[grams]]</f>
        <v>7313103.4097352671</v>
      </c>
      <c r="U492" s="7">
        <f>_xlfn.STDEV.S(Pcfu43[[#This Row],[R1]:[R3]])/AVERAGE(Pcfu43[[#This Row],[R1]:[R3]])</f>
        <v>0.21650635094610987</v>
      </c>
      <c r="V492" s="102">
        <v>0.33600000000000002</v>
      </c>
      <c r="W492" s="7"/>
      <c r="X492" t="s">
        <v>1051</v>
      </c>
    </row>
    <row r="493" spans="1:24" x14ac:dyDescent="0.15">
      <c r="A493" t="s">
        <v>941</v>
      </c>
      <c r="B493" t="s">
        <v>328</v>
      </c>
      <c r="C493" s="4"/>
      <c r="D493" t="s">
        <v>26</v>
      </c>
      <c r="E493" s="3">
        <v>3</v>
      </c>
      <c r="G493">
        <v>0.3</v>
      </c>
      <c r="H493" s="5">
        <v>5.7</v>
      </c>
      <c r="I493" s="3" t="s">
        <v>950</v>
      </c>
      <c r="J493" s="59">
        <v>45082</v>
      </c>
      <c r="K493" s="59"/>
      <c r="L493" s="59" t="e" cm="1">
        <f t="array" ref="L493">INDEX($J$4:J1583, MATCH(1,(A493=$A$4:A1581)*("Y"=$K$4:K1583),0))</f>
        <v>#N/A</v>
      </c>
      <c r="M493" s="1">
        <v>10000</v>
      </c>
      <c r="N493">
        <v>1</v>
      </c>
      <c r="O493">
        <v>3</v>
      </c>
      <c r="P493">
        <v>2</v>
      </c>
      <c r="Q493" s="6">
        <f>(SUM(Pcfu43[[#This Row],[R1]:[R3]]))/(Pcfu43[[#This Row],[No. Reps]]*0.015)*Pcfu43[[#This Row],[Best DF]]</f>
        <v>1333333.3333333335</v>
      </c>
      <c r="R493" s="1">
        <f>_xlfn.STDEV.S(Pcfu43[[#This Row],[R1]:[R3]])/0.015*Pcfu43[[#This Row],[Best DF]]</f>
        <v>666666.66666666674</v>
      </c>
      <c r="S493" s="6">
        <f>Pcfu43[[#This Row],[CFU/mL]]*Pcfu43[[#This Row],[mL]]/Pcfu43[[#This Row],[grams]]</f>
        <v>25333333.333333336</v>
      </c>
      <c r="T493" s="1">
        <f>Pcfu43[[#This Row],[SD CFU/mL]]*Pcfu43[[#This Row],[mL]]/Pcfu43[[#This Row],[grams]]</f>
        <v>12666666.666666668</v>
      </c>
      <c r="U493" s="7">
        <f>_xlfn.STDEV.S(Pcfu43[[#This Row],[R1]:[R3]])/AVERAGE(Pcfu43[[#This Row],[R1]:[R3]])</f>
        <v>0.5</v>
      </c>
      <c r="V493" s="102">
        <v>0.34100000000000003</v>
      </c>
      <c r="W493" s="7"/>
      <c r="X493" t="s">
        <v>1052</v>
      </c>
    </row>
    <row r="494" spans="1:24" x14ac:dyDescent="0.15">
      <c r="A494" t="s">
        <v>776</v>
      </c>
      <c r="B494" t="s">
        <v>328</v>
      </c>
      <c r="C494" s="4"/>
      <c r="D494" t="s">
        <v>26</v>
      </c>
      <c r="E494" s="3">
        <v>3</v>
      </c>
      <c r="G494">
        <v>0.3</v>
      </c>
      <c r="H494" s="5">
        <v>5.7</v>
      </c>
      <c r="I494" s="3" t="s">
        <v>950</v>
      </c>
      <c r="J494" s="59">
        <v>45082</v>
      </c>
      <c r="K494" s="59"/>
      <c r="L494" s="59" t="e" cm="1">
        <f t="array" ref="L494">INDEX($J$4:J1584, MATCH(1,(A494=$A$4:A1582)*("Y"=$K$4:K1584),0))</f>
        <v>#N/A</v>
      </c>
      <c r="M494" s="1">
        <v>10000</v>
      </c>
      <c r="N494">
        <v>6</v>
      </c>
      <c r="O494">
        <v>6</v>
      </c>
      <c r="P494">
        <v>9</v>
      </c>
      <c r="Q494" s="6">
        <f>(SUM(Pcfu43[[#This Row],[R1]:[R3]]))/(Pcfu43[[#This Row],[No. Reps]]*0.015)*Pcfu43[[#This Row],[Best DF]]</f>
        <v>4666666.666666667</v>
      </c>
      <c r="R494" s="1">
        <f>_xlfn.STDEV.S(Pcfu43[[#This Row],[R1]:[R3]])/0.015*Pcfu43[[#This Row],[Best DF]]</f>
        <v>1154700.5383792515</v>
      </c>
      <c r="S494" s="6">
        <f>Pcfu43[[#This Row],[CFU/mL]]*Pcfu43[[#This Row],[mL]]/Pcfu43[[#This Row],[grams]]</f>
        <v>88666666.666666687</v>
      </c>
      <c r="T494" s="1">
        <f>Pcfu43[[#This Row],[SD CFU/mL]]*Pcfu43[[#This Row],[mL]]/Pcfu43[[#This Row],[grams]]</f>
        <v>21939310.22920578</v>
      </c>
      <c r="U494" s="7">
        <f>_xlfn.STDEV.S(Pcfu43[[#This Row],[R1]:[R3]])/AVERAGE(Pcfu43[[#This Row],[R1]:[R3]])</f>
        <v>0.24743582965269675</v>
      </c>
      <c r="V494" s="102">
        <v>0.27400000000000002</v>
      </c>
      <c r="W494" s="7"/>
      <c r="X494" t="s">
        <v>894</v>
      </c>
    </row>
    <row r="495" spans="1:24" x14ac:dyDescent="0.15">
      <c r="A495" t="s">
        <v>777</v>
      </c>
      <c r="B495" t="s">
        <v>328</v>
      </c>
      <c r="C495" s="4"/>
      <c r="D495" t="s">
        <v>26</v>
      </c>
      <c r="E495" s="3">
        <v>3</v>
      </c>
      <c r="G495">
        <v>0.3</v>
      </c>
      <c r="H495" s="5">
        <v>5.7</v>
      </c>
      <c r="I495" s="3" t="s">
        <v>950</v>
      </c>
      <c r="J495" s="59">
        <v>45082</v>
      </c>
      <c r="K495" s="59"/>
      <c r="L495" s="59" t="e" cm="1">
        <f t="array" ref="L495">INDEX($J$4:J1585, MATCH(1,(A495=$A$4:A1583)*("Y"=$K$4:K1585),0))</f>
        <v>#N/A</v>
      </c>
      <c r="M495" s="1">
        <v>10000</v>
      </c>
      <c r="N495">
        <v>0</v>
      </c>
      <c r="O495">
        <v>0</v>
      </c>
      <c r="P495">
        <v>2</v>
      </c>
      <c r="Q495" s="6">
        <f>(SUM(Pcfu43[[#This Row],[R1]:[R3]]))/(Pcfu43[[#This Row],[No. Reps]]*0.015)*Pcfu43[[#This Row],[Best DF]]</f>
        <v>444444.44444444444</v>
      </c>
      <c r="R495" s="1">
        <f>_xlfn.STDEV.S(Pcfu43[[#This Row],[R1]:[R3]])/0.015*Pcfu43[[#This Row],[Best DF]]</f>
        <v>769800.35891950107</v>
      </c>
      <c r="S495" s="6">
        <f>Pcfu43[[#This Row],[CFU/mL]]*Pcfu43[[#This Row],[mL]]/Pcfu43[[#This Row],[grams]]</f>
        <v>8444444.4444444459</v>
      </c>
      <c r="T495" s="1">
        <f>Pcfu43[[#This Row],[SD CFU/mL]]*Pcfu43[[#This Row],[mL]]/Pcfu43[[#This Row],[grams]]</f>
        <v>14626206.819470523</v>
      </c>
      <c r="U495" s="7">
        <f>_xlfn.STDEV.S(Pcfu43[[#This Row],[R1]:[R3]])/AVERAGE(Pcfu43[[#This Row],[R1]:[R3]])</f>
        <v>1.7320508075688776</v>
      </c>
      <c r="V495" s="102">
        <v>0.33100000000000002</v>
      </c>
      <c r="W495" s="7"/>
      <c r="X495" t="s">
        <v>867</v>
      </c>
    </row>
    <row r="496" spans="1:24" x14ac:dyDescent="0.15">
      <c r="A496" t="s">
        <v>942</v>
      </c>
      <c r="B496" t="s">
        <v>328</v>
      </c>
      <c r="C496" s="4"/>
      <c r="D496" t="s">
        <v>26</v>
      </c>
      <c r="E496" s="3">
        <v>3</v>
      </c>
      <c r="G496">
        <v>0.3</v>
      </c>
      <c r="H496" s="5">
        <v>5.7</v>
      </c>
      <c r="I496" s="3" t="s">
        <v>950</v>
      </c>
      <c r="J496" s="59">
        <v>45082</v>
      </c>
      <c r="K496" s="59"/>
      <c r="L496" s="59" t="e" cm="1">
        <f t="array" ref="L496">INDEX($J$4:J1586, MATCH(1,(A496=$A$4:A1584)*("Y"=$K$4:K1586),0))</f>
        <v>#N/A</v>
      </c>
      <c r="M496" s="1">
        <v>10000</v>
      </c>
      <c r="N496">
        <v>0</v>
      </c>
      <c r="O496">
        <v>0</v>
      </c>
      <c r="P496">
        <v>1</v>
      </c>
      <c r="Q496" s="6">
        <f>(SUM(Pcfu43[[#This Row],[R1]:[R3]]))/(Pcfu43[[#This Row],[No. Reps]]*0.015)*Pcfu43[[#This Row],[Best DF]]</f>
        <v>222222.22222222222</v>
      </c>
      <c r="R496" s="1">
        <f>_xlfn.STDEV.S(Pcfu43[[#This Row],[R1]:[R3]])/0.015*Pcfu43[[#This Row],[Best DF]]</f>
        <v>384900.17945975054</v>
      </c>
      <c r="S496" s="6">
        <f>Pcfu43[[#This Row],[CFU/mL]]*Pcfu43[[#This Row],[mL]]/Pcfu43[[#This Row],[grams]]</f>
        <v>4222222.2222222229</v>
      </c>
      <c r="T496" s="1">
        <f>Pcfu43[[#This Row],[SD CFU/mL]]*Pcfu43[[#This Row],[mL]]/Pcfu43[[#This Row],[grams]]</f>
        <v>7313103.4097352615</v>
      </c>
      <c r="U496" s="7">
        <f>_xlfn.STDEV.S(Pcfu43[[#This Row],[R1]:[R3]])/AVERAGE(Pcfu43[[#This Row],[R1]:[R3]])</f>
        <v>1.7320508075688776</v>
      </c>
      <c r="V496" s="102">
        <v>0.34200000000000003</v>
      </c>
      <c r="W496" s="7"/>
      <c r="X496" t="s">
        <v>1053</v>
      </c>
    </row>
    <row r="497" spans="1:24" x14ac:dyDescent="0.15">
      <c r="A497" t="s">
        <v>808</v>
      </c>
      <c r="B497" t="s">
        <v>1023</v>
      </c>
      <c r="C497" s="4"/>
      <c r="D497" t="s">
        <v>194</v>
      </c>
      <c r="E497" s="3">
        <v>3</v>
      </c>
      <c r="G497">
        <v>0.3</v>
      </c>
      <c r="H497" s="5">
        <v>5.7</v>
      </c>
      <c r="I497" s="3" t="s">
        <v>170</v>
      </c>
      <c r="J497" s="59">
        <v>45084</v>
      </c>
      <c r="K497" s="59"/>
      <c r="L497" s="59" t="e" cm="1">
        <f t="array" ref="L497">INDEX($J$4:J1587, MATCH(1,(A497=$A$4:A1585)*("Y"=$K$4:K1587),0))</f>
        <v>#N/A</v>
      </c>
      <c r="M497" s="1">
        <v>10000000</v>
      </c>
      <c r="N497">
        <v>16</v>
      </c>
      <c r="O497">
        <v>15</v>
      </c>
      <c r="P497">
        <v>18</v>
      </c>
      <c r="Q497" s="6">
        <f>(SUM(Pcfu43[[#This Row],[R1]:[R3]]))/(Pcfu43[[#This Row],[No. Reps]]*0.015)*Pcfu43[[#This Row],[Best DF]]</f>
        <v>10888888888.888889</v>
      </c>
      <c r="R497" s="1">
        <f>_xlfn.STDEV.S(Pcfu43[[#This Row],[R1]:[R3]])/0.015*Pcfu43[[#This Row],[Best DF]]</f>
        <v>1018350154.4346311</v>
      </c>
      <c r="S497" s="6">
        <f>Pcfu43[[#This Row],[CFU/mL]]*Pcfu43[[#This Row],[mL]]/Pcfu43[[#This Row],[grams]]</f>
        <v>206888888888.88892</v>
      </c>
      <c r="T497" s="1">
        <f>Pcfu43[[#This Row],[SD CFU/mL]]*Pcfu43[[#This Row],[mL]]/Pcfu43[[#This Row],[grams]]</f>
        <v>19348652934.257992</v>
      </c>
      <c r="U497" s="7">
        <f>_xlfn.STDEV.S(Pcfu43[[#This Row],[R1]:[R3]])/AVERAGE(Pcfu43[[#This Row],[R1]:[R3]])</f>
        <v>9.3521952958282445E-2</v>
      </c>
      <c r="V497" s="102"/>
      <c r="W497" s="7"/>
    </row>
    <row r="498" spans="1:24" x14ac:dyDescent="0.15">
      <c r="A498" t="s">
        <v>809</v>
      </c>
      <c r="B498" t="s">
        <v>1023</v>
      </c>
      <c r="C498" s="4"/>
      <c r="D498" t="s">
        <v>194</v>
      </c>
      <c r="E498" s="3">
        <v>3</v>
      </c>
      <c r="G498">
        <v>0.3</v>
      </c>
      <c r="H498" s="5">
        <v>5.7</v>
      </c>
      <c r="I498" s="3" t="s">
        <v>170</v>
      </c>
      <c r="J498" s="59">
        <v>45084</v>
      </c>
      <c r="K498" s="59"/>
      <c r="L498" s="59" t="e" cm="1">
        <f t="array" ref="L498">INDEX($J$4:J1588, MATCH(1,(A498=$A$4:A1586)*("Y"=$K$4:K1588),0))</f>
        <v>#N/A</v>
      </c>
      <c r="M498" s="1">
        <v>10000000</v>
      </c>
      <c r="N498">
        <v>11</v>
      </c>
      <c r="O498">
        <v>17</v>
      </c>
      <c r="P498">
        <v>9</v>
      </c>
      <c r="Q498" s="6">
        <f>(SUM(Pcfu43[[#This Row],[R1]:[R3]]))/(Pcfu43[[#This Row],[No. Reps]]*0.015)*Pcfu43[[#This Row],[Best DF]]</f>
        <v>8222222222.2222233</v>
      </c>
      <c r="R498" s="1">
        <f>_xlfn.STDEV.S(Pcfu43[[#This Row],[R1]:[R3]])/0.015*Pcfu43[[#This Row],[Best DF]]</f>
        <v>2775554665.9548445</v>
      </c>
      <c r="S498" s="6">
        <f>Pcfu43[[#This Row],[CFU/mL]]*Pcfu43[[#This Row],[mL]]/Pcfu43[[#This Row],[grams]]</f>
        <v>156222222222.22226</v>
      </c>
      <c r="T498" s="1">
        <f>Pcfu43[[#This Row],[SD CFU/mL]]*Pcfu43[[#This Row],[mL]]/Pcfu43[[#This Row],[grams]]</f>
        <v>52735538653.142044</v>
      </c>
      <c r="U498" s="7">
        <f>_xlfn.STDEV.S(Pcfu43[[#This Row],[R1]:[R3]])/AVERAGE(Pcfu43[[#This Row],[R1]:[R3]])</f>
        <v>0.33756745937288651</v>
      </c>
      <c r="V498" s="102"/>
      <c r="W498" s="7"/>
    </row>
    <row r="499" spans="1:24" x14ac:dyDescent="0.15">
      <c r="A499" t="s">
        <v>810</v>
      </c>
      <c r="B499" t="s">
        <v>1023</v>
      </c>
      <c r="C499" s="4"/>
      <c r="D499" t="s">
        <v>194</v>
      </c>
      <c r="E499" s="3">
        <v>3</v>
      </c>
      <c r="G499">
        <v>0.3</v>
      </c>
      <c r="H499" s="5">
        <v>5.7</v>
      </c>
      <c r="I499" s="3" t="s">
        <v>170</v>
      </c>
      <c r="J499" s="59">
        <v>45084</v>
      </c>
      <c r="K499" s="59"/>
      <c r="L499" s="59" t="e" cm="1">
        <f t="array" ref="L499">INDEX($J$4:J1589, MATCH(1,(A499=$A$4:A1587)*("Y"=$K$4:K1589),0))</f>
        <v>#N/A</v>
      </c>
      <c r="M499" s="1">
        <v>10000000</v>
      </c>
      <c r="N499">
        <v>20</v>
      </c>
      <c r="O499">
        <v>17</v>
      </c>
      <c r="P499">
        <v>17</v>
      </c>
      <c r="Q499" s="6">
        <f>(SUM(Pcfu43[[#This Row],[R1]:[R3]]))/(Pcfu43[[#This Row],[No. Reps]]*0.015)*Pcfu43[[#This Row],[Best DF]]</f>
        <v>12000000000</v>
      </c>
      <c r="R499" s="1">
        <f>_xlfn.STDEV.S(Pcfu43[[#This Row],[R1]:[R3]])/0.015*Pcfu43[[#This Row],[Best DF]]</f>
        <v>1154700538.3792515</v>
      </c>
      <c r="S499" s="6">
        <f>Pcfu43[[#This Row],[CFU/mL]]*Pcfu43[[#This Row],[mL]]/Pcfu43[[#This Row],[grams]]</f>
        <v>228000000000</v>
      </c>
      <c r="T499" s="1">
        <f>Pcfu43[[#This Row],[SD CFU/mL]]*Pcfu43[[#This Row],[mL]]/Pcfu43[[#This Row],[grams]]</f>
        <v>21939310229.20578</v>
      </c>
      <c r="U499" s="7">
        <f>_xlfn.STDEV.S(Pcfu43[[#This Row],[R1]:[R3]])/AVERAGE(Pcfu43[[#This Row],[R1]:[R3]])</f>
        <v>9.6225044864937617E-2</v>
      </c>
      <c r="V499" s="102"/>
      <c r="W499" s="7"/>
    </row>
    <row r="500" spans="1:24" x14ac:dyDescent="0.15">
      <c r="A500" t="s">
        <v>811</v>
      </c>
      <c r="B500" t="s">
        <v>1023</v>
      </c>
      <c r="C500" s="4"/>
      <c r="D500" t="s">
        <v>194</v>
      </c>
      <c r="E500" s="3">
        <v>3</v>
      </c>
      <c r="G500">
        <v>0.3</v>
      </c>
      <c r="H500" s="5">
        <v>5.7</v>
      </c>
      <c r="I500" s="3" t="s">
        <v>170</v>
      </c>
      <c r="J500" s="59">
        <v>45084</v>
      </c>
      <c r="K500" s="59"/>
      <c r="L500" s="59" t="e" cm="1">
        <f t="array" ref="L500">INDEX($J$4:J1590, MATCH(1,(A500=$A$4:A1588)*("Y"=$K$4:K1590),0))</f>
        <v>#N/A</v>
      </c>
      <c r="M500" s="1">
        <v>10000000</v>
      </c>
      <c r="N500">
        <v>11</v>
      </c>
      <c r="O500">
        <v>11</v>
      </c>
      <c r="P500">
        <v>15</v>
      </c>
      <c r="Q500" s="6">
        <f>(SUM(Pcfu43[[#This Row],[R1]:[R3]]))/(Pcfu43[[#This Row],[No. Reps]]*0.015)*Pcfu43[[#This Row],[Best DF]]</f>
        <v>8222222222.2222233</v>
      </c>
      <c r="R500" s="1">
        <f>_xlfn.STDEV.S(Pcfu43[[#This Row],[R1]:[R3]])/0.015*Pcfu43[[#This Row],[Best DF]]</f>
        <v>1539600717.8390036</v>
      </c>
      <c r="S500" s="6">
        <f>Pcfu43[[#This Row],[CFU/mL]]*Pcfu43[[#This Row],[mL]]/Pcfu43[[#This Row],[grams]]</f>
        <v>156222222222.22226</v>
      </c>
      <c r="T500" s="1">
        <f>Pcfu43[[#This Row],[SD CFU/mL]]*Pcfu43[[#This Row],[mL]]/Pcfu43[[#This Row],[grams]]</f>
        <v>29252413638.941067</v>
      </c>
      <c r="U500" s="7">
        <f>_xlfn.STDEV.S(Pcfu43[[#This Row],[R1]:[R3]])/AVERAGE(Pcfu43[[#This Row],[R1]:[R3]])</f>
        <v>0.18724873595339231</v>
      </c>
      <c r="V500" s="102"/>
      <c r="W500" s="7"/>
    </row>
    <row r="501" spans="1:24" x14ac:dyDescent="0.15">
      <c r="A501" t="s">
        <v>874</v>
      </c>
      <c r="B501" t="s">
        <v>328</v>
      </c>
      <c r="C501" s="4"/>
      <c r="D501" t="s">
        <v>86</v>
      </c>
      <c r="E501" s="3">
        <v>3</v>
      </c>
      <c r="G501">
        <v>0.3</v>
      </c>
      <c r="H501" s="5">
        <v>5.7</v>
      </c>
      <c r="I501" s="3" t="s">
        <v>170</v>
      </c>
      <c r="J501" s="59">
        <v>45085</v>
      </c>
      <c r="K501" s="59"/>
      <c r="L501" s="59" t="e" cm="1">
        <f t="array" ref="L501">INDEX($J$4:J1591, MATCH(1,(A501=$A$4:A1589)*("Y"=$K$4:K1591),0))</f>
        <v>#N/A</v>
      </c>
      <c r="M501" s="1">
        <v>1000000</v>
      </c>
      <c r="N501">
        <v>20</v>
      </c>
      <c r="O501">
        <v>23</v>
      </c>
      <c r="P501">
        <v>18</v>
      </c>
      <c r="Q501" s="6">
        <f>(SUM(Pcfu43[[#This Row],[R1]:[R3]]))/(Pcfu43[[#This Row],[No. Reps]]*0.015)*Pcfu43[[#This Row],[Best DF]]</f>
        <v>1355555555.5555556</v>
      </c>
      <c r="R501" s="1">
        <f>_xlfn.STDEV.S(Pcfu43[[#This Row],[R1]:[R3]])/0.015*Pcfu43[[#This Row],[Best DF]]</f>
        <v>167774098.5615727</v>
      </c>
      <c r="S501" s="6">
        <f>Pcfu43[[#This Row],[CFU/mL]]*Pcfu43[[#This Row],[mL]]/Pcfu43[[#This Row],[grams]]</f>
        <v>25755555555.555557</v>
      </c>
      <c r="T501" s="1">
        <f>Pcfu43[[#This Row],[SD CFU/mL]]*Pcfu43[[#This Row],[mL]]/Pcfu43[[#This Row],[grams]]</f>
        <v>3187707872.6698818</v>
      </c>
      <c r="U501" s="7">
        <f>_xlfn.STDEV.S(Pcfu43[[#This Row],[R1]:[R3]])/AVERAGE(Pcfu43[[#This Row],[R1]:[R3]])</f>
        <v>0.12376777762738972</v>
      </c>
      <c r="V501" s="102">
        <v>0.34899999999999998</v>
      </c>
      <c r="W501" s="7"/>
      <c r="X501" t="s">
        <v>917</v>
      </c>
    </row>
    <row r="502" spans="1:24" x14ac:dyDescent="0.15">
      <c r="A502" t="s">
        <v>875</v>
      </c>
      <c r="B502" t="s">
        <v>328</v>
      </c>
      <c r="C502" s="4"/>
      <c r="D502" t="s">
        <v>86</v>
      </c>
      <c r="E502" s="3">
        <v>3</v>
      </c>
      <c r="G502">
        <v>0.3</v>
      </c>
      <c r="H502" s="5">
        <v>5.7</v>
      </c>
      <c r="I502" s="3" t="s">
        <v>170</v>
      </c>
      <c r="J502" s="59">
        <v>45085</v>
      </c>
      <c r="K502" s="59"/>
      <c r="L502" s="59" t="e" cm="1">
        <f t="array" ref="L502">INDEX($J$4:J1592, MATCH(1,(A502=$A$4:A1590)*("Y"=$K$4:K1592),0))</f>
        <v>#N/A</v>
      </c>
      <c r="M502" s="1">
        <v>1000000</v>
      </c>
      <c r="N502">
        <v>23</v>
      </c>
      <c r="O502">
        <v>20</v>
      </c>
      <c r="P502">
        <v>20</v>
      </c>
      <c r="Q502" s="6">
        <f>(SUM(Pcfu43[[#This Row],[R1]:[R3]]))/(Pcfu43[[#This Row],[No. Reps]]*0.015)*Pcfu43[[#This Row],[Best DF]]</f>
        <v>1400000000</v>
      </c>
      <c r="R502" s="1">
        <f>_xlfn.STDEV.S(Pcfu43[[#This Row],[R1]:[R3]])/0.015*Pcfu43[[#This Row],[Best DF]]</f>
        <v>115470053.83792515</v>
      </c>
      <c r="S502" s="6">
        <f>Pcfu43[[#This Row],[CFU/mL]]*Pcfu43[[#This Row],[mL]]/Pcfu43[[#This Row],[grams]]</f>
        <v>26600000000</v>
      </c>
      <c r="T502" s="1">
        <f>Pcfu43[[#This Row],[SD CFU/mL]]*Pcfu43[[#This Row],[mL]]/Pcfu43[[#This Row],[grams]]</f>
        <v>2193931022.920578</v>
      </c>
      <c r="U502" s="7">
        <f>_xlfn.STDEV.S(Pcfu43[[#This Row],[R1]:[R3]])/AVERAGE(Pcfu43[[#This Row],[R1]:[R3]])</f>
        <v>8.2478609884232251E-2</v>
      </c>
      <c r="V502" s="102">
        <v>0.13600000000000001</v>
      </c>
      <c r="W502" s="7"/>
      <c r="X502" t="s">
        <v>886</v>
      </c>
    </row>
    <row r="503" spans="1:24" x14ac:dyDescent="0.15">
      <c r="A503" t="s">
        <v>876</v>
      </c>
      <c r="B503" t="s">
        <v>328</v>
      </c>
      <c r="C503" s="4"/>
      <c r="D503" t="s">
        <v>86</v>
      </c>
      <c r="E503" s="3">
        <v>3</v>
      </c>
      <c r="G503">
        <v>0.3</v>
      </c>
      <c r="H503" s="5">
        <v>5.7</v>
      </c>
      <c r="I503" s="3" t="s">
        <v>170</v>
      </c>
      <c r="J503" s="59">
        <v>45085</v>
      </c>
      <c r="K503" s="59"/>
      <c r="L503" s="59" t="e" cm="1">
        <f t="array" ref="L503">INDEX($J$4:J1593, MATCH(1,(A503=$A$4:A1591)*("Y"=$K$4:K1593),0))</f>
        <v>#N/A</v>
      </c>
      <c r="M503" s="1">
        <v>1000000</v>
      </c>
      <c r="N503">
        <v>13</v>
      </c>
      <c r="O503">
        <v>19</v>
      </c>
      <c r="P503">
        <v>15</v>
      </c>
      <c r="Q503" s="6">
        <f>(SUM(Pcfu43[[#This Row],[R1]:[R3]]))/(Pcfu43[[#This Row],[No. Reps]]*0.015)*Pcfu43[[#This Row],[Best DF]]</f>
        <v>1044444444.4444445</v>
      </c>
      <c r="R503" s="1">
        <f>_xlfn.STDEV.S(Pcfu43[[#This Row],[R1]:[R3]])/0.015*Pcfu43[[#This Row],[Best DF]]</f>
        <v>203670030.88692605</v>
      </c>
      <c r="S503" s="6">
        <f>Pcfu43[[#This Row],[CFU/mL]]*Pcfu43[[#This Row],[mL]]/Pcfu43[[#This Row],[grams]]</f>
        <v>19844444444.444447</v>
      </c>
      <c r="T503" s="1">
        <f>Pcfu43[[#This Row],[SD CFU/mL]]*Pcfu43[[#This Row],[mL]]/Pcfu43[[#This Row],[grams]]</f>
        <v>3869730586.8515954</v>
      </c>
      <c r="U503" s="7">
        <f>_xlfn.STDEV.S(Pcfu43[[#This Row],[R1]:[R3]])/AVERAGE(Pcfu43[[#This Row],[R1]:[R3]])</f>
        <v>0.19500322106195045</v>
      </c>
      <c r="V503" s="102">
        <v>0.39400000000000002</v>
      </c>
      <c r="W503" s="7"/>
      <c r="X503" t="s">
        <v>495</v>
      </c>
    </row>
    <row r="504" spans="1:24" x14ac:dyDescent="0.15">
      <c r="A504" t="s">
        <v>877</v>
      </c>
      <c r="B504" t="s">
        <v>328</v>
      </c>
      <c r="C504" s="4"/>
      <c r="D504" t="s">
        <v>86</v>
      </c>
      <c r="E504" s="3">
        <v>3</v>
      </c>
      <c r="G504">
        <v>0.3</v>
      </c>
      <c r="H504" s="5">
        <v>5.7</v>
      </c>
      <c r="I504" s="3" t="s">
        <v>170</v>
      </c>
      <c r="J504" s="59">
        <v>45085</v>
      </c>
      <c r="K504" s="59"/>
      <c r="L504" s="59" t="e" cm="1">
        <f t="array" ref="L504">INDEX($J$4:J1594, MATCH(1,(A504=$A$4:A1592)*("Y"=$K$4:K1594),0))</f>
        <v>#N/A</v>
      </c>
      <c r="M504" s="1">
        <v>1000000</v>
      </c>
      <c r="N504">
        <v>13</v>
      </c>
      <c r="O504">
        <v>16</v>
      </c>
      <c r="P504">
        <v>14</v>
      </c>
      <c r="Q504" s="6">
        <f>(SUM(Pcfu43[[#This Row],[R1]:[R3]]))/(Pcfu43[[#This Row],[No. Reps]]*0.015)*Pcfu43[[#This Row],[Best DF]]</f>
        <v>955555555.55555558</v>
      </c>
      <c r="R504" s="1">
        <f>_xlfn.STDEV.S(Pcfu43[[#This Row],[R1]:[R3]])/0.015*Pcfu43[[#This Row],[Best DF]]</f>
        <v>101835015.44346312</v>
      </c>
      <c r="S504" s="6">
        <f>Pcfu43[[#This Row],[CFU/mL]]*Pcfu43[[#This Row],[mL]]/Pcfu43[[#This Row],[grams]]</f>
        <v>18155555555.555557</v>
      </c>
      <c r="T504" s="1">
        <f>Pcfu43[[#This Row],[SD CFU/mL]]*Pcfu43[[#This Row],[mL]]/Pcfu43[[#This Row],[grams]]</f>
        <v>1934865293.4257994</v>
      </c>
      <c r="U504" s="7">
        <f>_xlfn.STDEV.S(Pcfu43[[#This Row],[R1]:[R3]])/AVERAGE(Pcfu43[[#This Row],[R1]:[R3]])</f>
        <v>0.1065715277896707</v>
      </c>
      <c r="V504" s="102">
        <v>0.40400000000000003</v>
      </c>
      <c r="W504" s="7"/>
      <c r="X504" t="s">
        <v>1054</v>
      </c>
    </row>
    <row r="505" spans="1:24" x14ac:dyDescent="0.15">
      <c r="A505" t="s">
        <v>878</v>
      </c>
      <c r="B505" t="s">
        <v>328</v>
      </c>
      <c r="C505" s="4"/>
      <c r="D505" t="s">
        <v>86</v>
      </c>
      <c r="E505" s="3">
        <v>3</v>
      </c>
      <c r="G505">
        <v>0.3</v>
      </c>
      <c r="H505" s="5">
        <v>5.7</v>
      </c>
      <c r="I505" s="3" t="s">
        <v>170</v>
      </c>
      <c r="J505" s="59">
        <v>45085</v>
      </c>
      <c r="K505" s="59"/>
      <c r="L505" s="59" t="e" cm="1">
        <f t="array" ref="L505">INDEX($J$4:J1595, MATCH(1,(A505=$A$4:A1593)*("Y"=$K$4:K1595),0))</f>
        <v>#N/A</v>
      </c>
      <c r="M505" s="1">
        <v>1000000</v>
      </c>
      <c r="N505">
        <v>5</v>
      </c>
      <c r="O505">
        <v>10</v>
      </c>
      <c r="P505">
        <v>11</v>
      </c>
      <c r="Q505" s="6">
        <f>(SUM(Pcfu43[[#This Row],[R1]:[R3]]))/(Pcfu43[[#This Row],[No. Reps]]*0.015)*Pcfu43[[#This Row],[Best DF]]</f>
        <v>577777777.77777779</v>
      </c>
      <c r="R505" s="1">
        <f>_xlfn.STDEV.S(Pcfu43[[#This Row],[R1]:[R3]])/0.015*Pcfu43[[#This Row],[Best DF]]</f>
        <v>214303350.24428785</v>
      </c>
      <c r="S505" s="6">
        <f>Pcfu43[[#This Row],[CFU/mL]]*Pcfu43[[#This Row],[mL]]/Pcfu43[[#This Row],[grams]]</f>
        <v>10977777777.777779</v>
      </c>
      <c r="T505" s="1">
        <f>Pcfu43[[#This Row],[SD CFU/mL]]*Pcfu43[[#This Row],[mL]]/Pcfu43[[#This Row],[grams]]</f>
        <v>4071763654.6414695</v>
      </c>
      <c r="U505" s="7">
        <f>_xlfn.STDEV.S(Pcfu43[[#This Row],[R1]:[R3]])/AVERAGE(Pcfu43[[#This Row],[R1]:[R3]])</f>
        <v>0.37090964465357512</v>
      </c>
      <c r="V505" s="102">
        <v>0.377</v>
      </c>
      <c r="W505" s="7"/>
      <c r="X505" t="s">
        <v>918</v>
      </c>
    </row>
    <row r="506" spans="1:24" x14ac:dyDescent="0.15">
      <c r="A506" t="s">
        <v>879</v>
      </c>
      <c r="B506" t="s">
        <v>328</v>
      </c>
      <c r="C506" s="4"/>
      <c r="D506" t="s">
        <v>86</v>
      </c>
      <c r="E506" s="3">
        <v>3</v>
      </c>
      <c r="G506">
        <v>0.3</v>
      </c>
      <c r="H506" s="5">
        <v>5.7</v>
      </c>
      <c r="I506" s="3" t="s">
        <v>170</v>
      </c>
      <c r="J506" s="59">
        <v>45085</v>
      </c>
      <c r="K506" s="59"/>
      <c r="L506" s="59" t="e" cm="1">
        <f t="array" ref="L506">INDEX($J$4:J1596, MATCH(1,(A506=$A$4:A1594)*("Y"=$K$4:K1596),0))</f>
        <v>#N/A</v>
      </c>
      <c r="M506" s="1">
        <v>1000000</v>
      </c>
      <c r="N506">
        <v>5</v>
      </c>
      <c r="O506">
        <v>5</v>
      </c>
      <c r="P506">
        <v>2</v>
      </c>
      <c r="Q506" s="6">
        <f>(SUM(Pcfu43[[#This Row],[R1]:[R3]]))/(Pcfu43[[#This Row],[No. Reps]]*0.015)*Pcfu43[[#This Row],[Best DF]]</f>
        <v>266666666.66666669</v>
      </c>
      <c r="R506" s="1">
        <f>_xlfn.STDEV.S(Pcfu43[[#This Row],[R1]:[R3]])/0.015*Pcfu43[[#This Row],[Best DF]]</f>
        <v>115470053.83792515</v>
      </c>
      <c r="S506" s="6">
        <f>Pcfu43[[#This Row],[CFU/mL]]*Pcfu43[[#This Row],[mL]]/Pcfu43[[#This Row],[grams]]</f>
        <v>5066666666.6666679</v>
      </c>
      <c r="T506" s="1">
        <f>Pcfu43[[#This Row],[SD CFU/mL]]*Pcfu43[[#This Row],[mL]]/Pcfu43[[#This Row],[grams]]</f>
        <v>2193931022.920578</v>
      </c>
      <c r="U506" s="7">
        <f>_xlfn.STDEV.S(Pcfu43[[#This Row],[R1]:[R3]])/AVERAGE(Pcfu43[[#This Row],[R1]:[R3]])</f>
        <v>0.4330127018922193</v>
      </c>
      <c r="V506" s="102">
        <v>0.41399999999999998</v>
      </c>
      <c r="W506" s="7"/>
      <c r="X506" t="s">
        <v>1055</v>
      </c>
    </row>
    <row r="507" spans="1:24" x14ac:dyDescent="0.15">
      <c r="A507" t="s">
        <v>880</v>
      </c>
      <c r="B507" t="s">
        <v>328</v>
      </c>
      <c r="C507" s="4"/>
      <c r="D507" t="s">
        <v>86</v>
      </c>
      <c r="E507" s="3">
        <v>3</v>
      </c>
      <c r="G507">
        <v>0.3</v>
      </c>
      <c r="H507" s="5">
        <v>5.7</v>
      </c>
      <c r="I507" s="3" t="s">
        <v>170</v>
      </c>
      <c r="J507" s="59">
        <v>45085</v>
      </c>
      <c r="K507" s="59"/>
      <c r="L507" s="59" t="e" cm="1">
        <f t="array" ref="L507">INDEX($J$4:J1597, MATCH(1,(A507=$A$4:A1595)*("Y"=$K$4:K1597),0))</f>
        <v>#N/A</v>
      </c>
      <c r="M507" s="1">
        <v>1000000</v>
      </c>
      <c r="N507">
        <v>13</v>
      </c>
      <c r="O507">
        <v>8</v>
      </c>
      <c r="P507">
        <v>14</v>
      </c>
      <c r="Q507" s="6">
        <f>(SUM(Pcfu43[[#This Row],[R1]:[R3]]))/(Pcfu43[[#This Row],[No. Reps]]*0.015)*Pcfu43[[#This Row],[Best DF]]</f>
        <v>777777777.77777779</v>
      </c>
      <c r="R507" s="1">
        <f>_xlfn.STDEV.S(Pcfu43[[#This Row],[R1]:[R3]])/0.015*Pcfu43[[#This Row],[Best DF]]</f>
        <v>214303350.244288</v>
      </c>
      <c r="S507" s="6">
        <f>Pcfu43[[#This Row],[CFU/mL]]*Pcfu43[[#This Row],[mL]]/Pcfu43[[#This Row],[grams]]</f>
        <v>14777777777.777781</v>
      </c>
      <c r="T507" s="1">
        <f>Pcfu43[[#This Row],[SD CFU/mL]]*Pcfu43[[#This Row],[mL]]/Pcfu43[[#This Row],[grams]]</f>
        <v>4071763654.6414719</v>
      </c>
      <c r="U507" s="7">
        <f>_xlfn.STDEV.S(Pcfu43[[#This Row],[R1]:[R3]])/AVERAGE(Pcfu43[[#This Row],[R1]:[R3]])</f>
        <v>0.27553287888551314</v>
      </c>
      <c r="V507" s="102">
        <v>0.34</v>
      </c>
      <c r="W507" s="7"/>
      <c r="X507" t="s">
        <v>1056</v>
      </c>
    </row>
    <row r="508" spans="1:24" x14ac:dyDescent="0.15">
      <c r="A508" t="s">
        <v>919</v>
      </c>
      <c r="B508" t="s">
        <v>328</v>
      </c>
      <c r="C508" s="4"/>
      <c r="D508" t="s">
        <v>86</v>
      </c>
      <c r="E508" s="3">
        <v>3</v>
      </c>
      <c r="G508">
        <v>0.3</v>
      </c>
      <c r="H508" s="5">
        <v>5.7</v>
      </c>
      <c r="I508" s="3" t="s">
        <v>170</v>
      </c>
      <c r="J508" s="59">
        <v>45085</v>
      </c>
      <c r="K508" s="59"/>
      <c r="L508" s="59" t="e" cm="1">
        <f t="array" ref="L508">INDEX($J$4:J1598, MATCH(1,(A508=$A$4:A1596)*("Y"=$K$4:K1598),0))</f>
        <v>#N/A</v>
      </c>
      <c r="M508" s="1">
        <v>1000000</v>
      </c>
      <c r="N508">
        <v>3</v>
      </c>
      <c r="O508">
        <v>3</v>
      </c>
      <c r="P508">
        <v>3</v>
      </c>
      <c r="Q508" s="6">
        <f>(SUM(Pcfu43[[#This Row],[R1]:[R3]]))/(Pcfu43[[#This Row],[No. Reps]]*0.015)*Pcfu43[[#This Row],[Best DF]]</f>
        <v>200000000</v>
      </c>
      <c r="R508" s="1">
        <f>_xlfn.STDEV.S(Pcfu43[[#This Row],[R1]:[R3]])/0.015*Pcfu43[[#This Row],[Best DF]]</f>
        <v>0</v>
      </c>
      <c r="S508" s="6">
        <f>Pcfu43[[#This Row],[CFU/mL]]*Pcfu43[[#This Row],[mL]]/Pcfu43[[#This Row],[grams]]</f>
        <v>3800000000</v>
      </c>
      <c r="T508" s="1">
        <f>Pcfu43[[#This Row],[SD CFU/mL]]*Pcfu43[[#This Row],[mL]]/Pcfu43[[#This Row],[grams]]</f>
        <v>0</v>
      </c>
      <c r="U508" s="7">
        <f>_xlfn.STDEV.S(Pcfu43[[#This Row],[R1]:[R3]])/AVERAGE(Pcfu43[[#This Row],[R1]:[R3]])</f>
        <v>0</v>
      </c>
      <c r="V508" s="102">
        <v>0.31900000000000001</v>
      </c>
      <c r="W508" s="7"/>
      <c r="X508" t="s">
        <v>419</v>
      </c>
    </row>
    <row r="509" spans="1:24" x14ac:dyDescent="0.15">
      <c r="A509" t="s">
        <v>785</v>
      </c>
      <c r="B509" t="s">
        <v>328</v>
      </c>
      <c r="C509" s="4"/>
      <c r="D509" t="s">
        <v>86</v>
      </c>
      <c r="E509" s="3">
        <v>3</v>
      </c>
      <c r="G509">
        <v>0.3</v>
      </c>
      <c r="H509" s="5">
        <v>5.7</v>
      </c>
      <c r="I509" s="3" t="s">
        <v>170</v>
      </c>
      <c r="J509" s="59">
        <v>45085</v>
      </c>
      <c r="K509" s="59"/>
      <c r="L509" s="59" t="e" cm="1">
        <f t="array" ref="L509">INDEX($J$4:J1599, MATCH(1,(A509=$A$4:A1597)*("Y"=$K$4:K1599),0))</f>
        <v>#N/A</v>
      </c>
      <c r="M509" s="1">
        <v>1000000</v>
      </c>
      <c r="N509">
        <v>58</v>
      </c>
      <c r="O509">
        <v>50</v>
      </c>
      <c r="P509">
        <v>49</v>
      </c>
      <c r="Q509" s="6">
        <f>(SUM(Pcfu43[[#This Row],[R1]:[R3]]))/(Pcfu43[[#This Row],[No. Reps]]*0.015)*Pcfu43[[#This Row],[Best DF]]</f>
        <v>3488888888.8888893</v>
      </c>
      <c r="R509" s="1">
        <f>_xlfn.STDEV.S(Pcfu43[[#This Row],[R1]:[R3]])/0.015*Pcfu43[[#This Row],[Best DF]]</f>
        <v>328858857.48774987</v>
      </c>
      <c r="S509" s="6">
        <f>Pcfu43[[#This Row],[CFU/mL]]*Pcfu43[[#This Row],[mL]]/Pcfu43[[#This Row],[grams]]</f>
        <v>66288888888.888893</v>
      </c>
      <c r="T509" s="1">
        <f>Pcfu43[[#This Row],[SD CFU/mL]]*Pcfu43[[#This Row],[mL]]/Pcfu43[[#This Row],[grams]]</f>
        <v>6248318292.2672482</v>
      </c>
      <c r="U509" s="7">
        <f>_xlfn.STDEV.S(Pcfu43[[#This Row],[R1]:[R3]])/AVERAGE(Pcfu43[[#This Row],[R1]:[R3]])</f>
        <v>9.4258908197125749E-2</v>
      </c>
      <c r="V509" s="102"/>
      <c r="W509" s="7"/>
    </row>
    <row r="510" spans="1:24" x14ac:dyDescent="0.15">
      <c r="A510" t="s">
        <v>787</v>
      </c>
      <c r="B510" t="s">
        <v>328</v>
      </c>
      <c r="C510" s="4"/>
      <c r="D510" t="s">
        <v>86</v>
      </c>
      <c r="E510" s="3">
        <v>3</v>
      </c>
      <c r="G510">
        <v>0.3</v>
      </c>
      <c r="H510" s="5">
        <v>5.7</v>
      </c>
      <c r="I510" s="3" t="s">
        <v>170</v>
      </c>
      <c r="J510" s="59">
        <v>45085</v>
      </c>
      <c r="K510" s="59"/>
      <c r="L510" s="59" t="e" cm="1">
        <f t="array" ref="L510">INDEX($J$4:J1600, MATCH(1,(A510=$A$4:A1598)*("Y"=$K$4:K1600),0))</f>
        <v>#N/A</v>
      </c>
      <c r="M510" s="1">
        <v>1000000</v>
      </c>
      <c r="N510">
        <v>67</v>
      </c>
      <c r="O510">
        <v>51</v>
      </c>
      <c r="P510">
        <v>65</v>
      </c>
      <c r="Q510" s="6">
        <f>(SUM(Pcfu43[[#This Row],[R1]:[R3]]))/(Pcfu43[[#This Row],[No. Reps]]*0.015)*Pcfu43[[#This Row],[Best DF]]</f>
        <v>4066666666.666667</v>
      </c>
      <c r="R510" s="1">
        <f>_xlfn.STDEV.S(Pcfu43[[#This Row],[R1]:[R3]])/0.015*Pcfu43[[#This Row],[Best DF]]</f>
        <v>581186525.80542326</v>
      </c>
      <c r="S510" s="6">
        <f>Pcfu43[[#This Row],[CFU/mL]]*Pcfu43[[#This Row],[mL]]/Pcfu43[[#This Row],[grams]]</f>
        <v>77266666666.666687</v>
      </c>
      <c r="T510" s="1">
        <f>Pcfu43[[#This Row],[SD CFU/mL]]*Pcfu43[[#This Row],[mL]]/Pcfu43[[#This Row],[grams]]</f>
        <v>11042543990.303043</v>
      </c>
      <c r="U510" s="7">
        <f>_xlfn.STDEV.S(Pcfu43[[#This Row],[R1]:[R3]])/AVERAGE(Pcfu43[[#This Row],[R1]:[R3]])</f>
        <v>0.14291471946034998</v>
      </c>
      <c r="V510" s="102"/>
      <c r="W510" s="7"/>
    </row>
    <row r="511" spans="1:24" x14ac:dyDescent="0.15">
      <c r="A511" t="s">
        <v>789</v>
      </c>
      <c r="B511" t="s">
        <v>328</v>
      </c>
      <c r="C511" s="4"/>
      <c r="D511" t="s">
        <v>86</v>
      </c>
      <c r="E511" s="3">
        <v>3</v>
      </c>
      <c r="G511">
        <v>0.3</v>
      </c>
      <c r="H511" s="5">
        <v>5.7</v>
      </c>
      <c r="I511" s="3" t="s">
        <v>170</v>
      </c>
      <c r="J511" s="59">
        <v>45085</v>
      </c>
      <c r="K511" s="59"/>
      <c r="L511" s="59" t="e" cm="1">
        <f t="array" ref="L511">INDEX($J$4:J1601, MATCH(1,(A511=$A$4:A1599)*("Y"=$K$4:K1601),0))</f>
        <v>#N/A</v>
      </c>
      <c r="M511" s="1">
        <v>1000000</v>
      </c>
      <c r="N511">
        <v>68</v>
      </c>
      <c r="O511">
        <v>69</v>
      </c>
      <c r="P511">
        <v>58</v>
      </c>
      <c r="Q511" s="6">
        <f>(SUM(Pcfu43[[#This Row],[R1]:[R3]]))/(Pcfu43[[#This Row],[No. Reps]]*0.015)*Pcfu43[[#This Row],[Best DF]]</f>
        <v>4333333333.333334</v>
      </c>
      <c r="R511" s="1">
        <f>_xlfn.STDEV.S(Pcfu43[[#This Row],[R1]:[R3]])/0.015*Pcfu43[[#This Row],[Best DF]]</f>
        <v>405517502.01988131</v>
      </c>
      <c r="S511" s="6">
        <f>Pcfu43[[#This Row],[CFU/mL]]*Pcfu43[[#This Row],[mL]]/Pcfu43[[#This Row],[grams]]</f>
        <v>82333333333.333344</v>
      </c>
      <c r="T511" s="1">
        <f>Pcfu43[[#This Row],[SD CFU/mL]]*Pcfu43[[#This Row],[mL]]/Pcfu43[[#This Row],[grams]]</f>
        <v>7704832538.3777447</v>
      </c>
      <c r="U511" s="7">
        <f>_xlfn.STDEV.S(Pcfu43[[#This Row],[R1]:[R3]])/AVERAGE(Pcfu43[[#This Row],[R1]:[R3]])</f>
        <v>9.3580962004587986E-2</v>
      </c>
      <c r="V511" s="102"/>
      <c r="W511" s="7"/>
    </row>
    <row r="512" spans="1:24" x14ac:dyDescent="0.15">
      <c r="A512" t="s">
        <v>800</v>
      </c>
      <c r="B512" t="s">
        <v>328</v>
      </c>
      <c r="C512" s="4"/>
      <c r="D512" t="s">
        <v>86</v>
      </c>
      <c r="E512" s="3">
        <v>3</v>
      </c>
      <c r="G512">
        <v>0.3</v>
      </c>
      <c r="H512" s="5">
        <v>5.7</v>
      </c>
      <c r="I512" s="3" t="s">
        <v>170</v>
      </c>
      <c r="J512" s="59">
        <v>45085</v>
      </c>
      <c r="K512" s="59"/>
      <c r="L512" s="59" t="e" cm="1">
        <f t="array" ref="L512">INDEX($J$4:J1602, MATCH(1,(A512=$A$4:A1600)*("Y"=$K$4:K1602),0))</f>
        <v>#N/A</v>
      </c>
      <c r="M512" s="1">
        <v>1000000</v>
      </c>
      <c r="N512">
        <v>80</v>
      </c>
      <c r="O512">
        <v>81</v>
      </c>
      <c r="P512">
        <v>75</v>
      </c>
      <c r="Q512" s="6">
        <f>(SUM(Pcfu43[[#This Row],[R1]:[R3]]))/(Pcfu43[[#This Row],[No. Reps]]*0.015)*Pcfu43[[#This Row],[Best DF]]</f>
        <v>5244444444.4444447</v>
      </c>
      <c r="R512" s="1">
        <f>_xlfn.STDEV.S(Pcfu43[[#This Row],[R1]:[R3]])/0.015*Pcfu43[[#This Row],[Best DF]]</f>
        <v>214303350.24428788</v>
      </c>
      <c r="S512" s="6">
        <f>Pcfu43[[#This Row],[CFU/mL]]*Pcfu43[[#This Row],[mL]]/Pcfu43[[#This Row],[grams]]</f>
        <v>99644444444.444458</v>
      </c>
      <c r="T512" s="1">
        <f>Pcfu43[[#This Row],[SD CFU/mL]]*Pcfu43[[#This Row],[mL]]/Pcfu43[[#This Row],[grams]]</f>
        <v>4071763654.6414704</v>
      </c>
      <c r="U512" s="7">
        <f>_xlfn.STDEV.S(Pcfu43[[#This Row],[R1]:[R3]])/AVERAGE(Pcfu43[[#This Row],[R1]:[R3]])</f>
        <v>4.0862926953359975E-2</v>
      </c>
      <c r="V512" s="102"/>
      <c r="W512" s="7"/>
    </row>
    <row r="513" spans="1:24" x14ac:dyDescent="0.15">
      <c r="A513" t="s">
        <v>803</v>
      </c>
      <c r="B513" t="s">
        <v>328</v>
      </c>
      <c r="C513" s="4"/>
      <c r="D513" t="s">
        <v>86</v>
      </c>
      <c r="E513" s="3">
        <v>3</v>
      </c>
      <c r="G513">
        <v>0.3</v>
      </c>
      <c r="H513" s="5">
        <v>5.7</v>
      </c>
      <c r="I513" s="3" t="s">
        <v>170</v>
      </c>
      <c r="J513" s="59">
        <v>45085</v>
      </c>
      <c r="K513" s="59"/>
      <c r="L513" s="59" t="e" cm="1">
        <f t="array" ref="L513">INDEX($J$4:J1603, MATCH(1,(A513=$A$4:A1601)*("Y"=$K$4:K1603),0))</f>
        <v>#N/A</v>
      </c>
      <c r="M513" s="1">
        <v>1000000</v>
      </c>
      <c r="N513">
        <v>81</v>
      </c>
      <c r="O513">
        <v>89</v>
      </c>
      <c r="P513">
        <v>77</v>
      </c>
      <c r="Q513" s="6">
        <f>(SUM(Pcfu43[[#This Row],[R1]:[R3]]))/(Pcfu43[[#This Row],[No. Reps]]*0.015)*Pcfu43[[#This Row],[Best DF]]</f>
        <v>5488888888.8888884</v>
      </c>
      <c r="R513" s="1">
        <f>_xlfn.STDEV.S(Pcfu43[[#This Row],[R1]:[R3]])/0.015*Pcfu43[[#This Row],[Best DF]]</f>
        <v>407340061.77385241</v>
      </c>
      <c r="S513" s="6">
        <f>Pcfu43[[#This Row],[CFU/mL]]*Pcfu43[[#This Row],[mL]]/Pcfu43[[#This Row],[grams]]</f>
        <v>104288888888.88889</v>
      </c>
      <c r="T513" s="1">
        <f>Pcfu43[[#This Row],[SD CFU/mL]]*Pcfu43[[#This Row],[mL]]/Pcfu43[[#This Row],[grams]]</f>
        <v>7739461173.7031956</v>
      </c>
      <c r="U513" s="7">
        <f>_xlfn.STDEV.S(Pcfu43[[#This Row],[R1]:[R3]])/AVERAGE(Pcfu43[[#This Row],[R1]:[R3]])</f>
        <v>7.4211752145033838E-2</v>
      </c>
      <c r="V513" s="102"/>
      <c r="W513" s="7"/>
    </row>
    <row r="514" spans="1:24" x14ac:dyDescent="0.15">
      <c r="A514" t="s">
        <v>804</v>
      </c>
      <c r="B514" t="s">
        <v>328</v>
      </c>
      <c r="C514" s="4"/>
      <c r="D514" t="s">
        <v>86</v>
      </c>
      <c r="E514" s="3">
        <v>3</v>
      </c>
      <c r="G514">
        <v>0.3</v>
      </c>
      <c r="H514" s="5">
        <v>5.7</v>
      </c>
      <c r="I514" s="3" t="s">
        <v>170</v>
      </c>
      <c r="J514" s="59">
        <v>45085</v>
      </c>
      <c r="K514" s="59"/>
      <c r="L514" s="59" t="e" cm="1">
        <f t="array" ref="L514">INDEX($J$4:J1604, MATCH(1,(A514=$A$4:A1602)*("Y"=$K$4:K1604),0))</f>
        <v>#N/A</v>
      </c>
      <c r="M514" s="1">
        <v>1000000</v>
      </c>
      <c r="N514">
        <v>65</v>
      </c>
      <c r="O514">
        <v>65</v>
      </c>
      <c r="P514">
        <v>76</v>
      </c>
      <c r="Q514" s="6">
        <f>(SUM(Pcfu43[[#This Row],[R1]:[R3]]))/(Pcfu43[[#This Row],[No. Reps]]*0.015)*Pcfu43[[#This Row],[Best DF]]</f>
        <v>4577777777.7777786</v>
      </c>
      <c r="R514" s="1">
        <f>_xlfn.STDEV.S(Pcfu43[[#This Row],[R1]:[R3]])/0.015*Pcfu43[[#This Row],[Best DF]]</f>
        <v>423390197.40572554</v>
      </c>
      <c r="S514" s="6">
        <f>Pcfu43[[#This Row],[CFU/mL]]*Pcfu43[[#This Row],[mL]]/Pcfu43[[#This Row],[grams]]</f>
        <v>86977777777.777802</v>
      </c>
      <c r="T514" s="1">
        <f>Pcfu43[[#This Row],[SD CFU/mL]]*Pcfu43[[#This Row],[mL]]/Pcfu43[[#This Row],[grams]]</f>
        <v>8044413750.7087851</v>
      </c>
      <c r="U514" s="7">
        <f>_xlfn.STDEV.S(Pcfu43[[#This Row],[R1]:[R3]])/AVERAGE(Pcfu43[[#This Row],[R1]:[R3]])</f>
        <v>9.2488149918726434E-2</v>
      </c>
      <c r="V514" s="102"/>
      <c r="W514" s="7"/>
    </row>
    <row r="515" spans="1:24" x14ac:dyDescent="0.15">
      <c r="A515" t="s">
        <v>1057</v>
      </c>
      <c r="B515" t="s">
        <v>328</v>
      </c>
      <c r="C515" s="4"/>
      <c r="D515" t="s">
        <v>86</v>
      </c>
      <c r="E515" s="3">
        <v>3</v>
      </c>
      <c r="G515">
        <v>0.3</v>
      </c>
      <c r="H515" s="5">
        <v>5.7</v>
      </c>
      <c r="I515" s="3" t="s">
        <v>170</v>
      </c>
      <c r="J515" s="59">
        <v>45085</v>
      </c>
      <c r="K515" s="59"/>
      <c r="L515" s="59" t="e" cm="1">
        <f t="array" ref="L515">INDEX($J$4:J1605, MATCH(1,(A515=$A$4:A1603)*("Y"=$K$4:K1605),0))</f>
        <v>#N/A</v>
      </c>
      <c r="M515" s="1">
        <v>1000000</v>
      </c>
      <c r="N515">
        <v>75</v>
      </c>
      <c r="O515">
        <v>86</v>
      </c>
      <c r="P515">
        <v>74</v>
      </c>
      <c r="Q515" s="6">
        <f>(SUM(Pcfu43[[#This Row],[R1]:[R3]]))/(Pcfu43[[#This Row],[No. Reps]]*0.015)*Pcfu43[[#This Row],[Best DF]]</f>
        <v>5222222222.2222223</v>
      </c>
      <c r="R515" s="1">
        <f>_xlfn.STDEV.S(Pcfu43[[#This Row],[R1]:[R3]])/0.015*Pcfu43[[#This Row],[Best DF]]</f>
        <v>443888541.23195952</v>
      </c>
      <c r="S515" s="6">
        <f>Pcfu43[[#This Row],[CFU/mL]]*Pcfu43[[#This Row],[mL]]/Pcfu43[[#This Row],[grams]]</f>
        <v>99222222222.222229</v>
      </c>
      <c r="T515" s="1">
        <f>Pcfu43[[#This Row],[SD CFU/mL]]*Pcfu43[[#This Row],[mL]]/Pcfu43[[#This Row],[grams]]</f>
        <v>8433882283.4072323</v>
      </c>
      <c r="U515" s="7">
        <f>_xlfn.STDEV.S(Pcfu43[[#This Row],[R1]:[R3]])/AVERAGE(Pcfu43[[#This Row],[R1]:[R3]])</f>
        <v>8.4999933427396507E-2</v>
      </c>
      <c r="V515" s="102"/>
      <c r="W515" s="7"/>
    </row>
    <row r="516" spans="1:24" x14ac:dyDescent="0.15">
      <c r="A516" t="s">
        <v>1058</v>
      </c>
      <c r="B516" t="s">
        <v>328</v>
      </c>
      <c r="C516" s="4"/>
      <c r="D516" t="s">
        <v>86</v>
      </c>
      <c r="E516" s="3">
        <v>3</v>
      </c>
      <c r="G516">
        <v>0.3</v>
      </c>
      <c r="H516" s="5">
        <v>5.7</v>
      </c>
      <c r="I516" s="3" t="s">
        <v>170</v>
      </c>
      <c r="J516" s="59">
        <v>45085</v>
      </c>
      <c r="K516" s="59"/>
      <c r="L516" s="59" t="e" cm="1">
        <f t="array" ref="L516">INDEX($J$4:J1606, MATCH(1,(A516=$A$4:A1604)*("Y"=$K$4:K1606),0))</f>
        <v>#N/A</v>
      </c>
      <c r="M516" s="1">
        <v>1000000</v>
      </c>
      <c r="N516">
        <v>77</v>
      </c>
      <c r="O516">
        <v>84</v>
      </c>
      <c r="P516">
        <v>69</v>
      </c>
      <c r="Q516" s="6">
        <f>(SUM(Pcfu43[[#This Row],[R1]:[R3]]))/(Pcfu43[[#This Row],[No. Reps]]*0.015)*Pcfu43[[#This Row],[Best DF]]</f>
        <v>5111111111.1111116</v>
      </c>
      <c r="R516" s="1">
        <f>_xlfn.STDEV.S(Pcfu43[[#This Row],[R1]:[R3]])/0.015*Pcfu43[[#This Row],[Best DF]]</f>
        <v>500370233.29767567</v>
      </c>
      <c r="S516" s="6">
        <f>Pcfu43[[#This Row],[CFU/mL]]*Pcfu43[[#This Row],[mL]]/Pcfu43[[#This Row],[grams]]</f>
        <v>97111111111.11113</v>
      </c>
      <c r="T516" s="1">
        <f>Pcfu43[[#This Row],[SD CFU/mL]]*Pcfu43[[#This Row],[mL]]/Pcfu43[[#This Row],[grams]]</f>
        <v>9507034432.655838</v>
      </c>
      <c r="U516" s="7">
        <f>_xlfn.STDEV.S(Pcfu43[[#This Row],[R1]:[R3]])/AVERAGE(Pcfu43[[#This Row],[R1]:[R3]])</f>
        <v>9.7898523906066973E-2</v>
      </c>
      <c r="V516" s="102"/>
      <c r="W516" s="7"/>
    </row>
    <row r="517" spans="1:24" x14ac:dyDescent="0.15">
      <c r="A517" t="s">
        <v>1059</v>
      </c>
      <c r="B517" t="s">
        <v>328</v>
      </c>
      <c r="C517" s="4"/>
      <c r="D517" t="s">
        <v>86</v>
      </c>
      <c r="E517" s="3">
        <v>3</v>
      </c>
      <c r="G517">
        <v>0.3</v>
      </c>
      <c r="H517" s="5">
        <v>5.7</v>
      </c>
      <c r="I517" s="3" t="s">
        <v>170</v>
      </c>
      <c r="J517" s="59">
        <v>45085</v>
      </c>
      <c r="K517" s="59"/>
      <c r="L517" s="59" t="e" cm="1">
        <f t="array" ref="L517">INDEX($J$4:J1607, MATCH(1,(A517=$A$4:A1605)*("Y"=$K$4:K1607),0))</f>
        <v>#N/A</v>
      </c>
      <c r="M517" s="1">
        <v>1000000</v>
      </c>
      <c r="N517">
        <v>87</v>
      </c>
      <c r="O517">
        <v>85</v>
      </c>
      <c r="P517">
        <v>82</v>
      </c>
      <c r="Q517" s="6">
        <f>(SUM(Pcfu43[[#This Row],[R1]:[R3]]))/(Pcfu43[[#This Row],[No. Reps]]*0.015)*Pcfu43[[#This Row],[Best DF]]</f>
        <v>5644444444.4444447</v>
      </c>
      <c r="R517" s="1">
        <f>_xlfn.STDEV.S(Pcfu43[[#This Row],[R1]:[R3]])/0.015*Pcfu43[[#This Row],[Best DF]]</f>
        <v>167774098.56157222</v>
      </c>
      <c r="S517" s="6">
        <f>Pcfu43[[#This Row],[CFU/mL]]*Pcfu43[[#This Row],[mL]]/Pcfu43[[#This Row],[grams]]</f>
        <v>107244444444.44446</v>
      </c>
      <c r="T517" s="1">
        <f>Pcfu43[[#This Row],[SD CFU/mL]]*Pcfu43[[#This Row],[mL]]/Pcfu43[[#This Row],[grams]]</f>
        <v>3187707872.6698728</v>
      </c>
      <c r="U517" s="7">
        <f>_xlfn.STDEV.S(Pcfu43[[#This Row],[R1]:[R3]])/AVERAGE(Pcfu43[[#This Row],[R1]:[R3]])</f>
        <v>2.9723757619176183E-2</v>
      </c>
      <c r="V517" s="102"/>
      <c r="W517" s="7"/>
    </row>
    <row r="518" spans="1:24" x14ac:dyDescent="0.15">
      <c r="A518" t="s">
        <v>805</v>
      </c>
      <c r="B518" t="s">
        <v>328</v>
      </c>
      <c r="C518" s="4"/>
      <c r="D518" t="s">
        <v>86</v>
      </c>
      <c r="E518" s="3">
        <v>3</v>
      </c>
      <c r="G518">
        <v>0.3</v>
      </c>
      <c r="H518" s="5">
        <v>5.7</v>
      </c>
      <c r="I518" s="3" t="s">
        <v>170</v>
      </c>
      <c r="J518" s="59">
        <v>45085</v>
      </c>
      <c r="K518" s="59"/>
      <c r="L518" s="59" t="e" cm="1">
        <f t="array" ref="L518">INDEX($J$4:J1608, MATCH(1,(A518=$A$4:A1606)*("Y"=$K$4:K1608),0))</f>
        <v>#N/A</v>
      </c>
      <c r="M518" s="1">
        <v>1000000</v>
      </c>
      <c r="N518">
        <v>95</v>
      </c>
      <c r="O518">
        <v>83</v>
      </c>
      <c r="P518">
        <v>91</v>
      </c>
      <c r="Q518" s="6">
        <f>(SUM(Pcfu43[[#This Row],[R1]:[R3]]))/(Pcfu43[[#This Row],[No. Reps]]*0.015)*Pcfu43[[#This Row],[Best DF]]</f>
        <v>5977777777.7777786</v>
      </c>
      <c r="R518" s="1">
        <f>_xlfn.STDEV.S(Pcfu43[[#This Row],[R1]:[R3]])/0.015*Pcfu43[[#This Row],[Best DF]]</f>
        <v>407340061.77385247</v>
      </c>
      <c r="S518" s="6">
        <f>Pcfu43[[#This Row],[CFU/mL]]*Pcfu43[[#This Row],[mL]]/Pcfu43[[#This Row],[grams]]</f>
        <v>113577777777.7778</v>
      </c>
      <c r="T518" s="1">
        <f>Pcfu43[[#This Row],[SD CFU/mL]]*Pcfu43[[#This Row],[mL]]/Pcfu43[[#This Row],[grams]]</f>
        <v>7739461173.7031975</v>
      </c>
      <c r="U518" s="7">
        <f>_xlfn.STDEV.S(Pcfu43[[#This Row],[R1]:[R3]])/AVERAGE(Pcfu43[[#This Row],[R1]:[R3]])</f>
        <v>6.8142389516071974E-2</v>
      </c>
      <c r="V518" s="102"/>
      <c r="W518" s="7"/>
    </row>
    <row r="519" spans="1:24" x14ac:dyDescent="0.15">
      <c r="A519" t="s">
        <v>806</v>
      </c>
      <c r="B519" t="s">
        <v>328</v>
      </c>
      <c r="C519" s="4"/>
      <c r="D519" t="s">
        <v>86</v>
      </c>
      <c r="E519" s="3">
        <v>3</v>
      </c>
      <c r="G519">
        <v>0.3</v>
      </c>
      <c r="H519" s="5">
        <v>5.7</v>
      </c>
      <c r="I519" s="3" t="s">
        <v>170</v>
      </c>
      <c r="J519" s="59">
        <v>45085</v>
      </c>
      <c r="K519" s="59"/>
      <c r="L519" s="59" t="e" cm="1">
        <f t="array" ref="L519">INDEX($J$4:J1609, MATCH(1,(A519=$A$4:A1607)*("Y"=$K$4:K1609),0))</f>
        <v>#N/A</v>
      </c>
      <c r="M519" s="1">
        <v>1000000</v>
      </c>
      <c r="N519">
        <v>79</v>
      </c>
      <c r="O519">
        <v>85</v>
      </c>
      <c r="P519">
        <v>85</v>
      </c>
      <c r="Q519" s="6">
        <f>(SUM(Pcfu43[[#This Row],[R1]:[R3]]))/(Pcfu43[[#This Row],[No. Reps]]*0.015)*Pcfu43[[#This Row],[Best DF]]</f>
        <v>5533333333.333334</v>
      </c>
      <c r="R519" s="1">
        <f>_xlfn.STDEV.S(Pcfu43[[#This Row],[R1]:[R3]])/0.015*Pcfu43[[#This Row],[Best DF]]</f>
        <v>230940107.6758503</v>
      </c>
      <c r="S519" s="6">
        <f>Pcfu43[[#This Row],[CFU/mL]]*Pcfu43[[#This Row],[mL]]/Pcfu43[[#This Row],[grams]]</f>
        <v>105133333333.33334</v>
      </c>
      <c r="T519" s="1">
        <f>Pcfu43[[#This Row],[SD CFU/mL]]*Pcfu43[[#This Row],[mL]]/Pcfu43[[#This Row],[grams]]</f>
        <v>4387862045.841156</v>
      </c>
      <c r="U519" s="7">
        <f>_xlfn.STDEV.S(Pcfu43[[#This Row],[R1]:[R3]])/AVERAGE(Pcfu43[[#This Row],[R1]:[R3]])</f>
        <v>4.1736164037804273E-2</v>
      </c>
      <c r="V519" s="102"/>
      <c r="W519" s="7"/>
    </row>
    <row r="520" spans="1:24" x14ac:dyDescent="0.15">
      <c r="A520" t="s">
        <v>1060</v>
      </c>
      <c r="B520" t="s">
        <v>328</v>
      </c>
      <c r="C520" s="4"/>
      <c r="D520" t="s">
        <v>86</v>
      </c>
      <c r="E520" s="3">
        <v>3</v>
      </c>
      <c r="G520">
        <v>0.3</v>
      </c>
      <c r="H520" s="5">
        <v>5.7</v>
      </c>
      <c r="I520" s="3" t="s">
        <v>170</v>
      </c>
      <c r="J520" s="59">
        <v>45085</v>
      </c>
      <c r="K520" s="59"/>
      <c r="L520" s="59" t="e" cm="1">
        <f t="array" ref="L520">INDEX($J$4:J1610, MATCH(1,(A520=$A$4:A1608)*("Y"=$K$4:K1610),0))</f>
        <v>#N/A</v>
      </c>
      <c r="M520" s="1">
        <v>1000000</v>
      </c>
      <c r="N520">
        <v>86</v>
      </c>
      <c r="O520">
        <v>88</v>
      </c>
      <c r="P520">
        <v>79</v>
      </c>
      <c r="Q520" s="6">
        <f>(SUM(Pcfu43[[#This Row],[R1]:[R3]]))/(Pcfu43[[#This Row],[No. Reps]]*0.015)*Pcfu43[[#This Row],[Best DF]]</f>
        <v>5622222222.2222223</v>
      </c>
      <c r="R520" s="1">
        <f>_xlfn.STDEV.S(Pcfu43[[#This Row],[R1]:[R3]])/0.015*Pcfu43[[#This Row],[Best DF]]</f>
        <v>315054375.08350718</v>
      </c>
      <c r="S520" s="6">
        <f>Pcfu43[[#This Row],[CFU/mL]]*Pcfu43[[#This Row],[mL]]/Pcfu43[[#This Row],[grams]]</f>
        <v>106822222222.22223</v>
      </c>
      <c r="T520" s="1">
        <f>Pcfu43[[#This Row],[SD CFU/mL]]*Pcfu43[[#This Row],[mL]]/Pcfu43[[#This Row],[grams]]</f>
        <v>5986033126.5866365</v>
      </c>
      <c r="U520" s="7">
        <f>_xlfn.STDEV.S(Pcfu43[[#This Row],[R1]:[R3]])/AVERAGE(Pcfu43[[#This Row],[R1]:[R3]])</f>
        <v>5.6037339441730533E-2</v>
      </c>
      <c r="V520" s="102"/>
      <c r="W520" s="7"/>
    </row>
    <row r="521" spans="1:24" x14ac:dyDescent="0.15">
      <c r="A521" t="s">
        <v>1061</v>
      </c>
      <c r="B521" t="s">
        <v>328</v>
      </c>
      <c r="C521" s="4"/>
      <c r="D521" t="s">
        <v>26</v>
      </c>
      <c r="E521" s="3">
        <v>3</v>
      </c>
      <c r="G521">
        <v>0.3</v>
      </c>
      <c r="H521" s="5">
        <v>5.7</v>
      </c>
      <c r="I521" s="3" t="s">
        <v>950</v>
      </c>
      <c r="J521" s="59">
        <v>45089</v>
      </c>
      <c r="K521" s="59"/>
      <c r="L521" s="59" t="e" cm="1">
        <f t="array" ref="L521">INDEX($J$4:J1611, MATCH(1,(A521=$A$4:A1609)*("Y"=$K$4:K1611),0))</f>
        <v>#N/A</v>
      </c>
      <c r="M521" s="1">
        <v>10000</v>
      </c>
      <c r="N521">
        <v>2</v>
      </c>
      <c r="O521">
        <v>2</v>
      </c>
      <c r="P521">
        <v>3</v>
      </c>
      <c r="Q521" s="6">
        <f>(SUM(Pcfu43[[#This Row],[R1]:[R3]]))/(Pcfu43[[#This Row],[No. Reps]]*0.015)*Pcfu43[[#This Row],[Best DF]]</f>
        <v>1555555.5555555557</v>
      </c>
      <c r="R521" s="1">
        <f>_xlfn.STDEV.S(Pcfu43[[#This Row],[R1]:[R3]])/0.015*Pcfu43[[#This Row],[Best DF]]</f>
        <v>384900.17945975089</v>
      </c>
      <c r="S521" s="6">
        <f>Pcfu43[[#This Row],[CFU/mL]]*Pcfu43[[#This Row],[mL]]/Pcfu43[[#This Row],[grams]]</f>
        <v>29555555.55555556</v>
      </c>
      <c r="T521" s="1">
        <f>Pcfu43[[#This Row],[SD CFU/mL]]*Pcfu43[[#This Row],[mL]]/Pcfu43[[#This Row],[grams]]</f>
        <v>7313103.4097352671</v>
      </c>
      <c r="U521" s="7">
        <f>_xlfn.STDEV.S(Pcfu43[[#This Row],[R1]:[R3]])/AVERAGE(Pcfu43[[#This Row],[R1]:[R3]])</f>
        <v>0.24743582965269698</v>
      </c>
      <c r="V521" s="102">
        <v>0.32900000000000001</v>
      </c>
      <c r="W521" s="7"/>
      <c r="X521" t="s">
        <v>975</v>
      </c>
    </row>
    <row r="522" spans="1:24" x14ac:dyDescent="0.15">
      <c r="A522" t="s">
        <v>796</v>
      </c>
      <c r="B522" t="s">
        <v>328</v>
      </c>
      <c r="C522" s="4"/>
      <c r="D522" t="s">
        <v>26</v>
      </c>
      <c r="E522" s="3">
        <v>3</v>
      </c>
      <c r="G522">
        <v>0.3</v>
      </c>
      <c r="H522" s="5">
        <v>5.7</v>
      </c>
      <c r="I522" s="3" t="s">
        <v>950</v>
      </c>
      <c r="J522" s="59">
        <v>45089</v>
      </c>
      <c r="K522" s="59"/>
      <c r="L522" s="59" t="e" cm="1">
        <f t="array" ref="L522">INDEX($J$4:J1612, MATCH(1,(A522=$A$4:A1610)*("Y"=$K$4:K1612),0))</f>
        <v>#N/A</v>
      </c>
      <c r="M522" s="1">
        <v>10000</v>
      </c>
      <c r="N522">
        <v>2</v>
      </c>
      <c r="O522">
        <v>3</v>
      </c>
      <c r="P522">
        <v>4</v>
      </c>
      <c r="Q522" s="6">
        <f>(SUM(Pcfu43[[#This Row],[R1]:[R3]]))/(Pcfu43[[#This Row],[No. Reps]]*0.015)*Pcfu43[[#This Row],[Best DF]]</f>
        <v>2000000</v>
      </c>
      <c r="R522" s="1">
        <f>_xlfn.STDEV.S(Pcfu43[[#This Row],[R1]:[R3]])/0.015*Pcfu43[[#This Row],[Best DF]]</f>
        <v>666666.66666666674</v>
      </c>
      <c r="S522" s="6">
        <f>Pcfu43[[#This Row],[CFU/mL]]*Pcfu43[[#This Row],[mL]]/Pcfu43[[#This Row],[grams]]</f>
        <v>38000000</v>
      </c>
      <c r="T522" s="1">
        <f>Pcfu43[[#This Row],[SD CFU/mL]]*Pcfu43[[#This Row],[mL]]/Pcfu43[[#This Row],[grams]]</f>
        <v>12666666.666666668</v>
      </c>
      <c r="U522" s="7">
        <f>_xlfn.STDEV.S(Pcfu43[[#This Row],[R1]:[R3]])/AVERAGE(Pcfu43[[#This Row],[R1]:[R3]])</f>
        <v>0.33333333333333331</v>
      </c>
      <c r="V522" s="102">
        <v>0.28299999999999997</v>
      </c>
      <c r="W522" s="7"/>
      <c r="X522" t="s">
        <v>1030</v>
      </c>
    </row>
    <row r="523" spans="1:24" x14ac:dyDescent="0.15">
      <c r="A523" t="s">
        <v>797</v>
      </c>
      <c r="B523" t="s">
        <v>328</v>
      </c>
      <c r="C523" s="4"/>
      <c r="D523" t="s">
        <v>26</v>
      </c>
      <c r="E523" s="3">
        <v>3</v>
      </c>
      <c r="G523">
        <v>0.3</v>
      </c>
      <c r="H523" s="5">
        <v>5.7</v>
      </c>
      <c r="I523" s="3" t="s">
        <v>950</v>
      </c>
      <c r="J523" s="59">
        <v>45089</v>
      </c>
      <c r="K523" s="59"/>
      <c r="L523" s="59" t="e" cm="1">
        <f t="array" ref="L523">INDEX($J$4:J1613, MATCH(1,(A523=$A$4:A1611)*("Y"=$K$4:K1613),0))</f>
        <v>#N/A</v>
      </c>
      <c r="M523" s="1">
        <v>10000</v>
      </c>
      <c r="N523">
        <v>1</v>
      </c>
      <c r="O523">
        <v>3</v>
      </c>
      <c r="P523">
        <v>3</v>
      </c>
      <c r="Q523" s="6">
        <f>(SUM(Pcfu43[[#This Row],[R1]:[R3]]))/(Pcfu43[[#This Row],[No. Reps]]*0.015)*Pcfu43[[#This Row],[Best DF]]</f>
        <v>1555555.5555555557</v>
      </c>
      <c r="R523" s="1">
        <f>_xlfn.STDEV.S(Pcfu43[[#This Row],[R1]:[R3]])/0.015*Pcfu43[[#This Row],[Best DF]]</f>
        <v>769800.35891950107</v>
      </c>
      <c r="S523" s="6">
        <f>Pcfu43[[#This Row],[CFU/mL]]*Pcfu43[[#This Row],[mL]]/Pcfu43[[#This Row],[grams]]</f>
        <v>29555555.55555556</v>
      </c>
      <c r="T523" s="1">
        <f>Pcfu43[[#This Row],[SD CFU/mL]]*Pcfu43[[#This Row],[mL]]/Pcfu43[[#This Row],[grams]]</f>
        <v>14626206.819470523</v>
      </c>
      <c r="U523" s="7">
        <f>_xlfn.STDEV.S(Pcfu43[[#This Row],[R1]:[R3]])/AVERAGE(Pcfu43[[#This Row],[R1]:[R3]])</f>
        <v>0.49487165930539356</v>
      </c>
      <c r="V523" s="102">
        <v>0.32700000000000001</v>
      </c>
      <c r="W523" s="7"/>
      <c r="X523" t="s">
        <v>1062</v>
      </c>
    </row>
    <row r="524" spans="1:24" x14ac:dyDescent="0.15">
      <c r="A524" t="s">
        <v>672</v>
      </c>
      <c r="B524" t="s">
        <v>328</v>
      </c>
      <c r="C524" s="4"/>
      <c r="D524" t="s">
        <v>26</v>
      </c>
      <c r="E524" s="3">
        <v>3</v>
      </c>
      <c r="G524">
        <v>0.3</v>
      </c>
      <c r="H524" s="5">
        <v>5.7</v>
      </c>
      <c r="I524" s="3" t="s">
        <v>950</v>
      </c>
      <c r="J524" s="59">
        <v>45089</v>
      </c>
      <c r="K524" s="59"/>
      <c r="L524" s="59" t="e" cm="1">
        <f t="array" ref="L524">INDEX($J$4:J1614, MATCH(1,(A524=$A$4:A1612)*("Y"=$K$4:K1614),0))</f>
        <v>#N/A</v>
      </c>
      <c r="M524" s="1">
        <v>10000</v>
      </c>
      <c r="N524">
        <v>1</v>
      </c>
      <c r="O524">
        <v>1</v>
      </c>
      <c r="P524">
        <v>0</v>
      </c>
      <c r="Q524" s="6">
        <f>(SUM(Pcfu43[[#This Row],[R1]:[R3]]))/(Pcfu43[[#This Row],[No. Reps]]*0.015)*Pcfu43[[#This Row],[Best DF]]</f>
        <v>444444.44444444444</v>
      </c>
      <c r="R524" s="1">
        <f>_xlfn.STDEV.S(Pcfu43[[#This Row],[R1]:[R3]])/0.015*Pcfu43[[#This Row],[Best DF]]</f>
        <v>384900.17945975054</v>
      </c>
      <c r="S524" s="6">
        <f>Pcfu43[[#This Row],[CFU/mL]]*Pcfu43[[#This Row],[mL]]/Pcfu43[[#This Row],[grams]]</f>
        <v>8444444.4444444459</v>
      </c>
      <c r="T524" s="1">
        <f>Pcfu43[[#This Row],[SD CFU/mL]]*Pcfu43[[#This Row],[mL]]/Pcfu43[[#This Row],[grams]]</f>
        <v>7313103.4097352615</v>
      </c>
      <c r="U524" s="7">
        <f>_xlfn.STDEV.S(Pcfu43[[#This Row],[R1]:[R3]])/AVERAGE(Pcfu43[[#This Row],[R1]:[R3]])</f>
        <v>0.86602540378443882</v>
      </c>
      <c r="V524" s="102">
        <v>0.33600000000000002</v>
      </c>
      <c r="W524" s="7"/>
      <c r="X524" t="s">
        <v>1051</v>
      </c>
    </row>
    <row r="525" spans="1:24" x14ac:dyDescent="0.15">
      <c r="A525" t="s">
        <v>798</v>
      </c>
      <c r="B525" t="s">
        <v>328</v>
      </c>
      <c r="C525" s="4"/>
      <c r="D525" t="s">
        <v>26</v>
      </c>
      <c r="E525" s="3">
        <v>3</v>
      </c>
      <c r="G525">
        <v>0.3</v>
      </c>
      <c r="H525" s="5">
        <v>5.7</v>
      </c>
      <c r="I525" s="3" t="s">
        <v>950</v>
      </c>
      <c r="J525" s="59">
        <v>45089</v>
      </c>
      <c r="K525" s="59"/>
      <c r="L525" s="59" t="e" cm="1">
        <f t="array" ref="L525">INDEX($J$4:J1615, MATCH(1,(A525=$A$4:A1613)*("Y"=$K$4:K1615),0))</f>
        <v>#N/A</v>
      </c>
      <c r="M525" s="1">
        <v>10000</v>
      </c>
      <c r="N525">
        <v>1</v>
      </c>
      <c r="O525">
        <v>3</v>
      </c>
      <c r="P525">
        <v>3</v>
      </c>
      <c r="Q525" s="6">
        <f>(SUM(Pcfu43[[#This Row],[R1]:[R3]]))/(Pcfu43[[#This Row],[No. Reps]]*0.015)*Pcfu43[[#This Row],[Best DF]]</f>
        <v>1555555.5555555557</v>
      </c>
      <c r="R525" s="1">
        <f>_xlfn.STDEV.S(Pcfu43[[#This Row],[R1]:[R3]])/0.015*Pcfu43[[#This Row],[Best DF]]</f>
        <v>769800.35891950107</v>
      </c>
      <c r="S525" s="6">
        <f>Pcfu43[[#This Row],[CFU/mL]]*Pcfu43[[#This Row],[mL]]/Pcfu43[[#This Row],[grams]]</f>
        <v>29555555.55555556</v>
      </c>
      <c r="T525" s="1">
        <f>Pcfu43[[#This Row],[SD CFU/mL]]*Pcfu43[[#This Row],[mL]]/Pcfu43[[#This Row],[grams]]</f>
        <v>14626206.819470523</v>
      </c>
      <c r="U525" s="7">
        <f>_xlfn.STDEV.S(Pcfu43[[#This Row],[R1]:[R3]])/AVERAGE(Pcfu43[[#This Row],[R1]:[R3]])</f>
        <v>0.49487165930539356</v>
      </c>
      <c r="V525" s="102">
        <v>0.30099999999999999</v>
      </c>
      <c r="W525" s="7"/>
      <c r="X525" t="s">
        <v>1063</v>
      </c>
    </row>
    <row r="526" spans="1:24" x14ac:dyDescent="0.15">
      <c r="A526" t="s">
        <v>799</v>
      </c>
      <c r="B526" t="s">
        <v>328</v>
      </c>
      <c r="C526" s="4"/>
      <c r="D526" t="s">
        <v>26</v>
      </c>
      <c r="E526" s="3">
        <v>3</v>
      </c>
      <c r="G526">
        <v>0.3</v>
      </c>
      <c r="H526" s="5">
        <v>5.7</v>
      </c>
      <c r="I526" s="3" t="s">
        <v>950</v>
      </c>
      <c r="J526" s="59">
        <v>45089</v>
      </c>
      <c r="K526" s="59"/>
      <c r="L526" s="59" t="e" cm="1">
        <f t="array" ref="L526">INDEX($J$4:J1616, MATCH(1,(A526=$A$4:A1614)*("Y"=$K$4:K1616),0))</f>
        <v>#N/A</v>
      </c>
      <c r="M526" s="1">
        <v>10000</v>
      </c>
      <c r="N526">
        <v>0</v>
      </c>
      <c r="O526">
        <v>1</v>
      </c>
      <c r="P526">
        <v>1</v>
      </c>
      <c r="Q526" s="6">
        <f>(SUM(Pcfu43[[#This Row],[R1]:[R3]]))/(Pcfu43[[#This Row],[No. Reps]]*0.015)*Pcfu43[[#This Row],[Best DF]]</f>
        <v>444444.44444444444</v>
      </c>
      <c r="R526" s="1">
        <f>_xlfn.STDEV.S(Pcfu43[[#This Row],[R1]:[R3]])/0.015*Pcfu43[[#This Row],[Best DF]]</f>
        <v>384900.17945975054</v>
      </c>
      <c r="S526" s="6">
        <f>Pcfu43[[#This Row],[CFU/mL]]*Pcfu43[[#This Row],[mL]]/Pcfu43[[#This Row],[grams]]</f>
        <v>8444444.4444444459</v>
      </c>
      <c r="T526" s="1">
        <f>Pcfu43[[#This Row],[SD CFU/mL]]*Pcfu43[[#This Row],[mL]]/Pcfu43[[#This Row],[grams]]</f>
        <v>7313103.4097352615</v>
      </c>
      <c r="U526" s="7">
        <f>_xlfn.STDEV.S(Pcfu43[[#This Row],[R1]:[R3]])/AVERAGE(Pcfu43[[#This Row],[R1]:[R3]])</f>
        <v>0.86602540378443882</v>
      </c>
      <c r="V526" s="102">
        <v>0.311</v>
      </c>
      <c r="W526" s="7"/>
      <c r="X526" t="s">
        <v>943</v>
      </c>
    </row>
    <row r="527" spans="1:24" x14ac:dyDescent="0.15">
      <c r="A527" t="s">
        <v>1064</v>
      </c>
      <c r="B527" t="s">
        <v>328</v>
      </c>
      <c r="C527" s="4"/>
      <c r="D527" t="s">
        <v>26</v>
      </c>
      <c r="E527" s="3">
        <v>3</v>
      </c>
      <c r="G527">
        <v>0.3</v>
      </c>
      <c r="H527" s="5">
        <v>5.7</v>
      </c>
      <c r="I527" s="3" t="s">
        <v>950</v>
      </c>
      <c r="J527" s="59">
        <v>45089</v>
      </c>
      <c r="K527" s="59"/>
      <c r="L527" s="59" t="e" cm="1">
        <f t="array" ref="L527">INDEX($J$4:J1617, MATCH(1,(A527=$A$4:A1615)*("Y"=$K$4:K1617),0))</f>
        <v>#N/A</v>
      </c>
      <c r="M527" s="1">
        <v>10000</v>
      </c>
      <c r="N527">
        <v>1</v>
      </c>
      <c r="O527">
        <v>3</v>
      </c>
      <c r="P527">
        <v>0</v>
      </c>
      <c r="Q527" s="6">
        <f>(SUM(Pcfu43[[#This Row],[R1]:[R3]]))/(Pcfu43[[#This Row],[No. Reps]]*0.015)*Pcfu43[[#This Row],[Best DF]]</f>
        <v>888888.88888888888</v>
      </c>
      <c r="R527" s="1">
        <f>_xlfn.STDEV.S(Pcfu43[[#This Row],[R1]:[R3]])/0.015*Pcfu43[[#This Row],[Best DF]]</f>
        <v>1018350.1544346312</v>
      </c>
      <c r="S527" s="6">
        <f>Pcfu43[[#This Row],[CFU/mL]]*Pcfu43[[#This Row],[mL]]/Pcfu43[[#This Row],[grams]]</f>
        <v>16888888.888888892</v>
      </c>
      <c r="T527" s="1">
        <f>Pcfu43[[#This Row],[SD CFU/mL]]*Pcfu43[[#This Row],[mL]]/Pcfu43[[#This Row],[grams]]</f>
        <v>19348652.934257995</v>
      </c>
      <c r="U527" s="7">
        <f>_xlfn.STDEV.S(Pcfu43[[#This Row],[R1]:[R3]])/AVERAGE(Pcfu43[[#This Row],[R1]:[R3]])</f>
        <v>1.1456439237389602</v>
      </c>
      <c r="V527" s="102">
        <v>0.27100000000000002</v>
      </c>
      <c r="W527" s="7"/>
      <c r="X527" t="s">
        <v>423</v>
      </c>
    </row>
    <row r="528" spans="1:24" x14ac:dyDescent="0.15">
      <c r="A528" t="s">
        <v>1003</v>
      </c>
      <c r="B528" t="s">
        <v>328</v>
      </c>
      <c r="C528" s="4"/>
      <c r="D528" t="s">
        <v>26</v>
      </c>
      <c r="E528" s="3">
        <v>3</v>
      </c>
      <c r="G528">
        <v>0.3</v>
      </c>
      <c r="H528" s="5">
        <v>5.7</v>
      </c>
      <c r="I528" s="3" t="s">
        <v>950</v>
      </c>
      <c r="J528" s="59">
        <v>45089</v>
      </c>
      <c r="K528" s="59"/>
      <c r="L528" s="59" t="e" cm="1">
        <f t="array" ref="L528">INDEX($J$4:J1618, MATCH(1,(A528=$A$4:A1616)*("Y"=$K$4:K1618),0))</f>
        <v>#N/A</v>
      </c>
      <c r="M528" s="1">
        <v>10000</v>
      </c>
      <c r="N528">
        <v>4</v>
      </c>
      <c r="O528">
        <v>8</v>
      </c>
      <c r="P528">
        <v>4</v>
      </c>
      <c r="Q528" s="6">
        <f>(SUM(Pcfu43[[#This Row],[R1]:[R3]]))/(Pcfu43[[#This Row],[No. Reps]]*0.015)*Pcfu43[[#This Row],[Best DF]]</f>
        <v>3555555.5555555555</v>
      </c>
      <c r="R528" s="1">
        <f>_xlfn.STDEV.S(Pcfu43[[#This Row],[R1]:[R3]])/0.015*Pcfu43[[#This Row],[Best DF]]</f>
        <v>1539600.7178390021</v>
      </c>
      <c r="S528" s="6">
        <f>Pcfu43[[#This Row],[CFU/mL]]*Pcfu43[[#This Row],[mL]]/Pcfu43[[#This Row],[grams]]</f>
        <v>67555555.555555567</v>
      </c>
      <c r="T528" s="1">
        <f>Pcfu43[[#This Row],[SD CFU/mL]]*Pcfu43[[#This Row],[mL]]/Pcfu43[[#This Row],[grams]]</f>
        <v>29252413.638941046</v>
      </c>
      <c r="U528" s="7">
        <f>_xlfn.STDEV.S(Pcfu43[[#This Row],[R1]:[R3]])/AVERAGE(Pcfu43[[#This Row],[R1]:[R3]])</f>
        <v>0.43301270189221941</v>
      </c>
      <c r="V528" s="102">
        <v>0.19700000000000001</v>
      </c>
      <c r="W528" s="7"/>
      <c r="X528" t="s">
        <v>1065</v>
      </c>
    </row>
    <row r="529" spans="1:24" x14ac:dyDescent="0.15">
      <c r="A529" t="s">
        <v>1005</v>
      </c>
      <c r="B529" t="s">
        <v>328</v>
      </c>
      <c r="C529" s="4"/>
      <c r="D529" t="s">
        <v>26</v>
      </c>
      <c r="E529" s="3">
        <v>3</v>
      </c>
      <c r="G529">
        <v>0.3</v>
      </c>
      <c r="H529" s="5">
        <v>5.7</v>
      </c>
      <c r="I529" s="3" t="s">
        <v>950</v>
      </c>
      <c r="J529" s="59">
        <v>45089</v>
      </c>
      <c r="K529" s="59"/>
      <c r="L529" s="59" t="e" cm="1">
        <f t="array" ref="L529">INDEX($J$4:J1619, MATCH(1,(A529=$A$4:A1617)*("Y"=$K$4:K1619),0))</f>
        <v>#N/A</v>
      </c>
      <c r="M529" s="1">
        <v>10000</v>
      </c>
      <c r="N529">
        <v>4</v>
      </c>
      <c r="O529">
        <v>3</v>
      </c>
      <c r="P529">
        <v>6</v>
      </c>
      <c r="Q529" s="6">
        <f>(SUM(Pcfu43[[#This Row],[R1]:[R3]]))/(Pcfu43[[#This Row],[No. Reps]]*0.015)*Pcfu43[[#This Row],[Best DF]]</f>
        <v>2888888.888888889</v>
      </c>
      <c r="R529" s="1">
        <f>_xlfn.STDEV.S(Pcfu43[[#This Row],[R1]:[R3]])/0.015*Pcfu43[[#This Row],[Best DF]]</f>
        <v>1018350.1544346309</v>
      </c>
      <c r="S529" s="6">
        <f>Pcfu43[[#This Row],[CFU/mL]]*Pcfu43[[#This Row],[mL]]/Pcfu43[[#This Row],[grams]]</f>
        <v>54888888.888888896</v>
      </c>
      <c r="T529" s="1">
        <f>Pcfu43[[#This Row],[SD CFU/mL]]*Pcfu43[[#This Row],[mL]]/Pcfu43[[#This Row],[grams]]</f>
        <v>19348652.934257988</v>
      </c>
      <c r="U529" s="7">
        <f>_xlfn.STDEV.S(Pcfu43[[#This Row],[R1]:[R3]])/AVERAGE(Pcfu43[[#This Row],[R1]:[R3]])</f>
        <v>0.35250582268891073</v>
      </c>
      <c r="V529" s="102">
        <v>0.248</v>
      </c>
      <c r="W529" s="7"/>
      <c r="X529" t="s">
        <v>970</v>
      </c>
    </row>
    <row r="530" spans="1:24" x14ac:dyDescent="0.15">
      <c r="A530" t="s">
        <v>676</v>
      </c>
      <c r="B530" t="s">
        <v>328</v>
      </c>
      <c r="C530" s="4"/>
      <c r="D530" t="s">
        <v>26</v>
      </c>
      <c r="E530" s="3">
        <v>3</v>
      </c>
      <c r="G530">
        <v>0.3</v>
      </c>
      <c r="H530" s="5">
        <v>5.7</v>
      </c>
      <c r="I530" s="3" t="s">
        <v>950</v>
      </c>
      <c r="J530" s="59">
        <v>45089</v>
      </c>
      <c r="K530" s="59"/>
      <c r="L530" s="59" t="e" cm="1">
        <f t="array" ref="L530">INDEX($J$4:J1620, MATCH(1,(A530=$A$4:A1618)*("Y"=$K$4:K1620),0))</f>
        <v>#N/A</v>
      </c>
      <c r="M530" s="1">
        <v>10000</v>
      </c>
      <c r="N530">
        <v>9</v>
      </c>
      <c r="O530">
        <v>12</v>
      </c>
      <c r="P530">
        <v>5</v>
      </c>
      <c r="Q530" s="6">
        <f>(SUM(Pcfu43[[#This Row],[R1]:[R3]]))/(Pcfu43[[#This Row],[No. Reps]]*0.015)*Pcfu43[[#This Row],[Best DF]]</f>
        <v>5777777.777777778</v>
      </c>
      <c r="R530" s="1">
        <f>_xlfn.STDEV.S(Pcfu43[[#This Row],[R1]:[R3]])/0.015*Pcfu43[[#This Row],[Best DF]]</f>
        <v>2341256.3895228305</v>
      </c>
      <c r="S530" s="6">
        <f>Pcfu43[[#This Row],[CFU/mL]]*Pcfu43[[#This Row],[mL]]/Pcfu43[[#This Row],[grams]]</f>
        <v>109777777.77777779</v>
      </c>
      <c r="T530" s="1">
        <f>Pcfu43[[#This Row],[SD CFU/mL]]*Pcfu43[[#This Row],[mL]]/Pcfu43[[#This Row],[grams]]</f>
        <v>44483871.40093378</v>
      </c>
      <c r="U530" s="7">
        <f>_xlfn.STDEV.S(Pcfu43[[#This Row],[R1]:[R3]])/AVERAGE(Pcfu43[[#This Row],[R1]:[R3]])</f>
        <v>0.40521745203279758</v>
      </c>
      <c r="V530" s="102">
        <v>0.24399999999999999</v>
      </c>
      <c r="W530" s="7"/>
      <c r="X530" t="s">
        <v>1044</v>
      </c>
    </row>
    <row r="531" spans="1:24" x14ac:dyDescent="0.15">
      <c r="A531" t="s">
        <v>1007</v>
      </c>
      <c r="B531" t="s">
        <v>328</v>
      </c>
      <c r="C531" s="4"/>
      <c r="D531" t="s">
        <v>26</v>
      </c>
      <c r="E531" s="3">
        <v>3</v>
      </c>
      <c r="G531">
        <v>0.3</v>
      </c>
      <c r="H531" s="5">
        <v>5.7</v>
      </c>
      <c r="I531" s="3" t="s">
        <v>950</v>
      </c>
      <c r="J531" s="59">
        <v>45089</v>
      </c>
      <c r="K531" s="59"/>
      <c r="L531" s="59" t="e" cm="1">
        <f t="array" ref="L531">INDEX($J$4:J1621, MATCH(1,(A531=$A$4:A1619)*("Y"=$K$4:K1621),0))</f>
        <v>#N/A</v>
      </c>
      <c r="M531" s="1">
        <v>10000</v>
      </c>
      <c r="N531">
        <v>37</v>
      </c>
      <c r="O531">
        <v>44</v>
      </c>
      <c r="P531">
        <v>43</v>
      </c>
      <c r="Q531" s="6">
        <f>(SUM(Pcfu43[[#This Row],[R1]:[R3]]))/(Pcfu43[[#This Row],[No. Reps]]*0.015)*Pcfu43[[#This Row],[Best DF]]</f>
        <v>27555555.555555556</v>
      </c>
      <c r="R531" s="1">
        <f>_xlfn.STDEV.S(Pcfu43[[#This Row],[R1]:[R3]])/0.015*Pcfu43[[#This Row],[Best DF]]</f>
        <v>2523959.264800122</v>
      </c>
      <c r="S531" s="6">
        <f>Pcfu43[[#This Row],[CFU/mL]]*Pcfu43[[#This Row],[mL]]/Pcfu43[[#This Row],[grams]]</f>
        <v>523555555.55555564</v>
      </c>
      <c r="T531" s="1">
        <f>Pcfu43[[#This Row],[SD CFU/mL]]*Pcfu43[[#This Row],[mL]]/Pcfu43[[#This Row],[grams]]</f>
        <v>47955226.031202324</v>
      </c>
      <c r="U531" s="7">
        <f>_xlfn.STDEV.S(Pcfu43[[#This Row],[R1]:[R3]])/AVERAGE(Pcfu43[[#This Row],[R1]:[R3]])</f>
        <v>9.1595295900004411E-2</v>
      </c>
      <c r="V531" s="102">
        <v>0.20599999999999999</v>
      </c>
      <c r="W531" s="7"/>
      <c r="X531" t="s">
        <v>1066</v>
      </c>
    </row>
    <row r="532" spans="1:24" x14ac:dyDescent="0.15">
      <c r="A532" t="s">
        <v>1008</v>
      </c>
      <c r="B532" t="s">
        <v>328</v>
      </c>
      <c r="C532" s="4"/>
      <c r="D532" t="s">
        <v>26</v>
      </c>
      <c r="E532" s="3">
        <v>3</v>
      </c>
      <c r="G532">
        <v>0.3</v>
      </c>
      <c r="H532" s="5">
        <v>5.7</v>
      </c>
      <c r="I532" s="3" t="s">
        <v>950</v>
      </c>
      <c r="J532" s="59">
        <v>45089</v>
      </c>
      <c r="K532" s="59"/>
      <c r="L532" s="59" t="e" cm="1">
        <f t="array" ref="L532">INDEX($J$4:J1622, MATCH(1,(A532=$A$4:A1620)*("Y"=$K$4:K1622),0))</f>
        <v>#N/A</v>
      </c>
      <c r="M532" s="1">
        <v>10000</v>
      </c>
      <c r="N532">
        <v>42</v>
      </c>
      <c r="O532">
        <v>40</v>
      </c>
      <c r="P532">
        <v>40</v>
      </c>
      <c r="Q532" s="6">
        <f>(SUM(Pcfu43[[#This Row],[R1]:[R3]]))/(Pcfu43[[#This Row],[No. Reps]]*0.015)*Pcfu43[[#This Row],[Best DF]]</f>
        <v>27111111.111111112</v>
      </c>
      <c r="R532" s="1">
        <f>_xlfn.STDEV.S(Pcfu43[[#This Row],[R1]:[R3]])/0.015*Pcfu43[[#This Row],[Best DF]]</f>
        <v>769800.35891950107</v>
      </c>
      <c r="S532" s="6">
        <f>Pcfu43[[#This Row],[CFU/mL]]*Pcfu43[[#This Row],[mL]]/Pcfu43[[#This Row],[grams]]</f>
        <v>515111111.11111116</v>
      </c>
      <c r="T532" s="1">
        <f>Pcfu43[[#This Row],[SD CFU/mL]]*Pcfu43[[#This Row],[mL]]/Pcfu43[[#This Row],[grams]]</f>
        <v>14626206.819470523</v>
      </c>
      <c r="U532" s="7">
        <f>_xlfn.STDEV.S(Pcfu43[[#This Row],[R1]:[R3]])/AVERAGE(Pcfu43[[#This Row],[R1]:[R3]])</f>
        <v>2.8394275533916026E-2</v>
      </c>
      <c r="V532" s="102">
        <v>0.224</v>
      </c>
      <c r="W532" s="7"/>
      <c r="X532" t="s">
        <v>1067</v>
      </c>
    </row>
    <row r="533" spans="1:24" x14ac:dyDescent="0.15">
      <c r="A533" t="s">
        <v>1068</v>
      </c>
      <c r="B533" t="s">
        <v>328</v>
      </c>
      <c r="C533" s="4"/>
      <c r="D533" t="s">
        <v>194</v>
      </c>
      <c r="E533" s="3">
        <v>3</v>
      </c>
      <c r="G533">
        <v>0.3</v>
      </c>
      <c r="H533" s="5">
        <v>5.7</v>
      </c>
      <c r="I533" s="3" t="s">
        <v>950</v>
      </c>
      <c r="J533" s="59">
        <v>45090</v>
      </c>
      <c r="K533" s="59"/>
      <c r="L533" s="59" t="e" cm="1">
        <f t="array" ref="L533">INDEX($J$4:J1623, MATCH(1,(A533=$A$4:A1621)*("Y"=$K$4:K1623),0))</f>
        <v>#N/A</v>
      </c>
      <c r="M533" s="1">
        <v>1000000</v>
      </c>
      <c r="N533">
        <v>61</v>
      </c>
      <c r="O533">
        <v>64</v>
      </c>
      <c r="P533">
        <v>61</v>
      </c>
      <c r="Q533" s="6">
        <f>(SUM(Pcfu43[[#This Row],[R1]:[R3]]))/(Pcfu43[[#This Row],[No. Reps]]*0.015)*Pcfu43[[#This Row],[Best DF]]</f>
        <v>4133333333.333334</v>
      </c>
      <c r="R533" s="1">
        <f>_xlfn.STDEV.S(Pcfu43[[#This Row],[R1]:[R3]])/0.015*Pcfu43[[#This Row],[Best DF]]</f>
        <v>115470053.83792515</v>
      </c>
      <c r="S533" s="6">
        <f>Pcfu43[[#This Row],[CFU/mL]]*Pcfu43[[#This Row],[mL]]/Pcfu43[[#This Row],[grams]]</f>
        <v>78533333333.333344</v>
      </c>
      <c r="T533" s="1">
        <f>Pcfu43[[#This Row],[SD CFU/mL]]*Pcfu43[[#This Row],[mL]]/Pcfu43[[#This Row],[grams]]</f>
        <v>2193931022.920578</v>
      </c>
      <c r="U533" s="7">
        <f>_xlfn.STDEV.S(Pcfu43[[#This Row],[R1]:[R3]])/AVERAGE(Pcfu43[[#This Row],[R1]:[R3]])</f>
        <v>2.7936303347885116E-2</v>
      </c>
      <c r="V533" s="102">
        <v>0.315</v>
      </c>
      <c r="W533" s="7"/>
      <c r="X533" t="s">
        <v>832</v>
      </c>
    </row>
    <row r="534" spans="1:24" x14ac:dyDescent="0.15">
      <c r="A534" t="s">
        <v>1069</v>
      </c>
      <c r="B534" t="s">
        <v>328</v>
      </c>
      <c r="C534" s="4"/>
      <c r="D534" t="s">
        <v>1070</v>
      </c>
      <c r="E534" s="3">
        <v>3</v>
      </c>
      <c r="G534">
        <v>0.3</v>
      </c>
      <c r="H534" s="5">
        <v>5.7</v>
      </c>
      <c r="I534" s="3" t="s">
        <v>950</v>
      </c>
      <c r="J534" s="59">
        <v>45090</v>
      </c>
      <c r="K534" s="59"/>
      <c r="L534" s="59" t="e" cm="1">
        <f t="array" ref="L534">INDEX($J$4:J1624, MATCH(1,(A534=$A$4:A1622)*("Y"=$K$4:K1624),0))</f>
        <v>#N/A</v>
      </c>
      <c r="M534" s="1">
        <v>100000</v>
      </c>
      <c r="N534">
        <v>36</v>
      </c>
      <c r="O534">
        <v>37</v>
      </c>
      <c r="P534">
        <v>45</v>
      </c>
      <c r="Q534" s="6">
        <f>(SUM(Pcfu43[[#This Row],[R1]:[R3]]))/(Pcfu43[[#This Row],[No. Reps]]*0.015)*Pcfu43[[#This Row],[Best DF]]</f>
        <v>262222222.22222221</v>
      </c>
      <c r="R534" s="1">
        <f>_xlfn.STDEV.S(Pcfu43[[#This Row],[R1]:[R3]])/0.015*Pcfu43[[#This Row],[Best DF]]</f>
        <v>32885885.748775087</v>
      </c>
      <c r="S534" s="6">
        <f>Pcfu43[[#This Row],[CFU/mL]]*Pcfu43[[#This Row],[mL]]/Pcfu43[[#This Row],[grams]]</f>
        <v>4982222222.2222223</v>
      </c>
      <c r="T534" s="1">
        <f>Pcfu43[[#This Row],[SD CFU/mL]]*Pcfu43[[#This Row],[mL]]/Pcfu43[[#This Row],[grams]]</f>
        <v>624831829.22672677</v>
      </c>
      <c r="U534" s="7">
        <f>_xlfn.STDEV.S(Pcfu43[[#This Row],[R1]:[R3]])/AVERAGE(Pcfu43[[#This Row],[R1]:[R3]])</f>
        <v>0.12541227616058295</v>
      </c>
      <c r="V534" s="102">
        <v>0.34799999999999998</v>
      </c>
      <c r="W534" s="7"/>
      <c r="X534" t="s">
        <v>1071</v>
      </c>
    </row>
    <row r="535" spans="1:24" x14ac:dyDescent="0.15">
      <c r="A535" t="s">
        <v>800</v>
      </c>
      <c r="B535" t="s">
        <v>1023</v>
      </c>
      <c r="C535" s="4"/>
      <c r="D535" t="s">
        <v>1070</v>
      </c>
      <c r="E535" s="3">
        <v>3</v>
      </c>
      <c r="G535">
        <v>0.3</v>
      </c>
      <c r="H535" s="5">
        <v>5.7</v>
      </c>
      <c r="I535" s="3" t="s">
        <v>950</v>
      </c>
      <c r="J535" s="59">
        <v>45091</v>
      </c>
      <c r="K535" s="59"/>
      <c r="L535" s="59" t="e" cm="1">
        <f t="array" ref="L535">INDEX($J$4:J1625, MATCH(1,(A535=$A$4:A1623)*("Y"=$K$4:K1625),0))</f>
        <v>#N/A</v>
      </c>
      <c r="M535" s="1">
        <v>10000000</v>
      </c>
      <c r="N535">
        <v>22</v>
      </c>
      <c r="O535">
        <v>18</v>
      </c>
      <c r="P535">
        <v>25</v>
      </c>
      <c r="Q535" s="6">
        <f>(SUM(Pcfu43[[#This Row],[R1]:[R3]]))/(Pcfu43[[#This Row],[No. Reps]]*0.015)*Pcfu43[[#This Row],[Best DF]]</f>
        <v>14444444444.444447</v>
      </c>
      <c r="R535" s="1">
        <f>_xlfn.STDEV.S(Pcfu43[[#This Row],[R1]:[R3]])/0.015*Pcfu43[[#This Row],[Best DF]]</f>
        <v>2341256389.5228348</v>
      </c>
      <c r="S535" s="6">
        <f>Pcfu43[[#This Row],[CFU/mL]]*Pcfu43[[#This Row],[mL]]/Pcfu43[[#This Row],[grams]]</f>
        <v>274444444444.44449</v>
      </c>
      <c r="T535" s="1">
        <f>Pcfu43[[#This Row],[SD CFU/mL]]*Pcfu43[[#This Row],[mL]]/Pcfu43[[#This Row],[grams]]</f>
        <v>44483871400.933868</v>
      </c>
      <c r="U535" s="7">
        <f>_xlfn.STDEV.S(Pcfu43[[#This Row],[R1]:[R3]])/AVERAGE(Pcfu43[[#This Row],[R1]:[R3]])</f>
        <v>0.16208698081311931</v>
      </c>
      <c r="V535" s="102"/>
      <c r="W535" s="7"/>
    </row>
    <row r="536" spans="1:24" x14ac:dyDescent="0.15">
      <c r="A536" t="s">
        <v>803</v>
      </c>
      <c r="B536" t="s">
        <v>1023</v>
      </c>
      <c r="C536" s="4"/>
      <c r="D536" t="s">
        <v>1070</v>
      </c>
      <c r="E536" s="3">
        <v>3</v>
      </c>
      <c r="G536">
        <v>0.3</v>
      </c>
      <c r="H536" s="5">
        <v>5.7</v>
      </c>
      <c r="I536" s="3" t="s">
        <v>950</v>
      </c>
      <c r="J536" s="59">
        <v>45091</v>
      </c>
      <c r="K536" s="59"/>
      <c r="L536" s="59" t="e" cm="1">
        <f t="array" ref="L536">INDEX($J$4:J1626, MATCH(1,(A536=$A$4:A1624)*("Y"=$K$4:K1626),0))</f>
        <v>#N/A</v>
      </c>
      <c r="M536" s="1">
        <v>10000000</v>
      </c>
      <c r="N536">
        <v>33</v>
      </c>
      <c r="O536">
        <v>21</v>
      </c>
      <c r="P536">
        <v>13</v>
      </c>
      <c r="Q536" s="6">
        <f>(SUM(Pcfu43[[#This Row],[R1]:[R3]]))/(Pcfu43[[#This Row],[No. Reps]]*0.015)*Pcfu43[[#This Row],[Best DF]]</f>
        <v>14888888888.888889</v>
      </c>
      <c r="R536" s="1">
        <f>_xlfn.STDEV.S(Pcfu43[[#This Row],[R1]:[R3]])/0.015*Pcfu43[[#This Row],[Best DF]]</f>
        <v>6710963942.4628897</v>
      </c>
      <c r="S536" s="6">
        <f>Pcfu43[[#This Row],[CFU/mL]]*Pcfu43[[#This Row],[mL]]/Pcfu43[[#This Row],[grams]]</f>
        <v>282888888888.88892</v>
      </c>
      <c r="T536" s="1">
        <f>Pcfu43[[#This Row],[SD CFU/mL]]*Pcfu43[[#This Row],[mL]]/Pcfu43[[#This Row],[grams]]</f>
        <v>127508314906.79492</v>
      </c>
      <c r="U536" s="7">
        <f>_xlfn.STDEV.S(Pcfu43[[#This Row],[R1]:[R3]])/AVERAGE(Pcfu43[[#This Row],[R1]:[R3]])</f>
        <v>0.45073638419526874</v>
      </c>
      <c r="V536" s="102"/>
      <c r="W536" s="7"/>
    </row>
    <row r="537" spans="1:24" x14ac:dyDescent="0.15">
      <c r="A537" t="s">
        <v>804</v>
      </c>
      <c r="B537" t="s">
        <v>1023</v>
      </c>
      <c r="C537" s="4"/>
      <c r="D537" t="s">
        <v>1070</v>
      </c>
      <c r="E537" s="3">
        <v>3</v>
      </c>
      <c r="G537">
        <v>0.3</v>
      </c>
      <c r="H537" s="5">
        <v>5.7</v>
      </c>
      <c r="I537" s="3" t="s">
        <v>950</v>
      </c>
      <c r="J537" s="59">
        <v>45091</v>
      </c>
      <c r="K537" s="59"/>
      <c r="L537" s="59" t="e" cm="1">
        <f t="array" ref="L537">INDEX($J$4:J1627, MATCH(1,(A537=$A$4:A1625)*("Y"=$K$4:K1627),0))</f>
        <v>#N/A</v>
      </c>
      <c r="M537" s="1">
        <v>10000000</v>
      </c>
      <c r="N537">
        <v>22</v>
      </c>
      <c r="O537">
        <v>25</v>
      </c>
      <c r="P537">
        <v>14</v>
      </c>
      <c r="Q537" s="6">
        <f>(SUM(Pcfu43[[#This Row],[R1]:[R3]]))/(Pcfu43[[#This Row],[No. Reps]]*0.015)*Pcfu43[[#This Row],[Best DF]]</f>
        <v>13555555555.555557</v>
      </c>
      <c r="R537" s="1">
        <f>_xlfn.STDEV.S(Pcfu43[[#This Row],[R1]:[R3]])/0.015*Pcfu43[[#This Row],[Best DF]]</f>
        <v>3790827135.3848867</v>
      </c>
      <c r="S537" s="6">
        <f>Pcfu43[[#This Row],[CFU/mL]]*Pcfu43[[#This Row],[mL]]/Pcfu43[[#This Row],[grams]]</f>
        <v>257555555555.55557</v>
      </c>
      <c r="T537" s="1">
        <f>Pcfu43[[#This Row],[SD CFU/mL]]*Pcfu43[[#This Row],[mL]]/Pcfu43[[#This Row],[grams]]</f>
        <v>72025715572.312851</v>
      </c>
      <c r="U537" s="7">
        <f>_xlfn.STDEV.S(Pcfu43[[#This Row],[R1]:[R3]])/AVERAGE(Pcfu43[[#This Row],[R1]:[R3]])</f>
        <v>0.27965118211855722</v>
      </c>
      <c r="V537" s="102"/>
      <c r="W537" s="7"/>
    </row>
    <row r="538" spans="1:24" x14ac:dyDescent="0.15">
      <c r="A538" t="s">
        <v>805</v>
      </c>
      <c r="B538" t="s">
        <v>1023</v>
      </c>
      <c r="C538" s="4"/>
      <c r="D538" t="s">
        <v>1070</v>
      </c>
      <c r="E538" s="3">
        <v>3</v>
      </c>
      <c r="G538">
        <v>0.3</v>
      </c>
      <c r="H538" s="5">
        <v>5.7</v>
      </c>
      <c r="I538" s="3" t="s">
        <v>950</v>
      </c>
      <c r="J538" s="59">
        <v>45091</v>
      </c>
      <c r="K538" s="59"/>
      <c r="L538" s="59" t="e" cm="1">
        <f t="array" ref="L538">INDEX($J$4:J1628, MATCH(1,(A538=$A$4:A1626)*("Y"=$K$4:K1628),0))</f>
        <v>#N/A</v>
      </c>
      <c r="M538" s="1">
        <v>10000000</v>
      </c>
      <c r="N538">
        <v>24</v>
      </c>
      <c r="O538">
        <v>14</v>
      </c>
      <c r="P538">
        <v>24</v>
      </c>
      <c r="Q538" s="6">
        <f>(SUM(Pcfu43[[#This Row],[R1]:[R3]]))/(Pcfu43[[#This Row],[No. Reps]]*0.015)*Pcfu43[[#This Row],[Best DF]]</f>
        <v>13777777777.777779</v>
      </c>
      <c r="R538" s="1">
        <f>_xlfn.STDEV.S(Pcfu43[[#This Row],[R1]:[R3]])/0.015*Pcfu43[[#This Row],[Best DF]]</f>
        <v>3849001794.5975075</v>
      </c>
      <c r="S538" s="6">
        <f>Pcfu43[[#This Row],[CFU/mL]]*Pcfu43[[#This Row],[mL]]/Pcfu43[[#This Row],[grams]]</f>
        <v>261777777777.77783</v>
      </c>
      <c r="T538" s="1">
        <f>Pcfu43[[#This Row],[SD CFU/mL]]*Pcfu43[[#This Row],[mL]]/Pcfu43[[#This Row],[grams]]</f>
        <v>73131034097.352646</v>
      </c>
      <c r="U538" s="7">
        <f>_xlfn.STDEV.S(Pcfu43[[#This Row],[R1]:[R3]])/AVERAGE(Pcfu43[[#This Row],[R1]:[R3]])</f>
        <v>0.27936303347885133</v>
      </c>
      <c r="V538" s="102"/>
      <c r="W538" s="7"/>
    </row>
    <row r="539" spans="1:24" x14ac:dyDescent="0.15">
      <c r="A539" t="s">
        <v>806</v>
      </c>
      <c r="B539" t="s">
        <v>1023</v>
      </c>
      <c r="C539" s="4"/>
      <c r="D539" t="s">
        <v>1070</v>
      </c>
      <c r="E539" s="3">
        <v>3</v>
      </c>
      <c r="G539">
        <v>0.3</v>
      </c>
      <c r="H539" s="5">
        <v>5.7</v>
      </c>
      <c r="I539" s="3" t="s">
        <v>950</v>
      </c>
      <c r="J539" s="59">
        <v>45091</v>
      </c>
      <c r="K539" s="59"/>
      <c r="L539" s="59" t="e" cm="1">
        <f t="array" ref="L539">INDEX($J$4:J1629, MATCH(1,(A539=$A$4:A1627)*("Y"=$K$4:K1629),0))</f>
        <v>#N/A</v>
      </c>
      <c r="M539" s="1">
        <v>10000000</v>
      </c>
      <c r="N539">
        <v>16</v>
      </c>
      <c r="O539">
        <v>12</v>
      </c>
      <c r="P539">
        <v>13</v>
      </c>
      <c r="Q539" s="6">
        <f>(SUM(Pcfu43[[#This Row],[R1]:[R3]]))/(Pcfu43[[#This Row],[No. Reps]]*0.015)*Pcfu43[[#This Row],[Best DF]]</f>
        <v>9111111111.1111126</v>
      </c>
      <c r="R539" s="1">
        <f>_xlfn.STDEV.S(Pcfu43[[#This Row],[R1]:[R3]])/0.015*Pcfu43[[#This Row],[Best DF]]</f>
        <v>1387777332.9774189</v>
      </c>
      <c r="S539" s="6">
        <f>Pcfu43[[#This Row],[CFU/mL]]*Pcfu43[[#This Row],[mL]]/Pcfu43[[#This Row],[grams]]</f>
        <v>173111111111.11115</v>
      </c>
      <c r="T539" s="1">
        <f>Pcfu43[[#This Row],[SD CFU/mL]]*Pcfu43[[#This Row],[mL]]/Pcfu43[[#This Row],[grams]]</f>
        <v>26367769326.570961</v>
      </c>
      <c r="U539" s="7">
        <f>_xlfn.STDEV.S(Pcfu43[[#This Row],[R1]:[R3]])/AVERAGE(Pcfu43[[#This Row],[R1]:[R3]])</f>
        <v>0.15231702435118011</v>
      </c>
      <c r="V539" s="102"/>
      <c r="W539" s="7"/>
    </row>
    <row r="540" spans="1:24" x14ac:dyDescent="0.15">
      <c r="A540" t="s">
        <v>807</v>
      </c>
      <c r="B540" t="s">
        <v>1023</v>
      </c>
      <c r="C540" s="4"/>
      <c r="D540" t="s">
        <v>1070</v>
      </c>
      <c r="E540" s="3">
        <v>3</v>
      </c>
      <c r="G540">
        <v>0.3</v>
      </c>
      <c r="H540" s="5">
        <v>5.7</v>
      </c>
      <c r="I540" s="3" t="s">
        <v>950</v>
      </c>
      <c r="J540" s="59">
        <v>45091</v>
      </c>
      <c r="K540" s="59"/>
      <c r="L540" s="59" t="e" cm="1">
        <f t="array" ref="L540">INDEX($J$4:J1630, MATCH(1,(A540=$A$4:A1628)*("Y"=$K$4:K1630),0))</f>
        <v>#N/A</v>
      </c>
      <c r="M540" s="1">
        <v>10000000</v>
      </c>
      <c r="N540">
        <v>21</v>
      </c>
      <c r="O540">
        <v>21</v>
      </c>
      <c r="P540">
        <v>20</v>
      </c>
      <c r="Q540" s="6">
        <f>(SUM(Pcfu43[[#This Row],[R1]:[R3]]))/(Pcfu43[[#This Row],[No. Reps]]*0.015)*Pcfu43[[#This Row],[Best DF]]</f>
        <v>13777777777.777779</v>
      </c>
      <c r="R540" s="1">
        <f>_xlfn.STDEV.S(Pcfu43[[#This Row],[R1]:[R3]])/0.015*Pcfu43[[#This Row],[Best DF]]</f>
        <v>384900179.45975053</v>
      </c>
      <c r="S540" s="6">
        <f>Pcfu43[[#This Row],[CFU/mL]]*Pcfu43[[#This Row],[mL]]/Pcfu43[[#This Row],[grams]]</f>
        <v>261777777777.77783</v>
      </c>
      <c r="T540" s="1">
        <f>Pcfu43[[#This Row],[SD CFU/mL]]*Pcfu43[[#This Row],[mL]]/Pcfu43[[#This Row],[grams]]</f>
        <v>7313103409.73526</v>
      </c>
      <c r="U540" s="7">
        <f>_xlfn.STDEV.S(Pcfu43[[#This Row],[R1]:[R3]])/AVERAGE(Pcfu43[[#This Row],[R1]:[R3]])</f>
        <v>2.7936303347885119E-2</v>
      </c>
      <c r="V540" s="102"/>
      <c r="W540" s="7"/>
    </row>
    <row r="541" spans="1:24" x14ac:dyDescent="0.15">
      <c r="A541" t="s">
        <v>821</v>
      </c>
      <c r="B541" t="s">
        <v>1023</v>
      </c>
      <c r="C541" s="4"/>
      <c r="D541" t="s">
        <v>1070</v>
      </c>
      <c r="E541" s="3">
        <v>3</v>
      </c>
      <c r="G541">
        <v>0.3</v>
      </c>
      <c r="H541" s="5">
        <v>5.7</v>
      </c>
      <c r="I541" s="3" t="s">
        <v>950</v>
      </c>
      <c r="J541" s="59">
        <v>45098</v>
      </c>
      <c r="K541" s="59"/>
      <c r="L541" s="59" t="e" cm="1">
        <f t="array" ref="L541">INDEX($J$4:J1631, MATCH(1,(A541=$A$4:A1629)*("Y"=$K$4:K1631),0))</f>
        <v>#N/A</v>
      </c>
      <c r="M541" s="1">
        <v>10000000</v>
      </c>
      <c r="N541">
        <v>33</v>
      </c>
      <c r="O541">
        <v>21</v>
      </c>
      <c r="P541">
        <v>23</v>
      </c>
      <c r="Q541" s="6">
        <f>(SUM(Pcfu43[[#This Row],[R1]:[R3]]))/(Pcfu43[[#This Row],[No. Reps]]*0.015)*Pcfu43[[#This Row],[Best DF]]</f>
        <v>17111111111.111111</v>
      </c>
      <c r="R541" s="1">
        <f>_xlfn.STDEV.S(Pcfu43[[#This Row],[R1]:[R3]])/0.015*Pcfu43[[#This Row],[Best DF]]</f>
        <v>4286067004.8857598</v>
      </c>
      <c r="S541" s="6">
        <f>Pcfu43[[#This Row],[CFU/mL]]*Pcfu43[[#This Row],[mL]]/Pcfu43[[#This Row],[grams]]</f>
        <v>325111111111.11108</v>
      </c>
      <c r="T541" s="1">
        <f>Pcfu43[[#This Row],[SD CFU/mL]]*Pcfu43[[#This Row],[mL]]/Pcfu43[[#This Row],[grams]]</f>
        <v>81435273092.829437</v>
      </c>
      <c r="U541" s="7">
        <f>_xlfn.STDEV.S(Pcfu43[[#This Row],[R1]:[R3]])/AVERAGE(Pcfu43[[#This Row],[R1]:[R3]])</f>
        <v>0.25048443535046644</v>
      </c>
      <c r="V541" s="102"/>
      <c r="W541" s="7"/>
    </row>
    <row r="542" spans="1:24" x14ac:dyDescent="0.15">
      <c r="A542" t="s">
        <v>822</v>
      </c>
      <c r="B542" t="s">
        <v>1023</v>
      </c>
      <c r="C542" s="4"/>
      <c r="D542" t="s">
        <v>1070</v>
      </c>
      <c r="E542" s="3">
        <v>3</v>
      </c>
      <c r="G542">
        <v>0.3</v>
      </c>
      <c r="H542" s="5">
        <v>5.7</v>
      </c>
      <c r="I542" s="3" t="s">
        <v>950</v>
      </c>
      <c r="J542" s="59">
        <v>45098</v>
      </c>
      <c r="K542" s="59"/>
      <c r="L542" s="59" t="e" cm="1">
        <f t="array" ref="L542">INDEX($J$4:J1632, MATCH(1,(A542=$A$4:A1630)*("Y"=$K$4:K1632),0))</f>
        <v>#N/A</v>
      </c>
      <c r="M542" s="1">
        <v>10000000</v>
      </c>
      <c r="N542">
        <v>31</v>
      </c>
      <c r="O542">
        <v>23</v>
      </c>
      <c r="P542">
        <v>21</v>
      </c>
      <c r="Q542" s="6">
        <f>(SUM(Pcfu43[[#This Row],[R1]:[R3]]))/(Pcfu43[[#This Row],[No. Reps]]*0.015)*Pcfu43[[#This Row],[Best DF]]</f>
        <v>16666666666.666668</v>
      </c>
      <c r="R542" s="1">
        <f>_xlfn.STDEV.S(Pcfu43[[#This Row],[R1]:[R3]])/0.015*Pcfu43[[#This Row],[Best DF]]</f>
        <v>3527668414.7527881</v>
      </c>
      <c r="S542" s="6">
        <f>Pcfu43[[#This Row],[CFU/mL]]*Pcfu43[[#This Row],[mL]]/Pcfu43[[#This Row],[grams]]</f>
        <v>316666666666.66675</v>
      </c>
      <c r="T542" s="1">
        <f>Pcfu43[[#This Row],[SD CFU/mL]]*Pcfu43[[#This Row],[mL]]/Pcfu43[[#This Row],[grams]]</f>
        <v>67025699880.302979</v>
      </c>
      <c r="U542" s="7">
        <f>_xlfn.STDEV.S(Pcfu43[[#This Row],[R1]:[R3]])/AVERAGE(Pcfu43[[#This Row],[R1]:[R3]])</f>
        <v>0.21166010488516726</v>
      </c>
      <c r="V542" s="102"/>
      <c r="W542" s="7"/>
    </row>
    <row r="543" spans="1:24" x14ac:dyDescent="0.15">
      <c r="A543" t="s">
        <v>823</v>
      </c>
      <c r="B543" t="s">
        <v>1023</v>
      </c>
      <c r="C543" s="4"/>
      <c r="D543" t="s">
        <v>1070</v>
      </c>
      <c r="E543" s="3">
        <v>3</v>
      </c>
      <c r="G543">
        <v>0.3</v>
      </c>
      <c r="H543" s="5">
        <v>5.7</v>
      </c>
      <c r="I543" s="3" t="s">
        <v>950</v>
      </c>
      <c r="J543" s="59">
        <v>45098</v>
      </c>
      <c r="K543" s="59"/>
      <c r="L543" s="59" t="e" cm="1">
        <f t="array" ref="L543">INDEX($J$4:J1633, MATCH(1,(A543=$A$4:A1631)*("Y"=$K$4:K1633),0))</f>
        <v>#N/A</v>
      </c>
      <c r="M543" s="1">
        <v>10000000</v>
      </c>
      <c r="N543">
        <v>22</v>
      </c>
      <c r="O543">
        <v>13</v>
      </c>
      <c r="P543">
        <v>14</v>
      </c>
      <c r="Q543" s="6">
        <f>(SUM(Pcfu43[[#This Row],[R1]:[R3]]))/(Pcfu43[[#This Row],[No. Reps]]*0.015)*Pcfu43[[#This Row],[Best DF]]</f>
        <v>10888888888.888889</v>
      </c>
      <c r="R543" s="1">
        <f>_xlfn.STDEV.S(Pcfu43[[#This Row],[R1]:[R3]])/0.015*Pcfu43[[#This Row],[Best DF]]</f>
        <v>3288588574.8774967</v>
      </c>
      <c r="S543" s="6">
        <f>Pcfu43[[#This Row],[CFU/mL]]*Pcfu43[[#This Row],[mL]]/Pcfu43[[#This Row],[grams]]</f>
        <v>206888888888.88892</v>
      </c>
      <c r="T543" s="1">
        <f>Pcfu43[[#This Row],[SD CFU/mL]]*Pcfu43[[#This Row],[mL]]/Pcfu43[[#This Row],[grams]]</f>
        <v>62483182922.67244</v>
      </c>
      <c r="U543" s="7">
        <f>_xlfn.STDEV.S(Pcfu43[[#This Row],[R1]:[R3]])/AVERAGE(Pcfu43[[#This Row],[R1]:[R3]])</f>
        <v>0.30201323646834155</v>
      </c>
      <c r="V543" s="102"/>
      <c r="W543" s="7"/>
    </row>
    <row r="544" spans="1:24" x14ac:dyDescent="0.15">
      <c r="A544" t="s">
        <v>824</v>
      </c>
      <c r="B544" t="s">
        <v>1023</v>
      </c>
      <c r="C544" s="4"/>
      <c r="D544" t="s">
        <v>1070</v>
      </c>
      <c r="E544" s="3">
        <v>3</v>
      </c>
      <c r="G544">
        <v>0.3</v>
      </c>
      <c r="H544" s="5">
        <v>5.7</v>
      </c>
      <c r="I544" s="3" t="s">
        <v>950</v>
      </c>
      <c r="J544" s="59">
        <v>45098</v>
      </c>
      <c r="K544" s="59"/>
      <c r="L544" s="59" t="e" cm="1">
        <f t="array" ref="L544">INDEX($J$4:J1634, MATCH(1,(A544=$A$4:A1632)*("Y"=$K$4:K1634),0))</f>
        <v>#N/A</v>
      </c>
      <c r="M544" s="1">
        <v>10000000</v>
      </c>
      <c r="N544">
        <v>11</v>
      </c>
      <c r="O544">
        <v>16</v>
      </c>
      <c r="P544">
        <v>18</v>
      </c>
      <c r="Q544" s="6">
        <f>(SUM(Pcfu43[[#This Row],[R1]:[R3]]))/(Pcfu43[[#This Row],[No. Reps]]*0.015)*Pcfu43[[#This Row],[Best DF]]</f>
        <v>10000000000</v>
      </c>
      <c r="R544" s="1">
        <f>_xlfn.STDEV.S(Pcfu43[[#This Row],[R1]:[R3]])/0.015*Pcfu43[[#This Row],[Best DF]]</f>
        <v>2403700850.3093262</v>
      </c>
      <c r="S544" s="6">
        <f>Pcfu43[[#This Row],[CFU/mL]]*Pcfu43[[#This Row],[mL]]/Pcfu43[[#This Row],[grams]]</f>
        <v>190000000000</v>
      </c>
      <c r="T544" s="1">
        <f>Pcfu43[[#This Row],[SD CFU/mL]]*Pcfu43[[#This Row],[mL]]/Pcfu43[[#This Row],[grams]]</f>
        <v>45670316155.877197</v>
      </c>
      <c r="U544" s="7">
        <f>_xlfn.STDEV.S(Pcfu43[[#This Row],[R1]:[R3]])/AVERAGE(Pcfu43[[#This Row],[R1]:[R3]])</f>
        <v>0.2403700850309326</v>
      </c>
      <c r="V544" s="102"/>
      <c r="W544" s="7"/>
    </row>
  </sheetData>
  <mergeCells count="1">
    <mergeCell ref="A1:X1"/>
  </mergeCells>
  <pageMargins left="0.7" right="0.7" top="0.75" bottom="0.75" header="0.3" footer="0.3"/>
  <pageSetup orientation="portrait" r:id="rId1"/>
  <headerFooter>
    <oddHeader>&amp;C&amp;"Calibri"&amp;10&amp;K000000Internal&amp;1#</oddHeader>
    <oddFooter>&amp;C&amp;1#&amp;"Calibri"&amp;10&amp;K000000Internal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E1860-A515-457A-9309-4A97C180421A}">
  <dimension ref="A1:H11"/>
  <sheetViews>
    <sheetView workbookViewId="0">
      <selection activeCell="G9" sqref="G9"/>
    </sheetView>
  </sheetViews>
  <sheetFormatPr baseColWidth="10" defaultColWidth="9" defaultRowHeight="12" x14ac:dyDescent="0.15"/>
  <cols>
    <col min="1" max="1" width="10.19921875" bestFit="1" customWidth="1"/>
    <col min="2" max="2" width="9.19921875" bestFit="1" customWidth="1"/>
    <col min="3" max="3" width="10.19921875" customWidth="1"/>
    <col min="4" max="4" width="23.3984375" customWidth="1"/>
    <col min="5" max="5" width="23.19921875" customWidth="1"/>
    <col min="7" max="7" width="9.796875" customWidth="1"/>
    <col min="8" max="8" width="7.796875" customWidth="1"/>
  </cols>
  <sheetData>
    <row r="1" spans="1:8" x14ac:dyDescent="0.15">
      <c r="A1" t="s">
        <v>1072</v>
      </c>
      <c r="B1" t="s">
        <v>1073</v>
      </c>
      <c r="C1" t="s">
        <v>1074</v>
      </c>
      <c r="D1" t="s">
        <v>1075</v>
      </c>
      <c r="E1" t="s">
        <v>1076</v>
      </c>
      <c r="G1" t="s">
        <v>1077</v>
      </c>
      <c r="H1" t="s">
        <v>1078</v>
      </c>
    </row>
    <row r="2" spans="1:8" x14ac:dyDescent="0.15">
      <c r="A2" s="67">
        <v>44927</v>
      </c>
      <c r="B2" s="1">
        <v>500000</v>
      </c>
      <c r="G2" t="s">
        <v>1079</v>
      </c>
      <c r="H2" s="68">
        <f>_xlfn.FORECAST.ETS.STAT($B$2:$B$6,$A$2:$A$6,1,1,1)</f>
        <v>0.25</v>
      </c>
    </row>
    <row r="3" spans="1:8" x14ac:dyDescent="0.15">
      <c r="A3" s="67">
        <v>44934</v>
      </c>
      <c r="B3" s="1">
        <v>450000</v>
      </c>
      <c r="G3" t="s">
        <v>1080</v>
      </c>
      <c r="H3" s="68">
        <f>_xlfn.FORECAST.ETS.STAT($B$2:$B$6,$A$2:$A$6,2,1,1)</f>
        <v>1E-3</v>
      </c>
    </row>
    <row r="4" spans="1:8" x14ac:dyDescent="0.15">
      <c r="A4" s="67">
        <v>44941</v>
      </c>
      <c r="B4" s="1">
        <v>410000</v>
      </c>
      <c r="G4" t="s">
        <v>1081</v>
      </c>
      <c r="H4" s="68">
        <f>_xlfn.FORECAST.ETS.STAT($B$2:$B$6,$A$2:$A$6,3,1,1)</f>
        <v>2.2204460492503131E-16</v>
      </c>
    </row>
    <row r="5" spans="1:8" x14ac:dyDescent="0.15">
      <c r="A5" s="67">
        <v>44948</v>
      </c>
      <c r="B5" s="1">
        <v>390000</v>
      </c>
      <c r="G5" t="s">
        <v>1082</v>
      </c>
      <c r="H5" s="68">
        <f>_xlfn.FORECAST.ETS.STAT($B$2:$B$6,$A$2:$A$6,4,1,1)</f>
        <v>0.18725774982780902</v>
      </c>
    </row>
    <row r="6" spans="1:8" x14ac:dyDescent="0.15">
      <c r="A6" s="67">
        <v>44955</v>
      </c>
      <c r="B6" s="1">
        <v>350000</v>
      </c>
      <c r="C6" s="1">
        <v>350000</v>
      </c>
      <c r="D6" s="1">
        <v>350000</v>
      </c>
      <c r="E6" s="1">
        <v>350000</v>
      </c>
      <c r="G6" t="s">
        <v>1083</v>
      </c>
      <c r="H6" s="68">
        <f>_xlfn.FORECAST.ETS.STAT($B$2:$B$6,$A$2:$A$6,5,1,1)</f>
        <v>1.6485869371313709E-2</v>
      </c>
    </row>
    <row r="7" spans="1:8" x14ac:dyDescent="0.15">
      <c r="A7" s="67">
        <v>44962</v>
      </c>
      <c r="C7" s="1">
        <f>_xlfn.FORECAST.ETS(A7,$B$2:$B$6,$A$2:$A$6,1,1)</f>
        <v>315356.0127483001</v>
      </c>
      <c r="D7" s="1">
        <f>C7-_xlfn.FORECAST.ETS.CONFINT(A7,$B$2:$B$6,$A$2:$A$6,0.95,1,1)</f>
        <v>296569.9707749355</v>
      </c>
      <c r="E7" s="1">
        <f>C7+_xlfn.FORECAST.ETS.CONFINT(A7,$B$2:$B$6,$A$2:$A$6,0.95,1,1)</f>
        <v>334142.0547216647</v>
      </c>
      <c r="G7" t="s">
        <v>1084</v>
      </c>
      <c r="H7" s="68">
        <f>_xlfn.FORECAST.ETS.STAT($B$2:$B$6,$A$2:$A$6,6,1,1)</f>
        <v>7022.1656185428383</v>
      </c>
    </row>
    <row r="8" spans="1:8" x14ac:dyDescent="0.15">
      <c r="A8" s="67">
        <v>44969</v>
      </c>
      <c r="C8" s="1">
        <f>_xlfn.FORECAST.ETS(A8,$B$2:$B$6,$A$2:$A$6,1,1)</f>
        <v>279757.82217706449</v>
      </c>
      <c r="D8" s="1">
        <f>C8-_xlfn.FORECAST.ETS.CONFINT(A8,$B$2:$B$6,$A$2:$A$6,0.95,1,1)</f>
        <v>260389.04848224929</v>
      </c>
      <c r="E8" s="1">
        <f>C8+_xlfn.FORECAST.ETS.CONFINT(A8,$B$2:$B$6,$A$2:$A$6,0.95,1,1)</f>
        <v>299126.59587187966</v>
      </c>
      <c r="G8" t="s">
        <v>1085</v>
      </c>
      <c r="H8" s="68">
        <f>_xlfn.FORECAST.ETS.STAT($B$2:$B$6,$A$2:$A$6,7,1,1)</f>
        <v>9584.8914171619926</v>
      </c>
    </row>
    <row r="9" spans="1:8" x14ac:dyDescent="0.15">
      <c r="A9" s="67">
        <v>44976</v>
      </c>
      <c r="C9" s="1">
        <f>_xlfn.FORECAST.ETS(A9,$B$2:$B$6,$A$2:$A$6,1,1)</f>
        <v>244159.63160582894</v>
      </c>
      <c r="D9" s="1">
        <f>C9-_xlfn.FORECAST.ETS.CONFINT(A9,$B$2:$B$6,$A$2:$A$6,0.95,1,1)</f>
        <v>224220.70153700263</v>
      </c>
      <c r="E9" s="1">
        <f>C9+_xlfn.FORECAST.ETS.CONFINT(A9,$B$2:$B$6,$A$2:$A$6,0.95,1,1)</f>
        <v>264098.56167465524</v>
      </c>
    </row>
    <row r="10" spans="1:8" x14ac:dyDescent="0.15">
      <c r="A10" s="67">
        <v>44983</v>
      </c>
      <c r="C10" s="1">
        <f>_xlfn.FORECAST.ETS(A10,$B$2:$B$6,$A$2:$A$6,1,1)</f>
        <v>208561.44103459336</v>
      </c>
      <c r="D10" s="1">
        <f>C10-_xlfn.FORECAST.ETS.CONFINT(A10,$B$2:$B$6,$A$2:$A$6,0.95,1,1)</f>
        <v>188063.86331425031</v>
      </c>
      <c r="E10" s="1">
        <f>C10+_xlfn.FORECAST.ETS.CONFINT(A10,$B$2:$B$6,$A$2:$A$6,0.95,1,1)</f>
        <v>229059.01875493641</v>
      </c>
    </row>
    <row r="11" spans="1:8" x14ac:dyDescent="0.15">
      <c r="A11" s="67">
        <v>44986</v>
      </c>
      <c r="C11" s="1">
        <f>_xlfn.FORECAST.ETS(A11,$B$2:$B$6,$A$2:$A$6,1,1)</f>
        <v>193305.07364692097</v>
      </c>
      <c r="D11" s="1">
        <f>C11-_xlfn.FORECAST.ETS.CONFINT(A11,$B$2:$B$6,$A$2:$A$6,0.95,1,1)</f>
        <v>172570.83380957265</v>
      </c>
      <c r="E11" s="1">
        <f>C11+_xlfn.FORECAST.ETS.CONFINT(A11,$B$2:$B$6,$A$2:$A$6,0.95,1,1)</f>
        <v>214039.31348426928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FED38-C6CD-492D-922F-675D1BB74EC1}">
  <dimension ref="A1"/>
  <sheetViews>
    <sheetView workbookViewId="0"/>
  </sheetViews>
  <sheetFormatPr baseColWidth="10" defaultColWidth="9" defaultRowHeight="12" x14ac:dyDescent="0.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8231A-F362-49FD-B429-E01DBF696C53}">
  <dimension ref="A1:N10"/>
  <sheetViews>
    <sheetView zoomScaleNormal="100" workbookViewId="0">
      <selection activeCell="M25" sqref="M25"/>
    </sheetView>
  </sheetViews>
  <sheetFormatPr baseColWidth="10" defaultColWidth="9" defaultRowHeight="12" x14ac:dyDescent="0.15"/>
  <cols>
    <col min="1" max="1" width="17.3984375" customWidth="1"/>
    <col min="2" max="2" width="23.3984375" customWidth="1"/>
    <col min="3" max="3" width="10.796875" hidden="1" customWidth="1"/>
    <col min="4" max="4" width="12.19921875" hidden="1" customWidth="1"/>
    <col min="5" max="5" width="13.19921875" customWidth="1"/>
    <col min="6" max="6" width="14.19921875" customWidth="1"/>
    <col min="7" max="7" width="11.19921875" customWidth="1"/>
    <col min="8" max="8" width="10" customWidth="1"/>
    <col min="9" max="11" width="8.3984375" customWidth="1"/>
    <col min="12" max="12" width="11.59765625" style="1" customWidth="1"/>
    <col min="13" max="14" width="9.19921875" style="1"/>
    <col min="27" max="27" width="10.796875" customWidth="1"/>
    <col min="28" max="31" width="9.19921875" bestFit="1" customWidth="1"/>
  </cols>
  <sheetData>
    <row r="1" spans="1:14" ht="12.75" customHeight="1" x14ac:dyDescent="0.15">
      <c r="A1" t="s">
        <v>3</v>
      </c>
      <c r="B1" t="s">
        <v>4</v>
      </c>
      <c r="C1" t="s">
        <v>5</v>
      </c>
      <c r="D1" t="s">
        <v>6</v>
      </c>
      <c r="E1" t="s">
        <v>1086</v>
      </c>
      <c r="F1" t="s">
        <v>11</v>
      </c>
      <c r="G1" t="s">
        <v>12</v>
      </c>
      <c r="H1" t="s">
        <v>13</v>
      </c>
      <c r="I1" t="s">
        <v>1087</v>
      </c>
      <c r="J1" t="s">
        <v>1088</v>
      </c>
      <c r="K1" t="s">
        <v>1089</v>
      </c>
      <c r="L1" s="1" t="s">
        <v>1090</v>
      </c>
      <c r="M1" s="1" t="s">
        <v>1091</v>
      </c>
      <c r="N1" s="1" t="s">
        <v>21</v>
      </c>
    </row>
    <row r="2" spans="1:14" x14ac:dyDescent="0.15">
      <c r="A2" t="s">
        <v>1092</v>
      </c>
      <c r="B2" t="s">
        <v>1093</v>
      </c>
      <c r="D2" t="s">
        <v>194</v>
      </c>
      <c r="E2" t="s">
        <v>243</v>
      </c>
      <c r="F2" t="s">
        <v>1094</v>
      </c>
      <c r="G2">
        <v>45012</v>
      </c>
      <c r="H2">
        <v>100</v>
      </c>
      <c r="I2">
        <v>31</v>
      </c>
      <c r="J2">
        <v>72</v>
      </c>
      <c r="K2">
        <v>47</v>
      </c>
      <c r="L2" s="1">
        <f>SUM(Table6[[#This Row],[Rep A]],Table6[[#This Row],[Rep B]],Table6[[#This Row],[Rep C]])/0.075*Table6[[#This Row],[Best DF]]</f>
        <v>200000</v>
      </c>
      <c r="M2" s="1">
        <f>_xlfn.STDEV.S(Table6[[#This Row],[Rep A]:[Rep C]])/0.025*Table6[[#This Row],[Best DF]]</f>
        <v>82655.913279087297</v>
      </c>
      <c r="N2" s="1">
        <f>Table6[[#This Row],[Stdev.]]/Table6[[#This Row],[CFU/seed]]</f>
        <v>0.4132795663954365</v>
      </c>
    </row>
    <row r="3" spans="1:14" x14ac:dyDescent="0.15">
      <c r="A3" t="s">
        <v>1095</v>
      </c>
      <c r="E3" t="s">
        <v>253</v>
      </c>
      <c r="H3">
        <v>10</v>
      </c>
      <c r="I3">
        <v>26</v>
      </c>
      <c r="J3">
        <v>48</v>
      </c>
      <c r="K3">
        <v>45</v>
      </c>
      <c r="L3" s="1">
        <f>SUM(Table6[[#This Row],[Rep A]],Table6[[#This Row],[Rep B]],Table6[[#This Row],[Rep C]])/0.075*Table6[[#This Row],[Best DF]]</f>
        <v>15866.666666666668</v>
      </c>
      <c r="M3" s="1">
        <f>_xlfn.STDEV.S(Table6[[#This Row],[Rep A]:[Rep C]])/0.025*Table6[[#This Row],[Best DF]]</f>
        <v>4772.1413781795436</v>
      </c>
      <c r="N3" s="1">
        <f>Table6[[#This Row],[Stdev.]]/Table6[[#This Row],[CFU/seed]]</f>
        <v>0.30076521291047542</v>
      </c>
    </row>
    <row r="4" spans="1:14" x14ac:dyDescent="0.15">
      <c r="A4" t="s">
        <v>1096</v>
      </c>
      <c r="E4" t="s">
        <v>243</v>
      </c>
      <c r="H4">
        <v>100</v>
      </c>
      <c r="I4">
        <v>23</v>
      </c>
      <c r="J4">
        <v>28</v>
      </c>
      <c r="K4">
        <v>22</v>
      </c>
      <c r="L4" s="1">
        <f>SUM(Table6[[#This Row],[Rep A]],Table6[[#This Row],[Rep B]],Table6[[#This Row],[Rep C]])/0.075*Table6[[#This Row],[Best DF]]</f>
        <v>97333.333333333343</v>
      </c>
      <c r="M4" s="1">
        <f>_xlfn.STDEV.S(Table6[[#This Row],[Rep A]:[Rep C]])/0.025*Table6[[#This Row],[Best DF]]</f>
        <v>12858.201014657297</v>
      </c>
      <c r="N4" s="1">
        <f>Table6[[#This Row],[Stdev.]]/Table6[[#This Row],[CFU/seed]]</f>
        <v>0.13210480494510921</v>
      </c>
    </row>
    <row r="5" spans="1:14" x14ac:dyDescent="0.15">
      <c r="A5" t="s">
        <v>1097</v>
      </c>
      <c r="E5">
        <v>0</v>
      </c>
      <c r="H5">
        <v>1</v>
      </c>
      <c r="I5">
        <v>36</v>
      </c>
      <c r="J5">
        <v>61</v>
      </c>
      <c r="K5">
        <v>62</v>
      </c>
      <c r="L5" s="1">
        <f>SUM(Table6[[#This Row],[Rep A]],Table6[[#This Row],[Rep B]],Table6[[#This Row],[Rep C]])/0.075*Table6[[#This Row],[Best DF]]</f>
        <v>2120</v>
      </c>
      <c r="M5" s="1">
        <f>_xlfn.STDEV.S(Table6[[#This Row],[Rep A]:[Rep C]])/0.025*Table6[[#This Row],[Best DF]]</f>
        <v>589.23679450624934</v>
      </c>
      <c r="N5" s="1">
        <f>Table6[[#This Row],[Stdev.]]/Table6[[#This Row],[CFU/seed]]</f>
        <v>0.27794188420106103</v>
      </c>
    </row>
    <row r="6" spans="1:14" x14ac:dyDescent="0.15">
      <c r="A6" t="s">
        <v>1098</v>
      </c>
      <c r="E6" t="s">
        <v>243</v>
      </c>
      <c r="H6">
        <v>10</v>
      </c>
      <c r="I6">
        <v>78</v>
      </c>
      <c r="J6">
        <v>52</v>
      </c>
      <c r="K6">
        <v>110</v>
      </c>
      <c r="L6" s="1">
        <f>SUM(Table6[[#This Row],[Rep A]],Table6[[#This Row],[Rep B]],Table6[[#This Row],[Rep C]])/0.075*Table6[[#This Row],[Best DF]]</f>
        <v>32000</v>
      </c>
      <c r="M6" s="1">
        <f>_xlfn.STDEV.S(Table6[[#This Row],[Rep A]:[Rep C]])/0.025*Table6[[#This Row],[Best DF]]</f>
        <v>11620.671237067159</v>
      </c>
      <c r="N6" s="1">
        <f>Table6[[#This Row],[Stdev.]]/Table6[[#This Row],[CFU/seed]]</f>
        <v>0.3631459761583487</v>
      </c>
    </row>
    <row r="7" spans="1:14" x14ac:dyDescent="0.15">
      <c r="A7" t="s">
        <v>1099</v>
      </c>
      <c r="E7" t="s">
        <v>243</v>
      </c>
      <c r="H7">
        <v>10</v>
      </c>
      <c r="I7">
        <v>85</v>
      </c>
      <c r="J7">
        <v>142</v>
      </c>
      <c r="K7">
        <v>135</v>
      </c>
      <c r="L7" s="1">
        <f>SUM(Table6[[#This Row],[Rep A]],Table6[[#This Row],[Rep B]],Table6[[#This Row],[Rep C]])/0.075*Table6[[#This Row],[Best DF]]</f>
        <v>48266.666666666672</v>
      </c>
      <c r="M7" s="1">
        <f>_xlfn.STDEV.S(Table6[[#This Row],[Rep A]:[Rep C]])/0.025*Table6[[#This Row],[Best DF]]</f>
        <v>12434.360994169871</v>
      </c>
      <c r="N7" s="1">
        <f>Table6[[#This Row],[Stdev.]]/Table6[[#This Row],[CFU/seed]]</f>
        <v>0.257617976398547</v>
      </c>
    </row>
    <row r="8" spans="1:14" x14ac:dyDescent="0.15">
      <c r="L8" s="1">
        <f>SUM(Table6[[#This Row],[Rep A]],Table6[[#This Row],[Rep B]],Table6[[#This Row],[Rep C]])/0.075*Table6[[#This Row],[Best DF]]</f>
        <v>0</v>
      </c>
      <c r="M8" s="1" t="e">
        <f>_xlfn.STDEV.S(Table6[[#This Row],[Rep A]:[Rep C]])/0.025*Table6[[#This Row],[Best DF]]</f>
        <v>#DIV/0!</v>
      </c>
      <c r="N8" s="1" t="e">
        <f>Table6[[#This Row],[Stdev.]]/Table6[[#This Row],[CFU/seed]]</f>
        <v>#DIV/0!</v>
      </c>
    </row>
    <row r="9" spans="1:14" x14ac:dyDescent="0.15">
      <c r="L9" s="1">
        <f>SUM(Table6[[#This Row],[Rep A]],Table6[[#This Row],[Rep B]],Table6[[#This Row],[Rep C]])/0.075*Table6[[#This Row],[Best DF]]</f>
        <v>0</v>
      </c>
      <c r="M9" s="1" t="e">
        <f>_xlfn.STDEV.S(Table6[[#This Row],[Rep A]:[Rep C]])/0.025*Table6[[#This Row],[Best DF]]</f>
        <v>#DIV/0!</v>
      </c>
      <c r="N9" s="1" t="e">
        <f>Table6[[#This Row],[Stdev.]]/Table6[[#This Row],[CFU/seed]]</f>
        <v>#DIV/0!</v>
      </c>
    </row>
    <row r="10" spans="1:14" x14ac:dyDescent="0.15">
      <c r="A10" t="s">
        <v>1100</v>
      </c>
      <c r="H10" s="1">
        <v>10000</v>
      </c>
      <c r="I10">
        <v>50</v>
      </c>
      <c r="J10">
        <v>60</v>
      </c>
      <c r="K10">
        <v>55</v>
      </c>
      <c r="L10" s="1">
        <f>SUM(Table6[[#This Row],[Rep A]],Table6[[#This Row],[Rep B]],Table6[[#This Row],[Rep C]])/0.075*Table6[[#This Row],[Best DF]]</f>
        <v>22000000</v>
      </c>
      <c r="M10" s="1">
        <f>_xlfn.STDEV.S(Table6[[#This Row],[Rep A]:[Rep C]])/0.025*Table6[[#This Row],[Best DF]]</f>
        <v>2000000</v>
      </c>
      <c r="N10" s="1">
        <f>Table6[[#This Row],[Stdev.]]/Table6[[#This Row],[CFU/seed]]</f>
        <v>9.0909090909090912E-2</v>
      </c>
    </row>
  </sheetData>
  <pageMargins left="0.7" right="0.7" top="0.75" bottom="0.75" header="0.3" footer="0.3"/>
  <pageSetup orientation="portrait" r:id="rId1"/>
  <headerFooter>
    <oddHeader>&amp;C&amp;"Calibri"&amp;10&amp;K000000Internal&amp;1#</oddHeader>
    <oddFooter>&amp;C&amp;1#&amp;"Calibri"&amp;10&amp;K000000Internal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10e42b3-6221-48bc-949e-3f86a0a99ece">
      <UserInfo>
        <DisplayName>Katherine Hillsbery</DisplayName>
        <AccountId>19</AccountId>
        <AccountType/>
      </UserInfo>
      <UserInfo>
        <DisplayName>Anyi Wang</DisplayName>
        <AccountId>17</AccountId>
        <AccountType/>
      </UserInfo>
      <UserInfo>
        <DisplayName>Jacob Sligar</DisplayName>
        <AccountId>15</AccountId>
        <AccountType/>
      </UserInfo>
    </SharedWithUsers>
    <TaxCatchAll xmlns="210e42b3-6221-48bc-949e-3f86a0a99ece" xsi:nil="true"/>
    <lcf76f155ced4ddcb4097134ff3c332f xmlns="b9cd21b6-c306-4718-b3fb-1870c0883dd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57861FCAFE834AA3F4E1944A629F44" ma:contentTypeVersion="14" ma:contentTypeDescription="Create a new document." ma:contentTypeScope="" ma:versionID="bacc2098568a66b8bf1e42dda0774db7">
  <xsd:schema xmlns:xsd="http://www.w3.org/2001/XMLSchema" xmlns:xs="http://www.w3.org/2001/XMLSchema" xmlns:p="http://schemas.microsoft.com/office/2006/metadata/properties" xmlns:ns2="b9cd21b6-c306-4718-b3fb-1870c0883dd8" xmlns:ns3="210e42b3-6221-48bc-949e-3f86a0a99ece" targetNamespace="http://schemas.microsoft.com/office/2006/metadata/properties" ma:root="true" ma:fieldsID="dc59ed66905a55e4db677ed64f83ffdf" ns2:_="" ns3:_="">
    <xsd:import namespace="b9cd21b6-c306-4718-b3fb-1870c0883dd8"/>
    <xsd:import namespace="210e42b3-6221-48bc-949e-3f86a0a99e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cd21b6-c306-4718-b3fb-1870c0883d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1d45d5a-0efd-4c16-8dbd-2223f7fedf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0e42b3-6221-48bc-949e-3f86a0a99ec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2345634-3e30-4044-b61c-28eef7aee721}" ma:internalName="TaxCatchAll" ma:showField="CatchAllData" ma:web="210e42b3-6221-48bc-949e-3f86a0a99e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05D992-F90C-4269-B2E8-3B3409ADC232}">
  <ds:schemaRefs>
    <ds:schemaRef ds:uri="http://schemas.microsoft.com/office/2006/metadata/properties"/>
    <ds:schemaRef ds:uri="http://schemas.microsoft.com/office/infopath/2007/PartnerControls"/>
    <ds:schemaRef ds:uri="210e42b3-6221-48bc-949e-3f86a0a99ece"/>
    <ds:schemaRef ds:uri="b9cd21b6-c306-4718-b3fb-1870c0883dd8"/>
  </ds:schemaRefs>
</ds:datastoreItem>
</file>

<file path=customXml/itemProps2.xml><?xml version="1.0" encoding="utf-8"?>
<ds:datastoreItem xmlns:ds="http://schemas.openxmlformats.org/officeDocument/2006/customXml" ds:itemID="{08C46795-785D-4794-B1AC-63B11AF3C0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cd21b6-c306-4718-b3fb-1870c0883dd8"/>
    <ds:schemaRef ds:uri="210e42b3-6221-48bc-949e-3f86a0a99e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8764E1-2017-418E-8C8F-7A30FDA897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PivotJS</vt:lpstr>
      <vt:lpstr>Pivot Spread Plate</vt:lpstr>
      <vt:lpstr>Pivot Spot Plate</vt:lpstr>
      <vt:lpstr>Sheet1</vt:lpstr>
      <vt:lpstr>Sheet2</vt:lpstr>
      <vt:lpstr>scratch_pad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Lay, Cliff</dc:creator>
  <cp:keywords/>
  <dc:description/>
  <cp:lastModifiedBy>Microsoft Office User</cp:lastModifiedBy>
  <cp:revision/>
  <dcterms:created xsi:type="dcterms:W3CDTF">2022-06-29T18:21:54Z</dcterms:created>
  <dcterms:modified xsi:type="dcterms:W3CDTF">2023-06-22T22:57:53Z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0x0101005457861FCAFE834AA3F4E1944A629F44</vt:lpwstr>
  </property>
  <property fmtid="{D5CDD505-2E9C-101B-9397-08002B2CF9AE}" pid="3" name="MSIP_Label_76bd7a18-54e6-45d9-8525-7703eb491273_Enabled">
    <vt:lpwstr>true</vt:lpwstr>
  </property>
  <property fmtid="{D5CDD505-2E9C-101B-9397-08002B2CF9AE}" pid="4" name="MSIP_Label_76bd7a18-54e6-45d9-8525-7703eb491273_SetDate">
    <vt:lpwstr>2022-07-15T17:05:25Z</vt:lpwstr>
  </property>
  <property fmtid="{D5CDD505-2E9C-101B-9397-08002B2CF9AE}" pid="5" name="MSIP_Label_76bd7a18-54e6-45d9-8525-7703eb491273_Method">
    <vt:lpwstr>Privileged</vt:lpwstr>
  </property>
  <property fmtid="{D5CDD505-2E9C-101B-9397-08002B2CF9AE}" pid="6" name="MSIP_Label_76bd7a18-54e6-45d9-8525-7703eb491273_Name">
    <vt:lpwstr>Internal</vt:lpwstr>
  </property>
  <property fmtid="{D5CDD505-2E9C-101B-9397-08002B2CF9AE}" pid="7" name="MSIP_Label_76bd7a18-54e6-45d9-8525-7703eb491273_SiteId">
    <vt:lpwstr>a2a9bf31-fc44-425c-a6d2-3ae9379573ea</vt:lpwstr>
  </property>
  <property fmtid="{D5CDD505-2E9C-101B-9397-08002B2CF9AE}" pid="8" name="MSIP_Label_76bd7a18-54e6-45d9-8525-7703eb491273_ActionId">
    <vt:lpwstr>f6914d58-2dba-4b30-9b64-d99021493efc</vt:lpwstr>
  </property>
  <property fmtid="{D5CDD505-2E9C-101B-9397-08002B2CF9AE}" pid="9" name="MSIP_Label_76bd7a18-54e6-45d9-8525-7703eb491273_ContentBits">
    <vt:lpwstr>3</vt:lpwstr>
  </property>
  <property fmtid="{D5CDD505-2E9C-101B-9397-08002B2CF9AE}" pid="10" name="MediaServiceImageTags">
    <vt:lpwstr/>
  </property>
</Properties>
</file>