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8"/>
  <workbookPr/>
  <mc:AlternateContent xmlns:mc="http://schemas.openxmlformats.org/markup-compatibility/2006">
    <mc:Choice Requires="x15">
      <x15ac:absPath xmlns:x15ac="http://schemas.microsoft.com/office/spreadsheetml/2010/11/ac" url="https://kth-my.sharepoint.com/personal/axnils_ug_kth_se/Documents/"/>
    </mc:Choice>
  </mc:AlternateContent>
  <xr:revisionPtr revIDLastSave="0" documentId="8_{B2B9DCB7-38FD-4393-9572-58E607DFCE5E}" xr6:coauthVersionLast="47" xr6:coauthVersionMax="47" xr10:uidLastSave="{00000000-0000-0000-0000-000000000000}"/>
  <bookViews>
    <workbookView xWindow="0" yWindow="500" windowWidth="28800" windowHeight="16400" xr2:uid="{00000000-000D-0000-FFFF-FFFF00000000}"/>
  </bookViews>
  <sheets>
    <sheet name="GÖ 1" sheetId="1" r:id="rId1"/>
    <sheet name="Question 1" sheetId="4" r:id="rId2"/>
    <sheet name="Question 2" sheetId="5" r:id="rId3"/>
    <sheet name="Question 3" sheetId="6" r:id="rId4"/>
    <sheet name="Question 4" sheetId="7" r:id="rId5"/>
    <sheet name="Question 5" sheetId="8" r:id="rId6"/>
    <sheet name="Question 6" sheetId="9" r:id="rId7"/>
    <sheet name="Question 7" sheetId="10" r:id="rId8"/>
    <sheet name="Question 8" sheetId="11" r:id="rId9"/>
    <sheet name="Question 9" sheetId="12" r:id="rId10"/>
  </sheets>
  <definedNames>
    <definedName name="_xlnm.Print_Area" localSheetId="0">'GÖ 1'!$A$1:$J$29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6" l="1"/>
  <c r="D35" i="6"/>
  <c r="D34" i="6"/>
  <c r="D33" i="6"/>
  <c r="E8" i="4"/>
  <c r="D40" i="5"/>
  <c r="D18" i="7"/>
  <c r="G27" i="5"/>
  <c r="D19" i="7"/>
  <c r="D36" i="5"/>
  <c r="D22" i="4"/>
  <c r="N6" i="7"/>
  <c r="L6" i="7"/>
  <c r="D16" i="7" s="1"/>
  <c r="E7" i="7"/>
  <c r="T23" i="11"/>
  <c r="S23" i="11"/>
  <c r="R23" i="11"/>
  <c r="Q23" i="11"/>
  <c r="P23" i="11"/>
  <c r="O23" i="11"/>
  <c r="N23" i="11"/>
  <c r="M23" i="11"/>
  <c r="L23" i="11"/>
  <c r="K23" i="11"/>
  <c r="G23" i="11"/>
  <c r="G7" i="11"/>
  <c r="C9" i="12"/>
  <c r="C8" i="12"/>
  <c r="G16" i="11"/>
  <c r="G6" i="11"/>
  <c r="T3" i="10"/>
  <c r="K10" i="10"/>
  <c r="J27" i="10"/>
  <c r="B24" i="10"/>
  <c r="J24" i="10" s="1"/>
  <c r="B23" i="10"/>
  <c r="J23" i="10" s="1"/>
  <c r="B22" i="10"/>
  <c r="J22" i="10" s="1"/>
  <c r="G12" i="8"/>
  <c r="G33" i="8"/>
  <c r="O12" i="8"/>
  <c r="O11" i="8"/>
  <c r="O10" i="8"/>
  <c r="O9" i="8"/>
  <c r="O8" i="8"/>
  <c r="O7" i="8"/>
  <c r="O6" i="8"/>
  <c r="O5" i="8"/>
  <c r="O4" i="8"/>
  <c r="O3" i="8"/>
  <c r="D9" i="8"/>
  <c r="D13" i="5"/>
  <c r="F15" i="9"/>
  <c r="E18" i="9" s="1"/>
  <c r="F13" i="9"/>
  <c r="F14" i="9" s="1"/>
  <c r="D19" i="4"/>
  <c r="E18" i="4"/>
  <c r="F18" i="4" s="1"/>
  <c r="F16" i="6"/>
  <c r="F17" i="6"/>
  <c r="E17" i="6"/>
  <c r="E16" i="6"/>
  <c r="D17" i="6"/>
  <c r="D21" i="6" l="1"/>
  <c r="D17" i="7"/>
  <c r="G18" i="4"/>
  <c r="F19" i="4"/>
  <c r="E19" i="4"/>
  <c r="D20" i="6"/>
  <c r="H18" i="4" l="1"/>
  <c r="H19" i="4" s="1"/>
  <c r="G19" i="4"/>
  <c r="I19" i="4" l="1"/>
</calcChain>
</file>

<file path=xl/sharedStrings.xml><?xml version="1.0" encoding="utf-8"?>
<sst xmlns="http://schemas.openxmlformats.org/spreadsheetml/2006/main" count="321" uniqueCount="221">
  <si>
    <t>Finance I</t>
  </si>
  <si>
    <t>Seminar assignment 1</t>
  </si>
  <si>
    <t>Seminar group number and team name:</t>
  </si>
  <si>
    <t>Your names (only one name per row, write it as surname, first name):</t>
  </si>
  <si>
    <t>Hojlas, Azer</t>
  </si>
  <si>
    <t>Nilsson, Axel</t>
  </si>
  <si>
    <t>Ali, Rakin</t>
  </si>
  <si>
    <t>Lindberg, Simon</t>
  </si>
  <si>
    <t>Christiansson, David</t>
  </si>
  <si>
    <t xml:space="preserve">You need to submit not only the answers but also your solutions. We encourage you to work with </t>
  </si>
  <si>
    <t>Excel, for example you can use the different sheets in this file for question 1, question 2 etc.</t>
  </si>
  <si>
    <t>Answer:</t>
  </si>
  <si>
    <t>1.1</t>
  </si>
  <si>
    <t>The present value is</t>
  </si>
  <si>
    <t>480.4</t>
  </si>
  <si>
    <t>SEK</t>
  </si>
  <si>
    <t>1.2</t>
  </si>
  <si>
    <t>The IRR is (with 1 decimal's precision)</t>
  </si>
  <si>
    <t>15.9</t>
  </si>
  <si>
    <t>%</t>
  </si>
  <si>
    <t>1.3</t>
  </si>
  <si>
    <t>You should choose investment</t>
  </si>
  <si>
    <t>A</t>
  </si>
  <si>
    <t>Because</t>
  </si>
  <si>
    <t xml:space="preserve">We are comparing projects with unequal lifespans, choose the one with the higher equivalent annual annuity and repeat it. </t>
  </si>
  <si>
    <t xml:space="preserve">EAA(Inv A) &gt; EAA(Inv B) </t>
  </si>
  <si>
    <t>1.4</t>
  </si>
  <si>
    <t>You choose alternative</t>
  </si>
  <si>
    <t>D</t>
  </si>
  <si>
    <t>With the present value</t>
  </si>
  <si>
    <t>1.5</t>
  </si>
  <si>
    <t>You need to make an annual deposit of</t>
  </si>
  <si>
    <t>SEK/year</t>
  </si>
  <si>
    <t>1.6</t>
  </si>
  <si>
    <t>You need to deposit at least</t>
  </si>
  <si>
    <t>SEK today</t>
  </si>
  <si>
    <t>ANSWERS:</t>
  </si>
  <si>
    <t>1.7 a</t>
  </si>
  <si>
    <t>The enterprise value of the firm is</t>
  </si>
  <si>
    <t>b</t>
  </si>
  <si>
    <t>The share price is</t>
  </si>
  <si>
    <t>1.8 a</t>
  </si>
  <si>
    <t>A reasonable price for the bond is:</t>
  </si>
  <si>
    <t>In 10 years time, the bond sells for:</t>
  </si>
  <si>
    <t>Year 0</t>
  </si>
  <si>
    <t>Year 1</t>
  </si>
  <si>
    <t>Year 2</t>
  </si>
  <si>
    <t>Year 3</t>
  </si>
  <si>
    <t>Year 4</t>
  </si>
  <si>
    <t>Year 5</t>
  </si>
  <si>
    <t>Year 6</t>
  </si>
  <si>
    <t>Year 7</t>
  </si>
  <si>
    <t>Year 8</t>
  </si>
  <si>
    <t>Year 9</t>
  </si>
  <si>
    <t>Year 10</t>
  </si>
  <si>
    <t>c</t>
  </si>
  <si>
    <t>Enter values in the table:</t>
  </si>
  <si>
    <t>Investment</t>
  </si>
  <si>
    <t>Coupon payment</t>
  </si>
  <si>
    <t>Selling price</t>
  </si>
  <si>
    <t>1.9</t>
  </si>
  <si>
    <t>The bond price was:</t>
  </si>
  <si>
    <t>Question 1</t>
  </si>
  <si>
    <t>1)</t>
  </si>
  <si>
    <t>Input data</t>
  </si>
  <si>
    <t>Calculated with formula</t>
  </si>
  <si>
    <t>Calculation</t>
  </si>
  <si>
    <t>Discount rate</t>
  </si>
  <si>
    <t>Growth Rate</t>
  </si>
  <si>
    <t>Cashflow</t>
  </si>
  <si>
    <t>2) - caluclation</t>
  </si>
  <si>
    <t>Single cash flow Calculation</t>
  </si>
  <si>
    <t>Year</t>
  </si>
  <si>
    <t>Sum</t>
  </si>
  <si>
    <t>Cash flow</t>
  </si>
  <si>
    <t>Annual discount rate</t>
  </si>
  <si>
    <t>3)</t>
  </si>
  <si>
    <t xml:space="preserve">Answer </t>
  </si>
  <si>
    <t>Input Data</t>
  </si>
  <si>
    <t>Initial Outlay</t>
  </si>
  <si>
    <t>Cashflow [year 1-10]</t>
  </si>
  <si>
    <t>Salvage value</t>
  </si>
  <si>
    <t>IRR</t>
  </si>
  <si>
    <t>2) Calulations</t>
  </si>
  <si>
    <t>We used an equation solver on one of our TI-82 graphing tools to solve for the apropriate IRR, upon which we tried out our value in the equation displayed below, upon which a close approximation to 0 is achieved (circa 0,000003)</t>
  </si>
  <si>
    <t>First caluclation:</t>
  </si>
  <si>
    <t>0 = -15M + 3M/IRR *(1 - 1/(1 + IRR)^10) + 2M/(1 + IRR)^10</t>
  </si>
  <si>
    <t>Second Caluclation using Excels IRR function</t>
  </si>
  <si>
    <t>year</t>
  </si>
  <si>
    <t>initital outlay</t>
  </si>
  <si>
    <t>Excel calculations</t>
  </si>
  <si>
    <t>cashflow</t>
  </si>
  <si>
    <t>3) - Answer</t>
  </si>
  <si>
    <t>Question 3</t>
  </si>
  <si>
    <t>1) - Task</t>
  </si>
  <si>
    <t>Investment A</t>
  </si>
  <si>
    <t>Investment B</t>
  </si>
  <si>
    <t>Initial outay [msek]</t>
  </si>
  <si>
    <t>Annual Net cash Flow</t>
  </si>
  <si>
    <t>Salvage Value</t>
  </si>
  <si>
    <t>Lifespan of Project [years]</t>
  </si>
  <si>
    <t>2) - Calculations</t>
  </si>
  <si>
    <t>Initial outlay</t>
  </si>
  <si>
    <t>Discounted cashflows</t>
  </si>
  <si>
    <t>Discounted salvage value</t>
  </si>
  <si>
    <t>Investment A [msek]</t>
  </si>
  <si>
    <t>Investment B [msek]</t>
  </si>
  <si>
    <t>3) - Results</t>
  </si>
  <si>
    <t>NPV Investment A</t>
  </si>
  <si>
    <t>msek</t>
  </si>
  <si>
    <t>NPV Investment B</t>
  </si>
  <si>
    <t>EAA investment A</t>
  </si>
  <si>
    <t>EAA investment B</t>
  </si>
  <si>
    <t>Payment</t>
  </si>
  <si>
    <t>Periods</t>
  </si>
  <si>
    <t>Payments made</t>
  </si>
  <si>
    <t>Formula</t>
  </si>
  <si>
    <t>Annual</t>
  </si>
  <si>
    <t xml:space="preserve">Monthly </t>
  </si>
  <si>
    <t>Semiannual</t>
  </si>
  <si>
    <t>once</t>
  </si>
  <si>
    <t>None</t>
  </si>
  <si>
    <t>B</t>
  </si>
  <si>
    <t>monthly</t>
  </si>
  <si>
    <t>annuity</t>
  </si>
  <si>
    <t>C</t>
  </si>
  <si>
    <t>Semiannualy</t>
  </si>
  <si>
    <t>annuity due</t>
  </si>
  <si>
    <t>Annualy</t>
  </si>
  <si>
    <t>E</t>
  </si>
  <si>
    <t>Once in 30 years</t>
  </si>
  <si>
    <t>present value</t>
  </si>
  <si>
    <t>2) - Caluclations</t>
  </si>
  <si>
    <t>NPV</t>
  </si>
  <si>
    <t>3) Answer</t>
  </si>
  <si>
    <t>Optimal Payment:</t>
  </si>
  <si>
    <t>Accumulated sum total for each year when the deposit was made</t>
  </si>
  <si>
    <t>FV</t>
  </si>
  <si>
    <t>Year 10:</t>
  </si>
  <si>
    <t>C*1,0301^1</t>
  </si>
  <si>
    <t>=</t>
  </si>
  <si>
    <t>C*</t>
  </si>
  <si>
    <t>Year 9:</t>
  </si>
  <si>
    <t>C*1,0301^2</t>
  </si>
  <si>
    <t>Interest rate</t>
  </si>
  <si>
    <t>Year 8:</t>
  </si>
  <si>
    <t>C*1,0301^3</t>
  </si>
  <si>
    <t>Tax</t>
  </si>
  <si>
    <t>Year 7:</t>
  </si>
  <si>
    <t>C*1,0301^4</t>
  </si>
  <si>
    <t>Year 6:</t>
  </si>
  <si>
    <t>C*1,0301^5</t>
  </si>
  <si>
    <t>Calculations</t>
  </si>
  <si>
    <t>Year 5:</t>
  </si>
  <si>
    <t>C*1,0301^6</t>
  </si>
  <si>
    <t>Nominal rate after taxes:</t>
  </si>
  <si>
    <t>Year 4:</t>
  </si>
  <si>
    <t>C*1,0301^7</t>
  </si>
  <si>
    <t>Single cash flow:</t>
  </si>
  <si>
    <t>Year 3:</t>
  </si>
  <si>
    <t>C*1,0301^8</t>
  </si>
  <si>
    <t>Year 2:</t>
  </si>
  <si>
    <t>C*1,0301^9</t>
  </si>
  <si>
    <t>Each payout C factored out from the equation to the right:</t>
  </si>
  <si>
    <t>Year 1:</t>
  </si>
  <si>
    <t>C*1,0301^10</t>
  </si>
  <si>
    <t>Such that:</t>
  </si>
  <si>
    <t>Using the tweaked formula of the future value of an annuity, where deposits are made at the start of each period as opposed to the end we get the following formula below:</t>
  </si>
  <si>
    <t>Thus, using this formula, solving for PMT or C results in:</t>
  </si>
  <si>
    <t>Question 6</t>
  </si>
  <si>
    <t>1) -Task</t>
  </si>
  <si>
    <t>Car payment</t>
  </si>
  <si>
    <t>Future cost</t>
  </si>
  <si>
    <t>Car cost today [thousand sek]</t>
  </si>
  <si>
    <t>years into  future</t>
  </si>
  <si>
    <t>nominal interest rate</t>
  </si>
  <si>
    <t>inflation</t>
  </si>
  <si>
    <t>2) Caluclations</t>
  </si>
  <si>
    <t>Future value, i.e cost of car</t>
  </si>
  <si>
    <t>Discounted for intrest rate earned</t>
  </si>
  <si>
    <t>i.e</t>
  </si>
  <si>
    <t>Money needed in bank [thousand sek]</t>
  </si>
  <si>
    <t>Needed:</t>
  </si>
  <si>
    <t>tsek</t>
  </si>
  <si>
    <t>Output data</t>
  </si>
  <si>
    <t>EBIT</t>
  </si>
  <si>
    <t xml:space="preserve">Enterprise value = PV(FCF) = </t>
  </si>
  <si>
    <t>Sum of present values years 1 through 3 plus the years 4 towards infinity</t>
  </si>
  <si>
    <t>Depreciation</t>
  </si>
  <si>
    <t>WC</t>
  </si>
  <si>
    <t>Enterprise value = Market Value Of Equity + debt - cash</t>
  </si>
  <si>
    <t>Market Value Of Equities = EV - Debt + Cash</t>
  </si>
  <si>
    <t>CAPEX</t>
  </si>
  <si>
    <t xml:space="preserve">Share price = Market Value Of Equities / Shares Outstanding </t>
  </si>
  <si>
    <t>EV - Debt + Cash</t>
  </si>
  <si>
    <t>Shares Outstanding</t>
  </si>
  <si>
    <t>Growth:</t>
  </si>
  <si>
    <t xml:space="preserve">Share price = </t>
  </si>
  <si>
    <t>WACC:</t>
  </si>
  <si>
    <t>Shares outstanding</t>
  </si>
  <si>
    <t>Debt outstanding</t>
  </si>
  <si>
    <t>Future Values</t>
  </si>
  <si>
    <t>Present Values</t>
  </si>
  <si>
    <t>FCF years 1 through 3</t>
  </si>
  <si>
    <t>PV(FCF) years 1 through 3</t>
  </si>
  <si>
    <t>FCF year 4</t>
  </si>
  <si>
    <t>PV(FCF) years 4 and beyond</t>
  </si>
  <si>
    <t>Face Value</t>
  </si>
  <si>
    <t>Coupon rate</t>
  </si>
  <si>
    <t>Time to Maturity [years]</t>
  </si>
  <si>
    <t>Yield to maturity</t>
  </si>
  <si>
    <t xml:space="preserve">CPN  = </t>
  </si>
  <si>
    <t xml:space="preserve">P = </t>
  </si>
  <si>
    <t>2)</t>
  </si>
  <si>
    <t>YTM years 0 through 8</t>
  </si>
  <si>
    <t>YTM years 9</t>
  </si>
  <si>
    <t>Face value</t>
  </si>
  <si>
    <t>YTM</t>
  </si>
  <si>
    <t>Time to maturity</t>
  </si>
  <si>
    <t>CPN</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</si>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</sst>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kr&quot;;[Red]\-#,##0.00\ &quot;kr&quot;"/>
    <numFmt numFmtId="164" formatCode="0.000"/>
    <numFmt numFmtId="165" formatCode="#,##0.00\ &quot;kr&quot;"/>
  </numFmts>
  <fonts count="18">
    <font>
      <sz val="10"/>
      <name val="Arial"/>
    </font>
    <font>
      <sz val="14"/>
      <name val="Arial"/>
      <family val="2"/>
      <charset val="204"/>
    </font>
    <font>
      <sz val="8"/>
      <name val="Arial"/>
      <family val="2"/>
      <charset val="204"/>
    </font>
    <font>
      <b/>
      <sz val="14"/>
      <name val="Arial"/>
      <family val="2"/>
      <charset val="204"/>
    </font>
    <font>
      <b/>
      <sz val="12"/>
      <name val="Arial"/>
      <family val="2"/>
      <charset val="204"/>
    </font>
    <font>
      <b/>
      <u/>
      <sz val="14"/>
      <name val="Arial"/>
      <family val="2"/>
      <charset val="204"/>
    </font>
    <font>
      <sz val="10"/>
      <name val="Arial"/>
      <family val="2"/>
    </font>
    <font>
      <b/>
      <sz val="10"/>
      <name val="Arial"/>
      <family val="2"/>
      <charset val="204"/>
    </font>
    <font>
      <b/>
      <sz val="12"/>
      <color theme="1"/>
      <name val="Arial"/>
      <family val="2"/>
      <charset val="204"/>
    </font>
    <font>
      <b/>
      <sz val="10"/>
      <color theme="1"/>
      <name val="Arial"/>
      <family val="2"/>
      <charset val="204"/>
    </font>
    <font>
      <sz val="10"/>
      <color theme="1"/>
      <name val="Arial"/>
      <family val="2"/>
    </font>
    <font>
      <b/>
      <sz val="14"/>
      <color theme="1"/>
      <name val="Arial"/>
      <family val="2"/>
      <charset val="204"/>
    </font>
    <font>
      <sz val="20"/>
      <name val="Arial"/>
      <family val="2"/>
    </font>
    <font>
      <sz val="12"/>
      <color rgb="FF000000"/>
      <name val="Arial"/>
      <family val="2"/>
    </font>
    <font>
      <b/>
      <sz val="10"/>
      <name val="Arial"/>
      <family val="2"/>
    </font>
    <font>
      <sz val="10"/>
      <color rgb="FF444444"/>
      <name val="Arial"/>
      <family val="2"/>
    </font>
    <font>
      <sz val="11"/>
      <color rgb="FF000000"/>
      <name val="Roboto-Regular"/>
      <charset val="1"/>
    </font>
    <font>
      <sz val="12"/>
      <name val="Arial"/>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6" fillId="0" borderId="0"/>
  </cellStyleXfs>
  <cellXfs count="131">
    <xf numFmtId="0" fontId="0" fillId="0" borderId="0" xfId="0"/>
    <xf numFmtId="0" fontId="1" fillId="0" borderId="0" xfId="0" applyFont="1"/>
    <xf numFmtId="0" fontId="1" fillId="0" borderId="0" xfId="0" applyFont="1" applyAlignment="1">
      <alignment horizontal="center"/>
    </xf>
    <xf numFmtId="0" fontId="3" fillId="0" borderId="0" xfId="0" applyFont="1"/>
    <xf numFmtId="0" fontId="5" fillId="0" borderId="0" xfId="0" applyFont="1"/>
    <xf numFmtId="0" fontId="0" fillId="0" borderId="0" xfId="0" applyAlignment="1">
      <alignment horizontal="center"/>
    </xf>
    <xf numFmtId="0" fontId="4" fillId="0" borderId="0" xfId="0" applyFont="1"/>
    <xf numFmtId="0" fontId="4" fillId="2" borderId="1" xfId="0" applyFont="1" applyFill="1" applyBorder="1"/>
    <xf numFmtId="0" fontId="4" fillId="2" borderId="2" xfId="0" applyFont="1" applyFill="1" applyBorder="1"/>
    <xf numFmtId="0" fontId="0" fillId="2" borderId="2" xfId="0" applyFill="1" applyBorder="1"/>
    <xf numFmtId="0" fontId="0" fillId="2" borderId="2" xfId="0" applyFill="1" applyBorder="1" applyAlignment="1">
      <alignment horizontal="center"/>
    </xf>
    <xf numFmtId="0" fontId="0" fillId="2" borderId="3" xfId="0" applyFill="1" applyBorder="1"/>
    <xf numFmtId="0" fontId="4" fillId="2" borderId="4" xfId="0" applyFont="1" applyFill="1" applyBorder="1"/>
    <xf numFmtId="0" fontId="4" fillId="2" borderId="0" xfId="0" applyFont="1" applyFill="1"/>
    <xf numFmtId="0" fontId="0" fillId="2" borderId="0" xfId="0" applyFill="1"/>
    <xf numFmtId="0" fontId="0" fillId="2" borderId="0" xfId="0" applyFill="1" applyAlignment="1">
      <alignment horizontal="center"/>
    </xf>
    <xf numFmtId="0" fontId="0" fillId="2" borderId="5" xfId="0" applyFill="1" applyBorder="1"/>
    <xf numFmtId="0" fontId="4" fillId="3" borderId="6" xfId="0" applyFont="1" applyFill="1" applyBorder="1"/>
    <xf numFmtId="0" fontId="4" fillId="3" borderId="7" xfId="0" applyFont="1" applyFill="1" applyBorder="1"/>
    <xf numFmtId="0" fontId="0" fillId="2" borderId="4" xfId="0" applyFill="1" applyBorder="1"/>
    <xf numFmtId="0" fontId="0" fillId="2" borderId="8" xfId="0" applyFill="1" applyBorder="1"/>
    <xf numFmtId="0" fontId="0" fillId="2" borderId="9" xfId="0" applyFill="1" applyBorder="1"/>
    <xf numFmtId="0" fontId="0" fillId="2" borderId="9" xfId="0" applyFill="1" applyBorder="1" applyAlignment="1">
      <alignment horizontal="center"/>
    </xf>
    <xf numFmtId="0" fontId="0" fillId="2" borderId="10" xfId="0" applyFill="1" applyBorder="1"/>
    <xf numFmtId="0" fontId="4" fillId="3" borderId="11" xfId="0" applyFont="1" applyFill="1" applyBorder="1"/>
    <xf numFmtId="0" fontId="8" fillId="3" borderId="6" xfId="0" applyFont="1" applyFill="1" applyBorder="1"/>
    <xf numFmtId="0" fontId="8" fillId="0" borderId="12" xfId="0" applyFont="1" applyBorder="1"/>
    <xf numFmtId="0" fontId="8" fillId="0" borderId="13" xfId="0" applyFont="1" applyBorder="1"/>
    <xf numFmtId="0" fontId="9" fillId="0" borderId="12" xfId="0" applyFont="1" applyBorder="1"/>
    <xf numFmtId="0" fontId="9" fillId="0" borderId="0" xfId="0" applyFont="1"/>
    <xf numFmtId="0" fontId="10" fillId="0" borderId="13" xfId="0" applyFont="1" applyBorder="1"/>
    <xf numFmtId="0" fontId="8" fillId="3" borderId="11" xfId="0" applyFont="1" applyFill="1" applyBorder="1"/>
    <xf numFmtId="0" fontId="10" fillId="0" borderId="0" xfId="0" applyFont="1"/>
    <xf numFmtId="0" fontId="7" fillId="0" borderId="0" xfId="0" applyFont="1"/>
    <xf numFmtId="0" fontId="10" fillId="3" borderId="14" xfId="0" applyFont="1" applyFill="1" applyBorder="1"/>
    <xf numFmtId="0" fontId="11" fillId="3" borderId="11" xfId="0" applyFont="1" applyFill="1" applyBorder="1"/>
    <xf numFmtId="0" fontId="6" fillId="0" borderId="0" xfId="1"/>
    <xf numFmtId="0" fontId="12" fillId="0" borderId="0" xfId="0" applyFont="1"/>
    <xf numFmtId="0" fontId="0" fillId="0" borderId="12" xfId="0" applyBorder="1"/>
    <xf numFmtId="0" fontId="6" fillId="0" borderId="12" xfId="0" applyFont="1" applyBorder="1"/>
    <xf numFmtId="0" fontId="6" fillId="0" borderId="16" xfId="0" applyFont="1" applyBorder="1"/>
    <xf numFmtId="0" fontId="0" fillId="0" borderId="17" xfId="0" applyBorder="1"/>
    <xf numFmtId="0" fontId="6" fillId="0" borderId="0" xfId="0" applyFont="1"/>
    <xf numFmtId="0" fontId="0" fillId="0" borderId="18" xfId="0" applyBorder="1"/>
    <xf numFmtId="0" fontId="6" fillId="0" borderId="18" xfId="0" applyFont="1" applyBorder="1"/>
    <xf numFmtId="9" fontId="0" fillId="0" borderId="0" xfId="0" applyNumberFormat="1"/>
    <xf numFmtId="9" fontId="0" fillId="0" borderId="18" xfId="0" applyNumberFormat="1" applyBorder="1"/>
    <xf numFmtId="0" fontId="6" fillId="0" borderId="17" xfId="0" applyFont="1" applyBorder="1"/>
    <xf numFmtId="3" fontId="0" fillId="0" borderId="0" xfId="0" applyNumberFormat="1"/>
    <xf numFmtId="2" fontId="0" fillId="0" borderId="0" xfId="0" applyNumberFormat="1"/>
    <xf numFmtId="2" fontId="6" fillId="0" borderId="18" xfId="0" applyNumberFormat="1" applyFont="1" applyBorder="1"/>
    <xf numFmtId="2" fontId="0" fillId="0" borderId="18" xfId="0" applyNumberFormat="1" applyBorder="1"/>
    <xf numFmtId="0" fontId="6" fillId="0" borderId="19" xfId="0" applyFont="1" applyBorder="1"/>
    <xf numFmtId="2" fontId="0" fillId="0" borderId="13" xfId="0" applyNumberFormat="1" applyBorder="1"/>
    <xf numFmtId="0" fontId="6" fillId="0" borderId="13" xfId="0" applyFont="1" applyBorder="1"/>
    <xf numFmtId="0" fontId="0" fillId="0" borderId="20" xfId="0" applyBorder="1"/>
    <xf numFmtId="0" fontId="0" fillId="0" borderId="21" xfId="0" applyBorder="1"/>
    <xf numFmtId="0" fontId="0" fillId="0" borderId="9" xfId="0" applyBorder="1"/>
    <xf numFmtId="0" fontId="0" fillId="0" borderId="22" xfId="0" applyBorder="1"/>
    <xf numFmtId="0" fontId="6" fillId="0" borderId="21" xfId="0" applyFont="1" applyBorder="1"/>
    <xf numFmtId="0" fontId="6" fillId="0" borderId="15" xfId="0" applyFont="1" applyBorder="1"/>
    <xf numFmtId="0" fontId="0" fillId="0" borderId="13" xfId="0" applyBorder="1"/>
    <xf numFmtId="164" fontId="0" fillId="0" borderId="13" xfId="0" applyNumberFormat="1" applyBorder="1"/>
    <xf numFmtId="0" fontId="6" fillId="0" borderId="20" xfId="0" applyFont="1" applyBorder="1"/>
    <xf numFmtId="164" fontId="0" fillId="0" borderId="18" xfId="0" applyNumberFormat="1" applyBorder="1"/>
    <xf numFmtId="2" fontId="6" fillId="0" borderId="9" xfId="0" applyNumberFormat="1" applyFont="1" applyBorder="1"/>
    <xf numFmtId="164" fontId="0" fillId="0" borderId="22" xfId="0" applyNumberFormat="1" applyBorder="1"/>
    <xf numFmtId="0" fontId="14" fillId="0" borderId="0" xfId="0" applyFont="1"/>
    <xf numFmtId="2" fontId="0" fillId="0" borderId="2" xfId="0" applyNumberFormat="1" applyBorder="1"/>
    <xf numFmtId="164" fontId="0" fillId="0" borderId="23" xfId="0" applyNumberFormat="1" applyBorder="1"/>
    <xf numFmtId="3" fontId="6" fillId="0" borderId="0" xfId="1" applyNumberFormat="1"/>
    <xf numFmtId="9" fontId="6" fillId="0" borderId="0" xfId="1" applyNumberFormat="1"/>
    <xf numFmtId="10" fontId="0" fillId="0" borderId="0" xfId="0" applyNumberFormat="1"/>
    <xf numFmtId="165" fontId="0" fillId="0" borderId="0" xfId="0" applyNumberFormat="1"/>
    <xf numFmtId="0" fontId="0" fillId="0" borderId="0" xfId="1" applyFont="1"/>
    <xf numFmtId="1" fontId="8" fillId="3" borderId="11" xfId="0" applyNumberFormat="1" applyFont="1" applyFill="1" applyBorder="1"/>
    <xf numFmtId="3" fontId="4" fillId="3" borderId="11" xfId="0" applyNumberFormat="1" applyFont="1" applyFill="1" applyBorder="1"/>
    <xf numFmtId="1" fontId="4" fillId="3" borderId="7" xfId="0" applyNumberFormat="1" applyFont="1" applyFill="1" applyBorder="1"/>
    <xf numFmtId="0" fontId="0" fillId="0" borderId="15" xfId="0" applyBorder="1"/>
    <xf numFmtId="0" fontId="0" fillId="0" borderId="16" xfId="0" applyBorder="1"/>
    <xf numFmtId="0" fontId="0" fillId="0" borderId="19" xfId="0" applyBorder="1"/>
    <xf numFmtId="0" fontId="6" fillId="0" borderId="24" xfId="1" applyBorder="1"/>
    <xf numFmtId="0" fontId="6" fillId="4" borderId="0" xfId="1" applyFill="1"/>
    <xf numFmtId="0" fontId="6" fillId="0" borderId="25" xfId="1" applyBorder="1"/>
    <xf numFmtId="0" fontId="6" fillId="0" borderId="26" xfId="1" applyBorder="1"/>
    <xf numFmtId="0" fontId="6" fillId="0" borderId="0" xfId="1" applyAlignment="1">
      <alignment horizontal="right"/>
    </xf>
    <xf numFmtId="0" fontId="6" fillId="0" borderId="27" xfId="1" applyBorder="1"/>
    <xf numFmtId="0" fontId="16" fillId="0" borderId="0" xfId="0" applyFont="1"/>
    <xf numFmtId="0" fontId="0" fillId="0" borderId="0" xfId="0" applyAlignment="1">
      <alignment horizontal="left"/>
    </xf>
    <xf numFmtId="0" fontId="14" fillId="0" borderId="28" xfId="0" applyFont="1" applyBorder="1" applyAlignment="1">
      <alignment horizontal="left"/>
    </xf>
    <xf numFmtId="0" fontId="14" fillId="0" borderId="27" xfId="0" applyFont="1" applyBorder="1" applyAlignment="1">
      <alignment horizontal="left"/>
    </xf>
    <xf numFmtId="9" fontId="0" fillId="0" borderId="26" xfId="0" applyNumberFormat="1" applyBorder="1" applyAlignment="1">
      <alignment horizontal="center"/>
    </xf>
    <xf numFmtId="9" fontId="0" fillId="0" borderId="25" xfId="0" applyNumberFormat="1" applyBorder="1" applyAlignment="1">
      <alignment horizontal="center"/>
    </xf>
    <xf numFmtId="10" fontId="0" fillId="0" borderId="25" xfId="0" applyNumberFormat="1" applyBorder="1" applyAlignment="1">
      <alignment horizontal="center"/>
    </xf>
    <xf numFmtId="10" fontId="0" fillId="0" borderId="30" xfId="0" applyNumberFormat="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6" fillId="0" borderId="4" xfId="0" applyFont="1" applyBorder="1"/>
    <xf numFmtId="8" fontId="0" fillId="0" borderId="0" xfId="0" applyNumberFormat="1"/>
    <xf numFmtId="0" fontId="0" fillId="0" borderId="8" xfId="0" applyBorder="1"/>
    <xf numFmtId="0" fontId="0" fillId="0" borderId="10" xfId="0" applyBorder="1"/>
    <xf numFmtId="10" fontId="0" fillId="0" borderId="20" xfId="0" applyNumberFormat="1" applyBorder="1"/>
    <xf numFmtId="165" fontId="0" fillId="0" borderId="12" xfId="0" applyNumberFormat="1" applyBorder="1"/>
    <xf numFmtId="0" fontId="14" fillId="0" borderId="17" xfId="0" applyFont="1" applyBorder="1"/>
    <xf numFmtId="10" fontId="0" fillId="0" borderId="13" xfId="0" applyNumberFormat="1" applyBorder="1"/>
    <xf numFmtId="0" fontId="0" fillId="0" borderId="31" xfId="0" applyBorder="1"/>
    <xf numFmtId="2" fontId="0" fillId="0" borderId="32" xfId="0" applyNumberFormat="1"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9" fontId="6" fillId="0" borderId="0" xfId="0" applyNumberFormat="1" applyFont="1"/>
    <xf numFmtId="0" fontId="14" fillId="0" borderId="29" xfId="0" applyFont="1" applyBorder="1" applyAlignment="1">
      <alignment horizontal="left"/>
    </xf>
    <xf numFmtId="8" fontId="0" fillId="0" borderId="0" xfId="0" applyNumberFormat="1" applyAlignment="1">
      <alignment horizontal="center"/>
    </xf>
    <xf numFmtId="0" fontId="0" fillId="0" borderId="0" xfId="0" applyAlignment="1">
      <alignment horizontal="center"/>
    </xf>
    <xf numFmtId="0" fontId="15" fillId="0" borderId="0" xfId="0" quotePrefix="1" applyFont="1" applyAlignment="1">
      <alignment horizontal="center"/>
    </xf>
    <xf numFmtId="0" fontId="6" fillId="0" borderId="0" xfId="1" applyAlignment="1">
      <alignment horizontal="center"/>
    </xf>
    <xf numFmtId="0" fontId="6" fillId="0" borderId="24" xfId="1" applyBorder="1" applyAlignment="1">
      <alignment horizontal="center"/>
    </xf>
    <xf numFmtId="0" fontId="17" fillId="2" borderId="4" xfId="0" applyFont="1" applyFill="1" applyBorder="1"/>
    <xf numFmtId="0" fontId="13" fillId="0" borderId="0" xfId="0" applyFont="1" applyAlignment="1"/>
    <xf numFmtId="0" fontId="6" fillId="0" borderId="0" xfId="0" applyFont="1" applyAlignment="1"/>
    <xf numFmtId="0" fontId="14" fillId="0" borderId="0" xfId="0" applyFont="1" applyAlignment="1"/>
    <xf numFmtId="0" fontId="0" fillId="0" borderId="0" xfId="0" applyAlignment="1"/>
  </cellXfs>
  <cellStyles count="2">
    <cellStyle name="Normal" xfId="0" builtinId="0"/>
    <cellStyle name="Normal 2"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65" cy="172227"/>
    <xdr:sp macro="" textlink="">
      <xdr:nvSpPr>
        <xdr:cNvPr id="34" name="TextBox 1">
          <a:extLst>
            <a:ext uri="{FF2B5EF4-FFF2-40B4-BE49-F238E27FC236}">
              <a16:creationId xmlns:a16="http://schemas.microsoft.com/office/drawing/2014/main" id="{BE164E80-AE47-1C78-0ECB-F7BF7DDC50F8}"/>
            </a:ext>
          </a:extLst>
        </xdr:cNvPr>
        <xdr:cNvSpPr txBox="1"/>
      </xdr:nvSpPr>
      <xdr:spPr>
        <a:xfrm>
          <a:off x="3614692" y="262452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5</xdr:col>
      <xdr:colOff>0</xdr:colOff>
      <xdr:row>16</xdr:row>
      <xdr:rowOff>149099</xdr:rowOff>
    </xdr:from>
    <xdr:ext cx="65" cy="172227"/>
    <xdr:sp macro="" textlink="">
      <xdr:nvSpPr>
        <xdr:cNvPr id="2" name="TextBox 1">
          <a:extLst>
            <a:ext uri="{FF2B5EF4-FFF2-40B4-BE49-F238E27FC236}">
              <a16:creationId xmlns:a16="http://schemas.microsoft.com/office/drawing/2014/main" id="{5A23D7FF-BD20-4207-9FC4-6CC3AE3A47EF}"/>
            </a:ext>
            <a:ext uri="{147F2762-F138-4A5C-976F-8EAC2B608ADB}">
              <a16:predDERef xmlns:a16="http://schemas.microsoft.com/office/drawing/2014/main" pred="{BE164E80-AE47-1C78-0ECB-F7BF7DDC50F8}"/>
            </a:ext>
          </a:extLst>
        </xdr:cNvPr>
        <xdr:cNvSpPr txBox="1"/>
      </xdr:nvSpPr>
      <xdr:spPr>
        <a:xfrm>
          <a:off x="3305175" y="273989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24</xdr:row>
      <xdr:rowOff>85725</xdr:rowOff>
    </xdr:from>
    <xdr:to>
      <xdr:col>6</xdr:col>
      <xdr:colOff>409575</xdr:colOff>
      <xdr:row>30</xdr:row>
      <xdr:rowOff>114300</xdr:rowOff>
    </xdr:to>
    <xdr:pic>
      <xdr:nvPicPr>
        <xdr:cNvPr id="11" name="Bild 10">
          <a:extLst>
            <a:ext uri="{FF2B5EF4-FFF2-40B4-BE49-F238E27FC236}">
              <a16:creationId xmlns:a16="http://schemas.microsoft.com/office/drawing/2014/main" id="{AB5C7611-43DC-C70C-A04B-5311B021831A}"/>
            </a:ext>
            <a:ext uri="{147F2762-F138-4A5C-976F-8EAC2B608ADB}">
              <a16:predDERef xmlns:a16="http://schemas.microsoft.com/office/drawing/2014/main" pred="{D3678156-9DCA-44E5-AD0E-F2F60117CEAC}"/>
            </a:ext>
          </a:extLst>
        </xdr:cNvPr>
        <xdr:cNvPicPr>
          <a:picLocks noChangeAspect="1"/>
        </xdr:cNvPicPr>
      </xdr:nvPicPr>
      <xdr:blipFill>
        <a:blip xmlns:r="http://schemas.openxmlformats.org/officeDocument/2006/relationships" r:embed="rId1"/>
        <a:stretch>
          <a:fillRect/>
        </a:stretch>
      </xdr:blipFill>
      <xdr:spPr>
        <a:xfrm>
          <a:off x="28575" y="3971925"/>
          <a:ext cx="3924300" cy="1000125"/>
        </a:xfrm>
        <a:prstGeom prst="rect">
          <a:avLst/>
        </a:prstGeom>
      </xdr:spPr>
    </xdr:pic>
    <xdr:clientData/>
  </xdr:twoCellAnchor>
  <xdr:oneCellAnchor>
    <xdr:from>
      <xdr:col>0</xdr:col>
      <xdr:colOff>181292</xdr:colOff>
      <xdr:row>15</xdr:row>
      <xdr:rowOff>1</xdr:rowOff>
    </xdr:from>
    <xdr:ext cx="6651308" cy="659989"/>
    <mc:AlternateContent xmlns:mc="http://schemas.openxmlformats.org/markup-compatibility/2006" xmlns:a14="http://schemas.microsoft.com/office/drawing/2010/main">
      <mc:Choice Requires="a14">
        <xdr:sp macro="" textlink="">
          <xdr:nvSpPr>
            <xdr:cNvPr id="12" name="TextBox 1">
              <a:extLst>
                <a:ext uri="{FF2B5EF4-FFF2-40B4-BE49-F238E27FC236}">
                  <a16:creationId xmlns:a16="http://schemas.microsoft.com/office/drawing/2014/main" id="{CD8095A0-5D0A-210A-9E00-75E9A9F7AAAB}"/>
                </a:ext>
              </a:extLst>
            </xdr:cNvPr>
            <xdr:cNvSpPr txBox="1"/>
          </xdr:nvSpPr>
          <xdr:spPr>
            <a:xfrm>
              <a:off x="181292" y="2476501"/>
              <a:ext cx="6651308" cy="6599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4000"/>
                <a:t>59</a:t>
              </a:r>
              <a:r>
                <a:rPr lang="en-GB" sz="4000" baseline="0"/>
                <a:t>000 </a:t>
              </a:r>
              <a14:m>
                <m:oMath xmlns:m="http://schemas.openxmlformats.org/officeDocument/2006/math">
                  <m:r>
                    <a:rPr lang="en-GB" sz="4000" i="1">
                      <a:latin typeface="Cambria Math" panose="02040503050406030204" pitchFamily="18" charset="0"/>
                    </a:rPr>
                    <m:t>=</m:t>
                  </m:r>
                  <m:r>
                    <a:rPr lang="sv-SE" sz="4000" b="0" i="1">
                      <a:latin typeface="Cambria Math" panose="02040503050406030204" pitchFamily="18" charset="0"/>
                    </a:rPr>
                    <m:t>𝐶</m:t>
                  </m:r>
                  <m:r>
                    <a:rPr lang="sv-SE" sz="4000" b="0" i="1">
                      <a:latin typeface="Cambria Math" panose="02040503050406030204" pitchFamily="18" charset="0"/>
                    </a:rPr>
                    <m:t>∗</m:t>
                  </m:r>
                  <m:nary>
                    <m:naryPr>
                      <m:chr m:val="∑"/>
                      <m:ctrlPr>
                        <a:rPr lang="en-GB" sz="4000" i="1">
                          <a:latin typeface="Cambria Math" panose="02040503050406030204" pitchFamily="18" charset="0"/>
                        </a:rPr>
                      </m:ctrlPr>
                    </m:naryPr>
                    <m:sub>
                      <m:r>
                        <m:rPr>
                          <m:brk m:alnAt="23"/>
                        </m:rPr>
                        <a:rPr lang="sv-SE" sz="4000" b="0" i="1">
                          <a:latin typeface="Cambria Math" panose="02040503050406030204" pitchFamily="18" charset="0"/>
                        </a:rPr>
                        <m:t>𝑖</m:t>
                      </m:r>
                      <m:r>
                        <a:rPr lang="en-GB" sz="4000" i="1">
                          <a:latin typeface="Cambria Math" panose="02040503050406030204" pitchFamily="18" charset="0"/>
                        </a:rPr>
                        <m:t>=1</m:t>
                      </m:r>
                    </m:sub>
                    <m:sup>
                      <m:r>
                        <a:rPr lang="sv-SE" sz="4000" b="0" i="1">
                          <a:latin typeface="Cambria Math" panose="02040503050406030204" pitchFamily="18" charset="0"/>
                        </a:rPr>
                        <m:t>10</m:t>
                      </m:r>
                    </m:sup>
                    <m:e>
                      <m:sSup>
                        <m:sSupPr>
                          <m:ctrlPr>
                            <a:rPr lang="en-GB" sz="4000" i="1">
                              <a:latin typeface="Cambria Math" panose="02040503050406030204" pitchFamily="18" charset="0"/>
                            </a:rPr>
                          </m:ctrlPr>
                        </m:sSupPr>
                        <m:e>
                          <m:r>
                            <a:rPr lang="sv-SE" sz="4000" b="0" i="1">
                              <a:latin typeface="Cambria Math" panose="02040503050406030204" pitchFamily="18" charset="0"/>
                            </a:rPr>
                            <m:t>(1+</m:t>
                          </m:r>
                          <m:r>
                            <a:rPr lang="en-GB" sz="4000" i="1">
                              <a:latin typeface="Cambria Math" panose="02040503050406030204" pitchFamily="18" charset="0"/>
                            </a:rPr>
                            <m:t>𝑟</m:t>
                          </m:r>
                          <m:r>
                            <a:rPr lang="sv-SE" sz="4000" b="0" i="1">
                              <a:latin typeface="Cambria Math" panose="02040503050406030204" pitchFamily="18" charset="0"/>
                            </a:rPr>
                            <m:t>)</m:t>
                          </m:r>
                        </m:e>
                        <m:sup>
                          <m:r>
                            <a:rPr lang="sv-SE" sz="4000" b="0" i="1">
                              <a:latin typeface="Cambria Math" panose="02040503050406030204" pitchFamily="18" charset="0"/>
                            </a:rPr>
                            <m:t>𝑖</m:t>
                          </m:r>
                        </m:sup>
                      </m:sSup>
                    </m:e>
                  </m:nary>
                </m:oMath>
              </a14:m>
              <a:endParaRPr lang="en-GB" sz="4000"/>
            </a:p>
          </xdr:txBody>
        </xdr:sp>
      </mc:Choice>
      <mc:Fallback xmlns="">
        <xdr:sp macro="" textlink="">
          <xdr:nvSpPr>
            <xdr:cNvPr id="12" name="TextBox 1">
              <a:extLst>
                <a:ext uri="{FF2B5EF4-FFF2-40B4-BE49-F238E27FC236}">
                  <a16:creationId xmlns:a16="http://schemas.microsoft.com/office/drawing/2014/main" id="{CD8095A0-5D0A-210A-9E00-75E9A9F7AAAB}"/>
                </a:ext>
              </a:extLst>
            </xdr:cNvPr>
            <xdr:cNvSpPr txBox="1"/>
          </xdr:nvSpPr>
          <xdr:spPr>
            <a:xfrm>
              <a:off x="181292" y="2476501"/>
              <a:ext cx="6651308" cy="6599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4000"/>
                <a:t>59</a:t>
              </a:r>
              <a:r>
                <a:rPr lang="en-GB" sz="4000" baseline="0"/>
                <a:t>000 </a:t>
              </a:r>
              <a:r>
                <a:rPr lang="en-GB" sz="4000" i="0">
                  <a:latin typeface="Cambria Math" panose="02040503050406030204" pitchFamily="18" charset="0"/>
                </a:rPr>
                <a:t>=</a:t>
              </a:r>
              <a:r>
                <a:rPr lang="sv-SE" sz="4000" b="0" i="0">
                  <a:latin typeface="Cambria Math" panose="02040503050406030204" pitchFamily="18" charset="0"/>
                </a:rPr>
                <a:t>𝐶∗</a:t>
              </a:r>
              <a:r>
                <a:rPr lang="en-GB" sz="4000" i="0">
                  <a:latin typeface="Cambria Math" panose="02040503050406030204" pitchFamily="18" charset="0"/>
                </a:rPr>
                <a:t>∑_(</a:t>
              </a:r>
              <a:r>
                <a:rPr lang="sv-SE" sz="4000" b="0" i="0">
                  <a:latin typeface="Cambria Math" panose="02040503050406030204" pitchFamily="18" charset="0"/>
                </a:rPr>
                <a:t>𝑖</a:t>
              </a:r>
              <a:r>
                <a:rPr lang="en-GB" sz="4000" i="0">
                  <a:latin typeface="Cambria Math" panose="02040503050406030204" pitchFamily="18" charset="0"/>
                </a:rPr>
                <a:t>=1)</a:t>
              </a:r>
              <a:r>
                <a:rPr lang="sv-SE" sz="4000" b="0" i="0">
                  <a:latin typeface="Cambria Math" panose="02040503050406030204" pitchFamily="18" charset="0"/>
                </a:rPr>
                <a:t>^10</a:t>
              </a:r>
              <a:r>
                <a:rPr lang="en-GB" sz="4000" b="0" i="0">
                  <a:latin typeface="Cambria Math" panose="02040503050406030204" pitchFamily="18" charset="0"/>
                </a:rPr>
                <a:t>▒〖</a:t>
              </a:r>
              <a:r>
                <a:rPr lang="sv-SE" sz="4000" b="0" i="0">
                  <a:latin typeface="Cambria Math" panose="02040503050406030204" pitchFamily="18" charset="0"/>
                </a:rPr>
                <a:t>(1+</a:t>
              </a:r>
              <a:r>
                <a:rPr lang="en-GB" sz="4000" i="0">
                  <a:latin typeface="Cambria Math" panose="02040503050406030204" pitchFamily="18" charset="0"/>
                </a:rPr>
                <a:t>𝑟</a:t>
              </a:r>
              <a:r>
                <a:rPr lang="sv-SE" sz="4000" b="0" i="0">
                  <a:latin typeface="Cambria Math" panose="02040503050406030204" pitchFamily="18" charset="0"/>
                </a:rPr>
                <a:t>)</a:t>
              </a:r>
              <a:r>
                <a:rPr lang="en-GB" sz="4000" b="0" i="0">
                  <a:latin typeface="Cambria Math" panose="02040503050406030204" pitchFamily="18" charset="0"/>
                </a:rPr>
                <a:t>〗^</a:t>
              </a:r>
              <a:r>
                <a:rPr lang="sv-SE" sz="4000" b="0" i="0">
                  <a:latin typeface="Cambria Math" panose="02040503050406030204" pitchFamily="18" charset="0"/>
                </a:rPr>
                <a:t>𝑖</a:t>
              </a:r>
              <a:r>
                <a:rPr lang="en-GB" sz="4000" b="0" i="0">
                  <a:latin typeface="Cambria Math" panose="02040503050406030204" pitchFamily="18" charset="0"/>
                </a:rPr>
                <a:t> </a:t>
              </a:r>
              <a:endParaRPr lang="en-GB" sz="40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76200</xdr:rowOff>
    </xdr:from>
    <xdr:to>
      <xdr:col>7</xdr:col>
      <xdr:colOff>19050</xdr:colOff>
      <xdr:row>18</xdr:row>
      <xdr:rowOff>114300</xdr:rowOff>
    </xdr:to>
    <xdr:pic>
      <xdr:nvPicPr>
        <xdr:cNvPr id="2" name="Bild 1">
          <a:extLst>
            <a:ext uri="{FF2B5EF4-FFF2-40B4-BE49-F238E27FC236}">
              <a16:creationId xmlns:a16="http://schemas.microsoft.com/office/drawing/2014/main" id="{52EDBE75-ED9C-4E64-50C0-7E2805481E26}"/>
            </a:ext>
          </a:extLst>
        </xdr:cNvPr>
        <xdr:cNvPicPr>
          <a:picLocks noChangeAspect="1"/>
        </xdr:cNvPicPr>
      </xdr:nvPicPr>
      <xdr:blipFill>
        <a:blip xmlns:r="http://schemas.openxmlformats.org/officeDocument/2006/relationships" r:embed="rId1"/>
        <a:stretch>
          <a:fillRect/>
        </a:stretch>
      </xdr:blipFill>
      <xdr:spPr>
        <a:xfrm>
          <a:off x="0" y="2343150"/>
          <a:ext cx="4572000" cy="685800"/>
        </a:xfrm>
        <a:prstGeom prst="rect">
          <a:avLst/>
        </a:prstGeom>
      </xdr:spPr>
    </xdr:pic>
    <xdr:clientData/>
  </xdr:twoCellAnchor>
  <xdr:twoCellAnchor>
    <xdr:from>
      <xdr:col>14</xdr:col>
      <xdr:colOff>104775</xdr:colOff>
      <xdr:row>3</xdr:row>
      <xdr:rowOff>152400</xdr:rowOff>
    </xdr:from>
    <xdr:to>
      <xdr:col>14</xdr:col>
      <xdr:colOff>419100</xdr:colOff>
      <xdr:row>4</xdr:row>
      <xdr:rowOff>133350</xdr:rowOff>
    </xdr:to>
    <xdr:sp macro="" textlink="">
      <xdr:nvSpPr>
        <xdr:cNvPr id="3" name="Vänster-höger-pil 2">
          <a:extLst>
            <a:ext uri="{FF2B5EF4-FFF2-40B4-BE49-F238E27FC236}">
              <a16:creationId xmlns:a16="http://schemas.microsoft.com/office/drawing/2014/main" id="{C869865B-3C12-4ABC-FC0E-AA5FDE5A3F6F}"/>
            </a:ext>
            <a:ext uri="{147F2762-F138-4A5C-976F-8EAC2B608ADB}">
              <a16:predDERef xmlns:a16="http://schemas.microsoft.com/office/drawing/2014/main" pred="{52EDBE75-ED9C-4E64-50C0-7E2805481E26}"/>
            </a:ext>
          </a:extLst>
        </xdr:cNvPr>
        <xdr:cNvSpPr/>
      </xdr:nvSpPr>
      <xdr:spPr>
        <a:xfrm>
          <a:off x="8791575" y="638175"/>
          <a:ext cx="314325" cy="142875"/>
        </a:xfrm>
        <a:prstGeom prst="lef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104775</xdr:colOff>
      <xdr:row>5</xdr:row>
      <xdr:rowOff>152400</xdr:rowOff>
    </xdr:from>
    <xdr:to>
      <xdr:col>14</xdr:col>
      <xdr:colOff>419100</xdr:colOff>
      <xdr:row>6</xdr:row>
      <xdr:rowOff>133350</xdr:rowOff>
    </xdr:to>
    <xdr:sp macro="" textlink="">
      <xdr:nvSpPr>
        <xdr:cNvPr id="4" name="Vänster-höger-pil 3">
          <a:extLst>
            <a:ext uri="{FF2B5EF4-FFF2-40B4-BE49-F238E27FC236}">
              <a16:creationId xmlns:a16="http://schemas.microsoft.com/office/drawing/2014/main" id="{D7DFDB3C-6BAC-47E0-815D-E83ACE39EB76}"/>
            </a:ext>
            <a:ext uri="{147F2762-F138-4A5C-976F-8EAC2B608ADB}">
              <a16:predDERef xmlns:a16="http://schemas.microsoft.com/office/drawing/2014/main" pred="{C869865B-3C12-4ABC-FC0E-AA5FDE5A3F6F}"/>
            </a:ext>
          </a:extLst>
        </xdr:cNvPr>
        <xdr:cNvSpPr/>
      </xdr:nvSpPr>
      <xdr:spPr>
        <a:xfrm>
          <a:off x="8791575" y="962025"/>
          <a:ext cx="314325" cy="142875"/>
        </a:xfrm>
        <a:prstGeom prst="lef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
  <sheetViews>
    <sheetView tabSelected="1" zoomScaleNormal="100" workbookViewId="0">
      <selection activeCell="A12" sqref="A12"/>
    </sheetView>
  </sheetViews>
  <sheetFormatPr defaultColWidth="8.85546875" defaultRowHeight="12.95"/>
  <cols>
    <col min="9" max="9" width="28.85546875" customWidth="1"/>
    <col min="10" max="10" width="7" customWidth="1"/>
    <col min="11" max="11" width="16.42578125" bestFit="1" customWidth="1"/>
  </cols>
  <sheetData>
    <row r="1" spans="1:10" ht="18">
      <c r="A1" s="1" t="s">
        <v>0</v>
      </c>
    </row>
    <row r="2" spans="1:10" ht="18">
      <c r="A2" s="1" t="s">
        <v>1</v>
      </c>
      <c r="C2" s="1"/>
    </row>
    <row r="3" spans="1:10" ht="18">
      <c r="A3" s="4"/>
      <c r="I3" s="3"/>
    </row>
    <row r="4" spans="1:10" ht="15.95">
      <c r="A4" s="7" t="s">
        <v>2</v>
      </c>
      <c r="B4" s="8"/>
      <c r="C4" s="8"/>
      <c r="D4" s="8"/>
      <c r="E4" s="8"/>
      <c r="F4" s="8"/>
      <c r="G4" s="8"/>
      <c r="H4" s="9"/>
      <c r="I4" s="10"/>
      <c r="J4" s="11"/>
    </row>
    <row r="5" spans="1:10" ht="15.95">
      <c r="A5" s="12"/>
      <c r="B5" s="13"/>
      <c r="C5" s="13"/>
      <c r="D5" s="13"/>
      <c r="E5" s="13"/>
      <c r="F5" s="13"/>
      <c r="G5" s="13"/>
      <c r="H5" s="14"/>
      <c r="I5" s="15"/>
      <c r="J5" s="16"/>
    </row>
    <row r="6" spans="1:10" ht="15.95">
      <c r="A6" s="12" t="s">
        <v>3</v>
      </c>
      <c r="B6" s="13"/>
      <c r="C6" s="13"/>
      <c r="D6" s="13"/>
      <c r="E6" s="13"/>
      <c r="F6" s="13"/>
      <c r="G6" s="13"/>
      <c r="H6" s="14"/>
      <c r="I6" s="15"/>
      <c r="J6" s="16"/>
    </row>
    <row r="7" spans="1:10" ht="15.95">
      <c r="A7" s="12" t="s">
        <v>4</v>
      </c>
      <c r="B7" s="13"/>
      <c r="C7" s="13"/>
      <c r="D7" s="13"/>
      <c r="E7" s="13"/>
      <c r="F7" s="13"/>
      <c r="G7" s="13"/>
      <c r="H7" s="14"/>
      <c r="I7" s="15"/>
      <c r="J7" s="16"/>
    </row>
    <row r="8" spans="1:10" ht="15.95">
      <c r="A8" s="12" t="s">
        <v>5</v>
      </c>
      <c r="B8" s="13"/>
      <c r="C8" s="13"/>
      <c r="D8" s="13"/>
      <c r="E8" s="13"/>
      <c r="F8" s="13"/>
      <c r="G8" s="13"/>
      <c r="H8" s="14"/>
      <c r="I8" s="15"/>
      <c r="J8" s="16"/>
    </row>
    <row r="9" spans="1:10" ht="15">
      <c r="A9" s="126" t="s">
        <v>6</v>
      </c>
      <c r="B9" s="14"/>
      <c r="C9" s="14"/>
      <c r="D9" s="14"/>
      <c r="E9" s="14"/>
      <c r="F9" s="14"/>
      <c r="G9" s="14"/>
      <c r="H9" s="14"/>
      <c r="I9" s="15"/>
      <c r="J9" s="16"/>
    </row>
    <row r="10" spans="1:10" ht="15">
      <c r="A10" s="126" t="s">
        <v>7</v>
      </c>
      <c r="B10" s="14"/>
      <c r="C10" s="14"/>
      <c r="D10" s="14"/>
      <c r="E10" s="14"/>
      <c r="F10" s="14"/>
      <c r="G10" s="14"/>
      <c r="H10" s="14"/>
      <c r="I10" s="15"/>
      <c r="J10" s="16"/>
    </row>
    <row r="11" spans="1:10" ht="15">
      <c r="A11" s="126" t="s">
        <v>8</v>
      </c>
      <c r="B11" s="14"/>
      <c r="C11" s="14"/>
      <c r="D11" s="14"/>
      <c r="E11" s="14"/>
      <c r="F11" s="14"/>
      <c r="G11" s="14"/>
      <c r="H11" s="14"/>
      <c r="I11" s="15"/>
      <c r="J11" s="16"/>
    </row>
    <row r="12" spans="1:10">
      <c r="A12" s="19"/>
      <c r="B12" s="14"/>
      <c r="C12" s="14"/>
      <c r="D12" s="14"/>
      <c r="E12" s="14"/>
      <c r="F12" s="14"/>
      <c r="G12" s="14"/>
      <c r="H12" s="14"/>
      <c r="I12" s="15"/>
      <c r="J12" s="16"/>
    </row>
    <row r="13" spans="1:10">
      <c r="A13" s="20"/>
      <c r="B13" s="21"/>
      <c r="C13" s="21"/>
      <c r="D13" s="21"/>
      <c r="E13" s="21"/>
      <c r="F13" s="21"/>
      <c r="G13" s="21"/>
      <c r="H13" s="21"/>
      <c r="I13" s="22"/>
      <c r="J13" s="23"/>
    </row>
    <row r="15" spans="1:10" ht="15.95">
      <c r="A15" s="6" t="s">
        <v>9</v>
      </c>
    </row>
    <row r="16" spans="1:10" ht="15.95">
      <c r="A16" s="6" t="s">
        <v>10</v>
      </c>
    </row>
    <row r="17" spans="1:10" ht="18.95" thickBot="1">
      <c r="I17" s="3" t="s">
        <v>11</v>
      </c>
    </row>
    <row r="18" spans="1:10" ht="18.95" thickBot="1">
      <c r="A18" s="2" t="s">
        <v>12</v>
      </c>
      <c r="B18" s="1" t="s">
        <v>13</v>
      </c>
      <c r="C18" s="1"/>
      <c r="D18" s="1"/>
      <c r="E18" s="1"/>
      <c r="F18" s="1"/>
      <c r="I18" s="24" t="s">
        <v>14</v>
      </c>
      <c r="J18" s="1" t="s">
        <v>15</v>
      </c>
    </row>
    <row r="19" spans="1:10" ht="14.1" thickBot="1"/>
    <row r="20" spans="1:10" ht="18.95" thickBot="1">
      <c r="A20" s="2" t="s">
        <v>16</v>
      </c>
      <c r="B20" s="1" t="s">
        <v>17</v>
      </c>
      <c r="C20" s="1"/>
      <c r="D20" s="1"/>
      <c r="E20" s="1"/>
      <c r="F20" s="1"/>
      <c r="I20" s="24" t="s">
        <v>18</v>
      </c>
      <c r="J20" s="1" t="s">
        <v>19</v>
      </c>
    </row>
    <row r="21" spans="1:10" ht="18.95" thickBot="1">
      <c r="J21" s="1"/>
    </row>
    <row r="22" spans="1:10" ht="18.95" thickBot="1">
      <c r="A22" s="2" t="s">
        <v>20</v>
      </c>
      <c r="B22" s="1" t="s">
        <v>21</v>
      </c>
      <c r="C22" s="1"/>
      <c r="D22" s="1"/>
      <c r="E22" s="1"/>
      <c r="F22" s="1"/>
      <c r="I22" s="24" t="s">
        <v>22</v>
      </c>
    </row>
    <row r="23" spans="1:10" ht="18">
      <c r="B23" s="1" t="s">
        <v>23</v>
      </c>
      <c r="I23" s="17" t="s">
        <v>24</v>
      </c>
    </row>
    <row r="24" spans="1:10" ht="17.100000000000001" thickBot="1">
      <c r="I24" s="18" t="s">
        <v>25</v>
      </c>
    </row>
    <row r="26" spans="1:10" ht="14.1" thickBot="1"/>
    <row r="27" spans="1:10" ht="18">
      <c r="A27" s="2" t="s">
        <v>26</v>
      </c>
      <c r="B27" s="1" t="s">
        <v>27</v>
      </c>
      <c r="C27" s="1"/>
      <c r="D27" s="1"/>
      <c r="E27" s="1"/>
      <c r="F27" s="1"/>
      <c r="I27" s="17" t="s">
        <v>28</v>
      </c>
    </row>
    <row r="28" spans="1:10" ht="18">
      <c r="B28" s="1" t="s">
        <v>29</v>
      </c>
      <c r="C28" s="1"/>
      <c r="D28" s="1"/>
      <c r="E28" s="1"/>
      <c r="F28" s="1"/>
      <c r="I28" s="77">
        <v>864528.99369341298</v>
      </c>
      <c r="J28" s="1" t="s">
        <v>15</v>
      </c>
    </row>
    <row r="30" spans="1:10" ht="18">
      <c r="A30" s="2" t="s">
        <v>30</v>
      </c>
      <c r="B30" s="1" t="s">
        <v>31</v>
      </c>
      <c r="I30" s="24">
        <v>4993.9129999999996</v>
      </c>
      <c r="J30" s="1" t="s">
        <v>32</v>
      </c>
    </row>
    <row r="32" spans="1:10" ht="14.1" thickBot="1"/>
    <row r="33" spans="1:22" ht="18.95" thickBot="1">
      <c r="A33" s="2" t="s">
        <v>33</v>
      </c>
      <c r="B33" s="1" t="s">
        <v>34</v>
      </c>
      <c r="C33" s="6"/>
      <c r="D33" s="6"/>
      <c r="E33" s="6"/>
      <c r="F33" s="6"/>
      <c r="G33" s="6"/>
      <c r="H33" s="5"/>
      <c r="I33" s="76">
        <v>520098</v>
      </c>
      <c r="J33" s="1" t="s">
        <v>35</v>
      </c>
    </row>
    <row r="34" spans="1:22" ht="18">
      <c r="H34" s="3"/>
    </row>
    <row r="35" spans="1:22" ht="18">
      <c r="I35" s="3" t="s">
        <v>36</v>
      </c>
    </row>
    <row r="36" spans="1:22" ht="18">
      <c r="A36" s="2" t="s">
        <v>37</v>
      </c>
      <c r="B36" s="1" t="s">
        <v>38</v>
      </c>
      <c r="I36" s="25">
        <v>1412798811</v>
      </c>
      <c r="J36" s="1" t="s">
        <v>15</v>
      </c>
    </row>
    <row r="37" spans="1:22" ht="18">
      <c r="F37" s="1"/>
      <c r="I37" s="26"/>
      <c r="J37" s="1"/>
    </row>
    <row r="38" spans="1:22" ht="18">
      <c r="C38" s="1"/>
      <c r="D38" s="1"/>
      <c r="E38" s="1"/>
      <c r="F38" s="1"/>
      <c r="I38" s="27"/>
      <c r="J38" s="1"/>
    </row>
    <row r="39" spans="1:22" ht="18">
      <c r="A39" s="2" t="s">
        <v>39</v>
      </c>
      <c r="B39" s="1" t="s">
        <v>40</v>
      </c>
      <c r="I39" s="25">
        <v>10.12799</v>
      </c>
      <c r="J39" s="1" t="s">
        <v>15</v>
      </c>
    </row>
    <row r="40" spans="1:22">
      <c r="I40" s="28"/>
    </row>
    <row r="41" spans="1:22">
      <c r="I41" s="29"/>
    </row>
    <row r="42" spans="1:22" ht="14.1" thickBot="1">
      <c r="I42" s="30"/>
    </row>
    <row r="43" spans="1:22" ht="18.95" thickBot="1">
      <c r="A43" s="2" t="s">
        <v>41</v>
      </c>
      <c r="B43" s="1" t="s">
        <v>42</v>
      </c>
      <c r="C43" s="1"/>
      <c r="D43" s="1"/>
      <c r="E43" s="1"/>
      <c r="F43" s="1"/>
      <c r="I43" s="75">
        <v>862351.68848510575</v>
      </c>
      <c r="J43" s="1" t="s">
        <v>15</v>
      </c>
    </row>
    <row r="44" spans="1:22" ht="18">
      <c r="A44" s="2"/>
      <c r="B44" s="1"/>
      <c r="C44" s="1"/>
      <c r="D44" s="1"/>
      <c r="E44" s="1"/>
      <c r="F44" s="1"/>
      <c r="I44" s="32"/>
      <c r="J44" s="1"/>
    </row>
    <row r="45" spans="1:22" ht="14.1" thickBot="1"/>
    <row r="46" spans="1:22" ht="18.95" thickBot="1">
      <c r="A46" s="2" t="s">
        <v>39</v>
      </c>
      <c r="B46" s="1" t="s">
        <v>43</v>
      </c>
      <c r="C46" s="1"/>
      <c r="D46" s="1"/>
      <c r="E46" s="1"/>
      <c r="I46" s="31">
        <v>1000000</v>
      </c>
      <c r="J46" s="1" t="s">
        <v>15</v>
      </c>
    </row>
    <row r="47" spans="1:22" ht="18">
      <c r="A47" s="2"/>
      <c r="B47" s="1"/>
      <c r="C47" s="1"/>
      <c r="D47" s="1"/>
      <c r="E47" s="1"/>
      <c r="J47" s="1"/>
    </row>
    <row r="48" spans="1:22" ht="18">
      <c r="A48" s="2"/>
      <c r="B48" s="1"/>
      <c r="C48" s="1"/>
      <c r="D48" s="1"/>
      <c r="E48" s="1"/>
      <c r="J48" s="1"/>
      <c r="L48" t="s">
        <v>44</v>
      </c>
      <c r="M48" t="s">
        <v>45</v>
      </c>
      <c r="N48" t="s">
        <v>46</v>
      </c>
      <c r="O48" t="s">
        <v>47</v>
      </c>
      <c r="P48" t="s">
        <v>48</v>
      </c>
      <c r="Q48" t="s">
        <v>49</v>
      </c>
      <c r="R48" t="s">
        <v>50</v>
      </c>
      <c r="S48" t="s">
        <v>51</v>
      </c>
      <c r="T48" t="s">
        <v>52</v>
      </c>
      <c r="U48" t="s">
        <v>53</v>
      </c>
      <c r="V48" t="s">
        <v>54</v>
      </c>
    </row>
    <row r="49" spans="1:22" ht="18">
      <c r="A49" s="2" t="s">
        <v>55</v>
      </c>
      <c r="B49" s="1" t="s">
        <v>56</v>
      </c>
      <c r="C49" s="1"/>
      <c r="D49" s="1"/>
      <c r="E49" s="1"/>
      <c r="J49" s="1"/>
      <c r="K49" s="33" t="s">
        <v>57</v>
      </c>
      <c r="L49" s="34">
        <v>-862351.68848510599</v>
      </c>
      <c r="M49" s="34">
        <v>50000</v>
      </c>
      <c r="N49" s="34">
        <v>50000</v>
      </c>
      <c r="O49" s="34">
        <v>50000</v>
      </c>
      <c r="P49" s="34">
        <v>50000</v>
      </c>
      <c r="Q49" s="34">
        <v>50000</v>
      </c>
      <c r="R49" s="34">
        <v>50000</v>
      </c>
      <c r="S49" s="34">
        <v>50000</v>
      </c>
      <c r="T49" s="34">
        <v>50000</v>
      </c>
      <c r="U49" s="34">
        <v>50000</v>
      </c>
      <c r="V49" s="34">
        <v>1050000</v>
      </c>
    </row>
    <row r="50" spans="1:22" ht="18">
      <c r="A50" s="2"/>
      <c r="B50" s="1"/>
      <c r="C50" s="1"/>
      <c r="D50" s="1"/>
      <c r="E50" s="1"/>
      <c r="J50" s="1"/>
      <c r="K50" s="33" t="s">
        <v>58</v>
      </c>
      <c r="L50" s="34">
        <v>0</v>
      </c>
      <c r="M50" s="34">
        <v>50000</v>
      </c>
      <c r="N50" s="34">
        <v>50000</v>
      </c>
      <c r="O50" s="34">
        <v>50000</v>
      </c>
      <c r="P50" s="34">
        <v>50000</v>
      </c>
      <c r="Q50" s="34">
        <v>50000</v>
      </c>
      <c r="R50" s="34">
        <v>50000</v>
      </c>
      <c r="S50" s="34">
        <v>50000</v>
      </c>
      <c r="T50" s="34">
        <v>50000</v>
      </c>
      <c r="U50" s="34">
        <v>50000</v>
      </c>
      <c r="V50" s="34">
        <v>50000</v>
      </c>
    </row>
    <row r="51" spans="1:22" ht="18">
      <c r="A51" s="2"/>
      <c r="B51" s="1"/>
      <c r="C51" s="1"/>
      <c r="D51" s="1"/>
      <c r="E51" s="1"/>
      <c r="J51" s="1"/>
      <c r="K51" s="33" t="s">
        <v>59</v>
      </c>
      <c r="L51" s="34">
        <v>862351.68848510575</v>
      </c>
      <c r="M51" s="34">
        <v>864092.78979421209</v>
      </c>
      <c r="N51" s="34">
        <v>865938.35718186479</v>
      </c>
      <c r="O51" s="34">
        <v>867894.65861277666</v>
      </c>
      <c r="P51" s="34">
        <v>869968.33812954335</v>
      </c>
      <c r="Q51" s="34">
        <v>872166.43841731583</v>
      </c>
      <c r="R51" s="34">
        <v>874496.42472235486</v>
      </c>
      <c r="S51" s="34">
        <v>876966.21020569617</v>
      </c>
      <c r="T51" s="34">
        <v>879584.18281803792</v>
      </c>
      <c r="U51" s="34">
        <v>882359.23378712032</v>
      </c>
      <c r="V51" s="34">
        <v>1000000</v>
      </c>
    </row>
    <row r="59" spans="1:22" ht="18">
      <c r="B59" s="1"/>
      <c r="C59" s="1"/>
      <c r="D59" s="1"/>
      <c r="E59" s="1"/>
    </row>
    <row r="61" spans="1:22" ht="14.1" thickBot="1"/>
    <row r="62" spans="1:22" ht="18.95" thickBot="1">
      <c r="A62" s="2" t="s">
        <v>60</v>
      </c>
      <c r="B62" s="1" t="s">
        <v>61</v>
      </c>
      <c r="I62" s="35">
        <v>1488.028</v>
      </c>
      <c r="J62" s="1" t="s">
        <v>15</v>
      </c>
    </row>
  </sheetData>
  <phoneticPr fontId="2" type="noConversion"/>
  <pageMargins left="0.75" right="0.75" top="1" bottom="1" header="0.5" footer="0.5"/>
  <pageSetup paperSize="9"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9"/>
  <sheetViews>
    <sheetView workbookViewId="0">
      <selection activeCell="C9" sqref="C9"/>
    </sheetView>
  </sheetViews>
  <sheetFormatPr defaultColWidth="8.85546875" defaultRowHeight="12.95"/>
  <cols>
    <col min="1" max="2" width="8.85546875" style="36"/>
    <col min="3" max="3" width="9.140625" style="36" bestFit="1" customWidth="1"/>
    <col min="4" max="16384" width="8.85546875" style="36"/>
  </cols>
  <sheetData>
    <row r="1" spans="1:4">
      <c r="B1" s="36" t="s">
        <v>64</v>
      </c>
    </row>
    <row r="2" spans="1:4" ht="14.1">
      <c r="A2" s="36" t="s">
        <v>216</v>
      </c>
      <c r="C2" s="87">
        <v>1500</v>
      </c>
    </row>
    <row r="3" spans="1:4">
      <c r="A3" s="36" t="s">
        <v>208</v>
      </c>
      <c r="C3" s="85">
        <v>1.7500000000000002E-2</v>
      </c>
    </row>
    <row r="4" spans="1:4">
      <c r="A4" s="36" t="s">
        <v>217</v>
      </c>
      <c r="C4" s="36">
        <v>1.8381000000000002E-2</v>
      </c>
    </row>
    <row r="5" spans="1:4">
      <c r="A5" s="36" t="s">
        <v>218</v>
      </c>
      <c r="C5" s="36">
        <v>10</v>
      </c>
    </row>
    <row r="7" spans="1:4">
      <c r="A7" s="36" t="s">
        <v>152</v>
      </c>
    </row>
    <row r="8" spans="1:4" ht="12.95" customHeight="1">
      <c r="A8" s="36" t="s">
        <v>219</v>
      </c>
      <c r="C8" s="124">
        <f>C2*C3</f>
        <v>26.250000000000004</v>
      </c>
      <c r="D8" s="124"/>
    </row>
    <row r="9" spans="1:4">
      <c r="A9" s="36" t="s">
        <v>220</v>
      </c>
      <c r="C9" s="36">
        <f>(C8/C4)*(1 - (1/((1+C4)^C5)))+(C2/((1+C4)^C5))</f>
        <v>1488.0283298449401</v>
      </c>
    </row>
  </sheetData>
  <mergeCells count="1">
    <mergeCell ref="C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23"/>
  <sheetViews>
    <sheetView workbookViewId="0">
      <selection activeCell="A19" sqref="A19"/>
    </sheetView>
  </sheetViews>
  <sheetFormatPr defaultColWidth="8.85546875" defaultRowHeight="12.95"/>
  <cols>
    <col min="1" max="1" width="18.42578125" bestFit="1" customWidth="1"/>
    <col min="2" max="2" width="8.85546875" bestFit="1" customWidth="1"/>
    <col min="3" max="3" width="9.140625" bestFit="1" customWidth="1"/>
    <col min="4" max="6" width="8.85546875" bestFit="1" customWidth="1"/>
    <col min="7" max="7" width="11" bestFit="1" customWidth="1"/>
  </cols>
  <sheetData>
    <row r="3" spans="2:10" ht="12.95" customHeight="1"/>
    <row r="4" spans="2:10">
      <c r="B4" s="95" t="s">
        <v>62</v>
      </c>
      <c r="C4" s="96"/>
      <c r="D4" s="96"/>
      <c r="E4" s="96"/>
      <c r="F4" s="96"/>
      <c r="G4" s="96"/>
      <c r="H4" s="96"/>
      <c r="I4" s="96"/>
      <c r="J4" s="97"/>
    </row>
    <row r="5" spans="2:10" ht="12.95" customHeight="1">
      <c r="B5" s="98"/>
      <c r="J5" s="99"/>
    </row>
    <row r="6" spans="2:10" ht="15.95">
      <c r="B6" s="100" t="s">
        <v>63</v>
      </c>
      <c r="C6" s="127" t="s">
        <v>64</v>
      </c>
      <c r="D6" s="127"/>
      <c r="E6" t="s">
        <v>65</v>
      </c>
      <c r="J6" s="99"/>
    </row>
    <row r="7" spans="2:10">
      <c r="B7" s="98"/>
      <c r="C7" s="42"/>
      <c r="D7" s="42"/>
      <c r="E7" s="42"/>
      <c r="F7" s="42"/>
      <c r="J7" s="99"/>
    </row>
    <row r="8" spans="2:10">
      <c r="B8" s="98"/>
      <c r="C8" s="128" t="s">
        <v>66</v>
      </c>
      <c r="D8" s="128"/>
      <c r="E8" s="42">
        <f>(E11/(E9-E10))*(1-((1+E10)^5/(1+E9)^5))</f>
        <v>480.43022327414968</v>
      </c>
      <c r="F8" s="42"/>
      <c r="J8" s="99"/>
    </row>
    <row r="9" spans="2:10">
      <c r="B9" s="98"/>
      <c r="C9" s="128" t="s">
        <v>67</v>
      </c>
      <c r="D9" s="128"/>
      <c r="E9" s="119">
        <v>0.08</v>
      </c>
      <c r="F9" s="42"/>
      <c r="J9" s="99"/>
    </row>
    <row r="10" spans="2:10">
      <c r="B10" s="98"/>
      <c r="C10" s="128" t="s">
        <v>68</v>
      </c>
      <c r="D10" s="128"/>
      <c r="E10" s="119">
        <v>0.1</v>
      </c>
      <c r="F10" s="42"/>
      <c r="J10" s="99"/>
    </row>
    <row r="11" spans="2:10">
      <c r="B11" s="98"/>
      <c r="C11" s="42" t="s">
        <v>69</v>
      </c>
      <c r="D11" s="42"/>
      <c r="E11" s="42">
        <v>100</v>
      </c>
      <c r="F11" s="42"/>
      <c r="J11" s="99"/>
    </row>
    <row r="12" spans="2:10" ht="12.95" customHeight="1">
      <c r="B12" s="98"/>
      <c r="J12" s="99"/>
    </row>
    <row r="13" spans="2:10">
      <c r="B13" s="98"/>
      <c r="J13" s="99"/>
    </row>
    <row r="14" spans="2:10">
      <c r="B14" s="98"/>
      <c r="J14" s="99"/>
    </row>
    <row r="15" spans="2:10">
      <c r="B15" s="98" t="s">
        <v>70</v>
      </c>
      <c r="D15" s="129"/>
      <c r="E15" s="129"/>
      <c r="F15" s="129"/>
      <c r="G15" s="129"/>
      <c r="H15" s="129"/>
      <c r="J15" s="99"/>
    </row>
    <row r="16" spans="2:10">
      <c r="B16" s="100"/>
      <c r="D16" s="130" t="s">
        <v>71</v>
      </c>
      <c r="E16" s="130"/>
      <c r="F16" s="130"/>
      <c r="G16" s="130"/>
      <c r="H16" s="130"/>
      <c r="J16" s="99"/>
    </row>
    <row r="17" spans="2:10">
      <c r="B17" s="98"/>
      <c r="C17" t="s">
        <v>72</v>
      </c>
      <c r="D17">
        <v>1</v>
      </c>
      <c r="E17">
        <v>2</v>
      </c>
      <c r="F17">
        <v>3</v>
      </c>
      <c r="G17">
        <v>4</v>
      </c>
      <c r="H17">
        <v>5</v>
      </c>
      <c r="I17" s="67" t="s">
        <v>73</v>
      </c>
      <c r="J17" s="99"/>
    </row>
    <row r="18" spans="2:10">
      <c r="B18" s="98"/>
      <c r="C18" t="s">
        <v>74</v>
      </c>
      <c r="D18" s="101">
        <v>100</v>
      </c>
      <c r="E18" s="101">
        <f>D18*1.1</f>
        <v>110.00000000000001</v>
      </c>
      <c r="F18" s="101">
        <f>E18*1.1</f>
        <v>121.00000000000003</v>
      </c>
      <c r="G18" s="101">
        <f>F18*1.1</f>
        <v>133.10000000000005</v>
      </c>
      <c r="H18" s="101">
        <f>G18*1.1</f>
        <v>146.41000000000008</v>
      </c>
      <c r="J18" s="99"/>
    </row>
    <row r="19" spans="2:10">
      <c r="B19" s="98"/>
      <c r="C19" t="s">
        <v>75</v>
      </c>
      <c r="D19" s="101">
        <f>D18/1.08</f>
        <v>92.592592592592581</v>
      </c>
      <c r="E19" s="101">
        <f>E18/POWER(1.08,E17)</f>
        <v>94.307270233196164</v>
      </c>
      <c r="F19" s="101">
        <f>F18/POWER(1.08,F17)</f>
        <v>96.053701163440536</v>
      </c>
      <c r="G19" s="101">
        <f>G18/POWER(1.08,G17)</f>
        <v>97.832473407207971</v>
      </c>
      <c r="H19" s="101">
        <f>H18/POWER(1.08,H17)</f>
        <v>99.644185877711834</v>
      </c>
      <c r="I19" s="101">
        <f>SUM(D19:H19)</f>
        <v>480.43022327414906</v>
      </c>
      <c r="J19" s="99"/>
    </row>
    <row r="20" spans="2:10">
      <c r="B20" s="98"/>
      <c r="J20" s="99"/>
    </row>
    <row r="21" spans="2:10">
      <c r="B21" s="98"/>
      <c r="J21" s="99"/>
    </row>
    <row r="22" spans="2:10">
      <c r="B22" s="100" t="s">
        <v>76</v>
      </c>
      <c r="C22" s="42" t="s">
        <v>77</v>
      </c>
      <c r="D22" s="101">
        <f>I19</f>
        <v>480.43022327414906</v>
      </c>
      <c r="J22" s="99"/>
    </row>
    <row r="23" spans="2:10">
      <c r="B23" s="102"/>
      <c r="C23" s="57"/>
      <c r="D23" s="57"/>
      <c r="E23" s="57"/>
      <c r="F23" s="57"/>
      <c r="G23" s="57"/>
      <c r="H23" s="57"/>
      <c r="I23" s="57"/>
      <c r="J23" s="103"/>
    </row>
  </sheetData>
  <mergeCells count="6">
    <mergeCell ref="D16:H16"/>
    <mergeCell ref="C6:D6"/>
    <mergeCell ref="C8:D8"/>
    <mergeCell ref="C9:D9"/>
    <mergeCell ref="C10:D10"/>
    <mergeCell ref="D15:H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40"/>
  <sheetViews>
    <sheetView topLeftCell="A5" workbookViewId="0">
      <selection activeCell="F33" sqref="F33"/>
    </sheetView>
  </sheetViews>
  <sheetFormatPr defaultColWidth="8.85546875" defaultRowHeight="12.95"/>
  <cols>
    <col min="1" max="1" width="18" customWidth="1"/>
    <col min="2" max="2" width="18.7109375" bestFit="1" customWidth="1"/>
    <col min="3" max="3" width="15.85546875" bestFit="1" customWidth="1"/>
    <col min="4" max="4" width="13.28515625" bestFit="1" customWidth="1"/>
    <col min="6" max="6" width="12.140625" bestFit="1" customWidth="1"/>
    <col min="7" max="7" width="9.7109375" bestFit="1" customWidth="1"/>
    <col min="10" max="10" width="9.140625" bestFit="1" customWidth="1"/>
  </cols>
  <sheetData>
    <row r="1" spans="2:23">
      <c r="C1" s="73"/>
    </row>
    <row r="2" spans="2:23">
      <c r="C2" s="73"/>
    </row>
    <row r="3" spans="2:23">
      <c r="C3" s="73"/>
    </row>
    <row r="4" spans="2:23">
      <c r="C4" s="73"/>
    </row>
    <row r="5" spans="2:23" ht="14.1" thickBot="1">
      <c r="C5" s="73"/>
    </row>
    <row r="6" spans="2:23">
      <c r="B6" s="78"/>
      <c r="C6" s="105"/>
      <c r="D6" s="38"/>
      <c r="E6" s="38"/>
      <c r="F6" s="38"/>
      <c r="G6" s="38"/>
      <c r="H6" s="38"/>
      <c r="I6" s="38"/>
      <c r="J6" s="38"/>
      <c r="K6" s="38"/>
      <c r="L6" s="38"/>
      <c r="M6" s="38"/>
      <c r="N6" s="38"/>
      <c r="O6" s="38"/>
      <c r="P6" s="38"/>
      <c r="Q6" s="38"/>
      <c r="R6" s="38"/>
      <c r="S6" s="38"/>
      <c r="T6" s="38"/>
      <c r="U6" s="38"/>
      <c r="V6" s="38"/>
      <c r="W6" s="79"/>
    </row>
    <row r="7" spans="2:23">
      <c r="B7" s="47" t="s">
        <v>63</v>
      </c>
      <c r="C7" t="s">
        <v>78</v>
      </c>
      <c r="W7" s="43"/>
    </row>
    <row r="8" spans="2:23">
      <c r="B8" s="41"/>
      <c r="W8" s="43"/>
    </row>
    <row r="9" spans="2:23">
      <c r="B9" s="41"/>
      <c r="C9" t="s">
        <v>79</v>
      </c>
      <c r="D9">
        <v>-15000000</v>
      </c>
      <c r="W9" s="43"/>
    </row>
    <row r="10" spans="2:23">
      <c r="B10" s="41"/>
      <c r="C10" s="42" t="s">
        <v>80</v>
      </c>
      <c r="D10">
        <v>3000000</v>
      </c>
      <c r="W10" s="43"/>
    </row>
    <row r="11" spans="2:23">
      <c r="B11" s="41"/>
      <c r="C11" t="s">
        <v>81</v>
      </c>
      <c r="D11">
        <v>2000000</v>
      </c>
      <c r="W11" s="43"/>
    </row>
    <row r="12" spans="2:23">
      <c r="B12" s="41"/>
      <c r="C12" t="s">
        <v>82</v>
      </c>
      <c r="D12" s="72">
        <v>0.15919104651999999</v>
      </c>
      <c r="W12" s="43"/>
    </row>
    <row r="13" spans="2:23">
      <c r="B13" s="41"/>
      <c r="C13" t="s">
        <v>66</v>
      </c>
      <c r="D13">
        <f>D9+(D10/D12)*(1-(1/(1+D12)^10))+D11/((1+D12)^10)</f>
        <v>3.2259849831461906E-6</v>
      </c>
      <c r="W13" s="43"/>
    </row>
    <row r="14" spans="2:23">
      <c r="B14" s="41"/>
      <c r="W14" s="43"/>
    </row>
    <row r="15" spans="2:23">
      <c r="B15" s="56" t="s">
        <v>83</v>
      </c>
      <c r="C15" s="57"/>
      <c r="D15" s="57"/>
      <c r="E15" s="57"/>
      <c r="F15" s="57"/>
      <c r="G15" s="57"/>
      <c r="H15" s="57"/>
      <c r="I15" s="57"/>
      <c r="J15" s="57"/>
      <c r="K15" s="57"/>
      <c r="L15" s="57"/>
      <c r="M15" s="57"/>
      <c r="N15" s="57"/>
      <c r="O15" s="57"/>
      <c r="P15" s="57"/>
      <c r="Q15" s="57"/>
      <c r="R15" s="57"/>
      <c r="S15" s="57"/>
      <c r="T15" s="57"/>
      <c r="U15" s="57"/>
      <c r="V15" s="57"/>
      <c r="W15" s="58"/>
    </row>
    <row r="16" spans="2:23">
      <c r="B16" s="41"/>
      <c r="W16" s="43"/>
    </row>
    <row r="17" spans="2:23">
      <c r="B17" s="47"/>
      <c r="D17" t="s">
        <v>84</v>
      </c>
      <c r="W17" s="43"/>
    </row>
    <row r="18" spans="2:23">
      <c r="B18" s="106" t="s">
        <v>85</v>
      </c>
      <c r="W18" s="43"/>
    </row>
    <row r="19" spans="2:23">
      <c r="B19" s="41"/>
      <c r="W19" s="43"/>
    </row>
    <row r="20" spans="2:23">
      <c r="B20" s="41"/>
      <c r="D20" t="s">
        <v>86</v>
      </c>
      <c r="W20" s="43"/>
    </row>
    <row r="21" spans="2:23">
      <c r="B21" s="41"/>
      <c r="W21" s="43"/>
    </row>
    <row r="22" spans="2:23">
      <c r="B22" s="41"/>
      <c r="W22" s="43"/>
    </row>
    <row r="23" spans="2:23">
      <c r="B23" s="41"/>
      <c r="W23" s="43"/>
    </row>
    <row r="24" spans="2:23">
      <c r="B24" s="106" t="s">
        <v>87</v>
      </c>
      <c r="W24" s="43"/>
    </row>
    <row r="25" spans="2:23" ht="14.1" thickBot="1">
      <c r="B25" s="41"/>
      <c r="W25" s="43"/>
    </row>
    <row r="26" spans="2:23">
      <c r="B26" s="47" t="s">
        <v>88</v>
      </c>
      <c r="C26" s="42" t="s">
        <v>89</v>
      </c>
      <c r="D26">
        <v>-15000000</v>
      </c>
      <c r="F26" s="60" t="s">
        <v>90</v>
      </c>
      <c r="G26" s="79"/>
      <c r="W26" s="43"/>
    </row>
    <row r="27" spans="2:23" ht="14.1" thickBot="1">
      <c r="B27" s="41">
        <v>1</v>
      </c>
      <c r="C27" s="42" t="s">
        <v>91</v>
      </c>
      <c r="D27" s="42">
        <v>3000000</v>
      </c>
      <c r="F27" s="52" t="s">
        <v>82</v>
      </c>
      <c r="G27" s="104">
        <f>IRR(D26:D36)</f>
        <v>0.15919104652005545</v>
      </c>
      <c r="W27" s="43"/>
    </row>
    <row r="28" spans="2:23">
      <c r="B28" s="41">
        <v>2</v>
      </c>
      <c r="C28" s="42" t="s">
        <v>91</v>
      </c>
      <c r="D28">
        <v>3000000</v>
      </c>
      <c r="W28" s="43"/>
    </row>
    <row r="29" spans="2:23">
      <c r="B29" s="41">
        <v>3</v>
      </c>
      <c r="C29" s="42" t="s">
        <v>91</v>
      </c>
      <c r="D29" s="42">
        <v>3000000</v>
      </c>
      <c r="W29" s="43"/>
    </row>
    <row r="30" spans="2:23">
      <c r="B30" s="41">
        <v>4</v>
      </c>
      <c r="C30" s="42" t="s">
        <v>91</v>
      </c>
      <c r="D30">
        <v>3000000</v>
      </c>
      <c r="W30" s="43"/>
    </row>
    <row r="31" spans="2:23">
      <c r="B31" s="41">
        <v>5</v>
      </c>
      <c r="C31" s="42" t="s">
        <v>91</v>
      </c>
      <c r="D31" s="42">
        <v>3000000</v>
      </c>
      <c r="W31" s="43"/>
    </row>
    <row r="32" spans="2:23">
      <c r="B32" s="41">
        <v>6</v>
      </c>
      <c r="C32" s="42" t="s">
        <v>91</v>
      </c>
      <c r="D32">
        <v>3000000</v>
      </c>
      <c r="W32" s="43"/>
    </row>
    <row r="33" spans="2:23">
      <c r="B33" s="41">
        <v>7</v>
      </c>
      <c r="C33" s="42" t="s">
        <v>91</v>
      </c>
      <c r="D33" s="42">
        <v>3000000</v>
      </c>
      <c r="W33" s="43"/>
    </row>
    <row r="34" spans="2:23">
      <c r="B34" s="41">
        <v>8</v>
      </c>
      <c r="C34" s="42" t="s">
        <v>91</v>
      </c>
      <c r="D34" s="42">
        <v>3000000</v>
      </c>
      <c r="W34" s="43"/>
    </row>
    <row r="35" spans="2:23">
      <c r="B35" s="41">
        <v>9</v>
      </c>
      <c r="C35" s="42" t="s">
        <v>91</v>
      </c>
      <c r="D35" s="42">
        <v>3000000</v>
      </c>
      <c r="W35" s="43"/>
    </row>
    <row r="36" spans="2:23">
      <c r="B36" s="41">
        <v>10</v>
      </c>
      <c r="C36" s="42" t="s">
        <v>91</v>
      </c>
      <c r="D36" s="42">
        <f xml:space="preserve"> 3000000 + 2000000</f>
        <v>5000000</v>
      </c>
      <c r="W36" s="43"/>
    </row>
    <row r="37" spans="2:23">
      <c r="B37" s="41"/>
      <c r="W37" s="43"/>
    </row>
    <row r="38" spans="2:23">
      <c r="B38" s="41"/>
      <c r="C38" s="42" t="s">
        <v>81</v>
      </c>
      <c r="D38">
        <v>2000000</v>
      </c>
      <c r="W38" s="43"/>
    </row>
    <row r="39" spans="2:23">
      <c r="B39" s="56" t="s">
        <v>92</v>
      </c>
      <c r="C39" s="57"/>
      <c r="D39" s="57"/>
      <c r="E39" s="57"/>
      <c r="F39" s="57"/>
      <c r="G39" s="57"/>
      <c r="H39" s="57"/>
      <c r="I39" s="57"/>
      <c r="J39" s="57"/>
      <c r="K39" s="57"/>
      <c r="L39" s="57"/>
      <c r="M39" s="57"/>
      <c r="N39" s="57"/>
      <c r="O39" s="57"/>
      <c r="P39" s="57"/>
      <c r="Q39" s="57"/>
      <c r="R39" s="57"/>
      <c r="S39" s="57"/>
      <c r="T39" s="57"/>
      <c r="U39" s="57"/>
      <c r="V39" s="57"/>
      <c r="W39" s="58"/>
    </row>
    <row r="40" spans="2:23" ht="14.1" thickBot="1">
      <c r="B40" s="52"/>
      <c r="C40" s="54" t="s">
        <v>82</v>
      </c>
      <c r="D40" s="107">
        <f>G27</f>
        <v>0.15919104652005545</v>
      </c>
      <c r="E40" s="61"/>
      <c r="F40" s="61"/>
      <c r="G40" s="61"/>
      <c r="H40" s="61"/>
      <c r="I40" s="61"/>
      <c r="J40" s="61"/>
      <c r="K40" s="61"/>
      <c r="L40" s="61"/>
      <c r="M40" s="61"/>
      <c r="N40" s="61"/>
      <c r="O40" s="61"/>
      <c r="P40" s="61"/>
      <c r="Q40" s="61"/>
      <c r="R40" s="61"/>
      <c r="S40" s="61"/>
      <c r="T40" s="61"/>
      <c r="U40" s="61"/>
      <c r="V40" s="61"/>
      <c r="W40"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I36"/>
  <sheetViews>
    <sheetView topLeftCell="A3" workbookViewId="0">
      <selection activeCell="B22" sqref="B22"/>
    </sheetView>
  </sheetViews>
  <sheetFormatPr defaultColWidth="8.85546875" defaultRowHeight="12.95"/>
  <cols>
    <col min="3" max="3" width="16.28515625" bestFit="1" customWidth="1"/>
    <col min="4" max="4" width="21.7109375" bestFit="1" customWidth="1"/>
    <col min="5" max="5" width="18" bestFit="1" customWidth="1"/>
    <col min="6" max="6" width="21.140625" bestFit="1" customWidth="1"/>
  </cols>
  <sheetData>
    <row r="4" spans="3:9" ht="26.1" thickBot="1">
      <c r="C4" s="54" t="s">
        <v>93</v>
      </c>
      <c r="E4" s="37"/>
    </row>
    <row r="5" spans="3:9" ht="14.1" thickBot="1"/>
    <row r="6" spans="3:9" ht="24.95">
      <c r="C6" s="60" t="s">
        <v>94</v>
      </c>
      <c r="D6" s="38"/>
      <c r="E6" s="39" t="s">
        <v>95</v>
      </c>
      <c r="F6" s="40" t="s">
        <v>96</v>
      </c>
      <c r="I6" s="37"/>
    </row>
    <row r="7" spans="3:9">
      <c r="C7" s="47"/>
      <c r="D7" s="42" t="s">
        <v>97</v>
      </c>
      <c r="E7">
        <v>100</v>
      </c>
      <c r="F7" s="43">
        <v>150</v>
      </c>
    </row>
    <row r="8" spans="3:9">
      <c r="C8" s="41"/>
      <c r="D8" s="42" t="s">
        <v>98</v>
      </c>
      <c r="E8">
        <v>20</v>
      </c>
      <c r="F8" s="43">
        <v>21</v>
      </c>
    </row>
    <row r="9" spans="3:9">
      <c r="C9" s="41"/>
      <c r="D9" s="42" t="s">
        <v>99</v>
      </c>
      <c r="E9">
        <v>60</v>
      </c>
      <c r="F9" s="43">
        <v>100</v>
      </c>
    </row>
    <row r="10" spans="3:9">
      <c r="C10" s="41"/>
      <c r="D10" s="42" t="s">
        <v>100</v>
      </c>
      <c r="E10" s="42">
        <v>5</v>
      </c>
      <c r="F10" s="44">
        <v>10</v>
      </c>
    </row>
    <row r="11" spans="3:9">
      <c r="C11" s="41"/>
      <c r="D11" s="42" t="s">
        <v>67</v>
      </c>
      <c r="E11" s="45">
        <v>0.1</v>
      </c>
      <c r="F11" s="46">
        <v>0.1</v>
      </c>
    </row>
    <row r="12" spans="3:9">
      <c r="C12" s="41"/>
      <c r="F12" s="43"/>
    </row>
    <row r="13" spans="3:9">
      <c r="C13" s="41"/>
      <c r="F13" s="43"/>
    </row>
    <row r="14" spans="3:9">
      <c r="C14" s="59" t="s">
        <v>101</v>
      </c>
      <c r="D14" s="57"/>
      <c r="E14" s="57"/>
      <c r="F14" s="58"/>
    </row>
    <row r="15" spans="3:9">
      <c r="C15" s="47"/>
      <c r="D15" s="42" t="s">
        <v>102</v>
      </c>
      <c r="E15" s="42" t="s">
        <v>103</v>
      </c>
      <c r="F15" s="44" t="s">
        <v>104</v>
      </c>
    </row>
    <row r="16" spans="3:9">
      <c r="C16" s="47" t="s">
        <v>105</v>
      </c>
      <c r="D16" s="48">
        <v>-100</v>
      </c>
      <c r="E16" s="49">
        <f>PV(0.1,5,-E8)</f>
        <v>75.815735388169017</v>
      </c>
      <c r="F16" s="50">
        <f>E9/(1+E11)^E10</f>
        <v>37.255279383549301</v>
      </c>
    </row>
    <row r="17" spans="3:6">
      <c r="C17" s="47" t="s">
        <v>106</v>
      </c>
      <c r="D17">
        <f>-F7</f>
        <v>-150</v>
      </c>
      <c r="E17" s="49">
        <f>PV(0.1,F10,-F8)</f>
        <v>129.03590921979838</v>
      </c>
      <c r="F17" s="51">
        <f>F9/(1+F11)^F10</f>
        <v>38.554328942953148</v>
      </c>
    </row>
    <row r="18" spans="3:6">
      <c r="C18" s="47"/>
      <c r="E18" s="49"/>
      <c r="F18" s="51"/>
    </row>
    <row r="19" spans="3:6">
      <c r="C19" s="59" t="s">
        <v>107</v>
      </c>
      <c r="D19" s="57"/>
      <c r="E19" s="57"/>
      <c r="F19" s="58"/>
    </row>
    <row r="20" spans="3:6">
      <c r="C20" s="47" t="s">
        <v>108</v>
      </c>
      <c r="D20" s="49">
        <f>D16+E16+F16</f>
        <v>13.071014771718318</v>
      </c>
      <c r="E20" s="42" t="s">
        <v>109</v>
      </c>
      <c r="F20" s="43"/>
    </row>
    <row r="21" spans="3:6" ht="14.1" thickBot="1">
      <c r="C21" s="52" t="s">
        <v>110</v>
      </c>
      <c r="D21" s="53">
        <f>D17+E17+F17</f>
        <v>17.590238162751533</v>
      </c>
      <c r="E21" s="54" t="s">
        <v>109</v>
      </c>
      <c r="F21" s="55"/>
    </row>
    <row r="23" spans="3:6" ht="14.1" thickBot="1"/>
    <row r="24" spans="3:6">
      <c r="C24" s="78" t="s">
        <v>94</v>
      </c>
      <c r="D24" s="38"/>
      <c r="E24" s="38" t="s">
        <v>95</v>
      </c>
      <c r="F24" s="79" t="s">
        <v>96</v>
      </c>
    </row>
    <row r="25" spans="3:6">
      <c r="C25" s="41"/>
      <c r="D25" t="s">
        <v>97</v>
      </c>
      <c r="E25">
        <v>100</v>
      </c>
      <c r="F25" s="43">
        <v>150</v>
      </c>
    </row>
    <row r="26" spans="3:6">
      <c r="C26" s="41"/>
      <c r="D26" t="s">
        <v>98</v>
      </c>
      <c r="E26">
        <v>20</v>
      </c>
      <c r="F26" s="43">
        <v>21</v>
      </c>
    </row>
    <row r="27" spans="3:6">
      <c r="C27" s="41"/>
      <c r="D27" t="s">
        <v>99</v>
      </c>
      <c r="E27">
        <v>60</v>
      </c>
      <c r="F27" s="43">
        <v>100</v>
      </c>
    </row>
    <row r="28" spans="3:6">
      <c r="C28" s="41"/>
      <c r="D28" t="s">
        <v>100</v>
      </c>
      <c r="E28">
        <v>5</v>
      </c>
      <c r="F28" s="43">
        <v>10</v>
      </c>
    </row>
    <row r="29" spans="3:6">
      <c r="C29" s="41"/>
      <c r="D29" t="s">
        <v>67</v>
      </c>
      <c r="E29" s="45">
        <v>0.1</v>
      </c>
      <c r="F29" s="46">
        <v>0.1</v>
      </c>
    </row>
    <row r="30" spans="3:6">
      <c r="C30" s="41"/>
      <c r="F30" s="43"/>
    </row>
    <row r="31" spans="3:6">
      <c r="C31" s="41"/>
      <c r="F31" s="43"/>
    </row>
    <row r="32" spans="3:6" ht="14.1" thickBot="1">
      <c r="C32" s="41" t="s">
        <v>101</v>
      </c>
      <c r="F32" s="43"/>
    </row>
    <row r="33" spans="3:6">
      <c r="C33" s="108" t="s">
        <v>108</v>
      </c>
      <c r="D33" s="109">
        <f>(E26/E29)*(1-(1/((1+E29)^E28)))+(E27/((1+E29)^E28))-E25</f>
        <v>13.071014771718325</v>
      </c>
      <c r="E33" s="110" t="s">
        <v>109</v>
      </c>
      <c r="F33" s="111"/>
    </row>
    <row r="34" spans="3:6" ht="14.1" thickBot="1">
      <c r="C34" s="112" t="s">
        <v>110</v>
      </c>
      <c r="D34" s="53">
        <f>(F26/F29)*(1-(1/((1+F29)^F28)))+(F27/((1+F29)^F28))-F25</f>
        <v>17.590238162751575</v>
      </c>
      <c r="E34" s="61" t="s">
        <v>109</v>
      </c>
      <c r="F34" s="113"/>
    </row>
    <row r="35" spans="3:6">
      <c r="C35" s="114" t="s">
        <v>111</v>
      </c>
      <c r="D35">
        <f>D33*E29/(1-(1/(1+E29)^E28))</f>
        <v>3.4481007682101961</v>
      </c>
      <c r="E35" t="s">
        <v>109</v>
      </c>
      <c r="F35" s="115"/>
    </row>
    <row r="36" spans="3:6" ht="14.1" thickBot="1">
      <c r="C36" s="116" t="s">
        <v>112</v>
      </c>
      <c r="D36" s="117">
        <f>D34*F29/(1-(1/(1+F29)^F28))</f>
        <v>2.8627302558744292</v>
      </c>
      <c r="E36" s="117" t="s">
        <v>109</v>
      </c>
      <c r="F36" s="1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3"/>
  <sheetViews>
    <sheetView workbookViewId="0">
      <selection activeCell="H15" sqref="H15"/>
    </sheetView>
  </sheetViews>
  <sheetFormatPr defaultColWidth="8.85546875" defaultRowHeight="12.75" customHeight="1"/>
  <cols>
    <col min="4" max="4" width="14.140625" bestFit="1" customWidth="1"/>
    <col min="11" max="11" width="10.140625" customWidth="1"/>
  </cols>
  <sheetData>
    <row r="2" spans="2:16" ht="12.75" customHeight="1" thickBot="1"/>
    <row r="3" spans="2:16" ht="12.75" customHeight="1">
      <c r="B3" s="78"/>
      <c r="C3" s="38"/>
      <c r="D3" s="38"/>
      <c r="E3" s="38"/>
      <c r="F3" s="38"/>
      <c r="G3" s="38"/>
      <c r="H3" s="38"/>
      <c r="I3" s="38"/>
      <c r="J3" s="38"/>
      <c r="K3" s="38"/>
      <c r="L3" s="38"/>
      <c r="M3" s="38"/>
      <c r="N3" s="38"/>
      <c r="O3" s="38"/>
      <c r="P3" s="79"/>
    </row>
    <row r="4" spans="2:16" ht="12.95">
      <c r="B4" s="41" t="s">
        <v>94</v>
      </c>
      <c r="P4" s="43"/>
    </row>
    <row r="5" spans="2:16" ht="12.95">
      <c r="B5" s="41"/>
      <c r="D5" s="67" t="s">
        <v>113</v>
      </c>
      <c r="E5" s="67" t="s">
        <v>114</v>
      </c>
      <c r="F5" s="67" t="s">
        <v>115</v>
      </c>
      <c r="H5" t="s">
        <v>116</v>
      </c>
      <c r="I5" s="88"/>
      <c r="J5" s="89" t="s">
        <v>117</v>
      </c>
      <c r="K5" s="90"/>
      <c r="L5" s="90" t="s">
        <v>118</v>
      </c>
      <c r="M5" s="90"/>
      <c r="N5" s="90" t="s">
        <v>119</v>
      </c>
      <c r="O5" s="120"/>
      <c r="P5" s="43"/>
    </row>
    <row r="6" spans="2:16" ht="12.95">
      <c r="B6" s="41"/>
      <c r="C6" t="s">
        <v>22</v>
      </c>
      <c r="D6">
        <v>750000</v>
      </c>
      <c r="E6">
        <v>1</v>
      </c>
      <c r="F6" t="s">
        <v>120</v>
      </c>
      <c r="H6" t="s">
        <v>121</v>
      </c>
      <c r="J6" s="91">
        <v>0.12</v>
      </c>
      <c r="K6" s="92"/>
      <c r="L6" s="93">
        <f>1.12^(1/12)-1</f>
        <v>9.4887929345830457E-3</v>
      </c>
      <c r="M6" s="93"/>
      <c r="N6" s="93">
        <f>1.12^(0.5)-1</f>
        <v>5.8300524425836331E-2</v>
      </c>
      <c r="O6" s="94"/>
      <c r="P6" s="43"/>
    </row>
    <row r="7" spans="2:16" ht="12.95">
      <c r="B7" s="41"/>
      <c r="C7" t="s">
        <v>122</v>
      </c>
      <c r="D7">
        <v>8650</v>
      </c>
      <c r="E7">
        <f>12*20</f>
        <v>240</v>
      </c>
      <c r="F7" t="s">
        <v>123</v>
      </c>
      <c r="H7" t="s">
        <v>124</v>
      </c>
      <c r="P7" s="43"/>
    </row>
    <row r="8" spans="2:16" ht="12.95">
      <c r="B8" s="41"/>
      <c r="C8" t="s">
        <v>125</v>
      </c>
      <c r="D8">
        <v>54000</v>
      </c>
      <c r="E8">
        <v>31</v>
      </c>
      <c r="F8" s="42" t="s">
        <v>126</v>
      </c>
      <c r="H8" t="s">
        <v>127</v>
      </c>
      <c r="P8" s="43"/>
    </row>
    <row r="9" spans="2:16" ht="12.95">
      <c r="B9" s="41"/>
      <c r="C9" s="42" t="s">
        <v>28</v>
      </c>
      <c r="D9">
        <v>130000</v>
      </c>
      <c r="E9">
        <v>11</v>
      </c>
      <c r="F9" s="42" t="s">
        <v>128</v>
      </c>
      <c r="H9" t="s">
        <v>127</v>
      </c>
      <c r="P9" s="43"/>
    </row>
    <row r="10" spans="2:16" ht="12.95">
      <c r="B10" s="41"/>
      <c r="C10" s="42" t="s">
        <v>129</v>
      </c>
      <c r="D10">
        <v>22000000</v>
      </c>
      <c r="E10">
        <v>30</v>
      </c>
      <c r="F10" t="s">
        <v>130</v>
      </c>
      <c r="H10" t="s">
        <v>131</v>
      </c>
      <c r="P10" s="43"/>
    </row>
    <row r="11" spans="2:16" ht="12.95">
      <c r="B11" s="41"/>
      <c r="P11" s="43"/>
    </row>
    <row r="12" spans="2:16" ht="12.75" customHeight="1">
      <c r="B12" s="56" t="s">
        <v>132</v>
      </c>
      <c r="C12" s="57"/>
      <c r="D12" s="57"/>
      <c r="E12" s="57"/>
      <c r="F12" s="57"/>
      <c r="G12" s="57"/>
      <c r="H12" s="57"/>
      <c r="I12" s="57"/>
      <c r="J12" s="57"/>
      <c r="K12" s="57"/>
      <c r="L12" s="57"/>
      <c r="M12" s="57"/>
      <c r="N12" s="57"/>
      <c r="O12" s="57"/>
      <c r="P12" s="58"/>
    </row>
    <row r="13" spans="2:16" ht="12.75" customHeight="1">
      <c r="B13" s="41"/>
      <c r="P13" s="43"/>
    </row>
    <row r="14" spans="2:16" ht="12.95">
      <c r="B14" s="41"/>
      <c r="C14" t="s">
        <v>133</v>
      </c>
      <c r="P14" s="43"/>
    </row>
    <row r="15" spans="2:16" ht="12.95">
      <c r="B15" s="41"/>
      <c r="C15" t="s">
        <v>22</v>
      </c>
      <c r="D15" s="122">
        <v>750000</v>
      </c>
      <c r="E15" s="122"/>
      <c r="P15" s="43"/>
    </row>
    <row r="16" spans="2:16" ht="12.95">
      <c r="B16" s="41"/>
      <c r="C16" t="s">
        <v>122</v>
      </c>
      <c r="D16" s="121">
        <f>-PV(L6,E7,D7,,0)</f>
        <v>817098.92243451742</v>
      </c>
      <c r="E16" s="121"/>
      <c r="P16" s="43"/>
    </row>
    <row r="17" spans="2:16" ht="12.95">
      <c r="B17" s="41"/>
      <c r="C17" s="42" t="s">
        <v>125</v>
      </c>
      <c r="D17" s="121">
        <f>-PV(N6,E8,D8,,1)</f>
        <v>811015.5213247916</v>
      </c>
      <c r="E17" s="121"/>
      <c r="P17" s="43"/>
    </row>
    <row r="18" spans="2:16" ht="12.95">
      <c r="B18" s="41"/>
      <c r="C18" s="42" t="s">
        <v>28</v>
      </c>
      <c r="D18" s="121">
        <f>-PV(J6,E9,D9,,1)</f>
        <v>864528.99369341298</v>
      </c>
      <c r="E18" s="121"/>
      <c r="P18" s="43"/>
    </row>
    <row r="19" spans="2:16" ht="12.95">
      <c r="B19" s="41"/>
      <c r="C19" s="42" t="s">
        <v>129</v>
      </c>
      <c r="D19" s="122">
        <f>D10/((1+J6)^E10)</f>
        <v>734314.32535816426</v>
      </c>
      <c r="E19" s="122"/>
      <c r="P19" s="43"/>
    </row>
    <row r="20" spans="2:16" ht="12.95">
      <c r="B20" s="41"/>
      <c r="C20" s="42"/>
      <c r="D20" s="73"/>
      <c r="P20" s="43"/>
    </row>
    <row r="21" spans="2:16" ht="12.95">
      <c r="B21" s="56" t="s">
        <v>134</v>
      </c>
      <c r="C21" s="57"/>
      <c r="D21" s="57"/>
      <c r="E21" s="57"/>
      <c r="F21" s="57"/>
      <c r="G21" s="57"/>
      <c r="H21" s="57"/>
      <c r="I21" s="57"/>
      <c r="J21" s="57"/>
      <c r="K21" s="57"/>
      <c r="L21" s="57"/>
      <c r="M21" s="57"/>
      <c r="N21" s="57"/>
      <c r="O21" s="57"/>
      <c r="P21" s="58"/>
    </row>
    <row r="22" spans="2:16" ht="12.75" customHeight="1">
      <c r="B22" s="41"/>
      <c r="D22" s="73"/>
      <c r="P22" s="43"/>
    </row>
    <row r="23" spans="2:16" ht="12.75" customHeight="1" thickBot="1">
      <c r="B23" s="80"/>
      <c r="C23" s="61" t="s">
        <v>135</v>
      </c>
      <c r="D23" s="61"/>
      <c r="E23" s="61" t="s">
        <v>28</v>
      </c>
      <c r="F23" s="61"/>
      <c r="G23" s="61"/>
      <c r="H23" s="61"/>
      <c r="I23" s="61"/>
      <c r="J23" s="61"/>
      <c r="K23" s="61"/>
      <c r="L23" s="61"/>
      <c r="M23" s="61"/>
      <c r="N23" s="61"/>
      <c r="O23" s="61"/>
      <c r="P23" s="55"/>
    </row>
  </sheetData>
  <mergeCells count="5">
    <mergeCell ref="D16:E16"/>
    <mergeCell ref="D17:E17"/>
    <mergeCell ref="D18:E18"/>
    <mergeCell ref="D15:E15"/>
    <mergeCell ref="D19:E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33"/>
  <sheetViews>
    <sheetView workbookViewId="0">
      <selection activeCell="M17" sqref="M17"/>
    </sheetView>
  </sheetViews>
  <sheetFormatPr defaultColWidth="8.85546875" defaultRowHeight="12.95"/>
  <sheetData>
    <row r="2" spans="1:15">
      <c r="A2" t="s">
        <v>78</v>
      </c>
      <c r="J2" t="s">
        <v>136</v>
      </c>
    </row>
    <row r="3" spans="1:15">
      <c r="A3" t="s">
        <v>137</v>
      </c>
      <c r="B3">
        <v>59000</v>
      </c>
      <c r="J3" t="s">
        <v>138</v>
      </c>
      <c r="K3" t="s">
        <v>139</v>
      </c>
      <c r="M3" t="s">
        <v>140</v>
      </c>
      <c r="N3" t="s">
        <v>141</v>
      </c>
      <c r="O3">
        <f>1.0301^1</f>
        <v>1.0301</v>
      </c>
    </row>
    <row r="4" spans="1:15">
      <c r="A4" t="s">
        <v>114</v>
      </c>
      <c r="B4">
        <v>10</v>
      </c>
      <c r="J4" t="s">
        <v>142</v>
      </c>
      <c r="K4" t="s">
        <v>143</v>
      </c>
      <c r="M4" t="s">
        <v>140</v>
      </c>
      <c r="N4" t="s">
        <v>141</v>
      </c>
      <c r="O4">
        <f>1.0301^2</f>
        <v>1.06110601</v>
      </c>
    </row>
    <row r="5" spans="1:15">
      <c r="A5" t="s">
        <v>144</v>
      </c>
      <c r="B5" s="72">
        <v>4.2999999999999997E-2</v>
      </c>
      <c r="J5" t="s">
        <v>145</v>
      </c>
      <c r="K5" t="s">
        <v>146</v>
      </c>
      <c r="M5" t="s">
        <v>140</v>
      </c>
      <c r="N5" t="s">
        <v>141</v>
      </c>
      <c r="O5">
        <f>1.0301^3</f>
        <v>1.0930453009010002</v>
      </c>
    </row>
    <row r="6" spans="1:15">
      <c r="A6" t="s">
        <v>147</v>
      </c>
      <c r="B6">
        <v>0.3</v>
      </c>
      <c r="J6" t="s">
        <v>148</v>
      </c>
      <c r="K6" t="s">
        <v>149</v>
      </c>
      <c r="M6" t="s">
        <v>140</v>
      </c>
      <c r="N6" t="s">
        <v>141</v>
      </c>
      <c r="O6">
        <f>1.0301^4</f>
        <v>1.1259459644581202</v>
      </c>
    </row>
    <row r="7" spans="1:15">
      <c r="J7" t="s">
        <v>150</v>
      </c>
      <c r="K7" t="s">
        <v>151</v>
      </c>
      <c r="M7" t="s">
        <v>140</v>
      </c>
      <c r="N7" t="s">
        <v>141</v>
      </c>
      <c r="O7">
        <f>1.0301^5</f>
        <v>1.1598369379883096</v>
      </c>
    </row>
    <row r="8" spans="1:15">
      <c r="A8" t="s">
        <v>152</v>
      </c>
      <c r="J8" t="s">
        <v>153</v>
      </c>
      <c r="K8" t="s">
        <v>154</v>
      </c>
      <c r="M8" t="s">
        <v>140</v>
      </c>
      <c r="N8" t="s">
        <v>141</v>
      </c>
      <c r="O8">
        <f>1.0301^6</f>
        <v>1.1947480298217579</v>
      </c>
    </row>
    <row r="9" spans="1:15">
      <c r="A9" t="s">
        <v>155</v>
      </c>
      <c r="D9">
        <f>B5*(1-B6)</f>
        <v>3.0099999999999995E-2</v>
      </c>
      <c r="J9" t="s">
        <v>156</v>
      </c>
      <c r="K9" t="s">
        <v>157</v>
      </c>
      <c r="M9" t="s">
        <v>140</v>
      </c>
      <c r="N9" t="s">
        <v>141</v>
      </c>
      <c r="O9">
        <f>1.0301^7</f>
        <v>1.2307099455193928</v>
      </c>
    </row>
    <row r="10" spans="1:15">
      <c r="A10" t="s">
        <v>158</v>
      </c>
      <c r="J10" t="s">
        <v>159</v>
      </c>
      <c r="K10" t="s">
        <v>160</v>
      </c>
      <c r="M10" t="s">
        <v>140</v>
      </c>
      <c r="N10" t="s">
        <v>141</v>
      </c>
      <c r="O10">
        <f>1.0301^8</f>
        <v>1.2677543148795265</v>
      </c>
    </row>
    <row r="11" spans="1:15">
      <c r="J11" t="s">
        <v>161</v>
      </c>
      <c r="K11" t="s">
        <v>162</v>
      </c>
      <c r="M11" t="s">
        <v>140</v>
      </c>
      <c r="N11" t="s">
        <v>141</v>
      </c>
      <c r="O11">
        <f>1.0301^9</f>
        <v>1.3059137197574002</v>
      </c>
    </row>
    <row r="12" spans="1:15">
      <c r="A12" t="s">
        <v>163</v>
      </c>
      <c r="G12">
        <f>B3/SUM(O3:P12)</f>
        <v>4993.913373499654</v>
      </c>
      <c r="J12" t="s">
        <v>164</v>
      </c>
      <c r="K12" t="s">
        <v>165</v>
      </c>
      <c r="M12" t="s">
        <v>140</v>
      </c>
      <c r="N12" t="s">
        <v>141</v>
      </c>
      <c r="O12">
        <f>1.0301^10</f>
        <v>1.3452217227220979</v>
      </c>
    </row>
    <row r="14" spans="1:15">
      <c r="A14" s="42" t="s">
        <v>166</v>
      </c>
    </row>
    <row r="24" spans="1:1">
      <c r="A24" t="s">
        <v>167</v>
      </c>
    </row>
    <row r="33" spans="1:7">
      <c r="A33" t="s">
        <v>168</v>
      </c>
      <c r="G33">
        <f>(B3*D9)/(((1+D9)^10-1)*(1+D9))</f>
        <v>4993.9133734996494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4:F18"/>
  <sheetViews>
    <sheetView workbookViewId="0">
      <selection activeCell="B4" sqref="B4"/>
    </sheetView>
  </sheetViews>
  <sheetFormatPr defaultColWidth="8.85546875" defaultRowHeight="12.95"/>
  <cols>
    <col min="3" max="3" width="10.7109375" bestFit="1" customWidth="1"/>
    <col min="4" max="4" width="8.85546875" bestFit="1" customWidth="1"/>
    <col min="5" max="5" width="31.42578125" bestFit="1" customWidth="1"/>
    <col min="6" max="6" width="13" bestFit="1" customWidth="1"/>
  </cols>
  <sheetData>
    <row r="4" spans="3:6" ht="14.1" thickBot="1">
      <c r="C4" s="54" t="s">
        <v>169</v>
      </c>
    </row>
    <row r="5" spans="3:6" ht="14.1" thickBot="1">
      <c r="E5" s="61"/>
      <c r="F5" s="61"/>
    </row>
    <row r="6" spans="3:6">
      <c r="C6" s="60" t="s">
        <v>170</v>
      </c>
      <c r="D6" s="38"/>
      <c r="E6" s="38"/>
      <c r="F6" s="40" t="s">
        <v>171</v>
      </c>
    </row>
    <row r="7" spans="3:6">
      <c r="C7" s="47" t="s">
        <v>172</v>
      </c>
      <c r="E7" s="42" t="s">
        <v>173</v>
      </c>
      <c r="F7" s="43">
        <v>500</v>
      </c>
    </row>
    <row r="8" spans="3:6">
      <c r="C8" s="41"/>
      <c r="E8" s="42" t="s">
        <v>174</v>
      </c>
      <c r="F8" s="43">
        <v>4</v>
      </c>
    </row>
    <row r="9" spans="3:6">
      <c r="C9" s="41"/>
      <c r="E9" s="42" t="s">
        <v>175</v>
      </c>
      <c r="F9" s="46">
        <v>0.01</v>
      </c>
    </row>
    <row r="10" spans="3:6">
      <c r="C10" s="41"/>
      <c r="E10" s="42" t="s">
        <v>176</v>
      </c>
      <c r="F10" s="46">
        <v>0.02</v>
      </c>
    </row>
    <row r="11" spans="3:6">
      <c r="C11" s="41"/>
      <c r="E11" s="42"/>
      <c r="F11" s="43"/>
    </row>
    <row r="12" spans="3:6">
      <c r="C12" s="59" t="s">
        <v>177</v>
      </c>
      <c r="D12" s="57"/>
      <c r="E12" s="57"/>
      <c r="F12" s="58"/>
    </row>
    <row r="13" spans="3:6">
      <c r="C13" s="47"/>
      <c r="E13" t="s">
        <v>178</v>
      </c>
      <c r="F13" s="64">
        <f>F7 * (1+F10)^F8</f>
        <v>541.21608000000003</v>
      </c>
    </row>
    <row r="14" spans="3:6">
      <c r="C14" s="47"/>
      <c r="E14" s="42" t="s">
        <v>179</v>
      </c>
      <c r="F14" s="64">
        <f>F13 / (1+F9)^F8</f>
        <v>520.0980149980395</v>
      </c>
    </row>
    <row r="15" spans="3:6">
      <c r="C15" s="41"/>
      <c r="D15" t="s">
        <v>180</v>
      </c>
      <c r="E15" s="68" t="s">
        <v>181</v>
      </c>
      <c r="F15" s="69">
        <f>F7*((1+F10)/(1+F9))^F8</f>
        <v>520.09801499803939</v>
      </c>
    </row>
    <row r="16" spans="3:6">
      <c r="C16" s="56"/>
      <c r="D16" s="57"/>
      <c r="E16" s="65"/>
      <c r="F16" s="66"/>
    </row>
    <row r="17" spans="3:6">
      <c r="C17" s="47" t="s">
        <v>134</v>
      </c>
      <c r="F17" s="43"/>
    </row>
    <row r="18" spans="3:6">
      <c r="C18" s="52"/>
      <c r="D18" s="61" t="s">
        <v>182</v>
      </c>
      <c r="E18" s="62">
        <f>F15</f>
        <v>520.09801499803939</v>
      </c>
      <c r="F18" s="63" t="s">
        <v>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7"/>
  <sheetViews>
    <sheetView workbookViewId="0">
      <selection activeCell="M10" sqref="M10"/>
    </sheetView>
  </sheetViews>
  <sheetFormatPr defaultColWidth="8.85546875" defaultRowHeight="12.95"/>
  <cols>
    <col min="1" max="1" width="8.85546875" style="36"/>
    <col min="2" max="5" width="10.42578125" style="36" bestFit="1" customWidth="1"/>
    <col min="6" max="16384" width="8.85546875" style="36"/>
  </cols>
  <sheetData>
    <row r="1" spans="1:21">
      <c r="C1" s="82" t="s">
        <v>64</v>
      </c>
      <c r="I1" s="81"/>
      <c r="K1" s="82" t="s">
        <v>184</v>
      </c>
      <c r="L1" s="82"/>
    </row>
    <row r="2" spans="1:21">
      <c r="A2" s="36" t="s">
        <v>72</v>
      </c>
      <c r="B2" s="36">
        <v>0</v>
      </c>
      <c r="C2" s="36">
        <v>1</v>
      </c>
      <c r="D2" s="36">
        <v>2</v>
      </c>
      <c r="E2" s="36">
        <v>3</v>
      </c>
      <c r="I2" s="81"/>
    </row>
    <row r="3" spans="1:21">
      <c r="A3" s="36" t="s">
        <v>185</v>
      </c>
      <c r="B3" s="36">
        <v>0</v>
      </c>
      <c r="C3" s="36">
        <v>180000000</v>
      </c>
      <c r="D3" s="36">
        <v>200000000</v>
      </c>
      <c r="E3" s="36">
        <v>230000000</v>
      </c>
      <c r="I3" s="81" t="s">
        <v>186</v>
      </c>
      <c r="L3" s="36" t="s">
        <v>187</v>
      </c>
      <c r="S3" s="85" t="s">
        <v>140</v>
      </c>
      <c r="T3" s="124">
        <f>J22+J23+J24+J27</f>
        <v>1412798811.4651756</v>
      </c>
      <c r="U3" s="124"/>
    </row>
    <row r="4" spans="1:21">
      <c r="A4" s="36" t="s">
        <v>188</v>
      </c>
      <c r="B4" s="36">
        <v>0</v>
      </c>
      <c r="C4" s="36">
        <v>20000000</v>
      </c>
      <c r="D4" s="36">
        <v>24000000</v>
      </c>
      <c r="E4" s="36">
        <v>27000000</v>
      </c>
      <c r="I4" s="81"/>
    </row>
    <row r="5" spans="1:21">
      <c r="A5" s="36" t="s">
        <v>189</v>
      </c>
      <c r="B5" s="36">
        <v>100000000</v>
      </c>
      <c r="C5" s="36">
        <v>120000000</v>
      </c>
      <c r="D5" s="36">
        <v>125000000</v>
      </c>
      <c r="E5" s="36">
        <v>130000000</v>
      </c>
      <c r="I5" s="81" t="s">
        <v>190</v>
      </c>
      <c r="P5" s="36" t="s">
        <v>191</v>
      </c>
    </row>
    <row r="6" spans="1:21">
      <c r="A6" s="36" t="s">
        <v>192</v>
      </c>
      <c r="B6" s="36">
        <v>0</v>
      </c>
      <c r="C6" s="36">
        <v>50000000</v>
      </c>
      <c r="D6" s="36">
        <v>55000000</v>
      </c>
      <c r="E6" s="36">
        <v>60000000</v>
      </c>
      <c r="I6" s="81"/>
    </row>
    <row r="7" spans="1:21">
      <c r="I7" s="81" t="s">
        <v>193</v>
      </c>
      <c r="P7" s="36" t="s">
        <v>194</v>
      </c>
    </row>
    <row r="8" spans="1:21">
      <c r="I8" s="81"/>
      <c r="P8" s="86" t="s">
        <v>195</v>
      </c>
      <c r="Q8" s="86"/>
    </row>
    <row r="9" spans="1:21">
      <c r="A9" s="36" t="s">
        <v>147</v>
      </c>
      <c r="C9" s="36">
        <v>0.25</v>
      </c>
      <c r="I9" s="81"/>
    </row>
    <row r="10" spans="1:21">
      <c r="A10" s="36" t="s">
        <v>196</v>
      </c>
      <c r="C10" s="36">
        <v>0.04</v>
      </c>
      <c r="I10" s="125" t="s">
        <v>197</v>
      </c>
      <c r="J10" s="124"/>
      <c r="K10" s="36">
        <f>(T3 - C13)/C12</f>
        <v>10.127988114651757</v>
      </c>
    </row>
    <row r="11" spans="1:21">
      <c r="A11" s="36" t="s">
        <v>198</v>
      </c>
      <c r="C11" s="36">
        <v>0.13</v>
      </c>
      <c r="I11" s="81"/>
    </row>
    <row r="12" spans="1:21">
      <c r="A12" s="36" t="s">
        <v>199</v>
      </c>
      <c r="C12" s="36">
        <v>100000000</v>
      </c>
      <c r="I12" s="81"/>
    </row>
    <row r="13" spans="1:21">
      <c r="A13" s="83" t="s">
        <v>200</v>
      </c>
      <c r="B13" s="83"/>
      <c r="C13" s="83">
        <v>400000000</v>
      </c>
      <c r="D13" s="83"/>
      <c r="E13" s="83"/>
      <c r="F13" s="83"/>
      <c r="G13" s="83"/>
      <c r="H13" s="83"/>
      <c r="I13" s="84"/>
      <c r="J13" s="83"/>
      <c r="K13" s="83"/>
      <c r="L13" s="83"/>
      <c r="M13" s="83"/>
      <c r="N13" s="83"/>
      <c r="O13" s="83"/>
      <c r="P13" s="83"/>
      <c r="Q13" s="83"/>
      <c r="R13" s="83"/>
      <c r="S13" s="83"/>
    </row>
    <row r="14" spans="1:21">
      <c r="C14" s="82" t="s">
        <v>201</v>
      </c>
      <c r="D14" s="82"/>
      <c r="I14" s="81"/>
      <c r="K14" s="82" t="s">
        <v>202</v>
      </c>
      <c r="L14" s="82"/>
    </row>
    <row r="15" spans="1:21">
      <c r="I15" s="81"/>
    </row>
    <row r="16" spans="1:21">
      <c r="I16" s="81"/>
    </row>
    <row r="17" spans="1:11">
      <c r="I17" s="81"/>
    </row>
    <row r="18" spans="1:11">
      <c r="I18" s="81"/>
    </row>
    <row r="19" spans="1:11">
      <c r="I19" s="81"/>
    </row>
    <row r="20" spans="1:11">
      <c r="I20" s="81"/>
    </row>
    <row r="21" spans="1:11">
      <c r="A21" s="36" t="s">
        <v>203</v>
      </c>
      <c r="I21" s="81" t="s">
        <v>204</v>
      </c>
    </row>
    <row r="22" spans="1:11">
      <c r="A22" s="36" t="s">
        <v>45</v>
      </c>
      <c r="B22" s="36">
        <f>C3*(1-C9)+C4-C6-(C5-B5)</f>
        <v>85000000</v>
      </c>
      <c r="I22" s="81" t="s">
        <v>45</v>
      </c>
      <c r="J22" s="124">
        <f>B22*((1+C11)^-1)</f>
        <v>75221238.938053101</v>
      </c>
      <c r="K22" s="124"/>
    </row>
    <row r="23" spans="1:11">
      <c r="A23" s="36" t="s">
        <v>46</v>
      </c>
      <c r="B23" s="36">
        <f>D3*(1-C9)+D4-D6-(D5-C5)</f>
        <v>114000000</v>
      </c>
      <c r="I23" s="81" t="s">
        <v>46</v>
      </c>
      <c r="J23" s="123">
        <f>B23*((1+C11)^-2)</f>
        <v>89278721.90461275</v>
      </c>
      <c r="K23" s="123"/>
    </row>
    <row r="24" spans="1:11" ht="12.75" customHeight="1">
      <c r="A24" s="36" t="s">
        <v>47</v>
      </c>
      <c r="B24" s="36">
        <f>E3*(1-C9)+E4-E6-(E5-D5)</f>
        <v>134500000</v>
      </c>
      <c r="I24" s="81" t="s">
        <v>47</v>
      </c>
      <c r="J24" s="123">
        <f>B24*((1+C11)^-3)</f>
        <v>93215246.826350078</v>
      </c>
      <c r="K24" s="123"/>
    </row>
    <row r="25" spans="1:11">
      <c r="I25" s="81"/>
    </row>
    <row r="26" spans="1:11">
      <c r="A26" s="36" t="s">
        <v>205</v>
      </c>
      <c r="I26" s="81" t="s">
        <v>206</v>
      </c>
    </row>
    <row r="27" spans="1:11">
      <c r="A27" s="36" t="s">
        <v>48</v>
      </c>
      <c r="B27" s="36">
        <v>150000000</v>
      </c>
      <c r="I27" s="81" t="s">
        <v>48</v>
      </c>
      <c r="J27" s="124">
        <f>(B27/(C11-C10))*(1/((1+C11)^3))</f>
        <v>1155083603.7961597</v>
      </c>
      <c r="K27" s="124"/>
    </row>
  </sheetData>
  <mergeCells count="6">
    <mergeCell ref="J23:K23"/>
    <mergeCell ref="J22:K22"/>
    <mergeCell ref="J24:K24"/>
    <mergeCell ref="J27:K27"/>
    <mergeCell ref="T3:U3"/>
    <mergeCell ref="I10:J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U46"/>
  <sheetViews>
    <sheetView topLeftCell="D1" workbookViewId="0">
      <selection activeCell="J22" sqref="J22"/>
    </sheetView>
  </sheetViews>
  <sheetFormatPr defaultColWidth="8.85546875" defaultRowHeight="12.75" customHeight="1"/>
  <cols>
    <col min="1" max="5" width="8.85546875" style="36"/>
    <col min="6" max="6" width="20.85546875" style="36" bestFit="1" customWidth="1"/>
    <col min="7" max="7" width="15.85546875" style="36" bestFit="1" customWidth="1"/>
    <col min="8" max="8" width="8.85546875" style="36"/>
    <col min="9" max="9" width="15.85546875" style="36" customWidth="1"/>
    <col min="10" max="11" width="8.85546875" style="36" customWidth="1"/>
    <col min="12" max="16384" width="8.85546875" style="36"/>
  </cols>
  <sheetData>
    <row r="1" spans="3:7" ht="12.75" customHeight="1">
      <c r="C1" s="36" t="s">
        <v>63</v>
      </c>
    </row>
    <row r="2" spans="3:7" ht="12.75" customHeight="1">
      <c r="F2" s="36" t="s">
        <v>207</v>
      </c>
      <c r="G2" s="70">
        <v>1000000</v>
      </c>
    </row>
    <row r="3" spans="3:7" ht="12.75" customHeight="1">
      <c r="F3" s="36" t="s">
        <v>208</v>
      </c>
      <c r="G3" s="71">
        <v>0.05</v>
      </c>
    </row>
    <row r="4" spans="3:7" ht="12.95">
      <c r="F4" s="36" t="s">
        <v>209</v>
      </c>
      <c r="G4" s="36">
        <v>30</v>
      </c>
    </row>
    <row r="5" spans="3:7" ht="12.95">
      <c r="F5" s="74" t="s">
        <v>210</v>
      </c>
      <c r="G5" s="71">
        <v>0.06</v>
      </c>
    </row>
    <row r="6" spans="3:7" ht="12.95">
      <c r="F6" s="85" t="s">
        <v>211</v>
      </c>
      <c r="G6" s="36">
        <f>G2*G3</f>
        <v>50000</v>
      </c>
    </row>
    <row r="7" spans="3:7" ht="12.95">
      <c r="F7" s="85" t="s">
        <v>212</v>
      </c>
      <c r="G7" s="36">
        <f>(G6/G5)*(1 - (1/((1+G5)^G4)))+(G2/((1+G5)^G4))</f>
        <v>862351.68848510575</v>
      </c>
    </row>
    <row r="8" spans="3:7" ht="12.95"/>
    <row r="9" spans="3:7" ht="12.95"/>
    <row r="10" spans="3:7" ht="12.95">
      <c r="C10" s="36" t="s">
        <v>213</v>
      </c>
    </row>
    <row r="11" spans="3:7" ht="12.95">
      <c r="F11" s="36" t="s">
        <v>207</v>
      </c>
      <c r="G11" s="70">
        <v>1000000</v>
      </c>
    </row>
    <row r="12" spans="3:7" ht="12.75" customHeight="1">
      <c r="F12" s="36" t="s">
        <v>208</v>
      </c>
      <c r="G12" s="71">
        <v>0.05</v>
      </c>
    </row>
    <row r="13" spans="3:7" ht="12.75" customHeight="1">
      <c r="F13" s="36" t="s">
        <v>209</v>
      </c>
      <c r="G13" s="36">
        <v>20</v>
      </c>
    </row>
    <row r="14" spans="3:7" ht="12.75" customHeight="1">
      <c r="F14" s="74" t="s">
        <v>210</v>
      </c>
      <c r="G14" s="71">
        <v>0.05</v>
      </c>
    </row>
    <row r="15" spans="3:7" ht="12.75" customHeight="1">
      <c r="F15" s="85" t="s">
        <v>211</v>
      </c>
      <c r="G15" s="36">
        <v>50000</v>
      </c>
    </row>
    <row r="16" spans="3:7" ht="12.75" customHeight="1">
      <c r="F16" s="85" t="s">
        <v>212</v>
      </c>
      <c r="G16" s="36">
        <f>(G15/G14)*(1 - (1/((1+G14)^G13)))+(G11/((1+G14)^G13))</f>
        <v>1000000</v>
      </c>
    </row>
    <row r="19" spans="3:20" ht="12.75" customHeight="1">
      <c r="C19" s="36" t="s">
        <v>76</v>
      </c>
    </row>
    <row r="20" spans="3:20" ht="12.75" customHeight="1">
      <c r="I20" t="s">
        <v>72</v>
      </c>
      <c r="J20">
        <v>0</v>
      </c>
      <c r="K20">
        <v>1</v>
      </c>
      <c r="L20">
        <v>2</v>
      </c>
      <c r="M20">
        <v>3</v>
      </c>
      <c r="N20">
        <v>4</v>
      </c>
      <c r="O20">
        <v>5</v>
      </c>
      <c r="P20">
        <v>6</v>
      </c>
      <c r="Q20">
        <v>7</v>
      </c>
      <c r="R20">
        <v>8</v>
      </c>
      <c r="S20">
        <v>9</v>
      </c>
      <c r="T20" s="36">
        <v>10</v>
      </c>
    </row>
    <row r="21" spans="3:20" ht="12.75" customHeight="1">
      <c r="F21" s="36" t="s">
        <v>207</v>
      </c>
      <c r="G21" s="70">
        <v>1000000</v>
      </c>
      <c r="I21" s="33" t="s">
        <v>57</v>
      </c>
      <c r="J21" s="34">
        <v>-862351.68848510599</v>
      </c>
      <c r="K21" s="34">
        <v>50000</v>
      </c>
      <c r="L21" s="34">
        <v>50000</v>
      </c>
      <c r="M21" s="34">
        <v>50000</v>
      </c>
      <c r="N21" s="34">
        <v>50000</v>
      </c>
      <c r="O21" s="34">
        <v>50000</v>
      </c>
      <c r="P21" s="34">
        <v>50000</v>
      </c>
      <c r="Q21" s="34">
        <v>50000</v>
      </c>
      <c r="R21" s="34">
        <v>50000</v>
      </c>
      <c r="S21" s="34">
        <v>50000</v>
      </c>
      <c r="T21" s="34">
        <v>1050000</v>
      </c>
    </row>
    <row r="22" spans="3:20" ht="12.75" customHeight="1">
      <c r="F22" s="36" t="s">
        <v>208</v>
      </c>
      <c r="G22" s="71">
        <v>0.05</v>
      </c>
      <c r="I22" s="33" t="s">
        <v>58</v>
      </c>
      <c r="J22" s="34">
        <v>0</v>
      </c>
      <c r="K22" s="34">
        <v>50000</v>
      </c>
      <c r="L22" s="34">
        <v>50000</v>
      </c>
      <c r="M22" s="34">
        <v>50000</v>
      </c>
      <c r="N22" s="34">
        <v>50000</v>
      </c>
      <c r="O22" s="34">
        <v>50000</v>
      </c>
      <c r="P22" s="34">
        <v>50000</v>
      </c>
      <c r="Q22" s="34">
        <v>50000</v>
      </c>
      <c r="R22" s="34">
        <v>50000</v>
      </c>
      <c r="S22" s="34">
        <v>50000</v>
      </c>
      <c r="T22" s="34">
        <v>50000</v>
      </c>
    </row>
    <row r="23" spans="3:20" ht="12.75" customHeight="1">
      <c r="F23" s="36" t="s">
        <v>211</v>
      </c>
      <c r="G23" s="36">
        <f>G22*G21</f>
        <v>50000</v>
      </c>
      <c r="I23" s="33" t="s">
        <v>59</v>
      </c>
      <c r="J23" s="34">
        <v>862351.68848510575</v>
      </c>
      <c r="K23" s="34">
        <f>(G23/G24)*(1 - (1/((1+G24)^(30-K20))))+(G21/((1+G24)^(30-K20)))</f>
        <v>864092.78979421209</v>
      </c>
      <c r="L23" s="34">
        <f>(G23/G24)*(1 - (1/((1+G24)^(30-L20))))+(G21/((1+G24)^(30-L20)))</f>
        <v>865938.35718186479</v>
      </c>
      <c r="M23" s="34">
        <f>(G23/G24)*(1 - (1/((1+G24)^(30-M20))))+(G21/((1+G24)^(30-M20)))</f>
        <v>867894.65861277666</v>
      </c>
      <c r="N23" s="34">
        <f>(G23/G24)*(1 - (1/((1+G24)^(30-N20))))+(G21/((1+G24)^(30-N20)))</f>
        <v>869968.33812954335</v>
      </c>
      <c r="O23" s="34">
        <f>(G23/G24)*(1 - (1/((1+G24)^(30-O20))))+(G21/((1+G24)^(30-O20)))</f>
        <v>872166.43841731583</v>
      </c>
      <c r="P23" s="34">
        <f>(G23/G24)*(1 - (1/((1+G24)^(30-P20))))+(G21/((1+G24)^(30-P20)))</f>
        <v>874496.42472235486</v>
      </c>
      <c r="Q23" s="34">
        <f>(G23/G24)*(1 - (1/((1+G24)^(30-Q20))))+(G21/((1+G24)^(30-Q20)))</f>
        <v>876966.21020569617</v>
      </c>
      <c r="R23" s="34">
        <f>(G23/G24)*(1 - (1/((1+G24)^(30-R20))))+(G21/((1+G24)^(30-R20)))</f>
        <v>879584.18281803792</v>
      </c>
      <c r="S23" s="34">
        <f>(G23/G24)*(1 - (1/((1+G24)^(30-S20))))+(G21/((1+G24)^(30-S20)))</f>
        <v>882359.23378712032</v>
      </c>
      <c r="T23" s="34">
        <f>(G23/G25)*(1 - (1/((1+G25)^(30-T20))))+(G21/((1+G25)^(30-T20)))</f>
        <v>1000000</v>
      </c>
    </row>
    <row r="24" spans="3:20" ht="12.75" customHeight="1">
      <c r="F24" s="74" t="s">
        <v>214</v>
      </c>
      <c r="G24" s="71">
        <v>0.06</v>
      </c>
      <c r="I24"/>
      <c r="J24"/>
      <c r="K24"/>
      <c r="L24"/>
      <c r="M24"/>
      <c r="N24"/>
      <c r="O24"/>
      <c r="P24"/>
      <c r="Q24"/>
      <c r="R24"/>
      <c r="S24"/>
    </row>
    <row r="25" spans="3:20" ht="12.75" customHeight="1">
      <c r="F25" s="36" t="s">
        <v>215</v>
      </c>
      <c r="G25" s="71">
        <v>0.05</v>
      </c>
    </row>
    <row r="42" spans="20:21" ht="12.75" customHeight="1">
      <c r="T42" t="s">
        <v>54</v>
      </c>
      <c r="U42"/>
    </row>
    <row r="43" spans="20:21" ht="12.75" customHeight="1">
      <c r="T43" s="34">
        <v>1000000</v>
      </c>
      <c r="U43"/>
    </row>
    <row r="44" spans="20:21" ht="12.75" customHeight="1">
      <c r="T44" s="34">
        <v>50000</v>
      </c>
      <c r="U44"/>
    </row>
    <row r="45" spans="20:21" ht="12.75" customHeight="1">
      <c r="T45" s="34">
        <v>1000000</v>
      </c>
      <c r="U45"/>
    </row>
    <row r="46" spans="20:21" ht="12.75" customHeight="1">
      <c r="T46"/>
      <c r="U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Stockholms Universitetet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Olle Högberg</dc:creator>
  <cp:keywords/>
  <dc:description/>
  <cp:lastModifiedBy/>
  <cp:revision/>
  <dcterms:created xsi:type="dcterms:W3CDTF">2009-03-18T08:16:53Z</dcterms:created>
  <dcterms:modified xsi:type="dcterms:W3CDTF">2022-12-13T19:13:50Z</dcterms:modified>
  <cp:category/>
  <cp:contentStatus/>
</cp:coreProperties>
</file>