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zizk\Downloads\"/>
    </mc:Choice>
  </mc:AlternateContent>
  <xr:revisionPtr revIDLastSave="0" documentId="8_{D936690A-5FAE-41F7-9FE0-7BE1A5BA527F}" xr6:coauthVersionLast="47" xr6:coauthVersionMax="47" xr10:uidLastSave="{00000000-0000-0000-0000-000000000000}"/>
  <bookViews>
    <workbookView xWindow="-120" yWindow="-120" windowWidth="20730" windowHeight="11310" xr2:uid="{12CA042E-F7D8-43CA-A0AE-EB64506380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8" i="1" l="1"/>
  <c r="M16" i="1"/>
  <c r="AG7" i="1"/>
  <c r="G26" i="1"/>
  <c r="N14" i="1"/>
  <c r="AA9" i="1"/>
  <c r="AA16" i="1" s="1"/>
  <c r="E21" i="1"/>
  <c r="E20" i="1"/>
  <c r="G9" i="1" l="1"/>
  <c r="G13" i="1"/>
  <c r="G12" i="1"/>
  <c r="G15" i="1"/>
  <c r="G18" i="1"/>
  <c r="G21" i="1"/>
  <c r="AA10" i="1" s="1"/>
  <c r="G23" i="1"/>
  <c r="G30" i="1"/>
  <c r="G32" i="1"/>
  <c r="G10" i="1"/>
  <c r="G11" i="1"/>
  <c r="G14" i="1"/>
  <c r="G16" i="1"/>
  <c r="G17" i="1"/>
  <c r="G20" i="1"/>
  <c r="G22" i="1"/>
  <c r="G31" i="1"/>
  <c r="G8" i="1"/>
  <c r="AA15" i="1" l="1"/>
  <c r="S7" i="1"/>
  <c r="E28" i="1" l="1"/>
  <c r="U7" i="1"/>
  <c r="S8" i="1"/>
  <c r="AA11" i="1" s="1"/>
  <c r="AA12" i="1" s="1"/>
  <c r="AG9" i="1" l="1"/>
  <c r="AA21" i="1"/>
  <c r="AA20" i="1"/>
  <c r="AA19" i="1"/>
  <c r="AG27" i="1" s="1"/>
  <c r="AA17" i="1"/>
  <c r="G27" i="1"/>
  <c r="E27" i="1" s="1"/>
  <c r="U8" i="1"/>
  <c r="S9" i="1"/>
  <c r="U9" i="1" s="1"/>
  <c r="E29" i="1"/>
  <c r="G28" i="1"/>
  <c r="AA22" i="1" l="1"/>
  <c r="AA29" i="1"/>
  <c r="AA18" i="1"/>
  <c r="AA30" i="1"/>
  <c r="AA23" i="1"/>
  <c r="AA24" i="1" s="1"/>
  <c r="E19" i="1" s="1"/>
  <c r="S10" i="1"/>
  <c r="U10" i="1" s="1"/>
  <c r="G29" i="1"/>
  <c r="S11" i="1" s="1"/>
  <c r="AG29" i="1" s="1"/>
  <c r="AA27" i="1" l="1"/>
  <c r="G24" i="1" s="1"/>
  <c r="E24" i="1" s="1"/>
  <c r="AG11" i="1"/>
  <c r="U11" i="1"/>
  <c r="S13" i="1"/>
  <c r="AG15" i="1" s="1"/>
  <c r="S14" i="1"/>
  <c r="S12" i="1"/>
  <c r="AA28" i="1" l="1"/>
  <c r="AA33" i="1"/>
  <c r="U13" i="1"/>
  <c r="U12" i="1"/>
  <c r="U14" i="1"/>
  <c r="S17" i="1"/>
  <c r="U17" i="1" s="1"/>
  <c r="S15" i="1"/>
  <c r="S16" i="1" s="1"/>
  <c r="U16" i="1" s="1"/>
  <c r="AA34" i="1" l="1"/>
  <c r="G25" i="1"/>
  <c r="AG28" i="1"/>
  <c r="AA39" i="1"/>
  <c r="AA40" i="1" s="1"/>
  <c r="AA41" i="1" s="1"/>
  <c r="M17" i="1" s="1"/>
  <c r="AA35" i="1"/>
  <c r="AG8" i="1"/>
  <c r="AG10" i="1" s="1"/>
  <c r="AG30" i="1" s="1"/>
  <c r="AG31" i="1" s="1"/>
  <c r="S18" i="1"/>
  <c r="AG33" i="1" l="1"/>
  <c r="AG32" i="1"/>
  <c r="AG13" i="1"/>
  <c r="AG19" i="1" s="1"/>
  <c r="AG12" i="1"/>
  <c r="AG17" i="1" s="1"/>
  <c r="AG14" i="1"/>
  <c r="AG16" i="1"/>
  <c r="U18" i="1"/>
  <c r="S19" i="1"/>
  <c r="U19" i="1" s="1"/>
  <c r="AG18" i="1" l="1"/>
  <c r="AG25" i="1" l="1"/>
  <c r="AG23" i="1"/>
  <c r="AG24" i="1" s="1"/>
  <c r="AG26" i="1"/>
  <c r="AG21" i="1"/>
  <c r="AG22" i="1" s="1"/>
  <c r="AG20" i="1"/>
</calcChain>
</file>

<file path=xl/sharedStrings.xml><?xml version="1.0" encoding="utf-8"?>
<sst xmlns="http://schemas.openxmlformats.org/spreadsheetml/2006/main" count="354" uniqueCount="227">
  <si>
    <t>Parameter</t>
  </si>
  <si>
    <t>Value</t>
  </si>
  <si>
    <t>Units</t>
  </si>
  <si>
    <t>Conversion</t>
  </si>
  <si>
    <t>No. of Cylinders</t>
  </si>
  <si>
    <t>Enginer Displacement</t>
  </si>
  <si>
    <t>Strokes per Cycle</t>
  </si>
  <si>
    <t>Strokes per Revolution</t>
  </si>
  <si>
    <t>Enginer RPM during Normal Operations</t>
  </si>
  <si>
    <t>Engine RPM during Max Operations</t>
  </si>
  <si>
    <t>Compression Ratio</t>
  </si>
  <si>
    <t>Strokes to Bore Ratio</t>
  </si>
  <si>
    <t>Fuel Heating Value</t>
  </si>
  <si>
    <t>Air to Fuel Ratio</t>
  </si>
  <si>
    <t>Combustion Efficienvy</t>
  </si>
  <si>
    <t>Indicated MEP</t>
  </si>
  <si>
    <t>Pressure at start of compression</t>
  </si>
  <si>
    <t>Temprature at Start of Compression</t>
  </si>
  <si>
    <t>Volume at start of Compression</t>
  </si>
  <si>
    <t>Instantaneous Crack Angle</t>
  </si>
  <si>
    <t>Max Cycle Temprature</t>
  </si>
  <si>
    <t>Max Cylce Pressure</t>
  </si>
  <si>
    <t>Exhaust residual per cylinder</t>
  </si>
  <si>
    <t>Bore Size</t>
  </si>
  <si>
    <t>Stroke Length</t>
  </si>
  <si>
    <t>Length of Connecting Rod</t>
  </si>
  <si>
    <t>Torque Brake power (Normal RPM)</t>
  </si>
  <si>
    <t>Torque Brake power (Max RPM)</t>
  </si>
  <si>
    <t>Nc</t>
  </si>
  <si>
    <t>Vc</t>
  </si>
  <si>
    <t>Cp</t>
  </si>
  <si>
    <t>Vd</t>
  </si>
  <si>
    <t>N_norm</t>
  </si>
  <si>
    <t>N_max</t>
  </si>
  <si>
    <t>r_c</t>
  </si>
  <si>
    <t>Eta_m</t>
  </si>
  <si>
    <t>S/B</t>
  </si>
  <si>
    <t>h</t>
  </si>
  <si>
    <t>s</t>
  </si>
  <si>
    <t>AFR</t>
  </si>
  <si>
    <t>Eta_c</t>
  </si>
  <si>
    <t>mdot_f</t>
  </si>
  <si>
    <t>p1</t>
  </si>
  <si>
    <t>T1</t>
  </si>
  <si>
    <t>V1</t>
  </si>
  <si>
    <t>Theta</t>
  </si>
  <si>
    <t>Tmax</t>
  </si>
  <si>
    <t>p_ex</t>
  </si>
  <si>
    <t>V</t>
  </si>
  <si>
    <t>T_bp</t>
  </si>
  <si>
    <t>P_max</t>
  </si>
  <si>
    <t>B</t>
  </si>
  <si>
    <t>S</t>
  </si>
  <si>
    <t>L</t>
  </si>
  <si>
    <t>R</t>
  </si>
  <si>
    <t>RPM</t>
  </si>
  <si>
    <t>%</t>
  </si>
  <si>
    <t>m3/h</t>
  </si>
  <si>
    <t>bar</t>
  </si>
  <si>
    <t>kpa</t>
  </si>
  <si>
    <t>degC</t>
  </si>
  <si>
    <t>cm3</t>
  </si>
  <si>
    <t>deg</t>
  </si>
  <si>
    <t>kPa</t>
  </si>
  <si>
    <t>m3</t>
  </si>
  <si>
    <t>cm</t>
  </si>
  <si>
    <t>N-m</t>
  </si>
  <si>
    <t>kW</t>
  </si>
  <si>
    <t>radians</t>
  </si>
  <si>
    <t>RPS</t>
  </si>
  <si>
    <t>K</t>
  </si>
  <si>
    <t>m</t>
  </si>
  <si>
    <t>W</t>
  </si>
  <si>
    <t>Engine Setup Parameters</t>
  </si>
  <si>
    <t>Global Parameter</t>
  </si>
  <si>
    <t>Gas Constant</t>
  </si>
  <si>
    <t>Engine Type</t>
  </si>
  <si>
    <t>Gasoline Engine</t>
  </si>
  <si>
    <t>Symbol</t>
  </si>
  <si>
    <t>Sp. Heat at Constant Volume</t>
  </si>
  <si>
    <t>Sp. Heat at Constant Pressure</t>
  </si>
  <si>
    <t>Density of Air</t>
  </si>
  <si>
    <t>Cv</t>
  </si>
  <si>
    <t>p</t>
  </si>
  <si>
    <t>Air and Fuel Specific Values</t>
  </si>
  <si>
    <t>kJ/kg-K</t>
  </si>
  <si>
    <t>kJ/kg</t>
  </si>
  <si>
    <t>kj/kg-K</t>
  </si>
  <si>
    <t>kg/m3</t>
  </si>
  <si>
    <t>Geometrical Parameters</t>
  </si>
  <si>
    <t>Displacement Columer per Cylinder</t>
  </si>
  <si>
    <t>Clearance Volumer per Cylinder</t>
  </si>
  <si>
    <t>Volume at BDC</t>
  </si>
  <si>
    <t>Piston Crown Area</t>
  </si>
  <si>
    <t>Average speed of Piston</t>
  </si>
  <si>
    <t>Crank offset</t>
  </si>
  <si>
    <t>Connecting rod to crank offset ratio</t>
  </si>
  <si>
    <t>Instateneuaos piston speed</t>
  </si>
  <si>
    <t>Piston position</t>
  </si>
  <si>
    <t>Distance from TDC</t>
  </si>
  <si>
    <t>Instantaneous Cylinder Volume</t>
  </si>
  <si>
    <t>Engine Geometrical Parameters</t>
  </si>
  <si>
    <t>Unit</t>
  </si>
  <si>
    <t>Vbdc</t>
  </si>
  <si>
    <t>Bsize</t>
  </si>
  <si>
    <t>Ap</t>
  </si>
  <si>
    <t>Up</t>
  </si>
  <si>
    <t>x</t>
  </si>
  <si>
    <t>Up_avg</t>
  </si>
  <si>
    <t>m2</t>
  </si>
  <si>
    <t>m/s</t>
  </si>
  <si>
    <t>a</t>
  </si>
  <si>
    <t>Mechanical Efficiency</t>
  </si>
  <si>
    <t>Atmospheric Pressure</t>
  </si>
  <si>
    <t>Atmospheric Temprature</t>
  </si>
  <si>
    <t>P1</t>
  </si>
  <si>
    <t>P_r</t>
  </si>
  <si>
    <t>Clearance Volume Per cylinder</t>
  </si>
  <si>
    <t>cm/s</t>
  </si>
  <si>
    <t>cm2</t>
  </si>
  <si>
    <t>State 1: Start of Compression</t>
  </si>
  <si>
    <t>Pressure</t>
  </si>
  <si>
    <t>Temprature</t>
  </si>
  <si>
    <t>Instantaneous Volume</t>
  </si>
  <si>
    <t>Mass of Mixture</t>
  </si>
  <si>
    <t>m_m</t>
  </si>
  <si>
    <t>kg</t>
  </si>
  <si>
    <t>Brake Power of Engine</t>
  </si>
  <si>
    <t>Indicated Power of Engine</t>
  </si>
  <si>
    <t>kg/s</t>
  </si>
  <si>
    <t>Engine State Parameters</t>
  </si>
  <si>
    <t>Instantaneous Displacement</t>
  </si>
  <si>
    <t>Mass of Air in Mixture</t>
  </si>
  <si>
    <t>Mass of Fuel in Mixture</t>
  </si>
  <si>
    <t>Mass of Residual in Mixture</t>
  </si>
  <si>
    <t>Mass flow rate of Fuel per Cylinder</t>
  </si>
  <si>
    <t>Mass flow rate of Fuel per Engine</t>
  </si>
  <si>
    <t>T2</t>
  </si>
  <si>
    <t>P2</t>
  </si>
  <si>
    <t>V2</t>
  </si>
  <si>
    <t>m_a</t>
  </si>
  <si>
    <t>m_f</t>
  </si>
  <si>
    <t>m_r</t>
  </si>
  <si>
    <t>mdot_f_cyl</t>
  </si>
  <si>
    <t>mdot_f_eng</t>
  </si>
  <si>
    <t>Specic Heat Ratio/ Adiabatic Index</t>
  </si>
  <si>
    <t>r</t>
  </si>
  <si>
    <t>k</t>
  </si>
  <si>
    <t>Volume</t>
  </si>
  <si>
    <t>Heat Added</t>
  </si>
  <si>
    <t>T3</t>
  </si>
  <si>
    <t>P3</t>
  </si>
  <si>
    <t>V3</t>
  </si>
  <si>
    <t>Q</t>
  </si>
  <si>
    <t>T4</t>
  </si>
  <si>
    <t>P4</t>
  </si>
  <si>
    <t>V4</t>
  </si>
  <si>
    <t>KJ</t>
  </si>
  <si>
    <t>State 2: End of Compression</t>
  </si>
  <si>
    <t>State 3: End of Combustion (For Otto Cycle)</t>
  </si>
  <si>
    <t>State 4: End of Expansion</t>
  </si>
  <si>
    <t>P_b_e</t>
  </si>
  <si>
    <t>P_ind_e</t>
  </si>
  <si>
    <t>bmep</t>
  </si>
  <si>
    <t>BSP_e</t>
  </si>
  <si>
    <t>kJ</t>
  </si>
  <si>
    <t>Work of Expansion</t>
  </si>
  <si>
    <t>Work of Compression</t>
  </si>
  <si>
    <t>Net Ideal (indicated) Cycle Work</t>
  </si>
  <si>
    <t>Indicated Thermal Efficiency</t>
  </si>
  <si>
    <t>Mean Piston Speed</t>
  </si>
  <si>
    <t>Brake Work (per cylinder per cycle)</t>
  </si>
  <si>
    <t>Brake MEP</t>
  </si>
  <si>
    <t>Engine Torque</t>
  </si>
  <si>
    <t>Brake Specific Power of Engine</t>
  </si>
  <si>
    <t>Brake Specific Power per Cylinder</t>
  </si>
  <si>
    <t>Output per Displacement</t>
  </si>
  <si>
    <t>Brake Specific Fuel Consumption per Cylinder</t>
  </si>
  <si>
    <t>Volumetric Efficiency</t>
  </si>
  <si>
    <t>Air Standard Efficiency</t>
  </si>
  <si>
    <t>W_exp</t>
  </si>
  <si>
    <t>W_comp</t>
  </si>
  <si>
    <t>W_inet</t>
  </si>
  <si>
    <t>Q_add</t>
  </si>
  <si>
    <t>Eta_ith</t>
  </si>
  <si>
    <t>IMEP</t>
  </si>
  <si>
    <t>Wb</t>
  </si>
  <si>
    <t>Tau_e</t>
  </si>
  <si>
    <t>P_f</t>
  </si>
  <si>
    <t>BSP_cyl</t>
  </si>
  <si>
    <t>OPD_e</t>
  </si>
  <si>
    <t>bsfc_cyl</t>
  </si>
  <si>
    <t>Eta_v_cyl</t>
  </si>
  <si>
    <t>Eta</t>
  </si>
  <si>
    <t>kN-m</t>
  </si>
  <si>
    <t>kW/m2</t>
  </si>
  <si>
    <t>kW/m3</t>
  </si>
  <si>
    <t>kg/s-kW</t>
  </si>
  <si>
    <t>Sr.</t>
  </si>
  <si>
    <t>Engine Cycle Analysis</t>
  </si>
  <si>
    <t>Brake Thermal Efficiency</t>
  </si>
  <si>
    <t>Eta_Bth</t>
  </si>
  <si>
    <t>Frictional Power lost for Engine</t>
  </si>
  <si>
    <t>Frictional Power per Cylinder</t>
  </si>
  <si>
    <t>P_f_cyl</t>
  </si>
  <si>
    <t>Max Piston Speed</t>
  </si>
  <si>
    <t>Up_max</t>
  </si>
  <si>
    <t>Max Indicated Power</t>
  </si>
  <si>
    <t>Max Brake Power</t>
  </si>
  <si>
    <t>Max Torque</t>
  </si>
  <si>
    <t>Friction Losses at Max rpm</t>
  </si>
  <si>
    <t>P_i_max</t>
  </si>
  <si>
    <t>P_b_max</t>
  </si>
  <si>
    <t>Tau_max</t>
  </si>
  <si>
    <t>P_f_max</t>
  </si>
  <si>
    <t>Pressure of Exhaust</t>
  </si>
  <si>
    <t>P_ex</t>
  </si>
  <si>
    <t>Exhaust analysis</t>
  </si>
  <si>
    <t>Temp. of Exhaust</t>
  </si>
  <si>
    <t>T_ex</t>
  </si>
  <si>
    <t>Exhaust Residual from Analysis</t>
  </si>
  <si>
    <t>x_r</t>
  </si>
  <si>
    <t>Temp of Air Entering cylinder</t>
  </si>
  <si>
    <t>T_a</t>
  </si>
  <si>
    <t>Temp of Air Entering Cylinder</t>
  </si>
  <si>
    <r>
      <rPr>
        <b/>
        <u/>
        <sz val="20"/>
        <color theme="0"/>
        <rFont val="Calisto MT"/>
        <family val="1"/>
      </rPr>
      <t xml:space="preserve">Note: </t>
    </r>
    <r>
      <rPr>
        <sz val="18"/>
        <color theme="0"/>
        <rFont val="Calisto MT"/>
        <family val="1"/>
      </rPr>
      <t xml:space="preserve">This Design is for the analysis of an SI Engine. Kindly check the parameter values and constants (k). All of the engine state and resultant analysis parameter formulas have been set, hence kindly do not change them. Only modify the Setup parameters and the constants if necessary as per your engine requirements. </t>
    </r>
  </si>
  <si>
    <t>Mass Flow rate of Fuel in 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</si>
</sst>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0"/>
      <name val="Calisto MT"/>
      <family val="1"/>
    </font>
    <font>
      <sz val="11"/>
      <color theme="1"/>
      <name val="Calisto MT"/>
      <family val="1"/>
    </font>
    <font>
      <sz val="12"/>
      <color theme="1"/>
      <name val="Calisto MT"/>
      <family val="1"/>
    </font>
    <font>
      <sz val="16"/>
      <color theme="1"/>
      <name val="Calisto MT"/>
      <family val="1"/>
    </font>
    <font>
      <b/>
      <sz val="28"/>
      <name val="Calisto MT"/>
      <family val="1"/>
    </font>
    <font>
      <b/>
      <sz val="16"/>
      <color theme="0"/>
      <name val="Calisto MT"/>
      <family val="1"/>
    </font>
    <font>
      <b/>
      <sz val="28"/>
      <color theme="1"/>
      <name val="Calisto MT"/>
      <family val="1"/>
    </font>
    <font>
      <sz val="8"/>
      <name val="Calibri"/>
      <family val="2"/>
      <scheme val="minor"/>
    </font>
    <font>
      <b/>
      <sz val="14"/>
      <color theme="1"/>
      <name val="Calisto MT"/>
      <family val="1"/>
    </font>
    <font>
      <sz val="12"/>
      <name val="Calisto MT"/>
      <family val="1"/>
    </font>
    <font>
      <b/>
      <sz val="20"/>
      <color theme="0"/>
      <name val="Calisto MT"/>
      <family val="1"/>
    </font>
    <font>
      <b/>
      <u/>
      <sz val="20"/>
      <color theme="0"/>
      <name val="Calisto MT"/>
      <family val="1"/>
    </font>
    <font>
      <sz val="18"/>
      <color theme="0"/>
      <name val="Calisto MT"/>
      <family val="1"/>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bgColor indexed="64"/>
      </patternFill>
    </fill>
  </fills>
  <borders count="24">
    <border>
      <left/>
      <right/>
      <top/>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thin">
        <color theme="3"/>
      </right>
      <top style="medium">
        <color theme="1"/>
      </top>
      <bottom style="thin">
        <color theme="3"/>
      </bottom>
      <diagonal/>
    </border>
    <border>
      <left style="thin">
        <color theme="3"/>
      </left>
      <right style="thin">
        <color theme="3"/>
      </right>
      <top style="medium">
        <color theme="1"/>
      </top>
      <bottom style="thin">
        <color theme="3"/>
      </bottom>
      <diagonal/>
    </border>
    <border>
      <left style="thin">
        <color theme="3"/>
      </left>
      <right style="medium">
        <color theme="1"/>
      </right>
      <top style="medium">
        <color theme="1"/>
      </top>
      <bottom style="thin">
        <color theme="3"/>
      </bottom>
      <diagonal/>
    </border>
    <border>
      <left style="medium">
        <color theme="1"/>
      </left>
      <right style="thin">
        <color theme="3"/>
      </right>
      <top style="thin">
        <color theme="3"/>
      </top>
      <bottom style="thin">
        <color theme="3"/>
      </bottom>
      <diagonal/>
    </border>
    <border>
      <left style="thin">
        <color theme="3"/>
      </left>
      <right style="medium">
        <color theme="1"/>
      </right>
      <top style="thin">
        <color theme="3"/>
      </top>
      <bottom style="thin">
        <color theme="3"/>
      </bottom>
      <diagonal/>
    </border>
    <border>
      <left style="medium">
        <color theme="1"/>
      </left>
      <right style="thin">
        <color theme="3"/>
      </right>
      <top style="thin">
        <color theme="3"/>
      </top>
      <bottom/>
      <diagonal/>
    </border>
    <border>
      <left style="thin">
        <color theme="3"/>
      </left>
      <right style="medium">
        <color theme="1"/>
      </right>
      <top style="thin">
        <color theme="3"/>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s>
  <cellStyleXfs count="1">
    <xf numFmtId="0" fontId="0" fillId="0" borderId="0"/>
  </cellStyleXfs>
  <cellXfs count="62">
    <xf numFmtId="0" fontId="0" fillId="0" borderId="0" xfId="0"/>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10" fillId="0" borderId="0"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10" fillId="0" borderId="0" xfId="0" applyFont="1" applyBorder="1" applyAlignment="1">
      <alignment horizontal="center" vertical="center"/>
    </xf>
    <xf numFmtId="0" fontId="10" fillId="0" borderId="7" xfId="0" applyFont="1" applyBorder="1" applyAlignment="1">
      <alignment horizontal="center" vertical="center"/>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7" xfId="0" applyFont="1" applyFill="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Border="1" applyAlignment="1">
      <alignment horizontal="center" vertical="center"/>
    </xf>
    <xf numFmtId="0" fontId="7"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B9EB-12F8-46D0-837B-EF5939A8EA39}">
  <dimension ref="A1:AH43"/>
  <sheetViews>
    <sheetView tabSelected="1" topLeftCell="B11" zoomScale="70" zoomScaleNormal="70" workbookViewId="0">
      <selection activeCell="J22" sqref="J22"/>
    </sheetView>
  </sheetViews>
  <sheetFormatPr defaultRowHeight="14.25" x14ac:dyDescent="0.25"/>
  <cols>
    <col min="1" max="1" width="9.140625" style="2"/>
    <col min="2" max="2" width="5.28515625" style="2" bestFit="1" customWidth="1"/>
    <col min="3" max="3" width="49.42578125" style="2" bestFit="1" customWidth="1"/>
    <col min="4" max="4" width="11.85546875" style="2" bestFit="1" customWidth="1"/>
    <col min="5" max="5" width="16" style="2" bestFit="1" customWidth="1"/>
    <col min="6" max="6" width="9.28515625" style="2" bestFit="1" customWidth="1"/>
    <col min="7" max="7" width="17.85546875" style="2" bestFit="1" customWidth="1"/>
    <col min="8" max="8" width="9.42578125" style="2" bestFit="1" customWidth="1"/>
    <col min="9" max="9" width="5.7109375" style="2" customWidth="1"/>
    <col min="10" max="10" width="5.85546875" style="2" bestFit="1" customWidth="1"/>
    <col min="11" max="11" width="39.85546875" style="2" bestFit="1" customWidth="1"/>
    <col min="12" max="12" width="12.28515625" style="2" bestFit="1" customWidth="1"/>
    <col min="13" max="13" width="9.7109375" style="2" bestFit="1" customWidth="1"/>
    <col min="14" max="14" width="16" style="2" bestFit="1" customWidth="1"/>
    <col min="15" max="15" width="5.85546875" style="2" customWidth="1"/>
    <col min="16" max="16" width="5.85546875" style="2" bestFit="1" customWidth="1"/>
    <col min="17" max="17" width="41.42578125" style="2" bestFit="1" customWidth="1"/>
    <col min="18" max="18" width="12.28515625" style="2" bestFit="1" customWidth="1"/>
    <col min="19" max="19" width="16" style="2" bestFit="1" customWidth="1"/>
    <col min="20" max="20" width="8" style="2" bestFit="1" customWidth="1"/>
    <col min="21" max="21" width="18" style="2" bestFit="1" customWidth="1"/>
    <col min="22" max="22" width="8" style="2" bestFit="1" customWidth="1"/>
    <col min="23" max="23" width="5.5703125" style="2" customWidth="1"/>
    <col min="24" max="24" width="5.85546875" style="2" bestFit="1" customWidth="1"/>
    <col min="25" max="25" width="39.85546875" style="2" bestFit="1" customWidth="1"/>
    <col min="26" max="26" width="14.7109375" style="2" bestFit="1" customWidth="1"/>
    <col min="27" max="27" width="16" style="2" bestFit="1" customWidth="1"/>
    <col min="28" max="28" width="9.28515625" style="2" bestFit="1" customWidth="1"/>
    <col min="29" max="29" width="5.85546875" style="2" customWidth="1"/>
    <col min="30" max="30" width="5.28515625" style="2" bestFit="1" customWidth="1"/>
    <col min="31" max="31" width="46.140625" style="2" customWidth="1"/>
    <col min="32" max="32" width="11.85546875" style="2" bestFit="1" customWidth="1"/>
    <col min="33" max="33" width="16.7109375" style="2" bestFit="1" customWidth="1"/>
    <col min="34" max="34" width="10.5703125" style="2" bestFit="1" customWidth="1"/>
    <col min="35" max="16384" width="9.140625" style="2"/>
  </cols>
  <sheetData>
    <row r="1" spans="1:34" ht="15" thickBot="1" x14ac:dyDescent="0.3"/>
    <row r="2" spans="1:34" x14ac:dyDescent="0.25">
      <c r="B2" s="41" t="s">
        <v>73</v>
      </c>
      <c r="C2" s="42"/>
      <c r="D2" s="42"/>
      <c r="E2" s="42"/>
      <c r="F2" s="42"/>
      <c r="G2" s="42"/>
      <c r="H2" s="43"/>
      <c r="J2" s="50" t="s">
        <v>84</v>
      </c>
      <c r="K2" s="51"/>
      <c r="L2" s="51"/>
      <c r="M2" s="51"/>
      <c r="N2" s="52"/>
      <c r="P2" s="56" t="s">
        <v>101</v>
      </c>
      <c r="Q2" s="57"/>
      <c r="R2" s="57"/>
      <c r="S2" s="57"/>
      <c r="T2" s="57"/>
      <c r="U2" s="57"/>
      <c r="V2" s="58"/>
      <c r="X2" s="56" t="s">
        <v>130</v>
      </c>
      <c r="Y2" s="57"/>
      <c r="Z2" s="57"/>
      <c r="AA2" s="57"/>
      <c r="AB2" s="58"/>
      <c r="AD2" s="56" t="s">
        <v>199</v>
      </c>
      <c r="AE2" s="57"/>
      <c r="AF2" s="57"/>
      <c r="AG2" s="57"/>
      <c r="AH2" s="58"/>
    </row>
    <row r="3" spans="1:34" x14ac:dyDescent="0.25">
      <c r="B3" s="44"/>
      <c r="C3" s="45"/>
      <c r="D3" s="45"/>
      <c r="E3" s="45"/>
      <c r="F3" s="45"/>
      <c r="G3" s="45"/>
      <c r="H3" s="46"/>
      <c r="J3" s="53"/>
      <c r="K3" s="54"/>
      <c r="L3" s="54"/>
      <c r="M3" s="54"/>
      <c r="N3" s="55"/>
      <c r="P3" s="59"/>
      <c r="Q3" s="60"/>
      <c r="R3" s="60"/>
      <c r="S3" s="60"/>
      <c r="T3" s="60"/>
      <c r="U3" s="60"/>
      <c r="V3" s="61"/>
      <c r="X3" s="59"/>
      <c r="Y3" s="60"/>
      <c r="Z3" s="60"/>
      <c r="AA3" s="60"/>
      <c r="AB3" s="61"/>
      <c r="AD3" s="59"/>
      <c r="AE3" s="60"/>
      <c r="AF3" s="60"/>
      <c r="AG3" s="60"/>
      <c r="AH3" s="61"/>
    </row>
    <row r="4" spans="1:34" x14ac:dyDescent="0.25">
      <c r="B4" s="44"/>
      <c r="C4" s="45"/>
      <c r="D4" s="45"/>
      <c r="E4" s="45"/>
      <c r="F4" s="45"/>
      <c r="G4" s="45"/>
      <c r="H4" s="46"/>
      <c r="J4" s="53"/>
      <c r="K4" s="54"/>
      <c r="L4" s="54"/>
      <c r="M4" s="54"/>
      <c r="N4" s="55"/>
      <c r="P4" s="59"/>
      <c r="Q4" s="60"/>
      <c r="R4" s="60"/>
      <c r="S4" s="60"/>
      <c r="T4" s="60"/>
      <c r="U4" s="60"/>
      <c r="V4" s="61"/>
      <c r="X4" s="59"/>
      <c r="Y4" s="60"/>
      <c r="Z4" s="60"/>
      <c r="AA4" s="60"/>
      <c r="AB4" s="61"/>
      <c r="AD4" s="59"/>
      <c r="AE4" s="60"/>
      <c r="AF4" s="60"/>
      <c r="AG4" s="60"/>
      <c r="AH4" s="61"/>
    </row>
    <row r="5" spans="1:34" ht="15" thickBot="1" x14ac:dyDescent="0.3">
      <c r="B5" s="47"/>
      <c r="C5" s="48"/>
      <c r="D5" s="48"/>
      <c r="E5" s="48"/>
      <c r="F5" s="48"/>
      <c r="G5" s="48"/>
      <c r="H5" s="49"/>
      <c r="J5" s="53"/>
      <c r="K5" s="54"/>
      <c r="L5" s="54"/>
      <c r="M5" s="54"/>
      <c r="N5" s="55"/>
      <c r="P5" s="59"/>
      <c r="Q5" s="60"/>
      <c r="R5" s="60"/>
      <c r="S5" s="60"/>
      <c r="T5" s="60"/>
      <c r="U5" s="60"/>
      <c r="V5" s="61"/>
      <c r="X5" s="59"/>
      <c r="Y5" s="60"/>
      <c r="Z5" s="60"/>
      <c r="AA5" s="60"/>
      <c r="AB5" s="61"/>
      <c r="AD5" s="59"/>
      <c r="AE5" s="60"/>
      <c r="AF5" s="60"/>
      <c r="AG5" s="60"/>
      <c r="AH5" s="61"/>
    </row>
    <row r="6" spans="1:34" s="3" customFormat="1" ht="21" thickBot="1" x14ac:dyDescent="0.3">
      <c r="B6" s="17" t="s">
        <v>198</v>
      </c>
      <c r="C6" s="18" t="s">
        <v>0</v>
      </c>
      <c r="D6" s="18" t="s">
        <v>78</v>
      </c>
      <c r="E6" s="18" t="s">
        <v>1</v>
      </c>
      <c r="F6" s="18" t="s">
        <v>2</v>
      </c>
      <c r="G6" s="18" t="s">
        <v>3</v>
      </c>
      <c r="H6" s="19" t="s">
        <v>2</v>
      </c>
      <c r="J6" s="20" t="s">
        <v>198</v>
      </c>
      <c r="K6" s="21" t="s">
        <v>74</v>
      </c>
      <c r="L6" s="21" t="s">
        <v>78</v>
      </c>
      <c r="M6" s="21" t="s">
        <v>1</v>
      </c>
      <c r="N6" s="22" t="s">
        <v>2</v>
      </c>
      <c r="P6" s="20" t="s">
        <v>198</v>
      </c>
      <c r="Q6" s="21" t="s">
        <v>89</v>
      </c>
      <c r="R6" s="21" t="s">
        <v>78</v>
      </c>
      <c r="S6" s="21" t="s">
        <v>1</v>
      </c>
      <c r="T6" s="21" t="s">
        <v>102</v>
      </c>
      <c r="U6" s="21" t="s">
        <v>3</v>
      </c>
      <c r="V6" s="22" t="s">
        <v>102</v>
      </c>
      <c r="X6" s="20" t="s">
        <v>198</v>
      </c>
      <c r="Y6" s="21" t="s">
        <v>0</v>
      </c>
      <c r="Z6" s="21" t="s">
        <v>78</v>
      </c>
      <c r="AA6" s="21" t="s">
        <v>1</v>
      </c>
      <c r="AB6" s="22" t="s">
        <v>2</v>
      </c>
      <c r="AD6" s="20" t="s">
        <v>198</v>
      </c>
      <c r="AE6" s="21" t="s">
        <v>0</v>
      </c>
      <c r="AF6" s="21" t="s">
        <v>78</v>
      </c>
      <c r="AG6" s="21" t="s">
        <v>1</v>
      </c>
      <c r="AH6" s="22" t="s">
        <v>102</v>
      </c>
    </row>
    <row r="7" spans="1:34" ht="16.5" thickBot="1" x14ac:dyDescent="0.3">
      <c r="A7" s="1"/>
      <c r="B7" s="12">
        <v>1</v>
      </c>
      <c r="C7" s="6" t="s">
        <v>76</v>
      </c>
      <c r="D7" s="30" t="s">
        <v>77</v>
      </c>
      <c r="E7" s="30"/>
      <c r="F7" s="30"/>
      <c r="G7" s="30"/>
      <c r="H7" s="31"/>
      <c r="I7" s="1"/>
      <c r="J7" s="7">
        <v>1</v>
      </c>
      <c r="K7" s="5" t="s">
        <v>75</v>
      </c>
      <c r="L7" s="5" t="s">
        <v>54</v>
      </c>
      <c r="M7" s="5">
        <v>0.28699999999999998</v>
      </c>
      <c r="N7" s="8" t="s">
        <v>87</v>
      </c>
      <c r="P7" s="7">
        <v>1</v>
      </c>
      <c r="Q7" s="5" t="s">
        <v>90</v>
      </c>
      <c r="R7" s="5" t="s">
        <v>31</v>
      </c>
      <c r="S7" s="5">
        <f>G9/G8</f>
        <v>4.4999999999999999E-4</v>
      </c>
      <c r="T7" s="5" t="s">
        <v>64</v>
      </c>
      <c r="U7" s="5">
        <f>S7*1000000</f>
        <v>450</v>
      </c>
      <c r="V7" s="8" t="s">
        <v>61</v>
      </c>
      <c r="X7" s="7"/>
      <c r="Y7" s="5"/>
      <c r="Z7" s="5"/>
      <c r="AA7" s="5"/>
      <c r="AB7" s="8"/>
      <c r="AD7" s="7">
        <v>1</v>
      </c>
      <c r="AE7" s="5" t="s">
        <v>10</v>
      </c>
      <c r="AF7" s="5" t="s">
        <v>34</v>
      </c>
      <c r="AG7" s="5">
        <f>E14</f>
        <v>10.199999999999999</v>
      </c>
      <c r="AH7" s="8"/>
    </row>
    <row r="8" spans="1:34" ht="18.75" thickBot="1" x14ac:dyDescent="0.3">
      <c r="A8" s="1"/>
      <c r="B8" s="12">
        <v>2</v>
      </c>
      <c r="C8" s="6" t="s">
        <v>4</v>
      </c>
      <c r="D8" s="6" t="s">
        <v>28</v>
      </c>
      <c r="E8" s="6">
        <v>4</v>
      </c>
      <c r="F8" s="6"/>
      <c r="G8" s="6">
        <f>E8</f>
        <v>4</v>
      </c>
      <c r="H8" s="13"/>
      <c r="I8" s="1"/>
      <c r="J8" s="7">
        <v>2</v>
      </c>
      <c r="K8" s="5" t="s">
        <v>79</v>
      </c>
      <c r="L8" s="5" t="s">
        <v>82</v>
      </c>
      <c r="M8" s="5">
        <v>0.82099999999999995</v>
      </c>
      <c r="N8" s="8" t="s">
        <v>85</v>
      </c>
      <c r="P8" s="7">
        <v>2</v>
      </c>
      <c r="Q8" s="5" t="s">
        <v>91</v>
      </c>
      <c r="R8" s="5" t="s">
        <v>29</v>
      </c>
      <c r="S8" s="5">
        <f>S7/(G14-1)</f>
        <v>4.8913043478260872E-5</v>
      </c>
      <c r="T8" s="5" t="s">
        <v>64</v>
      </c>
      <c r="U8" s="5">
        <f t="shared" ref="U8:U9" si="0">S8*1000000</f>
        <v>48.913043478260875</v>
      </c>
      <c r="V8" s="8" t="s">
        <v>61</v>
      </c>
      <c r="X8" s="27" t="s">
        <v>120</v>
      </c>
      <c r="Y8" s="28"/>
      <c r="Z8" s="28"/>
      <c r="AA8" s="28"/>
      <c r="AB8" s="29"/>
      <c r="AD8" s="7">
        <v>2</v>
      </c>
      <c r="AE8" s="5" t="s">
        <v>166</v>
      </c>
      <c r="AF8" s="5" t="s">
        <v>180</v>
      </c>
      <c r="AG8" s="5">
        <f>AA12*M7*(AA33-AA27)/(1-M14)</f>
        <v>0.98709413908472843</v>
      </c>
      <c r="AH8" s="8" t="s">
        <v>165</v>
      </c>
    </row>
    <row r="9" spans="1:34" ht="15.75" x14ac:dyDescent="0.25">
      <c r="A9" s="1"/>
      <c r="B9" s="12">
        <v>3</v>
      </c>
      <c r="C9" s="6" t="s">
        <v>5</v>
      </c>
      <c r="D9" s="6" t="s">
        <v>31</v>
      </c>
      <c r="E9" s="6">
        <v>1.8</v>
      </c>
      <c r="F9" s="6" t="s">
        <v>53</v>
      </c>
      <c r="G9" s="6">
        <f>E9/1000</f>
        <v>1.8E-3</v>
      </c>
      <c r="H9" s="13" t="s">
        <v>64</v>
      </c>
      <c r="I9" s="1"/>
      <c r="J9" s="7">
        <v>3</v>
      </c>
      <c r="K9" s="5" t="s">
        <v>80</v>
      </c>
      <c r="L9" s="5" t="s">
        <v>30</v>
      </c>
      <c r="M9" s="5">
        <v>1.1080000000000001</v>
      </c>
      <c r="N9" s="8" t="s">
        <v>85</v>
      </c>
      <c r="P9" s="7">
        <v>3</v>
      </c>
      <c r="Q9" s="5" t="s">
        <v>92</v>
      </c>
      <c r="R9" s="5" t="s">
        <v>103</v>
      </c>
      <c r="S9" s="5">
        <f>S7+S8</f>
        <v>4.9891304347826084E-4</v>
      </c>
      <c r="T9" s="5" t="s">
        <v>64</v>
      </c>
      <c r="U9" s="5">
        <f t="shared" si="0"/>
        <v>498.91304347826082</v>
      </c>
      <c r="V9" s="8" t="s">
        <v>61</v>
      </c>
      <c r="X9" s="7">
        <v>1</v>
      </c>
      <c r="Y9" s="5" t="s">
        <v>121</v>
      </c>
      <c r="Z9" s="5" t="s">
        <v>115</v>
      </c>
      <c r="AA9" s="5">
        <f>M12</f>
        <v>101.3</v>
      </c>
      <c r="AB9" s="8" t="s">
        <v>59</v>
      </c>
      <c r="AD9" s="7">
        <v>3</v>
      </c>
      <c r="AE9" s="5" t="s">
        <v>167</v>
      </c>
      <c r="AF9" s="5" t="s">
        <v>181</v>
      </c>
      <c r="AG9" s="5">
        <f>AA12*M7*(AA15-AA10)/(1-M14)</f>
        <v>-0.1935503754849148</v>
      </c>
      <c r="AH9" s="8" t="s">
        <v>165</v>
      </c>
    </row>
    <row r="10" spans="1:34" ht="15.75" x14ac:dyDescent="0.25">
      <c r="A10" s="1"/>
      <c r="B10" s="12">
        <v>4</v>
      </c>
      <c r="C10" s="6" t="s">
        <v>6</v>
      </c>
      <c r="D10" s="6"/>
      <c r="E10" s="6">
        <v>4</v>
      </c>
      <c r="F10" s="6"/>
      <c r="G10" s="6">
        <f t="shared" ref="G10:G16" si="1">E10</f>
        <v>4</v>
      </c>
      <c r="H10" s="13"/>
      <c r="I10" s="1"/>
      <c r="J10" s="7">
        <v>4</v>
      </c>
      <c r="K10" s="5" t="s">
        <v>81</v>
      </c>
      <c r="L10" s="5" t="s">
        <v>83</v>
      </c>
      <c r="M10" s="5">
        <v>1.18</v>
      </c>
      <c r="N10" s="8" t="s">
        <v>88</v>
      </c>
      <c r="P10" s="7">
        <v>4</v>
      </c>
      <c r="Q10" s="5" t="s">
        <v>23</v>
      </c>
      <c r="R10" s="5" t="s">
        <v>104</v>
      </c>
      <c r="S10" s="5">
        <f>G28</f>
        <v>8.0553656130358003E-2</v>
      </c>
      <c r="T10" s="5" t="s">
        <v>71</v>
      </c>
      <c r="U10" s="5">
        <f>S10*100</f>
        <v>8.0553656130358</v>
      </c>
      <c r="V10" s="8" t="s">
        <v>65</v>
      </c>
      <c r="X10" s="7">
        <v>2</v>
      </c>
      <c r="Y10" s="5" t="s">
        <v>122</v>
      </c>
      <c r="Z10" s="5" t="s">
        <v>43</v>
      </c>
      <c r="AA10" s="5">
        <f>G21</f>
        <v>313</v>
      </c>
      <c r="AB10" s="8" t="s">
        <v>70</v>
      </c>
      <c r="AD10" s="7">
        <v>4</v>
      </c>
      <c r="AE10" s="5" t="s">
        <v>168</v>
      </c>
      <c r="AF10" s="5" t="s">
        <v>182</v>
      </c>
      <c r="AG10" s="5">
        <f>AG8+AG9</f>
        <v>0.7935437635998136</v>
      </c>
      <c r="AH10" s="8" t="s">
        <v>165</v>
      </c>
    </row>
    <row r="11" spans="1:34" ht="15.75" x14ac:dyDescent="0.25">
      <c r="A11" s="1"/>
      <c r="B11" s="12">
        <v>5</v>
      </c>
      <c r="C11" s="6" t="s">
        <v>7</v>
      </c>
      <c r="D11" s="6" t="s">
        <v>28</v>
      </c>
      <c r="E11" s="6">
        <v>2</v>
      </c>
      <c r="F11" s="6"/>
      <c r="G11" s="6">
        <f t="shared" si="1"/>
        <v>2</v>
      </c>
      <c r="H11" s="13"/>
      <c r="I11" s="1"/>
      <c r="J11" s="7">
        <v>5</v>
      </c>
      <c r="K11" s="5" t="s">
        <v>12</v>
      </c>
      <c r="L11" s="5" t="s">
        <v>37</v>
      </c>
      <c r="M11" s="5">
        <v>44000</v>
      </c>
      <c r="N11" s="8" t="s">
        <v>86</v>
      </c>
      <c r="P11" s="7">
        <v>5</v>
      </c>
      <c r="Q11" s="5" t="s">
        <v>24</v>
      </c>
      <c r="R11" s="5" t="s">
        <v>52</v>
      </c>
      <c r="S11" s="5">
        <f>G29</f>
        <v>8.8286807118872379E-2</v>
      </c>
      <c r="T11" s="5" t="s">
        <v>71</v>
      </c>
      <c r="U11" s="5">
        <f>S11*100</f>
        <v>8.8286807118872375</v>
      </c>
      <c r="V11" s="8" t="s">
        <v>65</v>
      </c>
      <c r="X11" s="7">
        <v>3</v>
      </c>
      <c r="Y11" s="5" t="s">
        <v>123</v>
      </c>
      <c r="Z11" s="5" t="s">
        <v>44</v>
      </c>
      <c r="AA11" s="5">
        <f>S7+S8</f>
        <v>4.9891304347826084E-4</v>
      </c>
      <c r="AB11" s="8" t="s">
        <v>64</v>
      </c>
      <c r="AD11" s="7">
        <v>5</v>
      </c>
      <c r="AE11" s="5" t="s">
        <v>149</v>
      </c>
      <c r="AF11" s="5" t="s">
        <v>183</v>
      </c>
      <c r="AG11" s="5">
        <f>AA30</f>
        <v>1.5007643247247366</v>
      </c>
      <c r="AH11" s="8" t="s">
        <v>165</v>
      </c>
    </row>
    <row r="12" spans="1:34" ht="15.75" x14ac:dyDescent="0.25">
      <c r="A12" s="1"/>
      <c r="B12" s="12">
        <v>6</v>
      </c>
      <c r="C12" s="6" t="s">
        <v>8</v>
      </c>
      <c r="D12" s="6" t="s">
        <v>32</v>
      </c>
      <c r="E12" s="6">
        <v>3600</v>
      </c>
      <c r="F12" s="6" t="s">
        <v>55</v>
      </c>
      <c r="G12" s="6">
        <f>E12/60</f>
        <v>60</v>
      </c>
      <c r="H12" s="13" t="s">
        <v>69</v>
      </c>
      <c r="I12" s="1"/>
      <c r="J12" s="7">
        <v>6</v>
      </c>
      <c r="K12" s="5" t="s">
        <v>113</v>
      </c>
      <c r="L12" s="5" t="s">
        <v>115</v>
      </c>
      <c r="M12" s="5">
        <v>101.3</v>
      </c>
      <c r="N12" s="8" t="s">
        <v>59</v>
      </c>
      <c r="P12" s="7">
        <v>6</v>
      </c>
      <c r="Q12" s="5" t="s">
        <v>93</v>
      </c>
      <c r="R12" s="5" t="s">
        <v>105</v>
      </c>
      <c r="S12" s="5">
        <f>3.142*((S10/2)^2)</f>
        <v>5.0970242857928351E-3</v>
      </c>
      <c r="T12" s="5" t="s">
        <v>109</v>
      </c>
      <c r="U12" s="5">
        <f>S12*10000</f>
        <v>50.970242857928348</v>
      </c>
      <c r="V12" s="8" t="s">
        <v>119</v>
      </c>
      <c r="X12" s="7">
        <v>4</v>
      </c>
      <c r="Y12" s="5" t="s">
        <v>124</v>
      </c>
      <c r="Z12" s="5" t="s">
        <v>125</v>
      </c>
      <c r="AA12" s="5">
        <f xml:space="preserve"> AA9*(AA11)/(M7*AA10)</f>
        <v>5.6261080589493407E-4</v>
      </c>
      <c r="AB12" s="8" t="s">
        <v>126</v>
      </c>
      <c r="AD12" s="7">
        <v>6</v>
      </c>
      <c r="AE12" s="5" t="s">
        <v>169</v>
      </c>
      <c r="AF12" s="5" t="s">
        <v>184</v>
      </c>
      <c r="AG12" s="5">
        <f>AG10/AG11</f>
        <v>0.52875974630151323</v>
      </c>
      <c r="AH12" s="8"/>
    </row>
    <row r="13" spans="1:34" ht="16.5" thickBot="1" x14ac:dyDescent="0.3">
      <c r="A13" s="1"/>
      <c r="B13" s="12">
        <v>7</v>
      </c>
      <c r="C13" s="6" t="s">
        <v>9</v>
      </c>
      <c r="D13" s="6" t="s">
        <v>33</v>
      </c>
      <c r="E13" s="6">
        <v>5200</v>
      </c>
      <c r="F13" s="6" t="s">
        <v>55</v>
      </c>
      <c r="G13" s="6">
        <f>E13/60</f>
        <v>86.666666666666671</v>
      </c>
      <c r="H13" s="13" t="s">
        <v>69</v>
      </c>
      <c r="I13" s="1"/>
      <c r="J13" s="7">
        <v>7</v>
      </c>
      <c r="K13" s="5" t="s">
        <v>114</v>
      </c>
      <c r="L13" s="5" t="s">
        <v>43</v>
      </c>
      <c r="M13" s="5">
        <v>40</v>
      </c>
      <c r="N13" s="8" t="s">
        <v>60</v>
      </c>
      <c r="P13" s="7">
        <v>7</v>
      </c>
      <c r="Q13" s="5" t="s">
        <v>94</v>
      </c>
      <c r="R13" s="5" t="s">
        <v>108</v>
      </c>
      <c r="S13" s="5">
        <f>2*S11*G12</f>
        <v>10.594416854264686</v>
      </c>
      <c r="T13" s="5" t="s">
        <v>110</v>
      </c>
      <c r="U13" s="5">
        <f>S13*100</f>
        <v>1059.4416854264687</v>
      </c>
      <c r="V13" s="8" t="s">
        <v>118</v>
      </c>
      <c r="X13" s="7"/>
      <c r="Y13" s="5"/>
      <c r="Z13" s="5"/>
      <c r="AA13" s="5"/>
      <c r="AB13" s="8"/>
      <c r="AD13" s="7">
        <v>7</v>
      </c>
      <c r="AE13" s="5" t="s">
        <v>15</v>
      </c>
      <c r="AF13" s="5" t="s">
        <v>185</v>
      </c>
      <c r="AG13" s="5">
        <f>AG10/(AA11-AA17)</f>
        <v>1763.4305857773636</v>
      </c>
      <c r="AH13" s="8" t="s">
        <v>63</v>
      </c>
    </row>
    <row r="14" spans="1:34" ht="18.75" thickBot="1" x14ac:dyDescent="0.3">
      <c r="A14" s="1"/>
      <c r="B14" s="12">
        <v>8</v>
      </c>
      <c r="C14" s="6" t="s">
        <v>10</v>
      </c>
      <c r="D14" s="6" t="s">
        <v>146</v>
      </c>
      <c r="E14" s="6">
        <v>10.199999999999999</v>
      </c>
      <c r="F14" s="6"/>
      <c r="G14" s="6">
        <f t="shared" si="1"/>
        <v>10.199999999999999</v>
      </c>
      <c r="H14" s="13"/>
      <c r="I14" s="1"/>
      <c r="J14" s="7">
        <v>8</v>
      </c>
      <c r="K14" s="5" t="s">
        <v>145</v>
      </c>
      <c r="L14" s="5" t="s">
        <v>147</v>
      </c>
      <c r="M14" s="5">
        <v>1.4</v>
      </c>
      <c r="N14" s="8">
        <f>M9/M8</f>
        <v>1.3495736906211939</v>
      </c>
      <c r="P14" s="7">
        <v>8</v>
      </c>
      <c r="Q14" s="5" t="s">
        <v>95</v>
      </c>
      <c r="R14" s="5" t="s">
        <v>111</v>
      </c>
      <c r="S14" s="5">
        <f>S11/2</f>
        <v>4.414340355943619E-2</v>
      </c>
      <c r="T14" s="5" t="s">
        <v>71</v>
      </c>
      <c r="U14" s="5">
        <f>S14*100</f>
        <v>4.4143403559436187</v>
      </c>
      <c r="V14" s="8" t="s">
        <v>65</v>
      </c>
      <c r="X14" s="27" t="s">
        <v>158</v>
      </c>
      <c r="Y14" s="28"/>
      <c r="Z14" s="28"/>
      <c r="AA14" s="28"/>
      <c r="AB14" s="29"/>
      <c r="AD14" s="7">
        <v>8</v>
      </c>
      <c r="AE14" s="5" t="s">
        <v>128</v>
      </c>
      <c r="AF14" s="5" t="s">
        <v>162</v>
      </c>
      <c r="AG14" s="5">
        <f>AG10*G12/(2/G8)</f>
        <v>95.225251631977628</v>
      </c>
      <c r="AH14" s="8" t="s">
        <v>67</v>
      </c>
    </row>
    <row r="15" spans="1:34" ht="15.75" x14ac:dyDescent="0.25">
      <c r="A15" s="1"/>
      <c r="B15" s="12">
        <v>9</v>
      </c>
      <c r="C15" s="6" t="s">
        <v>112</v>
      </c>
      <c r="D15" s="6" t="s">
        <v>35</v>
      </c>
      <c r="E15" s="6">
        <v>85</v>
      </c>
      <c r="F15" s="6" t="s">
        <v>56</v>
      </c>
      <c r="G15" s="6">
        <f>E15/100</f>
        <v>0.85</v>
      </c>
      <c r="H15" s="13"/>
      <c r="I15" s="1"/>
      <c r="J15" s="7">
        <v>9</v>
      </c>
      <c r="K15" s="5" t="s">
        <v>13</v>
      </c>
      <c r="L15" s="5" t="s">
        <v>39</v>
      </c>
      <c r="M15" s="5">
        <v>15</v>
      </c>
      <c r="N15" s="8"/>
      <c r="P15" s="7">
        <v>9</v>
      </c>
      <c r="Q15" s="5" t="s">
        <v>96</v>
      </c>
      <c r="R15" s="5" t="s">
        <v>54</v>
      </c>
      <c r="S15" s="5">
        <f>G30/S14</f>
        <v>3.7604712508516007</v>
      </c>
      <c r="T15" s="5"/>
      <c r="U15" s="5"/>
      <c r="V15" s="8"/>
      <c r="X15" s="7">
        <v>1</v>
      </c>
      <c r="Y15" s="5" t="s">
        <v>122</v>
      </c>
      <c r="Z15" s="5" t="s">
        <v>137</v>
      </c>
      <c r="AA15" s="5">
        <f>AA10*(E14^(M14-1))</f>
        <v>792.47287549125906</v>
      </c>
      <c r="AB15" s="8" t="s">
        <v>70</v>
      </c>
      <c r="AD15" s="7">
        <v>9</v>
      </c>
      <c r="AE15" s="5" t="s">
        <v>170</v>
      </c>
      <c r="AF15" s="5" t="s">
        <v>106</v>
      </c>
      <c r="AG15" s="5">
        <f>S13</f>
        <v>10.594416854264686</v>
      </c>
      <c r="AH15" s="8" t="s">
        <v>110</v>
      </c>
    </row>
    <row r="16" spans="1:34" ht="15.75" x14ac:dyDescent="0.25">
      <c r="A16" s="1"/>
      <c r="B16" s="12">
        <v>10</v>
      </c>
      <c r="C16" s="6" t="s">
        <v>11</v>
      </c>
      <c r="D16" s="6" t="s">
        <v>36</v>
      </c>
      <c r="E16" s="6">
        <v>1.0960000000000001</v>
      </c>
      <c r="F16" s="6"/>
      <c r="G16" s="6">
        <f t="shared" si="1"/>
        <v>1.0960000000000001</v>
      </c>
      <c r="H16" s="13"/>
      <c r="I16" s="1"/>
      <c r="J16" s="7">
        <v>10</v>
      </c>
      <c r="K16" s="5" t="s">
        <v>215</v>
      </c>
      <c r="L16" s="5" t="s">
        <v>216</v>
      </c>
      <c r="M16" s="5">
        <f>M12</f>
        <v>101.3</v>
      </c>
      <c r="N16" s="8" t="s">
        <v>59</v>
      </c>
      <c r="P16" s="7">
        <v>10</v>
      </c>
      <c r="Q16" s="5" t="s">
        <v>97</v>
      </c>
      <c r="R16" s="5" t="s">
        <v>106</v>
      </c>
      <c r="S16" s="5">
        <f>(1+COS(RADIANS(E23))/(S15^(2)-SIN(RADIANS(E23))^(2))^(1/2))*SIN(RADIANS(20))*(3.141/2)*S13</f>
        <v>7.1186661830984272</v>
      </c>
      <c r="T16" s="5" t="s">
        <v>110</v>
      </c>
      <c r="U16" s="5">
        <f>S16*100</f>
        <v>711.86661830984269</v>
      </c>
      <c r="V16" s="8" t="s">
        <v>118</v>
      </c>
      <c r="X16" s="7">
        <v>2</v>
      </c>
      <c r="Y16" s="5" t="s">
        <v>121</v>
      </c>
      <c r="Z16" s="5" t="s">
        <v>138</v>
      </c>
      <c r="AA16" s="5">
        <f>AA9*E14^M14</f>
        <v>2616.0719595210803</v>
      </c>
      <c r="AB16" s="8" t="s">
        <v>59</v>
      </c>
      <c r="AD16" s="7">
        <v>10</v>
      </c>
      <c r="AE16" s="5" t="s">
        <v>171</v>
      </c>
      <c r="AF16" s="5" t="s">
        <v>186</v>
      </c>
      <c r="AG16" s="5">
        <f>G15*AG10</f>
        <v>0.6745121990598415</v>
      </c>
      <c r="AH16" s="8" t="s">
        <v>165</v>
      </c>
    </row>
    <row r="17" spans="1:34" ht="16.5" thickBot="1" x14ac:dyDescent="0.3">
      <c r="A17" s="1"/>
      <c r="B17" s="12">
        <v>11</v>
      </c>
      <c r="C17" s="6" t="s">
        <v>13</v>
      </c>
      <c r="D17" s="6" t="s">
        <v>39</v>
      </c>
      <c r="E17" s="6">
        <v>15</v>
      </c>
      <c r="F17" s="6"/>
      <c r="G17" s="6">
        <f>E17</f>
        <v>15</v>
      </c>
      <c r="H17" s="13"/>
      <c r="I17" s="1"/>
      <c r="J17" s="9">
        <v>11</v>
      </c>
      <c r="K17" s="10" t="s">
        <v>224</v>
      </c>
      <c r="L17" s="10" t="s">
        <v>223</v>
      </c>
      <c r="M17" s="10">
        <f>AA41-273</f>
        <v>18.23104320715845</v>
      </c>
      <c r="N17" s="11" t="s">
        <v>60</v>
      </c>
      <c r="O17" s="1"/>
      <c r="P17" s="7">
        <v>11</v>
      </c>
      <c r="Q17" s="5" t="s">
        <v>98</v>
      </c>
      <c r="R17" s="5" t="s">
        <v>38</v>
      </c>
      <c r="S17" s="5">
        <f>S14*COS(G23)+(G30^2-(S14*SIN(G23))^2)^(1/2)</f>
        <v>0.20679370123379631</v>
      </c>
      <c r="T17" s="5" t="s">
        <v>71</v>
      </c>
      <c r="U17" s="5">
        <f>S17*100</f>
        <v>20.679370123379631</v>
      </c>
      <c r="V17" s="8" t="s">
        <v>65</v>
      </c>
      <c r="X17" s="7">
        <v>3</v>
      </c>
      <c r="Y17" s="5" t="s">
        <v>123</v>
      </c>
      <c r="Z17" s="5" t="s">
        <v>139</v>
      </c>
      <c r="AA17" s="5">
        <f>AA12*M7*(AA15/AA16)</f>
        <v>4.8913043478260872E-5</v>
      </c>
      <c r="AB17" s="8" t="s">
        <v>64</v>
      </c>
      <c r="AD17" s="7">
        <v>11</v>
      </c>
      <c r="AE17" s="5" t="s">
        <v>200</v>
      </c>
      <c r="AF17" s="5" t="s">
        <v>201</v>
      </c>
      <c r="AG17" s="5">
        <f>AG12*G15</f>
        <v>0.44944578435628624</v>
      </c>
      <c r="AH17" s="8"/>
    </row>
    <row r="18" spans="1:34" ht="15.75" x14ac:dyDescent="0.25">
      <c r="A18" s="1"/>
      <c r="B18" s="12">
        <v>12</v>
      </c>
      <c r="C18" s="6" t="s">
        <v>14</v>
      </c>
      <c r="D18" s="6" t="s">
        <v>40</v>
      </c>
      <c r="E18" s="6">
        <v>97</v>
      </c>
      <c r="F18" s="6" t="s">
        <v>56</v>
      </c>
      <c r="G18" s="6">
        <f>E18/100</f>
        <v>0.97</v>
      </c>
      <c r="H18" s="13"/>
      <c r="I18" s="1"/>
      <c r="J18" s="1"/>
      <c r="K18" s="1"/>
      <c r="L18" s="1"/>
      <c r="M18" s="1"/>
      <c r="N18" s="1"/>
      <c r="O18" s="1"/>
      <c r="P18" s="7">
        <v>12</v>
      </c>
      <c r="Q18" s="5" t="s">
        <v>99</v>
      </c>
      <c r="R18" s="5" t="s">
        <v>107</v>
      </c>
      <c r="S18" s="5">
        <f>G30+S14-S17</f>
        <v>3.3497023256398861E-3</v>
      </c>
      <c r="T18" s="5" t="s">
        <v>71</v>
      </c>
      <c r="U18" s="5">
        <f t="shared" ref="U18" si="2">S18*100</f>
        <v>0.33497023256398861</v>
      </c>
      <c r="V18" s="8" t="s">
        <v>65</v>
      </c>
      <c r="X18" s="7">
        <v>4</v>
      </c>
      <c r="Y18" s="5" t="s">
        <v>131</v>
      </c>
      <c r="Z18" s="5" t="s">
        <v>31</v>
      </c>
      <c r="AA18" s="5">
        <f>AA11-AA17</f>
        <v>4.4999999999999999E-4</v>
      </c>
      <c r="AB18" s="8" t="s">
        <v>64</v>
      </c>
      <c r="AD18" s="7">
        <v>12</v>
      </c>
      <c r="AE18" s="5" t="s">
        <v>127</v>
      </c>
      <c r="AF18" s="5" t="s">
        <v>161</v>
      </c>
      <c r="AG18" s="5">
        <f>G15*AG14</f>
        <v>80.941463887180987</v>
      </c>
      <c r="AH18" s="8" t="s">
        <v>67</v>
      </c>
    </row>
    <row r="19" spans="1:34" ht="16.5" thickBot="1" x14ac:dyDescent="0.3">
      <c r="A19" s="1"/>
      <c r="B19" s="12">
        <v>13</v>
      </c>
      <c r="C19" s="6" t="s">
        <v>226</v>
      </c>
      <c r="D19" s="6" t="s">
        <v>41</v>
      </c>
      <c r="E19" s="6">
        <f>AA24</f>
        <v>4.2195810442120056E-3</v>
      </c>
      <c r="F19" s="6" t="s">
        <v>57</v>
      </c>
      <c r="G19" s="6"/>
      <c r="H19" s="13"/>
      <c r="I19" s="1"/>
      <c r="J19" s="1"/>
      <c r="K19" s="1"/>
      <c r="L19" s="1"/>
      <c r="M19" s="1"/>
      <c r="N19" s="1"/>
      <c r="O19" s="1"/>
      <c r="P19" s="9">
        <v>13</v>
      </c>
      <c r="Q19" s="10" t="s">
        <v>100</v>
      </c>
      <c r="R19" s="10" t="s">
        <v>48</v>
      </c>
      <c r="S19" s="10">
        <f>S8+S12*(S18)</f>
        <v>6.5986557582224114E-5</v>
      </c>
      <c r="T19" s="10" t="s">
        <v>64</v>
      </c>
      <c r="U19" s="10">
        <f>S19*1000000</f>
        <v>65.986557582224108</v>
      </c>
      <c r="V19" s="11" t="s">
        <v>61</v>
      </c>
      <c r="X19" s="7">
        <v>5</v>
      </c>
      <c r="Y19" s="5" t="s">
        <v>132</v>
      </c>
      <c r="Z19" s="5" t="s">
        <v>140</v>
      </c>
      <c r="AA19" s="5">
        <f xml:space="preserve"> M15/(M15+1)*AA12*(1-G26)</f>
        <v>5.274476305265007E-4</v>
      </c>
      <c r="AB19" s="8" t="s">
        <v>126</v>
      </c>
      <c r="AD19" s="7">
        <v>13</v>
      </c>
      <c r="AE19" s="5" t="s">
        <v>172</v>
      </c>
      <c r="AF19" s="5" t="s">
        <v>163</v>
      </c>
      <c r="AG19" s="5">
        <f>G15*AG13</f>
        <v>1498.915997910759</v>
      </c>
      <c r="AH19" s="8" t="s">
        <v>63</v>
      </c>
    </row>
    <row r="20" spans="1:34" ht="15.75" x14ac:dyDescent="0.25">
      <c r="A20" s="1"/>
      <c r="B20" s="12">
        <v>14</v>
      </c>
      <c r="C20" s="6" t="s">
        <v>16</v>
      </c>
      <c r="D20" s="6" t="s">
        <v>42</v>
      </c>
      <c r="E20" s="6">
        <f>M12</f>
        <v>101.3</v>
      </c>
      <c r="F20" s="6" t="s">
        <v>59</v>
      </c>
      <c r="G20" s="6">
        <f>E20</f>
        <v>101.3</v>
      </c>
      <c r="H20" s="13" t="s">
        <v>59</v>
      </c>
      <c r="I20" s="1"/>
      <c r="J20" s="1"/>
      <c r="K20" s="1"/>
      <c r="L20" s="1"/>
      <c r="M20" s="1"/>
      <c r="N20" s="1"/>
      <c r="O20" s="1"/>
      <c r="P20" s="1"/>
      <c r="Q20" s="1"/>
      <c r="R20" s="1"/>
      <c r="S20" s="1"/>
      <c r="T20" s="1"/>
      <c r="U20" s="1"/>
      <c r="V20" s="1"/>
      <c r="W20" s="1"/>
      <c r="X20" s="7">
        <v>6</v>
      </c>
      <c r="Y20" s="5" t="s">
        <v>133</v>
      </c>
      <c r="Z20" s="5" t="s">
        <v>141</v>
      </c>
      <c r="AA20" s="5">
        <f xml:space="preserve"> 1/(M15+1)*AA12*(1-G26)</f>
        <v>3.516317536843338E-5</v>
      </c>
      <c r="AB20" s="8" t="s">
        <v>126</v>
      </c>
      <c r="AD20" s="7">
        <v>14</v>
      </c>
      <c r="AE20" s="5" t="s">
        <v>173</v>
      </c>
      <c r="AF20" s="5" t="s">
        <v>187</v>
      </c>
      <c r="AG20" s="5">
        <f>AG18/(2*3.142*G12)</f>
        <v>0.21467606590064978</v>
      </c>
      <c r="AH20" s="8" t="s">
        <v>194</v>
      </c>
    </row>
    <row r="21" spans="1:34" ht="15.75" x14ac:dyDescent="0.25">
      <c r="A21" s="1"/>
      <c r="B21" s="12">
        <v>15</v>
      </c>
      <c r="C21" s="6" t="s">
        <v>17</v>
      </c>
      <c r="D21" s="6" t="s">
        <v>43</v>
      </c>
      <c r="E21" s="6">
        <f>M13</f>
        <v>40</v>
      </c>
      <c r="F21" s="6" t="s">
        <v>60</v>
      </c>
      <c r="G21" s="6">
        <f>E21+273</f>
        <v>313</v>
      </c>
      <c r="H21" s="13" t="s">
        <v>70</v>
      </c>
      <c r="I21" s="1"/>
      <c r="J21" s="1"/>
      <c r="K21" s="1"/>
      <c r="L21" s="1"/>
      <c r="M21" s="1"/>
      <c r="N21" s="1"/>
      <c r="O21" s="1"/>
      <c r="P21" s="1"/>
      <c r="Q21" s="1"/>
      <c r="R21" s="1"/>
      <c r="S21" s="1"/>
      <c r="T21" s="1"/>
      <c r="U21" s="1"/>
      <c r="V21" s="1"/>
      <c r="W21" s="1"/>
      <c r="X21" s="7">
        <v>7</v>
      </c>
      <c r="Y21" s="5" t="s">
        <v>134</v>
      </c>
      <c r="Z21" s="5" t="s">
        <v>142</v>
      </c>
      <c r="AA21" s="5">
        <f>AA12*(G26)</f>
        <v>0</v>
      </c>
      <c r="AB21" s="8" t="s">
        <v>126</v>
      </c>
      <c r="AD21" s="7">
        <v>15</v>
      </c>
      <c r="AE21" s="5" t="s">
        <v>202</v>
      </c>
      <c r="AF21" s="5" t="s">
        <v>188</v>
      </c>
      <c r="AG21" s="5">
        <f>AG14-AG18</f>
        <v>14.283787744796641</v>
      </c>
      <c r="AH21" s="8" t="s">
        <v>67</v>
      </c>
    </row>
    <row r="22" spans="1:34" ht="15.75" x14ac:dyDescent="0.25">
      <c r="A22" s="1"/>
      <c r="B22" s="12">
        <v>16</v>
      </c>
      <c r="C22" s="6" t="s">
        <v>18</v>
      </c>
      <c r="D22" s="6" t="s">
        <v>44</v>
      </c>
      <c r="E22" s="6"/>
      <c r="F22" s="6" t="s">
        <v>61</v>
      </c>
      <c r="G22" s="6">
        <f>E22</f>
        <v>0</v>
      </c>
      <c r="H22" s="13" t="s">
        <v>64</v>
      </c>
      <c r="I22" s="1"/>
      <c r="J22" s="1"/>
      <c r="K22" s="1"/>
      <c r="L22" s="1"/>
      <c r="M22" s="1"/>
      <c r="N22" s="1"/>
      <c r="O22" s="1"/>
      <c r="P22" s="1"/>
      <c r="Q22" s="1"/>
      <c r="R22" s="1"/>
      <c r="S22" s="1"/>
      <c r="T22" s="1"/>
      <c r="U22" s="1"/>
      <c r="V22" s="1"/>
      <c r="W22" s="1"/>
      <c r="X22" s="7">
        <v>8</v>
      </c>
      <c r="Y22" s="5" t="s">
        <v>124</v>
      </c>
      <c r="Z22" s="5" t="s">
        <v>125</v>
      </c>
      <c r="AA22" s="5">
        <f>SUM(AA19:AA21)</f>
        <v>5.6261080589493407E-4</v>
      </c>
      <c r="AB22" s="8" t="s">
        <v>126</v>
      </c>
      <c r="AD22" s="7">
        <v>16</v>
      </c>
      <c r="AE22" s="5" t="s">
        <v>203</v>
      </c>
      <c r="AF22" s="5" t="s">
        <v>204</v>
      </c>
      <c r="AG22" s="5">
        <f>AG21/G8</f>
        <v>3.5709469361991601</v>
      </c>
      <c r="AH22" s="8"/>
    </row>
    <row r="23" spans="1:34" ht="15.75" x14ac:dyDescent="0.25">
      <c r="A23" s="1"/>
      <c r="B23" s="12">
        <v>17</v>
      </c>
      <c r="C23" s="6" t="s">
        <v>19</v>
      </c>
      <c r="D23" s="6" t="s">
        <v>45</v>
      </c>
      <c r="E23" s="6">
        <v>20</v>
      </c>
      <c r="F23" s="6" t="s">
        <v>62</v>
      </c>
      <c r="G23" s="6">
        <f>E23/57.3</f>
        <v>0.34904013961605584</v>
      </c>
      <c r="H23" s="13" t="s">
        <v>68</v>
      </c>
      <c r="I23" s="1"/>
      <c r="J23" s="1"/>
      <c r="K23" s="1"/>
      <c r="Q23" s="1"/>
      <c r="R23" s="1"/>
      <c r="S23" s="1"/>
      <c r="T23" s="1"/>
      <c r="U23" s="1"/>
      <c r="V23" s="1"/>
      <c r="W23" s="1"/>
      <c r="X23" s="7">
        <v>9</v>
      </c>
      <c r="Y23" s="5" t="s">
        <v>135</v>
      </c>
      <c r="Z23" s="5" t="s">
        <v>143</v>
      </c>
      <c r="AA23" s="5">
        <f>AA20*G12/(E10/2)</f>
        <v>1.0548952610530014E-3</v>
      </c>
      <c r="AB23" s="8" t="s">
        <v>129</v>
      </c>
      <c r="AD23" s="7">
        <v>17</v>
      </c>
      <c r="AE23" s="5" t="s">
        <v>174</v>
      </c>
      <c r="AF23" s="5" t="s">
        <v>164</v>
      </c>
      <c r="AG23" s="5">
        <f>AG18/(3.142*(G28/2)^2)</f>
        <v>15880.140911392706</v>
      </c>
      <c r="AH23" s="8" t="s">
        <v>195</v>
      </c>
    </row>
    <row r="24" spans="1:34" ht="16.5" thickBot="1" x14ac:dyDescent="0.3">
      <c r="A24" s="1"/>
      <c r="B24" s="12">
        <v>18</v>
      </c>
      <c r="C24" s="6" t="s">
        <v>20</v>
      </c>
      <c r="D24" s="6" t="s">
        <v>46</v>
      </c>
      <c r="E24" s="6">
        <f>G24-273</f>
        <v>3768.559355393817</v>
      </c>
      <c r="F24" s="6" t="s">
        <v>62</v>
      </c>
      <c r="G24" s="6">
        <f>AA27</f>
        <v>4041.559355393817</v>
      </c>
      <c r="H24" s="13" t="s">
        <v>70</v>
      </c>
      <c r="I24" s="1"/>
      <c r="J24" s="1"/>
      <c r="K24" s="1"/>
      <c r="Q24" s="1"/>
      <c r="R24" s="1"/>
      <c r="S24" s="1"/>
      <c r="T24" s="1"/>
      <c r="U24" s="1"/>
      <c r="V24" s="1"/>
      <c r="W24" s="1"/>
      <c r="X24" s="7">
        <v>10</v>
      </c>
      <c r="Y24" s="5" t="s">
        <v>136</v>
      </c>
      <c r="Z24" s="5" t="s">
        <v>144</v>
      </c>
      <c r="AA24" s="5">
        <f>AA23*G8</f>
        <v>4.2195810442120056E-3</v>
      </c>
      <c r="AB24" s="8" t="s">
        <v>129</v>
      </c>
      <c r="AD24" s="7">
        <v>18</v>
      </c>
      <c r="AE24" s="5" t="s">
        <v>175</v>
      </c>
      <c r="AF24" s="5" t="s">
        <v>189</v>
      </c>
      <c r="AG24" s="5">
        <f>AG23/G8</f>
        <v>3970.0352278481764</v>
      </c>
      <c r="AH24" s="8" t="s">
        <v>196</v>
      </c>
    </row>
    <row r="25" spans="1:34" ht="16.5" thickBot="1" x14ac:dyDescent="0.3">
      <c r="A25" s="1"/>
      <c r="B25" s="12">
        <v>19</v>
      </c>
      <c r="C25" s="6" t="s">
        <v>21</v>
      </c>
      <c r="D25" s="6" t="s">
        <v>116</v>
      </c>
      <c r="E25" s="6"/>
      <c r="F25" s="6" t="s">
        <v>58</v>
      </c>
      <c r="G25" s="6">
        <f>AA28</f>
        <v>13341.794311674805</v>
      </c>
      <c r="H25" s="13" t="s">
        <v>59</v>
      </c>
      <c r="I25" s="1"/>
      <c r="J25" s="1"/>
      <c r="K25" s="32" t="s">
        <v>225</v>
      </c>
      <c r="L25" s="33"/>
      <c r="M25" s="33"/>
      <c r="N25" s="33"/>
      <c r="O25" s="33"/>
      <c r="P25" s="33"/>
      <c r="Q25" s="34"/>
      <c r="R25" s="1"/>
      <c r="S25" s="1"/>
      <c r="T25" s="1"/>
      <c r="U25" s="1"/>
      <c r="V25" s="1"/>
      <c r="W25" s="1"/>
      <c r="X25" s="7"/>
      <c r="Y25" s="5"/>
      <c r="Z25" s="5"/>
      <c r="AA25" s="5"/>
      <c r="AB25" s="8"/>
      <c r="AD25" s="7">
        <v>19</v>
      </c>
      <c r="AE25" s="5" t="s">
        <v>176</v>
      </c>
      <c r="AF25" s="5" t="s">
        <v>190</v>
      </c>
      <c r="AG25" s="5">
        <f>AG18/G9</f>
        <v>44967.479937322772</v>
      </c>
      <c r="AH25" s="8" t="s">
        <v>196</v>
      </c>
    </row>
    <row r="26" spans="1:34" ht="18.75" thickBot="1" x14ac:dyDescent="0.3">
      <c r="A26" s="1"/>
      <c r="B26" s="12">
        <v>20</v>
      </c>
      <c r="C26" s="6" t="s">
        <v>22</v>
      </c>
      <c r="D26" s="6" t="s">
        <v>47</v>
      </c>
      <c r="E26" s="6">
        <v>0</v>
      </c>
      <c r="F26" s="6" t="s">
        <v>56</v>
      </c>
      <c r="G26" s="6">
        <f>E26/100</f>
        <v>0</v>
      </c>
      <c r="H26" s="13"/>
      <c r="I26" s="1"/>
      <c r="J26" s="1"/>
      <c r="K26" s="35"/>
      <c r="L26" s="36"/>
      <c r="M26" s="36"/>
      <c r="N26" s="36"/>
      <c r="O26" s="36"/>
      <c r="P26" s="36"/>
      <c r="Q26" s="37"/>
      <c r="R26" s="1"/>
      <c r="S26" s="1"/>
      <c r="T26" s="1"/>
      <c r="U26" s="1"/>
      <c r="V26" s="1"/>
      <c r="W26" s="1"/>
      <c r="X26" s="27" t="s">
        <v>159</v>
      </c>
      <c r="Y26" s="28"/>
      <c r="Z26" s="28"/>
      <c r="AA26" s="28"/>
      <c r="AB26" s="29"/>
      <c r="AD26" s="7">
        <v>20</v>
      </c>
      <c r="AE26" s="5" t="s">
        <v>177</v>
      </c>
      <c r="AF26" s="5" t="s">
        <v>191</v>
      </c>
      <c r="AG26" s="5">
        <f>AA24/AG18</f>
        <v>5.213126673979363E-5</v>
      </c>
      <c r="AH26" s="8" t="s">
        <v>197</v>
      </c>
    </row>
    <row r="27" spans="1:34" ht="15.75" x14ac:dyDescent="0.25">
      <c r="A27" s="1"/>
      <c r="B27" s="12">
        <v>21</v>
      </c>
      <c r="C27" s="6" t="s">
        <v>117</v>
      </c>
      <c r="D27" s="6" t="s">
        <v>48</v>
      </c>
      <c r="E27" s="6">
        <f>G27*1000000</f>
        <v>48.913043478260875</v>
      </c>
      <c r="F27" s="6" t="s">
        <v>61</v>
      </c>
      <c r="G27" s="6">
        <f>S8</f>
        <v>4.8913043478260872E-5</v>
      </c>
      <c r="H27" s="13" t="s">
        <v>64</v>
      </c>
      <c r="I27" s="1"/>
      <c r="J27" s="1"/>
      <c r="K27" s="35"/>
      <c r="L27" s="36"/>
      <c r="M27" s="36"/>
      <c r="N27" s="36"/>
      <c r="O27" s="36"/>
      <c r="P27" s="36"/>
      <c r="Q27" s="37"/>
      <c r="R27" s="1"/>
      <c r="X27" s="7">
        <v>1</v>
      </c>
      <c r="Y27" s="5" t="s">
        <v>122</v>
      </c>
      <c r="Z27" s="5" t="s">
        <v>150</v>
      </c>
      <c r="AA27" s="5">
        <f>(AA30/(AA22*M8))+AA15</f>
        <v>4041.559355393817</v>
      </c>
      <c r="AB27" s="8" t="s">
        <v>70</v>
      </c>
      <c r="AD27" s="7">
        <v>21</v>
      </c>
      <c r="AE27" s="5" t="s">
        <v>178</v>
      </c>
      <c r="AF27" s="5" t="s">
        <v>192</v>
      </c>
      <c r="AG27" s="5">
        <f>AA19/(M10*S7)</f>
        <v>0.99331003865631018</v>
      </c>
      <c r="AH27" s="8"/>
    </row>
    <row r="28" spans="1:34" ht="15.75" x14ac:dyDescent="0.25">
      <c r="A28" s="1"/>
      <c r="B28" s="12">
        <v>22</v>
      </c>
      <c r="C28" s="6" t="s">
        <v>23</v>
      </c>
      <c r="D28" s="6" t="s">
        <v>51</v>
      </c>
      <c r="E28" s="6">
        <f>((4*S7)/(3.142*E16))^(1/3)*100</f>
        <v>8.0553656130358</v>
      </c>
      <c r="F28" s="6" t="s">
        <v>65</v>
      </c>
      <c r="G28" s="6">
        <f>E28/100</f>
        <v>8.0553656130358003E-2</v>
      </c>
      <c r="H28" s="13" t="s">
        <v>71</v>
      </c>
      <c r="I28" s="1"/>
      <c r="J28" s="1"/>
      <c r="K28" s="35"/>
      <c r="L28" s="36"/>
      <c r="M28" s="36"/>
      <c r="N28" s="36"/>
      <c r="O28" s="36"/>
      <c r="P28" s="36"/>
      <c r="Q28" s="37"/>
      <c r="X28" s="7">
        <v>2</v>
      </c>
      <c r="Y28" s="5" t="s">
        <v>121</v>
      </c>
      <c r="Z28" s="5" t="s">
        <v>151</v>
      </c>
      <c r="AA28" s="5">
        <f>AA16*(AA27/AA15)</f>
        <v>13341.794311674805</v>
      </c>
      <c r="AB28" s="8" t="s">
        <v>59</v>
      </c>
      <c r="AD28" s="7">
        <v>22</v>
      </c>
      <c r="AE28" s="5" t="s">
        <v>179</v>
      </c>
      <c r="AF28" s="5" t="s">
        <v>193</v>
      </c>
      <c r="AG28" s="5">
        <f>1-(AA33-AA10)/(AA27-AA15)</f>
        <v>0.60503380029761988</v>
      </c>
      <c r="AH28" s="8"/>
    </row>
    <row r="29" spans="1:34" ht="15.75" x14ac:dyDescent="0.25">
      <c r="A29" s="1"/>
      <c r="B29" s="12">
        <v>23</v>
      </c>
      <c r="C29" s="6" t="s">
        <v>24</v>
      </c>
      <c r="D29" s="6" t="s">
        <v>52</v>
      </c>
      <c r="E29" s="6">
        <f>E16*E28</f>
        <v>8.8286807118872375</v>
      </c>
      <c r="F29" s="6" t="s">
        <v>65</v>
      </c>
      <c r="G29" s="6">
        <f>E29/100</f>
        <v>8.8286807118872379E-2</v>
      </c>
      <c r="H29" s="13" t="s">
        <v>71</v>
      </c>
      <c r="I29" s="1"/>
      <c r="J29" s="1"/>
      <c r="K29" s="35"/>
      <c r="L29" s="36"/>
      <c r="M29" s="36"/>
      <c r="N29" s="36"/>
      <c r="O29" s="36"/>
      <c r="P29" s="36"/>
      <c r="Q29" s="37"/>
      <c r="X29" s="7">
        <v>3</v>
      </c>
      <c r="Y29" s="5" t="s">
        <v>148</v>
      </c>
      <c r="Z29" s="5" t="s">
        <v>152</v>
      </c>
      <c r="AA29" s="5">
        <f>AA17</f>
        <v>4.8913043478260872E-5</v>
      </c>
      <c r="AB29" s="8" t="s">
        <v>64</v>
      </c>
      <c r="AD29" s="7">
        <v>23</v>
      </c>
      <c r="AE29" s="5" t="s">
        <v>205</v>
      </c>
      <c r="AF29" s="5" t="s">
        <v>206</v>
      </c>
      <c r="AG29" s="5">
        <f>2*S11*G13</f>
        <v>15.303046567271213</v>
      </c>
      <c r="AH29" s="8" t="s">
        <v>110</v>
      </c>
    </row>
    <row r="30" spans="1:34" ht="15.75" x14ac:dyDescent="0.25">
      <c r="A30" s="1"/>
      <c r="B30" s="12">
        <v>24</v>
      </c>
      <c r="C30" s="6" t="s">
        <v>25</v>
      </c>
      <c r="D30" s="6" t="s">
        <v>34</v>
      </c>
      <c r="E30" s="6">
        <v>16.600000000000001</v>
      </c>
      <c r="F30" s="6" t="s">
        <v>61</v>
      </c>
      <c r="G30" s="6">
        <f>E30/100</f>
        <v>0.16600000000000001</v>
      </c>
      <c r="H30" s="13" t="s">
        <v>71</v>
      </c>
      <c r="I30" s="1"/>
      <c r="J30" s="1"/>
      <c r="K30" s="35"/>
      <c r="L30" s="36"/>
      <c r="M30" s="36"/>
      <c r="N30" s="36"/>
      <c r="O30" s="36"/>
      <c r="P30" s="36"/>
      <c r="Q30" s="37"/>
      <c r="X30" s="7">
        <v>4</v>
      </c>
      <c r="Y30" s="5" t="s">
        <v>149</v>
      </c>
      <c r="Z30" s="5" t="s">
        <v>153</v>
      </c>
      <c r="AA30" s="5">
        <f xml:space="preserve"> M11*G18*AA20</f>
        <v>1.5007643247247366</v>
      </c>
      <c r="AB30" s="8" t="s">
        <v>157</v>
      </c>
      <c r="AD30" s="7">
        <v>24</v>
      </c>
      <c r="AE30" s="5" t="s">
        <v>207</v>
      </c>
      <c r="AF30" s="5" t="s">
        <v>211</v>
      </c>
      <c r="AG30" s="5">
        <f>AG10*G13/(2/G8)</f>
        <v>137.54758569063438</v>
      </c>
      <c r="AH30" s="8" t="s">
        <v>67</v>
      </c>
    </row>
    <row r="31" spans="1:34" ht="16.5" thickBot="1" x14ac:dyDescent="0.3">
      <c r="A31" s="1"/>
      <c r="B31" s="12">
        <v>25</v>
      </c>
      <c r="C31" s="6" t="s">
        <v>26</v>
      </c>
      <c r="D31" s="6" t="s">
        <v>49</v>
      </c>
      <c r="E31" s="6">
        <v>105</v>
      </c>
      <c r="F31" s="6" t="s">
        <v>66</v>
      </c>
      <c r="G31" s="6">
        <f>E31</f>
        <v>105</v>
      </c>
      <c r="H31" s="13" t="s">
        <v>66</v>
      </c>
      <c r="I31" s="1"/>
      <c r="J31" s="1"/>
      <c r="K31" s="35"/>
      <c r="L31" s="36"/>
      <c r="M31" s="36"/>
      <c r="N31" s="36"/>
      <c r="O31" s="36"/>
      <c r="P31" s="36"/>
      <c r="Q31" s="37"/>
      <c r="X31" s="7"/>
      <c r="Y31" s="5"/>
      <c r="Z31" s="5"/>
      <c r="AA31" s="5"/>
      <c r="AB31" s="8"/>
      <c r="AD31" s="7">
        <v>25</v>
      </c>
      <c r="AE31" s="5" t="s">
        <v>208</v>
      </c>
      <c r="AF31" s="5" t="s">
        <v>212</v>
      </c>
      <c r="AG31" s="5">
        <f>AG30*G15</f>
        <v>116.91544783703922</v>
      </c>
      <c r="AH31" s="8" t="s">
        <v>67</v>
      </c>
    </row>
    <row r="32" spans="1:34" ht="18.75" thickBot="1" x14ac:dyDescent="0.3">
      <c r="A32" s="1"/>
      <c r="B32" s="14">
        <v>26</v>
      </c>
      <c r="C32" s="15" t="s">
        <v>27</v>
      </c>
      <c r="D32" s="15" t="s">
        <v>50</v>
      </c>
      <c r="E32" s="15">
        <v>71</v>
      </c>
      <c r="F32" s="15" t="s">
        <v>67</v>
      </c>
      <c r="G32" s="15">
        <f>E32*1000</f>
        <v>71000</v>
      </c>
      <c r="H32" s="16" t="s">
        <v>72</v>
      </c>
      <c r="I32" s="1"/>
      <c r="J32" s="1"/>
      <c r="K32" s="38"/>
      <c r="L32" s="39"/>
      <c r="M32" s="39"/>
      <c r="N32" s="39"/>
      <c r="O32" s="39"/>
      <c r="P32" s="39"/>
      <c r="Q32" s="40"/>
      <c r="X32" s="27" t="s">
        <v>160</v>
      </c>
      <c r="Y32" s="28"/>
      <c r="Z32" s="28"/>
      <c r="AA32" s="28"/>
      <c r="AB32" s="29"/>
      <c r="AD32" s="7">
        <v>26</v>
      </c>
      <c r="AE32" s="5" t="s">
        <v>209</v>
      </c>
      <c r="AF32" s="5" t="s">
        <v>213</v>
      </c>
      <c r="AG32" s="5">
        <f>AG31/(2*3.142*G13)</f>
        <v>0.2146760659006498</v>
      </c>
      <c r="AH32" s="8" t="s">
        <v>194</v>
      </c>
    </row>
    <row r="33" spans="1:34" ht="16.5" thickBot="1" x14ac:dyDescent="0.3">
      <c r="A33" s="1"/>
      <c r="I33" s="1"/>
      <c r="J33" s="1"/>
      <c r="K33" s="1"/>
      <c r="Q33" s="1"/>
      <c r="X33" s="7">
        <v>1</v>
      </c>
      <c r="Y33" s="5" t="s">
        <v>122</v>
      </c>
      <c r="Z33" s="5" t="s">
        <v>154</v>
      </c>
      <c r="AA33" s="5">
        <f>AA27*(1/E14)^(M14-1)</f>
        <v>1596.2793394714968</v>
      </c>
      <c r="AB33" s="8" t="s">
        <v>70</v>
      </c>
      <c r="AD33" s="9">
        <v>27</v>
      </c>
      <c r="AE33" s="10" t="s">
        <v>210</v>
      </c>
      <c r="AF33" s="10" t="s">
        <v>214</v>
      </c>
      <c r="AG33" s="10">
        <f>AG30-AG31</f>
        <v>20.632137853595154</v>
      </c>
      <c r="AH33" s="11" t="s">
        <v>67</v>
      </c>
    </row>
    <row r="34" spans="1:34" ht="15.75" x14ac:dyDescent="0.25">
      <c r="A34" s="1"/>
      <c r="I34" s="1"/>
      <c r="J34" s="1"/>
      <c r="K34" s="1"/>
      <c r="Q34" s="1"/>
      <c r="X34" s="7">
        <v>2</v>
      </c>
      <c r="Y34" s="5" t="s">
        <v>121</v>
      </c>
      <c r="Z34" s="5" t="s">
        <v>155</v>
      </c>
      <c r="AA34" s="5">
        <f>AA28*(1/E14)^M14</f>
        <v>516.62331338166973</v>
      </c>
      <c r="AB34" s="8" t="s">
        <v>59</v>
      </c>
    </row>
    <row r="35" spans="1:34" ht="15.75" x14ac:dyDescent="0.25">
      <c r="A35" s="1"/>
      <c r="B35" s="1"/>
      <c r="C35" s="1"/>
      <c r="D35" s="1"/>
      <c r="E35" s="1"/>
      <c r="F35" s="1"/>
      <c r="G35" s="1"/>
      <c r="H35" s="1"/>
      <c r="I35" s="1"/>
      <c r="J35" s="1"/>
      <c r="K35" s="1"/>
      <c r="Q35" s="1"/>
      <c r="X35" s="7">
        <v>3</v>
      </c>
      <c r="Y35" s="5" t="s">
        <v>148</v>
      </c>
      <c r="Z35" s="5" t="s">
        <v>156</v>
      </c>
      <c r="AA35" s="5">
        <f xml:space="preserve"> AA12*M7*(AA33/AA34)</f>
        <v>4.9891304347826084E-4</v>
      </c>
      <c r="AB35" s="8" t="s">
        <v>64</v>
      </c>
    </row>
    <row r="36" spans="1:34" ht="16.5" thickBot="1" x14ac:dyDescent="0.3">
      <c r="A36" s="1"/>
      <c r="B36" s="1"/>
      <c r="C36" s="1"/>
      <c r="D36" s="1"/>
      <c r="E36" s="1"/>
      <c r="F36" s="1"/>
      <c r="G36" s="1"/>
      <c r="H36" s="1"/>
      <c r="I36" s="1"/>
      <c r="J36" s="1"/>
      <c r="K36" s="1"/>
      <c r="Q36" s="1"/>
      <c r="X36" s="23"/>
      <c r="Y36" s="4"/>
      <c r="Z36" s="4"/>
      <c r="AA36" s="4"/>
      <c r="AB36" s="24"/>
    </row>
    <row r="37" spans="1:34" ht="18.75" thickBot="1" x14ac:dyDescent="0.3">
      <c r="A37" s="1"/>
      <c r="B37" s="1"/>
      <c r="C37" s="1"/>
      <c r="D37" s="1"/>
      <c r="E37" s="1"/>
      <c r="F37" s="1"/>
      <c r="G37" s="1"/>
      <c r="H37" s="1"/>
      <c r="I37" s="1"/>
      <c r="J37" s="1"/>
      <c r="K37" s="1"/>
      <c r="Q37" s="1"/>
      <c r="X37" s="27" t="s">
        <v>217</v>
      </c>
      <c r="Y37" s="28"/>
      <c r="Z37" s="28"/>
      <c r="AA37" s="28"/>
      <c r="AB37" s="29"/>
    </row>
    <row r="38" spans="1:34" ht="15.75" x14ac:dyDescent="0.25">
      <c r="A38" s="1"/>
      <c r="B38" s="1"/>
      <c r="C38" s="1"/>
      <c r="D38" s="1"/>
      <c r="E38" s="1"/>
      <c r="F38" s="1"/>
      <c r="G38" s="1"/>
      <c r="H38" s="1"/>
      <c r="I38" s="1"/>
      <c r="J38" s="1"/>
      <c r="K38" s="1"/>
      <c r="L38" s="1"/>
      <c r="M38" s="1"/>
      <c r="N38" s="1"/>
      <c r="O38" s="1"/>
      <c r="P38" s="1"/>
      <c r="Q38" s="1"/>
      <c r="X38" s="7">
        <v>1</v>
      </c>
      <c r="Y38" s="5" t="s">
        <v>215</v>
      </c>
      <c r="Z38" s="5" t="s">
        <v>216</v>
      </c>
      <c r="AA38" s="5">
        <f>M16</f>
        <v>101.3</v>
      </c>
      <c r="AB38" s="24" t="s">
        <v>59</v>
      </c>
    </row>
    <row r="39" spans="1:34" ht="15.75" x14ac:dyDescent="0.25">
      <c r="A39" s="1"/>
      <c r="B39" s="1"/>
      <c r="C39" s="1"/>
      <c r="D39" s="1"/>
      <c r="E39" s="1"/>
      <c r="F39" s="1"/>
      <c r="G39" s="1"/>
      <c r="H39" s="1"/>
      <c r="I39" s="1"/>
      <c r="J39" s="1"/>
      <c r="K39" s="1"/>
      <c r="L39" s="1"/>
      <c r="M39" s="1"/>
      <c r="N39" s="1"/>
      <c r="O39" s="1"/>
      <c r="P39" s="1"/>
      <c r="Q39" s="1"/>
      <c r="X39" s="7">
        <v>2</v>
      </c>
      <c r="Y39" s="5" t="s">
        <v>218</v>
      </c>
      <c r="Z39" s="4" t="s">
        <v>219</v>
      </c>
      <c r="AA39" s="4">
        <f>AA27*(AA38/AA28)^((M14-1)/M14)</f>
        <v>1002.1842914301449</v>
      </c>
      <c r="AB39" s="24" t="s">
        <v>70</v>
      </c>
    </row>
    <row r="40" spans="1:34" ht="15.75" x14ac:dyDescent="0.25">
      <c r="A40" s="1"/>
      <c r="B40" s="1"/>
      <c r="C40" s="1"/>
      <c r="D40" s="1"/>
      <c r="E40" s="1"/>
      <c r="F40" s="1"/>
      <c r="G40" s="1"/>
      <c r="H40" s="1"/>
      <c r="I40" s="1"/>
      <c r="Q40" s="1"/>
      <c r="X40" s="7">
        <v>3</v>
      </c>
      <c r="Y40" s="5" t="s">
        <v>220</v>
      </c>
      <c r="Z40" s="4" t="s">
        <v>221</v>
      </c>
      <c r="AA40" s="4">
        <f>(1/G14)*(AA33/AA39)*AA38/AA34</f>
        <v>3.0619392832443776E-2</v>
      </c>
      <c r="AB40" s="24"/>
    </row>
    <row r="41" spans="1:34" ht="15.75" x14ac:dyDescent="0.25">
      <c r="A41" s="1"/>
      <c r="I41" s="1"/>
      <c r="Q41" s="1"/>
      <c r="X41" s="7">
        <v>4</v>
      </c>
      <c r="Y41" s="5" t="s">
        <v>222</v>
      </c>
      <c r="Z41" s="4" t="s">
        <v>223</v>
      </c>
      <c r="AA41" s="4">
        <f>(AA10-AA40*AA39)/(1-AA40)</f>
        <v>291.23104320715845</v>
      </c>
      <c r="AB41" s="24"/>
    </row>
    <row r="42" spans="1:34" ht="16.5" thickBot="1" x14ac:dyDescent="0.3">
      <c r="A42" s="1"/>
      <c r="I42" s="1"/>
      <c r="Q42" s="1"/>
      <c r="X42" s="9"/>
      <c r="Y42" s="10"/>
      <c r="Z42" s="25"/>
      <c r="AA42" s="25"/>
      <c r="AB42" s="26"/>
    </row>
    <row r="43" spans="1:34" ht="15.75" x14ac:dyDescent="0.25">
      <c r="A43" s="1"/>
      <c r="I43" s="1"/>
      <c r="Q43" s="1"/>
      <c r="X43" s="1"/>
      <c r="Y43" s="1"/>
    </row>
  </sheetData>
  <mergeCells count="12">
    <mergeCell ref="AD2:AH5"/>
    <mergeCell ref="X14:AB14"/>
    <mergeCell ref="X26:AB26"/>
    <mergeCell ref="X32:AB32"/>
    <mergeCell ref="X8:AB8"/>
    <mergeCell ref="X2:AB5"/>
    <mergeCell ref="X37:AB37"/>
    <mergeCell ref="D7:H7"/>
    <mergeCell ref="K25:Q32"/>
    <mergeCell ref="B2:H5"/>
    <mergeCell ref="J2:N5"/>
    <mergeCell ref="P2:V5"/>
  </mergeCells>
  <phoneticPr fontId="8" type="noConversion"/>
  <pageMargins left="0.7" right="0.7" top="0.75" bottom="0.75" header="0.3" footer="0.3"/>
  <ignoredErrors>
    <ignoredError sqref="G9 G15 G21 G18 G2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Aziz ur Rehman</dc:creator>
  <cp:lastModifiedBy>Aziz ur Rehman</cp:lastModifiedBy>
  <dcterms:created xsi:type="dcterms:W3CDTF">2023-12-03T11:53:17Z</dcterms:created>
  <dcterms:modified xsi:type="dcterms:W3CDTF">2024-10-04T10:26:38Z</dcterms:modified>
</cp:coreProperties>
</file>