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115 AR\"/>
    </mc:Choice>
  </mc:AlternateContent>
  <xr:revisionPtr revIDLastSave="0" documentId="13_ncr:1_{325CCD40-10BF-4E4D-BE1C-EC7087261518}" xr6:coauthVersionLast="47" xr6:coauthVersionMax="47" xr10:uidLastSave="{00000000-0000-0000-0000-000000000000}"/>
  <bookViews>
    <workbookView xWindow="-110" yWindow="-110" windowWidth="19420" windowHeight="10300" xr2:uid="{F73AB753-5E42-4249-8B1E-C003C6AA4375}"/>
  </bookViews>
  <sheets>
    <sheet name="N115 AR 1" sheetId="1" r:id="rId1"/>
    <sheet name="N115 AR 2" sheetId="2" r:id="rId2"/>
    <sheet name="N115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3" l="1"/>
  <c r="P31" i="3"/>
  <c r="Q17" i="3"/>
  <c r="Q16" i="3"/>
  <c r="Q15" i="3"/>
  <c r="Q19" i="3" s="1"/>
  <c r="Q17" i="2"/>
  <c r="Q16" i="2"/>
  <c r="Q19" i="2" s="1"/>
  <c r="Q15" i="2"/>
  <c r="Q19" i="1"/>
  <c r="Q17" i="1"/>
  <c r="Q16" i="1"/>
  <c r="Q15" i="1"/>
  <c r="D17" i="3"/>
  <c r="D16" i="3"/>
  <c r="D15" i="3"/>
  <c r="D15" i="2"/>
  <c r="D16" i="2"/>
  <c r="D17" i="2"/>
  <c r="D16" i="1"/>
  <c r="D17" i="1"/>
  <c r="D15" i="1"/>
  <c r="O32" i="3"/>
  <c r="O31" i="3"/>
  <c r="I17" i="3"/>
  <c r="J17" i="3" s="1"/>
  <c r="K17" i="3" s="1"/>
  <c r="I16" i="3"/>
  <c r="J16" i="3" s="1"/>
  <c r="K16" i="3" s="1"/>
  <c r="I15" i="3"/>
  <c r="J15" i="3" s="1"/>
  <c r="K15" i="3" s="1"/>
  <c r="F10" i="3"/>
  <c r="E4" i="3"/>
  <c r="E5" i="3" s="1"/>
  <c r="I17" i="2"/>
  <c r="J17" i="2" s="1"/>
  <c r="K17" i="2" s="1"/>
  <c r="I16" i="2"/>
  <c r="J16" i="2" s="1"/>
  <c r="K16" i="2" s="1"/>
  <c r="I15" i="2"/>
  <c r="J15" i="2" s="1"/>
  <c r="K15" i="2" s="1"/>
  <c r="F10" i="2"/>
  <c r="E5" i="2"/>
  <c r="E4" i="2"/>
  <c r="I15" i="1"/>
  <c r="J15" i="1" s="1"/>
  <c r="K15" i="1" s="1"/>
  <c r="M15" i="3" l="1"/>
  <c r="N15" i="3" s="1"/>
  <c r="O15" i="3" s="1"/>
  <c r="L15" i="3"/>
  <c r="M16" i="3" s="1"/>
  <c r="N16" i="3" s="1"/>
  <c r="O16" i="3" s="1"/>
  <c r="L16" i="3"/>
  <c r="L17" i="3"/>
  <c r="L16" i="2"/>
  <c r="L17" i="2"/>
  <c r="L15" i="2"/>
  <c r="M15" i="2"/>
  <c r="N15" i="2" s="1"/>
  <c r="O15" i="2" s="1"/>
  <c r="M15" i="1"/>
  <c r="N15" i="1" s="1"/>
  <c r="L15" i="1"/>
  <c r="I16" i="1"/>
  <c r="M16" i="2" l="1"/>
  <c r="N16" i="2" s="1"/>
  <c r="O16" i="2" s="1"/>
  <c r="M17" i="3"/>
  <c r="N17" i="3" s="1"/>
  <c r="O17" i="3" s="1"/>
  <c r="O22" i="3" s="1"/>
  <c r="J16" i="1"/>
  <c r="K16" i="1" s="1"/>
  <c r="I17" i="1"/>
  <c r="J17" i="1" s="1"/>
  <c r="K17" i="1" s="1"/>
  <c r="F10" i="1"/>
  <c r="O15" i="1" s="1"/>
  <c r="E4" i="1"/>
  <c r="E5" i="1" s="1"/>
  <c r="M17" i="2" l="1"/>
  <c r="N17" i="2" s="1"/>
  <c r="O17" i="2" s="1"/>
  <c r="O22" i="2" s="1"/>
  <c r="O24" i="2" s="1"/>
  <c r="Q24" i="2" s="1"/>
  <c r="O24" i="3"/>
  <c r="Q24" i="3" s="1"/>
  <c r="Q22" i="3"/>
  <c r="L17" i="1"/>
  <c r="L16" i="1"/>
  <c r="Q22" i="2" l="1"/>
  <c r="M16" i="1"/>
  <c r="N16" i="1" s="1"/>
  <c r="O16" i="1" s="1"/>
  <c r="M17" i="1" l="1"/>
  <c r="N17" i="1" l="1"/>
  <c r="O17" i="1" s="1"/>
  <c r="O22" i="1" s="1"/>
  <c r="Q22" i="1" s="1"/>
  <c r="O24" i="1" l="1"/>
  <c r="Q24" i="1" s="1"/>
</calcChain>
</file>

<file path=xl/sharedStrings.xml><?xml version="1.0" encoding="utf-8"?>
<sst xmlns="http://schemas.openxmlformats.org/spreadsheetml/2006/main" count="193" uniqueCount="63">
  <si>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</si>
  <si>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</si>
  <si>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</si>
  <si>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</si>
  <si>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</si>
  <si>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</si>
  <si>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</si>
  <si>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</si>
  <si>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</si>
  <si>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</si>
  <si>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</si>
  <si>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</si>
  <si>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</si>
  <si>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</si>
  <si>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</si>
  <si>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</si>
  <si>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</si>
  <si>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</si>
  <si>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</si>
  <si>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</si>
  <si>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</si>
  <si>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</si>
  <si>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</si>
  <si>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</si>
  <si>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</si>
  <si>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</si>
  <si>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</si>
  <si>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</si>
  <si>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</si>
  <si>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</si>
  <si>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</si>
  <si>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</si>
  <si>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</si>
  <si>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</si>
  <si>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</si>
  <si>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</si>
  <si>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</si>
  <si>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</si>
  <si>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</si>
  <si>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</si>
  <si>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</si>
  <si>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</si>
  <si>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</si>
  <si>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</si>
  <si>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</si>
  <si>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</si>
  <si>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</si>
  <si>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</si>
  <si>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</si>
  <si>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</si>
  <si>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</si>
  <si>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</si>
  <si>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</si>
  <si>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</si>
  <si>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</si>
  <si>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</si>
  <si>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2023 apr</t>
  </si>
  <si>
    <t>328 nm</t>
  </si>
  <si>
    <t>AVG</t>
  </si>
  <si>
    <t>STD</t>
  </si>
  <si>
    <t>N115</t>
  </si>
  <si>
    <t>flux</t>
  </si>
  <si>
    <t>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</si>
</sst>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'N115 AR 1'!$D$15:$D$17</c:f>
              <c:numCache>
                <c:formatCode>General</c:formatCode>
                <c:ptCount val="3"/>
                <c:pt idx="0">
                  <c:v>4698</c:v>
                </c:pt>
                <c:pt idx="1">
                  <c:v>7490</c:v>
                </c:pt>
                <c:pt idx="2">
                  <c:v>10325</c:v>
                </c:pt>
              </c:numCache>
            </c:numRef>
          </c:xVal>
          <c:yVal>
            <c:numRef>
              <c:f>'N115 AR 1'!$O$15:$O$17</c:f>
              <c:numCache>
                <c:formatCode>General</c:formatCode>
                <c:ptCount val="3"/>
                <c:pt idx="0">
                  <c:v>7.4820845612775242E-5</c:v>
                </c:pt>
                <c:pt idx="1">
                  <c:v>1.1393138976040249E-4</c:v>
                </c:pt>
                <c:pt idx="2">
                  <c:v>1.5534267815978759E-4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'N115 AR 2'!$D$15:$D$17</c:f>
              <c:numCache>
                <c:formatCode>General</c:formatCode>
                <c:ptCount val="3"/>
                <c:pt idx="0">
                  <c:v>4682</c:v>
                </c:pt>
                <c:pt idx="1">
                  <c:v>7474</c:v>
                </c:pt>
                <c:pt idx="2">
                  <c:v>10313</c:v>
                </c:pt>
              </c:numCache>
            </c:numRef>
          </c:xVal>
          <c:yVal>
            <c:numRef>
              <c:f>'N115 AR 2'!$O$15:$O$17</c:f>
              <c:numCache>
                <c:formatCode>General</c:formatCode>
                <c:ptCount val="3"/>
                <c:pt idx="0">
                  <c:v>6.7695421049557004E-5</c:v>
                </c:pt>
                <c:pt idx="1">
                  <c:v>1.0204919589056057E-4</c:v>
                </c:pt>
                <c:pt idx="2">
                  <c:v>1.3921630640896708E-4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'N115 AR 3'!$D$15:$D$17</c:f>
              <c:numCache>
                <c:formatCode>General</c:formatCode>
                <c:ptCount val="3"/>
                <c:pt idx="0">
                  <c:v>4667</c:v>
                </c:pt>
                <c:pt idx="1">
                  <c:v>7399</c:v>
                </c:pt>
                <c:pt idx="2">
                  <c:v>10301</c:v>
                </c:pt>
              </c:numCache>
            </c:numRef>
          </c:xVal>
          <c:yVal>
            <c:numRef>
              <c:f>'N115 AR 3'!$O$15:$O$17</c:f>
              <c:numCache>
                <c:formatCode>General</c:formatCode>
                <c:ptCount val="3"/>
                <c:pt idx="0">
                  <c:v>7.4308535368133242E-5</c:v>
                </c:pt>
                <c:pt idx="1">
                  <c:v>1.1252042962132662E-4</c:v>
                </c:pt>
                <c:pt idx="2">
                  <c:v>1.5332140015014156E-4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tabSelected="1" topLeftCell="I9" zoomScale="115" zoomScaleNormal="115" workbookViewId="0">
      <selection activeCell="Q15" sqref="Q15: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57</v>
      </c>
      <c r="E9" s="32" t="s">
        <v>15</v>
      </c>
      <c r="F9" s="8">
        <v>125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1.2500000000000001E-2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44</v>
      </c>
      <c r="B11" s="29"/>
      <c r="C11" s="29" t="s">
        <v>60</v>
      </c>
      <c r="D11" s="9" t="s">
        <v>56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3</v>
      </c>
      <c r="B15" s="27">
        <v>6</v>
      </c>
      <c r="C15" s="12">
        <v>18</v>
      </c>
      <c r="D15" s="12">
        <f xml:space="preserve"> A15*24*60+B15*60+C15</f>
        <v>4698</v>
      </c>
      <c r="E15" s="12">
        <v>2000</v>
      </c>
      <c r="F15" s="12">
        <v>2000</v>
      </c>
      <c r="G15" s="12"/>
      <c r="H15" s="8">
        <v>0.55854415899999998</v>
      </c>
      <c r="I15" s="12">
        <f>H15/($B$9)</f>
        <v>118.33562690677965</v>
      </c>
      <c r="J15" s="13">
        <f>I15/(10^6)</f>
        <v>1.1833562690677965E-4</v>
      </c>
      <c r="K15" s="14">
        <f>J15*F15/E15</f>
        <v>1.1833562690677965E-4</v>
      </c>
      <c r="L15" s="14">
        <f>K15*($E$6-($E15/1000))/$E$6</f>
        <v>9.4668501525423712E-5</v>
      </c>
      <c r="M15" s="14">
        <f>(K15-L14)+M14</f>
        <v>1.1833562690677965E-4</v>
      </c>
      <c r="N15" s="13">
        <f>LN(1-2*M15/$E$7)</f>
        <v>-2.3695176290245258E-3</v>
      </c>
      <c r="O15" s="12">
        <f>-N15*$E$6*$F$10/(2*$E$5)</f>
        <v>7.4820845612775242E-5</v>
      </c>
      <c r="Q15" s="14">
        <f xml:space="preserve"> (M15*0.01)/($E$5*(D15*60))</f>
        <v>2.1209669626790408E-12</v>
      </c>
    </row>
    <row r="16" spans="1:18" s="8" customFormat="1" x14ac:dyDescent="0.35">
      <c r="A16" s="12">
        <v>5</v>
      </c>
      <c r="B16" s="12">
        <v>4</v>
      </c>
      <c r="C16" s="12">
        <v>50</v>
      </c>
      <c r="D16" s="12">
        <f t="shared" ref="D16:D17" si="0" xml:space="preserve"> A16*24*60+B16*60+C16</f>
        <v>7490</v>
      </c>
      <c r="E16" s="12">
        <v>2000</v>
      </c>
      <c r="F16" s="12">
        <v>2000</v>
      </c>
      <c r="G16" s="12"/>
      <c r="H16" s="8">
        <v>0.73827266693115301</v>
      </c>
      <c r="I16" s="12">
        <f>H16/($B$9)</f>
        <v>156.413700621007</v>
      </c>
      <c r="J16" s="13">
        <f t="shared" ref="J16:J17" si="1">I16/(10^6)</f>
        <v>1.5641370062100701E-4</v>
      </c>
      <c r="K16" s="14">
        <f t="shared" ref="K16" si="2">J16*F16/E16</f>
        <v>1.5641370062100701E-4</v>
      </c>
      <c r="L16" s="14">
        <f>K16*($E$6-($E16/1000))/$E$6</f>
        <v>1.2513096049680562E-4</v>
      </c>
      <c r="M16" s="14">
        <f>(K16-L15)+M15</f>
        <v>1.8008082600236294E-4</v>
      </c>
      <c r="N16" s="13">
        <f t="shared" ref="N16:N17" si="3">LN(1-2*M16/$E$7)</f>
        <v>-3.6081179559730001E-3</v>
      </c>
      <c r="O16" s="12">
        <f t="shared" ref="O16:O17" si="4">-N16*$E$6*$F$10/(2*$E$5)</f>
        <v>1.1393138976040249E-4</v>
      </c>
      <c r="Q16" s="14">
        <f xml:space="preserve"> (M16*0.01-M15*0.01)/($E$5*(D16*60-D15*60))</f>
        <v>1.8621693822316515E-12</v>
      </c>
    </row>
    <row r="17" spans="1:23" s="8" customFormat="1" x14ac:dyDescent="0.35">
      <c r="A17" s="12">
        <v>7</v>
      </c>
      <c r="B17" s="12">
        <v>4</v>
      </c>
      <c r="C17" s="12">
        <v>5</v>
      </c>
      <c r="D17" s="12">
        <f t="shared" si="0"/>
        <v>10325</v>
      </c>
      <c r="E17" s="12">
        <v>2000</v>
      </c>
      <c r="F17" s="12">
        <v>2000</v>
      </c>
      <c r="G17" s="12"/>
      <c r="H17" s="8">
        <v>0.89880657200000003</v>
      </c>
      <c r="I17" s="12">
        <f t="shared" ref="I17" si="5">H17/($B$9)</f>
        <v>190.42512118644066</v>
      </c>
      <c r="J17" s="13">
        <f t="shared" si="1"/>
        <v>1.9042512118644066E-4</v>
      </c>
      <c r="K17" s="8">
        <f>J17*F17/E17</f>
        <v>1.9042512118644066E-4</v>
      </c>
      <c r="L17" s="14">
        <f>K17*($E$6-($E17/1000))/$E$6</f>
        <v>1.5234009694915253E-4</v>
      </c>
      <c r="M17" s="14">
        <f t="shared" ref="M17" si="6">(K17-L16)+M16</f>
        <v>2.4537498669199799E-4</v>
      </c>
      <c r="N17" s="13">
        <f t="shared" si="3"/>
        <v>-4.9195810529124931E-3</v>
      </c>
      <c r="O17" s="12">
        <f t="shared" si="4"/>
        <v>1.5534267815978759E-4</v>
      </c>
      <c r="Q17" s="14">
        <f xml:space="preserve"> (M17*0.01-M16*0.01)/($E$5*(D17*60-D16*60))</f>
        <v>1.9393343094950233E-12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46</v>
      </c>
      <c r="F19" s="1"/>
      <c r="G19" s="21"/>
      <c r="I19" s="34" t="s">
        <v>48</v>
      </c>
      <c r="J19" s="22"/>
      <c r="K19" s="35" t="s">
        <v>51</v>
      </c>
      <c r="L19" s="36" t="s">
        <v>52</v>
      </c>
      <c r="M19" s="37" t="s">
        <v>54</v>
      </c>
      <c r="O19" s="1"/>
      <c r="Q19" s="21">
        <f xml:space="preserve"> AVERAGE(Q15:Q17)</f>
        <v>1.9741568848019052E-12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47</v>
      </c>
      <c r="F20" s="1"/>
      <c r="G20" s="21"/>
      <c r="I20" s="34" t="s">
        <v>49</v>
      </c>
      <c r="J20" s="22"/>
      <c r="K20" s="33" t="s">
        <v>50</v>
      </c>
      <c r="L20" s="33" t="s">
        <v>53</v>
      </c>
      <c r="M20" s="33" t="s">
        <v>55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1.431066743071899E-8</v>
      </c>
      <c r="P22" s="38" t="s">
        <v>31</v>
      </c>
      <c r="Q22" s="39">
        <f>O22/60</f>
        <v>2.3851112384531649E-10</v>
      </c>
      <c r="R22" s="40" t="s">
        <v>32</v>
      </c>
    </row>
    <row r="23" spans="1:23" ht="16.5" x14ac:dyDescent="0.35">
      <c r="C23" s="1"/>
      <c r="D23" s="1"/>
      <c r="N23" s="41" t="s">
        <v>45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3.6349095274026201E-10</v>
      </c>
      <c r="P24" s="44" t="s">
        <v>31</v>
      </c>
      <c r="Q24" s="44">
        <f>O24/60</f>
        <v>6.0581825456710333E-12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topLeftCell="E1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57</v>
      </c>
      <c r="E9" s="32" t="s">
        <v>15</v>
      </c>
      <c r="F9" s="8">
        <v>125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1.2500000000000001E-2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44</v>
      </c>
      <c r="B11" s="29"/>
      <c r="C11" s="29" t="s">
        <v>60</v>
      </c>
      <c r="D11" s="9" t="s">
        <v>56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3</v>
      </c>
      <c r="B15" s="27">
        <v>6</v>
      </c>
      <c r="C15" s="12">
        <v>2</v>
      </c>
      <c r="D15" s="12">
        <f xml:space="preserve"> A15*24*60+B15*60+C15</f>
        <v>4682</v>
      </c>
      <c r="E15" s="12">
        <v>2000</v>
      </c>
      <c r="F15" s="12">
        <v>2000</v>
      </c>
      <c r="G15" s="12"/>
      <c r="H15" s="8">
        <v>0.50540924099999995</v>
      </c>
      <c r="I15" s="12">
        <f>H15/($B$9)</f>
        <v>107.07822902542371</v>
      </c>
      <c r="J15" s="13">
        <f>I15/(10^6)</f>
        <v>1.0707822902542371E-4</v>
      </c>
      <c r="K15" s="14">
        <f>J15*F15/E15</f>
        <v>1.0707822902542371E-4</v>
      </c>
      <c r="L15" s="14">
        <f>K15*($E$6-($E15/1000))/$E$6</f>
        <v>8.5662583220338974E-5</v>
      </c>
      <c r="M15" s="14">
        <f>(K15-L14)+M14</f>
        <v>1.0707822902542371E-4</v>
      </c>
      <c r="N15" s="13">
        <f>LN(1-2*M15/$E$7)</f>
        <v>-2.1438610091540447E-3</v>
      </c>
      <c r="O15" s="12">
        <f>-N15*$E$6*$F$10/(2*$E$5)</f>
        <v>6.7695421049557004E-5</v>
      </c>
      <c r="Q15" s="14">
        <f xml:space="preserve"> (M15*0.01)/($E$5*(D15*60))</f>
        <v>1.9257556056159383E-12</v>
      </c>
    </row>
    <row r="16" spans="1:18" s="8" customFormat="1" x14ac:dyDescent="0.35">
      <c r="A16" s="12">
        <v>5</v>
      </c>
      <c r="B16" s="12">
        <v>4</v>
      </c>
      <c r="C16" s="12">
        <v>34</v>
      </c>
      <c r="D16" s="12">
        <f t="shared" ref="D16:D17" si="0" xml:space="preserve"> A16*24*60+B16*60+C16</f>
        <v>7474</v>
      </c>
      <c r="E16" s="12">
        <v>2000</v>
      </c>
      <c r="F16" s="12">
        <v>2000</v>
      </c>
      <c r="G16" s="12"/>
      <c r="H16" s="8">
        <v>0.66039609909057595</v>
      </c>
      <c r="I16" s="12">
        <f>H16/($B$9)</f>
        <v>139.91442777342709</v>
      </c>
      <c r="J16" s="13">
        <f t="shared" ref="J16:J17" si="1">I16/(10^6)</f>
        <v>1.399144277734271E-4</v>
      </c>
      <c r="K16" s="14">
        <f t="shared" ref="K16" si="2">J16*F16/E16</f>
        <v>1.399144277734271E-4</v>
      </c>
      <c r="L16" s="14">
        <f>K16*($E$6-($E16/1000))/$E$6</f>
        <v>1.1193154221874168E-4</v>
      </c>
      <c r="M16" s="14">
        <f>(K16-L15)+M15</f>
        <v>1.6133007357851183E-4</v>
      </c>
      <c r="N16" s="13">
        <f t="shared" ref="N16:N17" si="3">LN(1-2*M16/$E$7)</f>
        <v>-3.2318181746020412E-3</v>
      </c>
      <c r="O16" s="12">
        <f t="shared" ref="O16:O17" si="4">-N16*$E$6*$F$10/(2*$E$5)</f>
        <v>1.0204919589056057E-4</v>
      </c>
      <c r="Q16" s="14">
        <f xml:space="preserve"> (M16*0.01-M15*0.01)/($E$5*(D16*60-D15*60))</f>
        <v>1.6361777974018745E-12</v>
      </c>
    </row>
    <row r="17" spans="1:23" s="8" customFormat="1" x14ac:dyDescent="0.35">
      <c r="A17" s="12">
        <v>7</v>
      </c>
      <c r="B17" s="12">
        <v>3</v>
      </c>
      <c r="C17" s="12">
        <v>53</v>
      </c>
      <c r="D17" s="12">
        <f t="shared" si="0"/>
        <v>10313</v>
      </c>
      <c r="E17" s="12">
        <v>2000</v>
      </c>
      <c r="F17" s="12">
        <v>2000</v>
      </c>
      <c r="G17" s="12"/>
      <c r="H17" s="8">
        <v>0.80504226684570301</v>
      </c>
      <c r="I17" s="12">
        <f t="shared" ref="I17" si="5">H17/($B$9)</f>
        <v>170.55980229781844</v>
      </c>
      <c r="J17" s="13">
        <f t="shared" si="1"/>
        <v>1.7055980229781844E-4</v>
      </c>
      <c r="K17" s="8">
        <f>J17*F17/E17</f>
        <v>1.7055980229781844E-4</v>
      </c>
      <c r="L17" s="14">
        <f>K17*($E$6-($E17/1000))/$E$6</f>
        <v>1.3644784183825475E-4</v>
      </c>
      <c r="M17" s="14">
        <f t="shared" ref="M17" si="6">(K17-L16)+M16</f>
        <v>2.1995833365758859E-4</v>
      </c>
      <c r="N17" s="13">
        <f t="shared" si="3"/>
        <v>-4.4088714793595321E-3</v>
      </c>
      <c r="O17" s="12">
        <f t="shared" si="4"/>
        <v>1.3921630640896708E-4</v>
      </c>
      <c r="Q17" s="14">
        <f xml:space="preserve"> (M17*0.01-M16*0.01)/($E$5*(D17*60-D16*60))</f>
        <v>1.738893617938107E-12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46</v>
      </c>
      <c r="F19" s="1"/>
      <c r="G19" s="21"/>
      <c r="I19" s="34" t="s">
        <v>48</v>
      </c>
      <c r="J19" s="22"/>
      <c r="K19" s="35" t="s">
        <v>51</v>
      </c>
      <c r="L19" s="36" t="s">
        <v>52</v>
      </c>
      <c r="M19" s="37" t="s">
        <v>54</v>
      </c>
      <c r="O19" s="1"/>
      <c r="Q19" s="21">
        <f xml:space="preserve"> AVERAGE(Q15:Q17)</f>
        <v>1.76694234031864E-12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47</v>
      </c>
      <c r="F20" s="1"/>
      <c r="G20" s="21"/>
      <c r="I20" s="34" t="s">
        <v>49</v>
      </c>
      <c r="J20" s="22"/>
      <c r="K20" s="33" t="s">
        <v>50</v>
      </c>
      <c r="L20" s="33" t="s">
        <v>53</v>
      </c>
      <c r="M20" s="33" t="s">
        <v>55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1.2702371098464691E-8</v>
      </c>
      <c r="P22" s="38" t="s">
        <v>31</v>
      </c>
      <c r="Q22" s="39">
        <f>O22/60</f>
        <v>2.117061849744115E-10</v>
      </c>
      <c r="R22" s="40" t="s">
        <v>32</v>
      </c>
    </row>
    <row r="23" spans="1:23" ht="16.5" x14ac:dyDescent="0.35">
      <c r="C23" s="1"/>
      <c r="D23" s="1"/>
      <c r="N23" s="41" t="s">
        <v>45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3.2264022590100287E-10</v>
      </c>
      <c r="P24" s="44" t="s">
        <v>31</v>
      </c>
      <c r="Q24" s="44">
        <f>O24/60</f>
        <v>5.3773370983500478E-12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opLeftCell="E9" zoomScale="70" zoomScaleNormal="60" workbookViewId="0">
      <selection activeCell="T26" sqref="T26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57</v>
      </c>
      <c r="E9" s="32" t="s">
        <v>15</v>
      </c>
      <c r="F9" s="8">
        <v>125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1.2500000000000001E-2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44</v>
      </c>
      <c r="B11" s="29"/>
      <c r="C11" s="29" t="s">
        <v>60</v>
      </c>
      <c r="D11" s="9" t="s">
        <v>56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>
        <v>3</v>
      </c>
      <c r="B15" s="27">
        <v>5</v>
      </c>
      <c r="C15" s="12">
        <v>47</v>
      </c>
      <c r="D15" s="12">
        <f xml:space="preserve"> A15*24*60+B15*60+C15</f>
        <v>4667</v>
      </c>
      <c r="E15" s="12">
        <v>2000</v>
      </c>
      <c r="F15" s="12">
        <v>2000</v>
      </c>
      <c r="G15" s="12"/>
      <c r="H15" s="8">
        <v>0.55472421646118197</v>
      </c>
      <c r="I15" s="12">
        <f>H15/($B$9)</f>
        <v>117.52631704686058</v>
      </c>
      <c r="J15" s="13">
        <f>I15/(10^6)</f>
        <v>1.1752631704686058E-4</v>
      </c>
      <c r="K15" s="14">
        <f>J15*F15/E15</f>
        <v>1.1752631704686058E-4</v>
      </c>
      <c r="L15" s="14">
        <f>K15*($E$6-($E15/1000))/$E$6</f>
        <v>9.4021053637488466E-5</v>
      </c>
      <c r="M15" s="14">
        <f>(K15-L14)+M14</f>
        <v>1.1752631704686058E-4</v>
      </c>
      <c r="N15" s="13">
        <f>LN(1-2*M15/$E$7)</f>
        <v>-2.3532931644883776E-3</v>
      </c>
      <c r="O15" s="12">
        <f>-N15*$E$6*$F$10/(2*$E$5)</f>
        <v>7.4308535368133242E-5</v>
      </c>
      <c r="Q15" s="14">
        <f xml:space="preserve"> (M15*0.01)/($E$5*(D15*60))</f>
        <v>2.1204533684812815E-12</v>
      </c>
    </row>
    <row r="16" spans="1:18" s="8" customFormat="1" x14ac:dyDescent="0.35">
      <c r="A16" s="12">
        <v>5</v>
      </c>
      <c r="B16" s="12">
        <v>3</v>
      </c>
      <c r="C16" s="12">
        <v>19</v>
      </c>
      <c r="D16" s="12">
        <f t="shared" ref="D16:D17" si="0" xml:space="preserve"> A16*24*60+B16*60+C16</f>
        <v>7399</v>
      </c>
      <c r="E16" s="12">
        <v>2000</v>
      </c>
      <c r="F16" s="12">
        <v>2000</v>
      </c>
      <c r="G16" s="12"/>
      <c r="H16" s="8">
        <v>0.72852897644043002</v>
      </c>
      <c r="I16" s="12">
        <f>H16/($B$9)</f>
        <v>154.34935941534533</v>
      </c>
      <c r="J16" s="13">
        <f t="shared" ref="J16:J17" si="1">I16/(10^6)</f>
        <v>1.5434935941534533E-4</v>
      </c>
      <c r="K16" s="14">
        <f t="shared" ref="K16" si="2">J16*F16/E16</f>
        <v>1.5434935941534533E-4</v>
      </c>
      <c r="L16" s="14">
        <f>K16*($E$6-($E16/1000))/$E$6</f>
        <v>1.2347948753227626E-4</v>
      </c>
      <c r="M16" s="14">
        <f>(K16-L15)+M15</f>
        <v>1.7785462282471744E-4</v>
      </c>
      <c r="N16" s="13">
        <f t="shared" ref="N16:N17" si="3">LN(1-2*M16/$E$7)</f>
        <v>-3.5634339525243632E-3</v>
      </c>
      <c r="O16" s="12">
        <f t="shared" ref="O16:O17" si="4">-N16*$E$6*$F$10/(2*$E$5)</f>
        <v>1.1252042962132662E-4</v>
      </c>
      <c r="Q16" s="14">
        <f xml:space="preserve"> (M16*0.01-M15*0.01)/($E$5*(D16*60-D15*60))</f>
        <v>1.8593957516508549E-12</v>
      </c>
    </row>
    <row r="17" spans="1:23" s="8" customFormat="1" x14ac:dyDescent="0.35">
      <c r="A17" s="12">
        <v>7</v>
      </c>
      <c r="B17" s="12">
        <v>3</v>
      </c>
      <c r="C17" s="12">
        <v>41</v>
      </c>
      <c r="D17" s="12">
        <f t="shared" si="0"/>
        <v>10301</v>
      </c>
      <c r="E17" s="12">
        <v>2000</v>
      </c>
      <c r="F17" s="12">
        <v>2000</v>
      </c>
      <c r="G17" s="12"/>
      <c r="H17" s="8">
        <v>0.88648605346679699</v>
      </c>
      <c r="I17" s="12">
        <f t="shared" ref="I17" si="5">H17/($B$9)</f>
        <v>187.81484183618579</v>
      </c>
      <c r="J17" s="13">
        <f t="shared" si="1"/>
        <v>1.8781484183618579E-4</v>
      </c>
      <c r="K17" s="8">
        <f>J17*F17/E17</f>
        <v>1.8781484183618579E-4</v>
      </c>
      <c r="L17" s="14">
        <f>K17*($E$6-($E17/1000))/$E$6</f>
        <v>1.5025187346894863E-4</v>
      </c>
      <c r="M17" s="14">
        <f t="shared" ref="M17" si="6">(K17-L16)+M16</f>
        <v>2.4218997712862698E-4</v>
      </c>
      <c r="N17" s="13">
        <f t="shared" si="3"/>
        <v>-4.8555687601110576E-3</v>
      </c>
      <c r="O17" s="12">
        <f t="shared" si="4"/>
        <v>1.5332140015014156E-4</v>
      </c>
      <c r="Q17" s="14">
        <f xml:space="preserve"> (M17*0.01-M16*0.01)/($E$5*(D17*60-D16*60))</f>
        <v>1.86673937984887E-12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46</v>
      </c>
      <c r="F19" s="1"/>
      <c r="G19" s="21"/>
      <c r="I19" s="34" t="s">
        <v>48</v>
      </c>
      <c r="J19" s="22"/>
      <c r="K19" s="35" t="s">
        <v>51</v>
      </c>
      <c r="L19" s="36" t="s">
        <v>52</v>
      </c>
      <c r="M19" s="37" t="s">
        <v>54</v>
      </c>
      <c r="O19" s="1"/>
      <c r="Q19" s="21">
        <f xml:space="preserve"> AVERAGE(Q15:Q17)</f>
        <v>1.9488628333270021E-12</v>
      </c>
      <c r="R19" s="21"/>
      <c r="T19" s="22"/>
      <c r="U19" s="22"/>
      <c r="V19" s="23"/>
    </row>
    <row r="20" spans="1:23" x14ac:dyDescent="0.35">
      <c r="B20" s="2"/>
      <c r="C20" s="2"/>
      <c r="E20" s="33" t="s">
        <v>47</v>
      </c>
      <c r="F20" s="1"/>
      <c r="G20" s="21"/>
      <c r="I20" s="34" t="s">
        <v>49</v>
      </c>
      <c r="J20" s="22"/>
      <c r="K20" s="33" t="s">
        <v>50</v>
      </c>
      <c r="L20" s="33" t="s">
        <v>53</v>
      </c>
      <c r="M20" s="33" t="s">
        <v>55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1.402465841407918E-8</v>
      </c>
      <c r="P22" s="38" t="s">
        <v>31</v>
      </c>
      <c r="Q22" s="39">
        <f>O22/60</f>
        <v>2.3374430690131968E-10</v>
      </c>
      <c r="R22" s="40" t="s">
        <v>32</v>
      </c>
    </row>
    <row r="23" spans="1:23" ht="16.5" x14ac:dyDescent="0.35">
      <c r="C23" s="1"/>
      <c r="D23" s="1"/>
      <c r="N23" s="41" t="s">
        <v>45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3.5622632371761087E-10</v>
      </c>
      <c r="P24" s="44" t="s">
        <v>31</v>
      </c>
      <c r="Q24" s="44">
        <f>O24/60</f>
        <v>5.9371053952935149E-12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t="s">
        <v>62</v>
      </c>
      <c r="P27" t="s">
        <v>61</v>
      </c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2.3851112384531649E-10</v>
      </c>
      <c r="P28">
        <v>1.9741568848019052E-12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2.117061849744115E-10</v>
      </c>
      <c r="P29">
        <v>1.76694234031864E-12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2.3374430690131968E-10</v>
      </c>
      <c r="P30">
        <v>1.9488628333270021E-12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58</v>
      </c>
      <c r="O31" s="59">
        <f xml:space="preserve"> AVERAGE(O28:O30)</f>
        <v>2.2798720524034921E-10</v>
      </c>
      <c r="P31" s="59">
        <f xml:space="preserve"> AVERAGE(P28:P30)</f>
        <v>1.8966540194825158E-12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59</v>
      </c>
      <c r="O32" s="59">
        <f xml:space="preserve"> _xlfn.STDEV.P(O28:O30)</f>
        <v>1.1675739851484069E-11</v>
      </c>
      <c r="P32" s="59">
        <f xml:space="preserve"> _xlfn.STDEV.P(P28:P30)</f>
        <v>9.2299465667062748E-14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N115 AR 1</vt:lpstr>
      <vt:lpstr>N115 AR 2</vt:lpstr>
      <vt:lpstr>N115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2023-06-14T16:18:28Z</dcterms:modified>
  <cp:category/>
  <cp:contentStatus/>
</cp:coreProperties>
</file>