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115 broken\"/>
    </mc:Choice>
  </mc:AlternateContent>
  <xr:revisionPtr revIDLastSave="0" documentId="13_ncr:1_{41A4131F-348F-4277-9791-156C4F313D25}" xr6:coauthVersionLast="47" xr6:coauthVersionMax="47" xr10:uidLastSave="{00000000-0000-0000-0000-000000000000}"/>
  <bookViews>
    <workbookView xWindow="-110" yWindow="-110" windowWidth="19420" windowHeight="10300" activeTab="2" xr2:uid="{F73AB753-5E42-4249-8B1E-C003C6AA4375}"/>
  </bookViews>
  <sheets>
    <sheet name="N115 AR 1" sheetId="1" r:id="rId1"/>
    <sheet name="N115 AR 2" sheetId="2" r:id="rId2"/>
    <sheet name="N115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9" i="3"/>
  <c r="Q17" i="3"/>
  <c r="Q16" i="3"/>
  <c r="Q15" i="3"/>
  <c r="Q19" i="2"/>
  <c r="Q17" i="2"/>
  <c r="Q16" i="2"/>
  <c r="Q15" i="2"/>
  <c r="Q17" i="1"/>
  <c r="Q19" i="1" s="1"/>
  <c r="Q16" i="1"/>
  <c r="Q15" i="1"/>
  <c r="C17" i="3"/>
  <c r="D17" i="3" s="1"/>
  <c r="Q22" i="1"/>
  <c r="C15" i="1"/>
  <c r="D16" i="3"/>
  <c r="D15" i="3"/>
  <c r="D15" i="2"/>
  <c r="D16" i="2"/>
  <c r="D17" i="2"/>
  <c r="D16" i="1"/>
  <c r="D17" i="1"/>
  <c r="D15" i="1"/>
  <c r="O32" i="3"/>
  <c r="O31" i="3"/>
  <c r="I17" i="3"/>
  <c r="J17" i="3" s="1"/>
  <c r="K17" i="3" s="1"/>
  <c r="I16" i="3"/>
  <c r="J16" i="3" s="1"/>
  <c r="K16" i="3" s="1"/>
  <c r="I15" i="3"/>
  <c r="J15" i="3" s="1"/>
  <c r="K15" i="3" s="1"/>
  <c r="F10" i="3"/>
  <c r="E4" i="3"/>
  <c r="E5" i="3" s="1"/>
  <c r="I17" i="2"/>
  <c r="J17" i="2" s="1"/>
  <c r="K17" i="2" s="1"/>
  <c r="I16" i="2"/>
  <c r="J16" i="2" s="1"/>
  <c r="K16" i="2" s="1"/>
  <c r="I15" i="2"/>
  <c r="J15" i="2" s="1"/>
  <c r="K15" i="2" s="1"/>
  <c r="F10" i="2"/>
  <c r="E5" i="2"/>
  <c r="E4" i="2"/>
  <c r="I15" i="1"/>
  <c r="J15" i="1" s="1"/>
  <c r="K15" i="1" s="1"/>
  <c r="M15" i="3" l="1"/>
  <c r="N15" i="3" s="1"/>
  <c r="O15" i="3" s="1"/>
  <c r="L15" i="3"/>
  <c r="L16" i="3"/>
  <c r="L17" i="3"/>
  <c r="L16" i="2"/>
  <c r="L17" i="2"/>
  <c r="L15" i="2"/>
  <c r="M15" i="2"/>
  <c r="N15" i="2" s="1"/>
  <c r="O15" i="2" s="1"/>
  <c r="M15" i="1"/>
  <c r="N15" i="1" s="1"/>
  <c r="L15" i="1"/>
  <c r="I16" i="1"/>
  <c r="M16" i="3" l="1"/>
  <c r="N16" i="3" s="1"/>
  <c r="O16" i="3" s="1"/>
  <c r="M16" i="2"/>
  <c r="N16" i="2" s="1"/>
  <c r="O16" i="2" s="1"/>
  <c r="J16" i="1"/>
  <c r="K16" i="1" s="1"/>
  <c r="I17" i="1"/>
  <c r="J17" i="1" s="1"/>
  <c r="K17" i="1" s="1"/>
  <c r="F10" i="1"/>
  <c r="E4" i="1"/>
  <c r="E5" i="1" s="1"/>
  <c r="M17" i="3" l="1"/>
  <c r="N17" i="3" s="1"/>
  <c r="O17" i="3" s="1"/>
  <c r="O22" i="3" s="1"/>
  <c r="O24" i="3" s="1"/>
  <c r="Q24" i="3" s="1"/>
  <c r="O15" i="1"/>
  <c r="M17" i="2"/>
  <c r="N17" i="2" s="1"/>
  <c r="O17" i="2" s="1"/>
  <c r="O22" i="2" s="1"/>
  <c r="O24" i="2" s="1"/>
  <c r="Q24" i="2" s="1"/>
  <c r="L17" i="1"/>
  <c r="L16" i="1"/>
  <c r="Q22" i="3" l="1"/>
  <c r="Q22" i="2"/>
  <c r="M16" i="1"/>
  <c r="N16" i="1" s="1"/>
  <c r="O16" i="1" s="1"/>
  <c r="M17" i="1" l="1"/>
  <c r="N17" i="1" l="1"/>
  <c r="O17" i="1" s="1"/>
  <c r="O22" i="1" s="1"/>
  <c r="O24" i="1" l="1"/>
  <c r="Q24" i="1" s="1"/>
</calcChain>
</file>

<file path=xl/sharedStrings.xml><?xml version="1.0" encoding="utf-8"?>
<sst xmlns="http://schemas.openxmlformats.org/spreadsheetml/2006/main" count="191" uniqueCount="61">
  <si>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</si>
  <si>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</si>
  <si>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</si>
  <si>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</si>
  <si>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</si>
  <si>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</si>
  <si>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</si>
  <si>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</si>
  <si>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</si>
  <si>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</si>
  <si>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</si>
  <si>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</si>
  <si>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</si>
  <si>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</si>
  <si>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</si>
  <si>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</si>
  <si>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</si>
  <si>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</si>
  <si>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</si>
  <si>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</si>
  <si>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</si>
  <si>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</si>
  <si>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</si>
  <si>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</si>
  <si>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</si>
  <si>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</si>
  <si>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</si>
  <si>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</si>
  <si>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</si>
  <si>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</si>
  <si>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</si>
  <si>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</si>
  <si>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</si>
  <si>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</si>
  <si>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</si>
  <si>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</si>
  <si>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</si>
  <si>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</si>
  <si>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</si>
  <si>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</si>
  <si>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</si>
  <si>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</si>
  <si>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</si>
  <si>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</si>
  <si>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</si>
  <si>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</si>
  <si>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</si>
  <si>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</si>
  <si>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</si>
  <si>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</si>
  <si>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</si>
  <si>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</si>
  <si>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</si>
  <si>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</si>
  <si>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</si>
  <si>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</si>
  <si>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328 nm</t>
  </si>
  <si>
    <t>AVG</t>
  </si>
  <si>
    <t>STD</t>
  </si>
  <si>
    <t>N115</t>
  </si>
  <si>
    <t>2023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</si>
</sst>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'N115 AR 1'!$D$15:$D$17</c:f>
              <c:numCache>
                <c:formatCode>General</c:formatCode>
                <c:ptCount val="3"/>
                <c:pt idx="0">
                  <c:v>1361</c:v>
                </c:pt>
                <c:pt idx="1">
                  <c:v>1552</c:v>
                </c:pt>
                <c:pt idx="2">
                  <c:v>1863</c:v>
                </c:pt>
              </c:numCache>
            </c:numRef>
          </c:xVal>
          <c:yVal>
            <c:numRef>
              <c:f>'N115 AR 1'!$O$15:$O$17</c:f>
              <c:numCache>
                <c:formatCode>General</c:formatCode>
                <c:ptCount val="3"/>
                <c:pt idx="0">
                  <c:v>1.3819516468296152E-4</c:v>
                </c:pt>
                <c:pt idx="1">
                  <c:v>1.5654685832742259E-4</c:v>
                </c:pt>
                <c:pt idx="2">
                  <c:v>1.8880745343290492E-4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'N115 AR 2'!$D$15:$D$17</c:f>
              <c:numCache>
                <c:formatCode>General</c:formatCode>
                <c:ptCount val="3"/>
                <c:pt idx="0">
                  <c:v>1353</c:v>
                </c:pt>
                <c:pt idx="1">
                  <c:v>1539</c:v>
                </c:pt>
                <c:pt idx="2">
                  <c:v>1842</c:v>
                </c:pt>
              </c:numCache>
            </c:numRef>
          </c:xVal>
          <c:yVal>
            <c:numRef>
              <c:f>'N115 AR 2'!$O$15:$O$17</c:f>
              <c:numCache>
                <c:formatCode>General</c:formatCode>
                <c:ptCount val="3"/>
                <c:pt idx="0">
                  <c:v>1.3722949621182854E-4</c:v>
                </c:pt>
                <c:pt idx="1">
                  <c:v>1.5838037781583904E-4</c:v>
                </c:pt>
                <c:pt idx="2">
                  <c:v>1.8675030851147698E-4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'N115 AR 3'!$D$15:$D$17</c:f>
              <c:numCache>
                <c:formatCode>General</c:formatCode>
                <c:ptCount val="3"/>
                <c:pt idx="0">
                  <c:v>1339</c:v>
                </c:pt>
                <c:pt idx="1">
                  <c:v>1525</c:v>
                </c:pt>
                <c:pt idx="2">
                  <c:v>1843</c:v>
                </c:pt>
              </c:numCache>
            </c:numRef>
          </c:xVal>
          <c:yVal>
            <c:numRef>
              <c:f>'N115 AR 3'!$O$15:$O$17</c:f>
              <c:numCache>
                <c:formatCode>General</c:formatCode>
                <c:ptCount val="3"/>
                <c:pt idx="0">
                  <c:v>1.4547457783869569E-4</c:v>
                </c:pt>
                <c:pt idx="1">
                  <c:v>1.6387672364135203E-4</c:v>
                </c:pt>
                <c:pt idx="2">
                  <c:v>1.8876242375838966E-4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opLeftCell="E6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56</v>
      </c>
      <c r="E9" s="32" t="s">
        <v>15</v>
      </c>
      <c r="F9" s="8">
        <v>125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1.2500000000000001E-2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44</v>
      </c>
      <c r="B11" s="29"/>
      <c r="C11" s="29" t="s">
        <v>59</v>
      </c>
      <c r="D11" s="9" t="s">
        <v>60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22</v>
      </c>
      <c r="C15" s="12">
        <f>22+19</f>
        <v>41</v>
      </c>
      <c r="D15" s="12">
        <f xml:space="preserve"> A15*24*60+B15*60+C15</f>
        <v>1361</v>
      </c>
      <c r="E15" s="12">
        <v>200</v>
      </c>
      <c r="F15" s="12">
        <v>2200</v>
      </c>
      <c r="G15" s="12"/>
      <c r="H15" s="8">
        <v>9.3691348999999993E-2</v>
      </c>
      <c r="I15" s="12">
        <f>H15/($B$9)</f>
        <v>19.849862076271183</v>
      </c>
      <c r="J15" s="13">
        <f>I15/(10^6)</f>
        <v>1.9849862076271184E-5</v>
      </c>
      <c r="K15" s="14">
        <f>J15*F15/E15</f>
        <v>2.1834848283898301E-4</v>
      </c>
      <c r="L15" s="14">
        <f>K15*($E$6-($E15/1000))/$E$6</f>
        <v>2.1398151318220335E-4</v>
      </c>
      <c r="M15" s="14">
        <f>(K15-L14)+M14</f>
        <v>2.1834848283898301E-4</v>
      </c>
      <c r="N15" s="13">
        <f>LN(1-2*M15/$E$7)</f>
        <v>-4.3765327199979361E-3</v>
      </c>
      <c r="O15" s="12">
        <f>-N15*$E$6*$F$10/(2*$E$5)</f>
        <v>1.3819516468296152E-4</v>
      </c>
      <c r="Q15" s="14">
        <f xml:space="preserve"> (M15*0.01)/($E$5*(D15*60))</f>
        <v>1.3509007840962145E-11</v>
      </c>
    </row>
    <row r="16" spans="1:18" s="8" customFormat="1" x14ac:dyDescent="0.35">
      <c r="A16" s="12">
        <v>1</v>
      </c>
      <c r="B16" s="12">
        <v>1</v>
      </c>
      <c r="C16" s="12">
        <v>52</v>
      </c>
      <c r="D16" s="12">
        <f t="shared" ref="D16:D17" si="0" xml:space="preserve"> A16*24*60+B16*60+C16</f>
        <v>1552</v>
      </c>
      <c r="E16" s="12">
        <v>200</v>
      </c>
      <c r="F16" s="12">
        <v>2200</v>
      </c>
      <c r="G16" s="12"/>
      <c r="H16" s="8">
        <v>0.104228497</v>
      </c>
      <c r="I16" s="12">
        <f>H16/($B$9)</f>
        <v>22.082308686440676</v>
      </c>
      <c r="J16" s="13">
        <f t="shared" ref="J16:J17" si="1">I16/(10^6)</f>
        <v>2.2082308686440676E-5</v>
      </c>
      <c r="K16" s="14">
        <f t="shared" ref="K16" si="2">J16*F16/E16</f>
        <v>2.4290539555084747E-4</v>
      </c>
      <c r="L16" s="14">
        <f>K16*($E$6-($E16/1000))/$E$6</f>
        <v>2.3804728763983054E-4</v>
      </c>
      <c r="M16" s="14">
        <f>(K16-L15)+M15</f>
        <v>2.4727236520762715E-4</v>
      </c>
      <c r="N16" s="13">
        <f t="shared" ref="N16:N17" si="3">LN(1-2*M16/$E$7)</f>
        <v>-4.9577164964825886E-3</v>
      </c>
      <c r="O16" s="12">
        <f t="shared" ref="O16:O17" si="4">-N16*$E$6*$F$10/(2*$E$5)</f>
        <v>1.5654685832742259E-4</v>
      </c>
      <c r="Q16" s="14">
        <f xml:space="preserve"> (M16*0.01-M15*0.01)/($E$5*(D16*60-D15*60))</f>
        <v>1.2751304585497013E-11</v>
      </c>
    </row>
    <row r="17" spans="1:23" s="8" customFormat="1" x14ac:dyDescent="0.35">
      <c r="A17" s="12">
        <v>1</v>
      </c>
      <c r="B17" s="12">
        <v>7</v>
      </c>
      <c r="C17" s="12">
        <v>3</v>
      </c>
      <c r="D17" s="12">
        <f t="shared" si="0"/>
        <v>1863</v>
      </c>
      <c r="E17" s="12">
        <v>200</v>
      </c>
      <c r="F17" s="12">
        <v>2200</v>
      </c>
      <c r="G17" s="12"/>
      <c r="H17" s="8">
        <v>0.123943806</v>
      </c>
      <c r="I17" s="12">
        <f t="shared" ref="I17" si="5">H17/($B$9)</f>
        <v>26.259280932203389</v>
      </c>
      <c r="J17" s="13">
        <f t="shared" si="1"/>
        <v>2.6259280932203387E-5</v>
      </c>
      <c r="K17" s="8">
        <f>J17*F17/E17</f>
        <v>2.8885209025423728E-4</v>
      </c>
      <c r="L17" s="14">
        <f>K17*($E$6-($E17/1000))/$E$6</f>
        <v>2.8307504844915255E-4</v>
      </c>
      <c r="M17" s="14">
        <f t="shared" ref="M17" si="6">(K17-L16)+M16</f>
        <v>2.9807716782203388E-4</v>
      </c>
      <c r="N17" s="13">
        <f t="shared" si="3"/>
        <v>-5.9793842977378404E-3</v>
      </c>
      <c r="O17" s="12">
        <f t="shared" si="4"/>
        <v>1.8880745343290492E-4</v>
      </c>
      <c r="Q17" s="14">
        <f xml:space="preserve"> (M17*0.01-M16*0.01)/($E$5*(D17*60-D16*60))</f>
        <v>1.3755480947428787E-11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46</v>
      </c>
      <c r="F19" s="1"/>
      <c r="G19" s="21"/>
      <c r="I19" s="34" t="s">
        <v>48</v>
      </c>
      <c r="J19" s="22"/>
      <c r="K19" s="35" t="s">
        <v>51</v>
      </c>
      <c r="L19" s="36" t="s">
        <v>52</v>
      </c>
      <c r="M19" s="37" t="s">
        <v>54</v>
      </c>
      <c r="O19" s="1"/>
      <c r="Q19" s="21">
        <f xml:space="preserve"> AVERAGE(Q15:Q17)</f>
        <v>1.333859779129598E-11</v>
      </c>
      <c r="R19" s="21"/>
      <c r="T19" s="22"/>
      <c r="U19" s="22"/>
      <c r="V19" s="23"/>
    </row>
    <row r="20" spans="1:23" x14ac:dyDescent="0.35">
      <c r="B20" s="2"/>
      <c r="C20" s="2"/>
      <c r="E20" s="33" t="s">
        <v>47</v>
      </c>
      <c r="F20" s="1"/>
      <c r="G20" s="21"/>
      <c r="I20" s="34" t="s">
        <v>49</v>
      </c>
      <c r="J20" s="22"/>
      <c r="K20" s="33" t="s">
        <v>50</v>
      </c>
      <c r="L20" s="33" t="s">
        <v>53</v>
      </c>
      <c r="M20" s="33" t="s">
        <v>55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1.0110327335599305E-7</v>
      </c>
      <c r="P22" s="38" t="s">
        <v>31</v>
      </c>
      <c r="Q22" s="39">
        <f>O22/60</f>
        <v>1.6850545559332173E-9</v>
      </c>
      <c r="R22" s="40" t="s">
        <v>32</v>
      </c>
    </row>
    <row r="23" spans="1:23" ht="16.5" x14ac:dyDescent="0.35">
      <c r="C23" s="1"/>
      <c r="D23" s="1"/>
      <c r="N23" s="41" t="s">
        <v>45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2.5680231432422212E-9</v>
      </c>
      <c r="P24" s="44" t="s">
        <v>31</v>
      </c>
      <c r="Q24" s="44">
        <f>O24/60</f>
        <v>4.2800385720703688E-11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E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56</v>
      </c>
      <c r="E9" s="32" t="s">
        <v>15</v>
      </c>
      <c r="F9" s="8">
        <v>125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1.2500000000000001E-2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44</v>
      </c>
      <c r="B11" s="29"/>
      <c r="C11" s="29" t="s">
        <v>59</v>
      </c>
      <c r="D11" s="9" t="s">
        <v>60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22</v>
      </c>
      <c r="C15" s="12">
        <v>33</v>
      </c>
      <c r="D15" s="12">
        <f xml:space="preserve"> A15*24*60+B15*60+C15</f>
        <v>1353</v>
      </c>
      <c r="E15" s="12">
        <v>200</v>
      </c>
      <c r="F15" s="12">
        <v>2200</v>
      </c>
      <c r="G15" s="12"/>
      <c r="H15" s="8">
        <v>9.3038082122802804E-2</v>
      </c>
      <c r="I15" s="12">
        <f>H15/($B$9)</f>
        <v>19.711458076865</v>
      </c>
      <c r="J15" s="13">
        <f>I15/(10^6)</f>
        <v>1.9711458076864999E-5</v>
      </c>
      <c r="K15" s="14">
        <f>J15*F15/E15</f>
        <v>2.1682603884551501E-4</v>
      </c>
      <c r="L15" s="14">
        <f>K15*($E$6-($E15/1000))/$E$6</f>
        <v>2.1248951806860473E-4</v>
      </c>
      <c r="M15" s="14">
        <f>(K15-L14)+M14</f>
        <v>2.1682603884551501E-4</v>
      </c>
      <c r="N15" s="13">
        <f>LN(1-2*M15/$E$7)</f>
        <v>-4.3459507552072035E-3</v>
      </c>
      <c r="O15" s="12">
        <f>-N15*$E$6*$F$10/(2*$E$5)</f>
        <v>1.3722949621182854E-4</v>
      </c>
      <c r="Q15" s="14">
        <f xml:space="preserve"> (M15*0.01)/($E$5*(D15*60))</f>
        <v>1.3494134654714303E-11</v>
      </c>
    </row>
    <row r="16" spans="1:18" s="8" customFormat="1" x14ac:dyDescent="0.35">
      <c r="A16" s="12">
        <v>1</v>
      </c>
      <c r="B16" s="12">
        <v>1</v>
      </c>
      <c r="C16" s="12">
        <v>39</v>
      </c>
      <c r="D16" s="12">
        <f t="shared" ref="D16:D17" si="0" xml:space="preserve"> A16*24*60+B16*60+C16</f>
        <v>1539</v>
      </c>
      <c r="E16" s="12">
        <v>200</v>
      </c>
      <c r="F16" s="12">
        <v>2200</v>
      </c>
      <c r="G16" s="12"/>
      <c r="H16" s="8">
        <v>0.105481147766113</v>
      </c>
      <c r="I16" s="12">
        <f>H16/($B$9)</f>
        <v>22.347700797905297</v>
      </c>
      <c r="J16" s="13">
        <f t="shared" ref="J16:J17" si="1">I16/(10^6)</f>
        <v>2.2347700797905297E-5</v>
      </c>
      <c r="K16" s="14">
        <f t="shared" ref="K16" si="2">J16*F16/E16</f>
        <v>2.458247087769583E-4</v>
      </c>
      <c r="L16" s="14">
        <f>K16*($E$6-($E16/1000))/$E$6</f>
        <v>2.4090821460141915E-4</v>
      </c>
      <c r="M16" s="14">
        <f>(K16-L15)+M15</f>
        <v>2.5016122955386858E-4</v>
      </c>
      <c r="N16" s="13">
        <f t="shared" ref="N16:N17" si="3">LN(1-2*M16/$E$7)</f>
        <v>-5.0157826238483149E-3</v>
      </c>
      <c r="O16" s="12">
        <f t="shared" ref="O16:O17" si="4">-N16*$E$6*$F$10/(2*$E$5)</f>
        <v>1.5838037781583904E-4</v>
      </c>
      <c r="Q16" s="14">
        <f xml:space="preserve"> (M16*0.01-M15*0.01)/($E$5*(D16*60-D15*60))</f>
        <v>1.5091117485759932E-11</v>
      </c>
    </row>
    <row r="17" spans="1:23" s="8" customFormat="1" x14ac:dyDescent="0.35">
      <c r="A17" s="12">
        <v>1</v>
      </c>
      <c r="B17" s="12">
        <v>6</v>
      </c>
      <c r="C17" s="12">
        <v>42</v>
      </c>
      <c r="D17" s="12">
        <f t="shared" si="0"/>
        <v>1842</v>
      </c>
      <c r="E17" s="12">
        <v>200</v>
      </c>
      <c r="F17" s="12">
        <v>2200</v>
      </c>
      <c r="G17" s="12"/>
      <c r="H17" s="8">
        <v>0.122542381286621</v>
      </c>
      <c r="I17" s="12">
        <f t="shared" ref="I17" si="5">H17/($B$9)</f>
        <v>25.962368916656988</v>
      </c>
      <c r="J17" s="13">
        <f t="shared" si="1"/>
        <v>2.5962368916656989E-5</v>
      </c>
      <c r="K17" s="8">
        <f>J17*F17/E17</f>
        <v>2.8558605808322687E-4</v>
      </c>
      <c r="L17" s="14">
        <f>K17*($E$6-($E17/1000))/$E$6</f>
        <v>2.7987433692156237E-4</v>
      </c>
      <c r="M17" s="14">
        <f t="shared" ref="M17" si="6">(K17-L16)+M16</f>
        <v>2.9483907303567633E-4</v>
      </c>
      <c r="N17" s="13">
        <f t="shared" si="3"/>
        <v>-5.9142361279081544E-3</v>
      </c>
      <c r="O17" s="12">
        <f t="shared" si="4"/>
        <v>1.8675030851147698E-4</v>
      </c>
      <c r="Q17" s="14">
        <f xml:space="preserve"> (M17*0.01-M16*0.01)/($E$5*(D17*60-D16*60))</f>
        <v>1.2415979137298113E-11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46</v>
      </c>
      <c r="F19" s="1"/>
      <c r="G19" s="21"/>
      <c r="I19" s="34" t="s">
        <v>48</v>
      </c>
      <c r="J19" s="22"/>
      <c r="K19" s="35" t="s">
        <v>51</v>
      </c>
      <c r="L19" s="36" t="s">
        <v>52</v>
      </c>
      <c r="M19" s="37" t="s">
        <v>54</v>
      </c>
      <c r="O19" s="1"/>
      <c r="Q19" s="21">
        <f xml:space="preserve"> AVERAGE(Q15:Q17)</f>
        <v>1.3667077092590782E-11</v>
      </c>
      <c r="R19" s="21"/>
      <c r="T19" s="22"/>
      <c r="U19" s="22"/>
      <c r="V19" s="23"/>
    </row>
    <row r="20" spans="1:23" x14ac:dyDescent="0.35">
      <c r="B20" s="2"/>
      <c r="C20" s="2"/>
      <c r="E20" s="33" t="s">
        <v>47</v>
      </c>
      <c r="F20" s="1"/>
      <c r="G20" s="21"/>
      <c r="I20" s="34" t="s">
        <v>49</v>
      </c>
      <c r="J20" s="22"/>
      <c r="K20" s="33" t="s">
        <v>50</v>
      </c>
      <c r="L20" s="33" t="s">
        <v>53</v>
      </c>
      <c r="M20" s="33" t="s">
        <v>55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1.0052863597569623E-7</v>
      </c>
      <c r="P22" s="38" t="s">
        <v>31</v>
      </c>
      <c r="Q22" s="39">
        <f>O22/60</f>
        <v>1.6754772662616039E-9</v>
      </c>
      <c r="R22" s="40" t="s">
        <v>32</v>
      </c>
    </row>
    <row r="23" spans="1:23" ht="16.5" x14ac:dyDescent="0.35">
      <c r="C23" s="1"/>
      <c r="D23" s="1"/>
      <c r="N23" s="41" t="s">
        <v>45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2.553427353782682E-9</v>
      </c>
      <c r="P24" s="44" t="s">
        <v>31</v>
      </c>
      <c r="Q24" s="44">
        <f>O24/60</f>
        <v>4.2557122563044697E-11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abSelected="1" topLeftCell="E9" zoomScale="70" zoomScaleNormal="60" workbookViewId="0">
      <selection activeCell="Q15" sqref="Q15: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56</v>
      </c>
      <c r="E9" s="32" t="s">
        <v>15</v>
      </c>
      <c r="F9" s="8">
        <v>125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1.2500000000000001E-2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44</v>
      </c>
      <c r="B11" s="29"/>
      <c r="C11" s="29" t="s">
        <v>59</v>
      </c>
      <c r="D11" s="9" t="s">
        <v>60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22</v>
      </c>
      <c r="C15" s="12">
        <v>19</v>
      </c>
      <c r="D15" s="12">
        <f xml:space="preserve"> A15*24*60+B15*60+C15</f>
        <v>1339</v>
      </c>
      <c r="E15" s="12">
        <v>200</v>
      </c>
      <c r="F15" s="12">
        <v>2200</v>
      </c>
      <c r="G15" s="12"/>
      <c r="H15" s="8">
        <v>9.8615170000000002E-2</v>
      </c>
      <c r="I15" s="12">
        <f>H15/($B$9)</f>
        <v>20.893044491525423</v>
      </c>
      <c r="J15" s="13">
        <f>I15/(10^6)</f>
        <v>2.0893044491525422E-5</v>
      </c>
      <c r="K15" s="14">
        <f>J15*F15/E15</f>
        <v>2.2982348940677963E-4</v>
      </c>
      <c r="L15" s="14">
        <f>K15*($E$6-($E15/1000))/$E$6</f>
        <v>2.2522701961864405E-4</v>
      </c>
      <c r="M15" s="14">
        <f>(K15-L14)+M14</f>
        <v>2.2982348940677963E-4</v>
      </c>
      <c r="N15" s="13">
        <f>LN(1-2*M15/$E$7)</f>
        <v>-4.6070660380886372E-3</v>
      </c>
      <c r="O15" s="12">
        <f>-N15*$E$6*$F$10/(2*$E$5)</f>
        <v>1.4547457783869569E-4</v>
      </c>
      <c r="Q15" s="14">
        <f xml:space="preserve"> (M15*0.01)/($E$5*(D15*60))</f>
        <v>1.4452575192507154E-11</v>
      </c>
    </row>
    <row r="16" spans="1:18" s="8" customFormat="1" x14ac:dyDescent="0.35">
      <c r="A16" s="12">
        <v>1</v>
      </c>
      <c r="B16" s="12">
        <v>1</v>
      </c>
      <c r="C16" s="12">
        <v>25</v>
      </c>
      <c r="D16" s="12">
        <f t="shared" ref="D16:D17" si="0" xml:space="preserve"> A16*24*60+B16*60+C16</f>
        <v>1525</v>
      </c>
      <c r="E16" s="12">
        <v>200</v>
      </c>
      <c r="F16" s="12">
        <v>2200</v>
      </c>
      <c r="G16" s="12"/>
      <c r="H16" s="8">
        <v>0.109085083</v>
      </c>
      <c r="I16" s="12">
        <f>H16/($B$9)</f>
        <v>23.111246398305084</v>
      </c>
      <c r="J16" s="13">
        <f t="shared" ref="J16:J17" si="1">I16/(10^6)</f>
        <v>2.3111246398305086E-5</v>
      </c>
      <c r="K16" s="14">
        <f t="shared" ref="K16" si="2">J16*F16/E16</f>
        <v>2.5422371038135593E-4</v>
      </c>
      <c r="L16" s="14">
        <f>K16*($E$6-($E16/1000))/$E$6</f>
        <v>2.4913923617372885E-4</v>
      </c>
      <c r="M16" s="14">
        <f>(K16-L15)+M15</f>
        <v>2.5882018016949151E-4</v>
      </c>
      <c r="N16" s="13">
        <f t="shared" ref="N16:N17" si="3">LN(1-2*M16/$E$7)</f>
        <v>-5.1898475949416741E-3</v>
      </c>
      <c r="O16" s="12">
        <f t="shared" ref="O16:O17" si="4">-N16*$E$6*$F$10/(2*$E$5)</f>
        <v>1.6387672364135203E-4</v>
      </c>
      <c r="Q16" s="14">
        <f xml:space="preserve"> (M16*0.01-M15*0.01)/($E$5*(D16*60-D15*60))</f>
        <v>1.312704255472213E-11</v>
      </c>
    </row>
    <row r="17" spans="1:23" s="8" customFormat="1" x14ac:dyDescent="0.35">
      <c r="A17" s="12">
        <v>1</v>
      </c>
      <c r="B17" s="12">
        <v>6</v>
      </c>
      <c r="C17" s="12">
        <f>25+(51-33)</f>
        <v>43</v>
      </c>
      <c r="D17" s="12">
        <f t="shared" si="0"/>
        <v>1843</v>
      </c>
      <c r="E17" s="12">
        <v>200</v>
      </c>
      <c r="F17" s="12">
        <v>2200</v>
      </c>
      <c r="G17" s="12"/>
      <c r="H17" s="8">
        <v>0.12371778488159201</v>
      </c>
      <c r="I17" s="12">
        <f t="shared" ref="I17" si="5">H17/($B$9)</f>
        <v>26.211395102032203</v>
      </c>
      <c r="J17" s="13">
        <f t="shared" si="1"/>
        <v>2.6211395102032204E-5</v>
      </c>
      <c r="K17" s="8">
        <f>J17*F17/E17</f>
        <v>2.8832534612235428E-4</v>
      </c>
      <c r="L17" s="14">
        <f>K17*($E$6-($E17/1000))/$E$6</f>
        <v>2.8255883919990718E-4</v>
      </c>
      <c r="M17" s="14">
        <f t="shared" ref="M17" si="6">(K17-L16)+M16</f>
        <v>2.9800629011811694E-4</v>
      </c>
      <c r="N17" s="13">
        <f t="shared" si="3"/>
        <v>-5.9779582431842022E-3</v>
      </c>
      <c r="O17" s="12">
        <f t="shared" si="4"/>
        <v>1.8876242375838966E-4</v>
      </c>
      <c r="Q17" s="14">
        <f xml:space="preserve"> (M17*0.01-M16*0.01)/($E$5*(D17*60-D16*60))</f>
        <v>1.0376154578850543E-11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46</v>
      </c>
      <c r="F19" s="1"/>
      <c r="G19" s="21"/>
      <c r="I19" s="34" t="s">
        <v>48</v>
      </c>
      <c r="J19" s="22"/>
      <c r="K19" s="35" t="s">
        <v>51</v>
      </c>
      <c r="L19" s="36" t="s">
        <v>52</v>
      </c>
      <c r="M19" s="37" t="s">
        <v>54</v>
      </c>
      <c r="O19" s="1"/>
      <c r="Q19" s="21">
        <f xml:space="preserve"> AVERAGE(Q15:Q17)</f>
        <v>1.2651924108693274E-11</v>
      </c>
      <c r="R19" s="21"/>
      <c r="T19" s="22"/>
      <c r="U19" s="22"/>
      <c r="V19" s="23"/>
    </row>
    <row r="20" spans="1:23" x14ac:dyDescent="0.35">
      <c r="B20" s="2"/>
      <c r="C20" s="2"/>
      <c r="E20" s="33" t="s">
        <v>47</v>
      </c>
      <c r="F20" s="1"/>
      <c r="G20" s="21"/>
      <c r="I20" s="34" t="s">
        <v>49</v>
      </c>
      <c r="J20" s="22"/>
      <c r="K20" s="33" t="s">
        <v>50</v>
      </c>
      <c r="L20" s="33" t="s">
        <v>53</v>
      </c>
      <c r="M20" s="33" t="s">
        <v>55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8.5066624843580814E-8</v>
      </c>
      <c r="P22" s="38" t="s">
        <v>31</v>
      </c>
      <c r="Q22" s="39">
        <f>O22/60</f>
        <v>1.4177770807263469E-9</v>
      </c>
      <c r="R22" s="40" t="s">
        <v>32</v>
      </c>
    </row>
    <row r="23" spans="1:23" ht="16.5" x14ac:dyDescent="0.35">
      <c r="C23" s="1"/>
      <c r="D23" s="1"/>
      <c r="N23" s="41" t="s">
        <v>45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2.1606922710269508E-9</v>
      </c>
      <c r="P24" s="44" t="s">
        <v>31</v>
      </c>
      <c r="Q24" s="44">
        <f>O24/60</f>
        <v>3.6011537850449179E-11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1.6850545559332173E-9</v>
      </c>
      <c r="P28">
        <v>1.333859779129598E-11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1.6754772662616039E-9</v>
      </c>
      <c r="P29">
        <v>1.3667077092590782E-11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1.4177770807263469E-9</v>
      </c>
      <c r="P30">
        <v>1.2651924108693274E-11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57</v>
      </c>
      <c r="O31" s="59">
        <f xml:space="preserve"> AVERAGE(O28:O30)</f>
        <v>1.5927696343070561E-9</v>
      </c>
      <c r="P31" s="59">
        <f xml:space="preserve"> AVERAGE(P28:P30)</f>
        <v>1.3219199664193344E-11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58</v>
      </c>
      <c r="O32" s="59">
        <f xml:space="preserve"> _xlfn.STDEV.P(O28:O30)</f>
        <v>1.2380017898717946E-10</v>
      </c>
      <c r="P32" s="59">
        <f xml:space="preserve"> _xlfn.STDEV.P(P28:P30)</f>
        <v>4.2294667098482298E-13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N115 AR 1</vt:lpstr>
      <vt:lpstr>N115 AR 2</vt:lpstr>
      <vt:lpstr>N115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2023-06-14T16:40:04Z</dcterms:modified>
  <cp:category/>
  <cp:contentStatus/>
</cp:coreProperties>
</file>