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eo\Desktop\PhD Research\Research Project Files\Research - Symmetric cell crossover\symmetric cell crossover\N117 AR\"/>
    </mc:Choice>
  </mc:AlternateContent>
  <xr:revisionPtr revIDLastSave="0" documentId="13_ncr:1_{EF0BF90D-51AF-4940-A0DC-F73140DB9EB7}" xr6:coauthVersionLast="47" xr6:coauthVersionMax="47" xr10:uidLastSave="{00000000-0000-0000-0000-000000000000}"/>
  <bookViews>
    <workbookView xWindow="-110" yWindow="-110" windowWidth="19420" windowHeight="10300" xr2:uid="{F73AB753-5E42-4249-8B1E-C003C6AA4375}"/>
  </bookViews>
  <sheets>
    <sheet name="N117 AR 1" sheetId="1" r:id="rId1"/>
    <sheet name="N117 A 2" sheetId="2" r:id="rId2"/>
    <sheet name="N117 AR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3" l="1"/>
  <c r="P31" i="3"/>
  <c r="Q19" i="1"/>
  <c r="Q17" i="1"/>
  <c r="Q16" i="1"/>
  <c r="Q15" i="1"/>
  <c r="Q17" i="2"/>
  <c r="Q16" i="2"/>
  <c r="Q15" i="2"/>
  <c r="Q19" i="2" s="1"/>
  <c r="Q15" i="3"/>
  <c r="Q19" i="3" s="1"/>
  <c r="Q17" i="3"/>
  <c r="Q16" i="3"/>
  <c r="O32" i="3"/>
  <c r="O31" i="3"/>
  <c r="I17" i="3"/>
  <c r="J17" i="3" s="1"/>
  <c r="K17" i="3" s="1"/>
  <c r="D17" i="3"/>
  <c r="I16" i="3"/>
  <c r="J16" i="3" s="1"/>
  <c r="K16" i="3" s="1"/>
  <c r="D16" i="3"/>
  <c r="I15" i="3"/>
  <c r="J15" i="3" s="1"/>
  <c r="K15" i="3" s="1"/>
  <c r="D15" i="3"/>
  <c r="F10" i="3"/>
  <c r="E4" i="3"/>
  <c r="E5" i="3" s="1"/>
  <c r="I17" i="2"/>
  <c r="J17" i="2" s="1"/>
  <c r="K17" i="2" s="1"/>
  <c r="D17" i="2"/>
  <c r="I16" i="2"/>
  <c r="J16" i="2" s="1"/>
  <c r="K16" i="2" s="1"/>
  <c r="D16" i="2"/>
  <c r="I15" i="2"/>
  <c r="J15" i="2" s="1"/>
  <c r="K15" i="2" s="1"/>
  <c r="D15" i="2"/>
  <c r="F10" i="2"/>
  <c r="E5" i="2"/>
  <c r="E4" i="2"/>
  <c r="I15" i="1"/>
  <c r="J15" i="1" s="1"/>
  <c r="K15" i="1" s="1"/>
  <c r="M15" i="3" l="1"/>
  <c r="N15" i="3" s="1"/>
  <c r="O15" i="3" s="1"/>
  <c r="L15" i="3"/>
  <c r="L16" i="3"/>
  <c r="L17" i="3"/>
  <c r="L16" i="2"/>
  <c r="L17" i="2"/>
  <c r="L15" i="2"/>
  <c r="M16" i="2" s="1"/>
  <c r="N16" i="2" s="1"/>
  <c r="O16" i="2" s="1"/>
  <c r="M15" i="2"/>
  <c r="N15" i="2" s="1"/>
  <c r="O15" i="2" s="1"/>
  <c r="M15" i="1"/>
  <c r="N15" i="1" s="1"/>
  <c r="L15" i="1"/>
  <c r="I16" i="1"/>
  <c r="M16" i="3" l="1"/>
  <c r="N16" i="3" s="1"/>
  <c r="O16" i="3" s="1"/>
  <c r="M17" i="2"/>
  <c r="N17" i="2" s="1"/>
  <c r="O17" i="2" s="1"/>
  <c r="O22" i="2" s="1"/>
  <c r="J16" i="1"/>
  <c r="K16" i="1" s="1"/>
  <c r="I17" i="1"/>
  <c r="J17" i="1" s="1"/>
  <c r="K17" i="1" s="1"/>
  <c r="D17" i="1"/>
  <c r="D16" i="1"/>
  <c r="D15" i="1"/>
  <c r="F10" i="1"/>
  <c r="O15" i="1" s="1"/>
  <c r="E4" i="1"/>
  <c r="E5" i="1" s="1"/>
  <c r="M17" i="3" l="1"/>
  <c r="N17" i="3" s="1"/>
  <c r="O17" i="3" s="1"/>
  <c r="O22" i="3" s="1"/>
  <c r="O24" i="3" s="1"/>
  <c r="Q24" i="3" s="1"/>
  <c r="O24" i="2"/>
  <c r="Q24" i="2" s="1"/>
  <c r="Q22" i="2"/>
  <c r="L17" i="1"/>
  <c r="L16" i="1"/>
  <c r="Q22" i="3" l="1"/>
  <c r="M16" i="1"/>
  <c r="N16" i="1" s="1"/>
  <c r="O16" i="1" s="1"/>
  <c r="M17" i="1" l="1"/>
  <c r="N17" i="1" l="1"/>
  <c r="O17" i="1" s="1"/>
  <c r="O22" i="1" s="1"/>
  <c r="Q22" i="1" s="1"/>
  <c r="O24" i="1" l="1"/>
  <c r="Q24" i="1" s="1"/>
</calcChain>
</file>

<file path=xl/sharedStrings.xml><?xml version="1.0" encoding="utf-8"?>
<sst xmlns="http://schemas.openxmlformats.org/spreadsheetml/2006/main" count="191" uniqueCount="61">
  <si>
    <t xml:space="preserve">Diameter </t>
  </si>
  <si>
    <t>inch</t>
  </si>
  <si>
    <t>cm</t>
  </si>
  <si>
    <t>V cR/t=P A/L (Ci-CR)</t>
  </si>
  <si>
    <t>Area (A)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</si>
  <si>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</si>
  <si>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P=V cR L / t A (ci-cR)</t>
  </si>
  <si>
    <t>Volume (V)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</si>
  <si>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</si>
  <si>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Initial concentration (Ci)</t>
  </si>
  <si>
    <t>M</t>
  </si>
  <si>
    <t>conc after=conc diluted*(Vtot-vdiluted)/vtot</t>
  </si>
  <si>
    <t>Slope @ nm</t>
  </si>
  <si>
    <t>abs/uM</t>
  </si>
  <si>
    <t>conc equilibrium1=conc measured1-conc after 0+conc equil0</t>
  </si>
  <si>
    <t>Thickness (L)</t>
  </si>
  <si>
    <t>um</t>
  </si>
  <si>
    <t>Time [d]</t>
  </si>
  <si>
    <t>Time [h]</t>
  </si>
  <si>
    <t>Time [min]</t>
  </si>
  <si>
    <t>Time tot [min]</t>
  </si>
  <si>
    <t>ul Diluted</t>
  </si>
  <si>
    <t>Dilution tot volume (uL)</t>
  </si>
  <si>
    <t>Abs.</t>
  </si>
  <si>
    <t>Conc. [µmol] </t>
  </si>
  <si>
    <t>Conc. [M]</t>
  </si>
  <si>
    <t>Conc. real [M]</t>
  </si>
  <si>
    <t>Conc. after (M)</t>
  </si>
  <si>
    <t>ln(1-2Cr/Cd)</t>
  </si>
  <si>
    <t>VLln(1-2Cr/Cd)/2A</t>
  </si>
  <si>
    <t>Permeability from the slope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</si>
  <si>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</si>
  <si>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</si>
  <si>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error</t>
  </si>
  <si>
    <t>cm²/s</t>
  </si>
  <si>
    <t>Cb</t>
  </si>
  <si>
    <t>C afte</t>
  </si>
  <si>
    <t>Cx</t>
  </si>
  <si>
    <t>crossed-over. conc. (M)</t>
  </si>
  <si>
    <t>vs</t>
  </si>
  <si>
    <t>donating side solution</t>
  </si>
  <si>
    <t>receiving side solution</t>
  </si>
  <si>
    <t>Adams &amp; Chittenden Hcell</t>
  </si>
  <si>
    <t>TYG</t>
  </si>
  <si>
    <t>NR212</t>
  </si>
  <si>
    <t>24hr soak 1M H2SO4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</si>
  <si>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</si>
  <si>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ie dilute 500 uL from Hcell to 2000 uL using 1500 uL</t>
  </si>
  <si>
    <t>of extra receptor, in the cuvette. Mix w pipette</t>
  </si>
  <si>
    <t xml:space="preserve">Measured conc. of diluted </t>
  </si>
  <si>
    <t>sample</t>
  </si>
  <si>
    <t>receptor cell</t>
  </si>
  <si>
    <t>Real conc. in</t>
  </si>
  <si>
    <t>Conc. in receptor</t>
  </si>
  <si>
    <t>after measurement</t>
  </si>
  <si>
    <t>How much</t>
  </si>
  <si>
    <t>has crossed?</t>
  </si>
  <si>
    <t>2023 apr</t>
  </si>
  <si>
    <t>328 nm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</si>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</sst>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/>
    <xf numFmtId="11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7" fillId="0" borderId="0" xfId="0" applyFont="1"/>
    <xf numFmtId="11" fontId="7" fillId="0" borderId="0" xfId="0" applyNumberFormat="1" applyFont="1"/>
    <xf numFmtId="1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'N117 AR 1'!$D$15:$D$17</c:f>
              <c:numCache>
                <c:formatCode>General</c:formatCode>
                <c:ptCount val="3"/>
                <c:pt idx="0">
                  <c:v>4538</c:v>
                </c:pt>
                <c:pt idx="1">
                  <c:v>7324</c:v>
                </c:pt>
                <c:pt idx="2">
                  <c:v>10158</c:v>
                </c:pt>
              </c:numCache>
            </c:numRef>
          </c:xVal>
          <c:yVal>
            <c:numRef>
              <c:f>'N117 AR 1'!$O$15:$O$17</c:f>
              <c:numCache>
                <c:formatCode>General</c:formatCode>
                <c:ptCount val="3"/>
                <c:pt idx="0">
                  <c:v>7.2393429910913695E-5</c:v>
                </c:pt>
                <c:pt idx="1">
                  <c:v>1.1107931344448188E-4</c:v>
                </c:pt>
                <c:pt idx="2">
                  <c:v>1.5231450771227936E-4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D-4B86-9B56-0D6BF027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'N117 A 2'!$D$15:$D$17</c:f>
              <c:numCache>
                <c:formatCode>General</c:formatCode>
                <c:ptCount val="3"/>
                <c:pt idx="0">
                  <c:v>4514</c:v>
                </c:pt>
                <c:pt idx="1">
                  <c:v>7300</c:v>
                </c:pt>
                <c:pt idx="2">
                  <c:v>10138</c:v>
                </c:pt>
              </c:numCache>
            </c:numRef>
          </c:xVal>
          <c:yVal>
            <c:numRef>
              <c:f>'N117 A 2'!$O$15:$O$17</c:f>
              <c:numCache>
                <c:formatCode>General</c:formatCode>
                <c:ptCount val="3"/>
                <c:pt idx="0">
                  <c:v>7.7838992315507063E-5</c:v>
                </c:pt>
                <c:pt idx="1">
                  <c:v>1.1570611255983092E-4</c:v>
                </c:pt>
                <c:pt idx="2">
                  <c:v>1.5620613426140997E-4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5-4DE7-8FB5-DA84B0EA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'N117 AR 3'!$D$15:$D$17</c:f>
              <c:numCache>
                <c:formatCode>General</c:formatCode>
                <c:ptCount val="3"/>
                <c:pt idx="0">
                  <c:v>4498</c:v>
                </c:pt>
                <c:pt idx="1">
                  <c:v>7292</c:v>
                </c:pt>
                <c:pt idx="2">
                  <c:v>10125</c:v>
                </c:pt>
              </c:numCache>
            </c:numRef>
          </c:xVal>
          <c:yVal>
            <c:numRef>
              <c:f>'N117 AR 3'!$O$15:$O$17</c:f>
              <c:numCache>
                <c:formatCode>General</c:formatCode>
                <c:ptCount val="3"/>
                <c:pt idx="0">
                  <c:v>7.4531181292202125E-5</c:v>
                </c:pt>
                <c:pt idx="1">
                  <c:v>1.1039238921104223E-4</c:v>
                </c:pt>
                <c:pt idx="2">
                  <c:v>1.4881337342146798E-4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E-4797-97E7-2E41FD7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72F9-D637-44F0-9C8A-17F9269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1992-84A7-4D7F-A55B-30B5F49A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736E-80A3-4D0B-978D-8547511B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6869-480E-45C0-AF79-A925D3ED1E6E}">
  <dimension ref="A1:W39"/>
  <sheetViews>
    <sheetView tabSelected="1" topLeftCell="E1" zoomScale="70" zoomScaleNormal="60" workbookViewId="0">
      <selection activeCell="T17" sqref="T17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183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1.83E-2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3</v>
      </c>
      <c r="B15" s="27">
        <v>3</v>
      </c>
      <c r="C15" s="12">
        <v>38</v>
      </c>
      <c r="D15" s="12">
        <f t="shared" ref="D15:D17" si="0">A15*60*24+B15*60+C15</f>
        <v>4538</v>
      </c>
      <c r="E15" s="12">
        <v>2000</v>
      </c>
      <c r="F15" s="12">
        <v>2000</v>
      </c>
      <c r="G15" s="12"/>
      <c r="H15">
        <v>0.36928987503051802</v>
      </c>
      <c r="I15" s="12">
        <f>H15/($B$9)</f>
        <v>78.239380303075848</v>
      </c>
      <c r="J15" s="13">
        <f>I15/(10^6)</f>
        <v>7.823938030307585E-5</v>
      </c>
      <c r="K15" s="14">
        <f>J15*F15/E15</f>
        <v>7.823938030307585E-5</v>
      </c>
      <c r="L15" s="14">
        <f>K15*($E$6-($E15/1000))/$E$6</f>
        <v>6.2591504242460677E-5</v>
      </c>
      <c r="M15" s="14">
        <f>(K15-L14)+M14</f>
        <v>7.823938030307585E-5</v>
      </c>
      <c r="N15" s="13">
        <f>LN(1-2*M15/$E$7)</f>
        <v>-1.5660131648471849E-3</v>
      </c>
      <c r="O15" s="12">
        <f>-N15*$E$6*$F$10/(2*$E$5)</f>
        <v>7.2393429910913695E-5</v>
      </c>
      <c r="Q15" s="14">
        <f xml:space="preserve"> (M15*0.01)/($E$5*(D15*60))</f>
        <v>1.4517515912333127E-12</v>
      </c>
    </row>
    <row r="16" spans="1:18" s="8" customFormat="1" x14ac:dyDescent="0.35">
      <c r="A16" s="12">
        <v>5</v>
      </c>
      <c r="B16" s="12">
        <v>2</v>
      </c>
      <c r="C16" s="12">
        <v>4</v>
      </c>
      <c r="D16" s="12">
        <f t="shared" si="0"/>
        <v>7324</v>
      </c>
      <c r="E16" s="12">
        <v>2000</v>
      </c>
      <c r="F16" s="12">
        <v>2000</v>
      </c>
      <c r="G16" s="12"/>
      <c r="H16">
        <v>0.49253749847412098</v>
      </c>
      <c r="I16" s="12">
        <f>H16/($B$9)</f>
        <v>104.35116493095784</v>
      </c>
      <c r="J16" s="13">
        <f t="shared" ref="J16:J17" si="1">I16/(10^6)</f>
        <v>1.0435116493095784E-4</v>
      </c>
      <c r="K16" s="14">
        <f t="shared" ref="K16" si="2">J16*F16/E16</f>
        <v>1.0435116493095784E-4</v>
      </c>
      <c r="L16" s="14">
        <f>K16*($E$6-($E16/1000))/$E$6</f>
        <v>8.3480931944766265E-5</v>
      </c>
      <c r="M16" s="14">
        <f>(K16-L15)+M15</f>
        <v>1.1999904099157301E-4</v>
      </c>
      <c r="N16" s="13">
        <f t="shared" ref="N16:N17" si="3">LN(1-2*M16/$E$7)</f>
        <v>-2.4028653899988983E-3</v>
      </c>
      <c r="O16" s="12">
        <f t="shared" ref="O16:O17" si="4">-N16*$E$6*$F$10/(2*$E$5)</f>
        <v>1.1107931344448188E-4</v>
      </c>
      <c r="Q16" s="14">
        <f xml:space="preserve"> (M16*0.01-M15*0.01)/($E$5*(D16*60-D15*60))</f>
        <v>1.2621391826275027E-12</v>
      </c>
    </row>
    <row r="17" spans="1:23" s="8" customFormat="1" x14ac:dyDescent="0.35">
      <c r="A17" s="12">
        <v>7</v>
      </c>
      <c r="B17" s="12">
        <v>1</v>
      </c>
      <c r="C17" s="12">
        <v>18</v>
      </c>
      <c r="D17" s="12">
        <f t="shared" si="0"/>
        <v>10158</v>
      </c>
      <c r="E17" s="12">
        <v>2000</v>
      </c>
      <c r="F17" s="12">
        <v>2000</v>
      </c>
      <c r="G17" s="12"/>
      <c r="H17">
        <v>0.60394287109375</v>
      </c>
      <c r="I17" s="12">
        <f t="shared" ref="I17" si="5">H17/($B$9)</f>
        <v>127.95399811308262</v>
      </c>
      <c r="J17" s="13">
        <f t="shared" si="1"/>
        <v>1.2795399811308262E-4</v>
      </c>
      <c r="K17" s="8">
        <f>J17*F17/E17</f>
        <v>1.2795399811308262E-4</v>
      </c>
      <c r="L17" s="14">
        <f>K17*($E$6-($E17/1000))/$E$6</f>
        <v>1.023631984904661E-4</v>
      </c>
      <c r="M17" s="14">
        <f t="shared" ref="M17" si="6">(K17-L16)+M16</f>
        <v>1.6447210715988937E-4</v>
      </c>
      <c r="N17" s="13">
        <f t="shared" si="3"/>
        <v>-3.2948642517445967E-3</v>
      </c>
      <c r="O17" s="12">
        <f t="shared" si="4"/>
        <v>1.5231450771227936E-4</v>
      </c>
      <c r="Q17" s="14">
        <f xml:space="preserve"> (M17*0.01-M16*0.01)/($E$5*(D17*60-D16*60))</f>
        <v>1.3213827318963723E-12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1.3450911685857293E-12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1.4221777962853408E-8</v>
      </c>
      <c r="P22" s="38" t="s">
        <v>31</v>
      </c>
      <c r="Q22" s="39">
        <f>O22/60</f>
        <v>2.3702963271422347E-10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3.6123316025647626E-10</v>
      </c>
      <c r="P24" s="44" t="s">
        <v>31</v>
      </c>
      <c r="Q24" s="44">
        <f>O24/60</f>
        <v>6.0205526709412709E-12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0EA-9324-4316-9211-F1A88176FF64}">
  <dimension ref="A1:W39"/>
  <sheetViews>
    <sheetView topLeftCell="E1"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183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1.83E-2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3</v>
      </c>
      <c r="B15" s="27">
        <v>3</v>
      </c>
      <c r="C15" s="12">
        <v>14</v>
      </c>
      <c r="D15" s="12">
        <f t="shared" ref="D15:D17" si="0">A15*60*24+B15*60+C15</f>
        <v>4514</v>
      </c>
      <c r="E15" s="12">
        <v>2000</v>
      </c>
      <c r="F15" s="12">
        <v>2000</v>
      </c>
      <c r="G15" s="12"/>
      <c r="H15">
        <v>0.39704513549804699</v>
      </c>
      <c r="I15" s="12">
        <f>H15/($B$9)</f>
        <v>84.119732097043851</v>
      </c>
      <c r="J15" s="13">
        <f>I15/(10^6)</f>
        <v>8.4119732097043848E-5</v>
      </c>
      <c r="K15" s="14">
        <f>J15*F15/E15</f>
        <v>8.4119732097043848E-5</v>
      </c>
      <c r="L15" s="14">
        <f>K15*($E$6-($E15/1000))/$E$6</f>
        <v>6.7295785677635078E-5</v>
      </c>
      <c r="M15" s="14">
        <f>(K15-L14)+M14</f>
        <v>8.4119732097043848E-5</v>
      </c>
      <c r="N15" s="13">
        <f>LN(1-2*M15/$E$7)</f>
        <v>-1.6838114571243203E-3</v>
      </c>
      <c r="O15" s="12">
        <f>-N15*$E$6*$F$10/(2*$E$5)</f>
        <v>7.7838992315507063E-5</v>
      </c>
      <c r="Q15" s="14">
        <f xml:space="preserve"> (M15*0.01)/($E$5*(D15*60))</f>
        <v>1.5691617979498857E-12</v>
      </c>
    </row>
    <row r="16" spans="1:18" s="8" customFormat="1" x14ac:dyDescent="0.35">
      <c r="A16" s="12">
        <v>5</v>
      </c>
      <c r="B16" s="12">
        <v>1</v>
      </c>
      <c r="C16" s="12">
        <v>40</v>
      </c>
      <c r="D16" s="12">
        <f t="shared" si="0"/>
        <v>7300</v>
      </c>
      <c r="E16" s="12">
        <v>2000</v>
      </c>
      <c r="F16" s="12">
        <v>2000</v>
      </c>
      <c r="G16" s="12"/>
      <c r="H16">
        <v>0.51054906845092796</v>
      </c>
      <c r="I16" s="12">
        <f>H16/($B$9)</f>
        <v>108.16717551926439</v>
      </c>
      <c r="J16" s="13">
        <f t="shared" ref="J16:J17" si="1">I16/(10^6)</f>
        <v>1.0816717551926439E-4</v>
      </c>
      <c r="K16" s="14">
        <f t="shared" ref="K16" si="2">J16*F16/E16</f>
        <v>1.0816717551926439E-4</v>
      </c>
      <c r="L16" s="14">
        <f>K16*($E$6-($E16/1000))/$E$6</f>
        <v>8.6533740415411511E-5</v>
      </c>
      <c r="M16" s="14">
        <f>(K16-L15)+M15</f>
        <v>1.2499112193867316E-4</v>
      </c>
      <c r="N16" s="13">
        <f t="shared" ref="N16:N17" si="3">LN(1-2*M16/$E$7)</f>
        <v>-2.5029522118922148E-3</v>
      </c>
      <c r="O16" s="12">
        <f t="shared" ref="O16:O17" si="4">-N16*$E$6*$F$10/(2*$E$5)</f>
        <v>1.1570611255983092E-4</v>
      </c>
      <c r="Q16" s="14">
        <f xml:space="preserve"> (M16*0.01-M15*0.01)/($E$5*(D16*60-D15*60))</f>
        <v>1.2352921866956983E-12</v>
      </c>
    </row>
    <row r="17" spans="1:23" s="8" customFormat="1" x14ac:dyDescent="0.35">
      <c r="A17" s="12">
        <v>7</v>
      </c>
      <c r="B17" s="12">
        <v>0</v>
      </c>
      <c r="C17" s="12">
        <v>58</v>
      </c>
      <c r="D17" s="12">
        <f t="shared" si="0"/>
        <v>10138</v>
      </c>
      <c r="E17" s="12">
        <v>2000</v>
      </c>
      <c r="F17" s="12">
        <v>2000</v>
      </c>
      <c r="G17" s="12"/>
      <c r="H17" s="8">
        <v>0.61459064500000005</v>
      </c>
      <c r="I17" s="12">
        <f t="shared" ref="I17" si="5">H17/($B$9)</f>
        <v>130.20988241525424</v>
      </c>
      <c r="J17" s="13">
        <f t="shared" si="1"/>
        <v>1.3020988241525423E-4</v>
      </c>
      <c r="K17" s="8">
        <f>J17*F17/E17</f>
        <v>1.3020988241525423E-4</v>
      </c>
      <c r="L17" s="14">
        <f>K17*($E$6-($E17/1000))/$E$6</f>
        <v>1.0416790593220338E-4</v>
      </c>
      <c r="M17" s="14">
        <f t="shared" ref="M17" si="6">(K17-L16)+M16</f>
        <v>1.6866726393851588E-4</v>
      </c>
      <c r="N17" s="13">
        <f t="shared" si="3"/>
        <v>-3.3790478360298977E-3</v>
      </c>
      <c r="O17" s="12">
        <f t="shared" si="4"/>
        <v>1.5620613426140997E-4</v>
      </c>
      <c r="Q17" s="14">
        <f xml:space="preserve"> (M17*0.01-M16*0.01)/($E$5*(D17*60-D16*60))</f>
        <v>1.2958754981738935E-12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1.3667764942731592E-12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1.3935459326429462E-8</v>
      </c>
      <c r="P22" s="38" t="s">
        <v>31</v>
      </c>
      <c r="Q22" s="39">
        <f>O22/60</f>
        <v>2.3225765544049105E-10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3.5396066689130804E-10</v>
      </c>
      <c r="P24" s="44" t="s">
        <v>31</v>
      </c>
      <c r="Q24" s="44">
        <f>O24/60</f>
        <v>5.8993444481884671E-12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DD4-5D19-48DD-961E-7CFACC1A2D8C}">
  <dimension ref="A1:W39"/>
  <sheetViews>
    <sheetView topLeftCell="E12" zoomScale="70" zoomScaleNormal="60" workbookViewId="0">
      <selection activeCell="S18" sqref="S18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58</v>
      </c>
      <c r="E9" s="32" t="s">
        <v>15</v>
      </c>
      <c r="F9" s="8">
        <v>183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1.83E-2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57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3</v>
      </c>
      <c r="B15" s="27">
        <v>2</v>
      </c>
      <c r="C15" s="12">
        <v>58</v>
      </c>
      <c r="D15" s="12">
        <f t="shared" ref="D15:D17" si="0">A15*60*24+B15*60+C15</f>
        <v>4498</v>
      </c>
      <c r="E15" s="12">
        <v>2000</v>
      </c>
      <c r="F15" s="12">
        <v>2000</v>
      </c>
      <c r="G15" s="12"/>
      <c r="H15" s="8">
        <v>0.38018608093261702</v>
      </c>
      <c r="I15" s="12">
        <f>H15/($B$9)</f>
        <v>80.547898502673092</v>
      </c>
      <c r="J15" s="13">
        <f>I15/(10^6)</f>
        <v>8.0547898502673088E-5</v>
      </c>
      <c r="K15" s="14">
        <f>J15*F15/E15</f>
        <v>8.0547898502673088E-5</v>
      </c>
      <c r="L15" s="14">
        <f>K15*($E$6-($E15/1000))/$E$6</f>
        <v>6.4438318802138465E-5</v>
      </c>
      <c r="M15" s="14">
        <f>(K15-L14)+M14</f>
        <v>8.0547898502673088E-5</v>
      </c>
      <c r="N15" s="13">
        <f>LN(1-2*M15/$E$7)</f>
        <v>-1.612256958108364E-3</v>
      </c>
      <c r="O15" s="12">
        <f>-N15*$E$6*$F$10/(2*$E$5)</f>
        <v>7.4531181292202125E-5</v>
      </c>
      <c r="Q15" s="14">
        <f xml:space="preserve"> (M15*0.01)/($E$5*(D15*60))</f>
        <v>1.5078778558619257E-12</v>
      </c>
    </row>
    <row r="16" spans="1:18" s="8" customFormat="1" x14ac:dyDescent="0.35">
      <c r="A16" s="12">
        <v>5</v>
      </c>
      <c r="B16" s="12">
        <v>1</v>
      </c>
      <c r="C16" s="12">
        <v>32</v>
      </c>
      <c r="D16" s="12">
        <f t="shared" si="0"/>
        <v>7292</v>
      </c>
      <c r="E16" s="12">
        <v>2000</v>
      </c>
      <c r="F16" s="12">
        <v>2000</v>
      </c>
      <c r="G16" s="12"/>
      <c r="H16" s="8">
        <v>0.48685979843139698</v>
      </c>
      <c r="I16" s="12">
        <f>H16/($B$9)</f>
        <v>103.14826237953325</v>
      </c>
      <c r="J16" s="13">
        <f t="shared" ref="J16:J17" si="1">I16/(10^6)</f>
        <v>1.0314826237953324E-4</v>
      </c>
      <c r="K16" s="14">
        <f t="shared" ref="K16" si="2">J16*F16/E16</f>
        <v>1.0314826237953324E-4</v>
      </c>
      <c r="L16" s="14">
        <f>K16*($E$6-($E16/1000))/$E$6</f>
        <v>8.2518609903626597E-5</v>
      </c>
      <c r="M16" s="14">
        <f>(K16-L15)+M15</f>
        <v>1.1925784208006787E-4</v>
      </c>
      <c r="N16" s="13">
        <f t="shared" ref="N16:N17" si="3">LN(1-2*M16/$E$7)</f>
        <v>-2.3880058593185199E-3</v>
      </c>
      <c r="O16" s="12">
        <f t="shared" ref="O16:O17" si="4">-N16*$E$6*$F$10/(2*$E$5)</f>
        <v>1.1039238921104223E-4</v>
      </c>
      <c r="Q16" s="14">
        <f xml:space="preserve"> (M16*0.01-M15*0.01)/($E$5*(D16*60-D15*60))</f>
        <v>1.1666149481119845E-12</v>
      </c>
    </row>
    <row r="17" spans="1:23" s="8" customFormat="1" x14ac:dyDescent="0.35">
      <c r="A17" s="12">
        <v>7</v>
      </c>
      <c r="B17" s="12">
        <v>0</v>
      </c>
      <c r="C17" s="12">
        <v>45</v>
      </c>
      <c r="D17" s="12">
        <f t="shared" si="0"/>
        <v>10125</v>
      </c>
      <c r="E17" s="12">
        <v>2000</v>
      </c>
      <c r="F17" s="12">
        <v>2000</v>
      </c>
      <c r="G17" s="12"/>
      <c r="H17" s="8">
        <v>0.58508348464965898</v>
      </c>
      <c r="I17" s="12">
        <f t="shared" ref="I17" si="5">H17/($B$9)</f>
        <v>123.9583653918769</v>
      </c>
      <c r="J17" s="13">
        <f t="shared" si="1"/>
        <v>1.2395836539187691E-4</v>
      </c>
      <c r="K17" s="8">
        <f>J17*F17/E17</f>
        <v>1.2395836539187691E-4</v>
      </c>
      <c r="L17" s="14">
        <f>K17*($E$6-($E17/1000))/$E$6</f>
        <v>9.9166692313501522E-5</v>
      </c>
      <c r="M17" s="14">
        <f t="shared" ref="M17" si="6">(K17-L16)+M16</f>
        <v>1.6069759756831819E-4</v>
      </c>
      <c r="N17" s="13">
        <f t="shared" si="3"/>
        <v>-3.2191277878409587E-3</v>
      </c>
      <c r="O17" s="12">
        <f t="shared" si="4"/>
        <v>1.4881337342146798E-4</v>
      </c>
      <c r="Q17" s="14">
        <f xml:space="preserve"> (M17*0.01-M16*0.01)/($E$5*(D17*60-D16*60))</f>
        <v>1.2316916863155274E-12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1.3020614967631458E-12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1.3201868926334601E-8</v>
      </c>
      <c r="P22" s="38" t="s">
        <v>31</v>
      </c>
      <c r="Q22" s="39">
        <f>O22/60</f>
        <v>2.2003114877224334E-10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3.353274707288986E-10</v>
      </c>
      <c r="P24" s="44" t="s">
        <v>31</v>
      </c>
      <c r="Q24" s="44">
        <f>O24/60</f>
        <v>5.5887911788149767E-12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56">
        <v>1</v>
      </c>
      <c r="O28" s="2">
        <v>2.3702963271422347E-10</v>
      </c>
      <c r="P28">
        <v>1.3450911685857293E-12</v>
      </c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57">
        <v>2</v>
      </c>
      <c r="O29" s="2">
        <v>2.3225765544049105E-10</v>
      </c>
      <c r="P29">
        <v>1.3667764942731592E-12</v>
      </c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57">
        <v>3</v>
      </c>
      <c r="O30" s="12">
        <v>2.2003114877224334E-10</v>
      </c>
      <c r="P30">
        <v>1.3020614967631458E-12</v>
      </c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58" t="s">
        <v>59</v>
      </c>
      <c r="O31" s="59">
        <f xml:space="preserve"> AVERAGE(O28:O30)</f>
        <v>2.2977281230898592E-10</v>
      </c>
      <c r="P31" s="59">
        <f xml:space="preserve"> AVERAGE(P28:P30)</f>
        <v>1.3379763865406781E-12</v>
      </c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58" t="s">
        <v>60</v>
      </c>
      <c r="O32" s="59">
        <f xml:space="preserve"> _xlfn.STDEV.P(O28:O30)</f>
        <v>7.1585821744523354E-12</v>
      </c>
      <c r="P32" s="59">
        <f xml:space="preserve"> _xlfn.STDEV.P(P28:P30)</f>
        <v>2.6894520115216735E-14</v>
      </c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N117 AR 1</vt:lpstr>
      <vt:lpstr>N117 A 2</vt:lpstr>
      <vt:lpstr>N117 AR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</dc:creator>
  <cp:keywords/>
  <dc:description/>
  <cp:lastModifiedBy>Tommy George</cp:lastModifiedBy>
  <cp:revision/>
  <dcterms:created xsi:type="dcterms:W3CDTF">2018-04-13T20:55:47Z</dcterms:created>
  <dcterms:modified xsi:type="dcterms:W3CDTF">2023-06-14T16:24:14Z</dcterms:modified>
  <cp:category/>
  <cp:contentStatus/>
</cp:coreProperties>
</file>