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geo\Desktop\PhD Research\Research Project Files\Research - Symmetric cell crossover\symmetric cell crossover\NR211 broken\"/>
    </mc:Choice>
  </mc:AlternateContent>
  <xr:revisionPtr revIDLastSave="0" documentId="13_ncr:1_{F4258F9F-B7E7-4440-804B-11C3A4C16712}" xr6:coauthVersionLast="47" xr6:coauthVersionMax="47" xr10:uidLastSave="{00000000-0000-0000-0000-000000000000}"/>
  <bookViews>
    <workbookView xWindow="-110" yWindow="-110" windowWidth="19420" windowHeight="10300" activeTab="2" xr2:uid="{F73AB753-5E42-4249-8B1E-C003C6AA4375}"/>
  </bookViews>
  <sheets>
    <sheet name="NR211 AR 1" sheetId="1" r:id="rId1"/>
    <sheet name="NR211 AR 2" sheetId="2" r:id="rId2"/>
    <sheet name="NR211 AR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2" i="3" l="1"/>
  <c r="P31" i="3"/>
  <c r="Q17" i="3"/>
  <c r="Q16" i="3"/>
  <c r="Q19" i="3" s="1"/>
  <c r="Q15" i="3"/>
  <c r="Q19" i="2"/>
  <c r="Q17" i="2"/>
  <c r="Q16" i="2"/>
  <c r="Q15" i="2"/>
  <c r="Q17" i="1"/>
  <c r="Q16" i="1"/>
  <c r="Q15" i="1"/>
  <c r="Q19" i="1" s="1"/>
  <c r="Q22" i="2"/>
  <c r="C17" i="2"/>
  <c r="D16" i="1"/>
  <c r="D17" i="1"/>
  <c r="D15" i="1"/>
  <c r="D15" i="2"/>
  <c r="D16" i="2"/>
  <c r="C15" i="1"/>
  <c r="O32" i="3"/>
  <c r="O31" i="3"/>
  <c r="I17" i="3"/>
  <c r="J17" i="3" s="1"/>
  <c r="K17" i="3" s="1"/>
  <c r="D17" i="3"/>
  <c r="I16" i="3"/>
  <c r="J16" i="3" s="1"/>
  <c r="K16" i="3" s="1"/>
  <c r="D16" i="3"/>
  <c r="I15" i="3"/>
  <c r="J15" i="3" s="1"/>
  <c r="K15" i="3" s="1"/>
  <c r="D15" i="3"/>
  <c r="F10" i="3"/>
  <c r="E4" i="3"/>
  <c r="E5" i="3" s="1"/>
  <c r="I17" i="2"/>
  <c r="J17" i="2" s="1"/>
  <c r="K17" i="2" s="1"/>
  <c r="D17" i="2"/>
  <c r="I16" i="2"/>
  <c r="J16" i="2" s="1"/>
  <c r="K16" i="2" s="1"/>
  <c r="I15" i="2"/>
  <c r="J15" i="2" s="1"/>
  <c r="K15" i="2" s="1"/>
  <c r="F10" i="2"/>
  <c r="E5" i="2"/>
  <c r="E4" i="2"/>
  <c r="I15" i="1"/>
  <c r="J15" i="1" s="1"/>
  <c r="K15" i="1" s="1"/>
  <c r="M15" i="3" l="1"/>
  <c r="N15" i="3" s="1"/>
  <c r="O15" i="3" s="1"/>
  <c r="L15" i="3"/>
  <c r="M16" i="3" s="1"/>
  <c r="N16" i="3" s="1"/>
  <c r="O16" i="3" s="1"/>
  <c r="L16" i="3"/>
  <c r="L17" i="3"/>
  <c r="L16" i="2"/>
  <c r="L17" i="2"/>
  <c r="L15" i="2"/>
  <c r="M15" i="2"/>
  <c r="N15" i="2" s="1"/>
  <c r="O15" i="2" s="1"/>
  <c r="M15" i="1"/>
  <c r="N15" i="1" s="1"/>
  <c r="L15" i="1"/>
  <c r="I16" i="1"/>
  <c r="M16" i="2" l="1"/>
  <c r="N16" i="2" s="1"/>
  <c r="O16" i="2" s="1"/>
  <c r="M17" i="3"/>
  <c r="N17" i="3" s="1"/>
  <c r="O17" i="3" s="1"/>
  <c r="O22" i="3" s="1"/>
  <c r="J16" i="1"/>
  <c r="K16" i="1" s="1"/>
  <c r="I17" i="1"/>
  <c r="J17" i="1" s="1"/>
  <c r="K17" i="1" s="1"/>
  <c r="F10" i="1"/>
  <c r="O15" i="1" s="1"/>
  <c r="E4" i="1"/>
  <c r="E5" i="1" s="1"/>
  <c r="M17" i="2" l="1"/>
  <c r="N17" i="2" s="1"/>
  <c r="O17" i="2" s="1"/>
  <c r="O22" i="2" s="1"/>
  <c r="O24" i="2" s="1"/>
  <c r="Q24" i="2" s="1"/>
  <c r="O24" i="3"/>
  <c r="Q24" i="3" s="1"/>
  <c r="Q22" i="3"/>
  <c r="L17" i="1"/>
  <c r="L16" i="1"/>
  <c r="M16" i="1" l="1"/>
  <c r="N16" i="1" s="1"/>
  <c r="O16" i="1" s="1"/>
  <c r="M17" i="1" l="1"/>
  <c r="N17" i="1" l="1"/>
  <c r="O17" i="1" s="1"/>
  <c r="O22" i="1" s="1"/>
  <c r="Q22" i="1" s="1"/>
  <c r="O24" i="1" l="1"/>
  <c r="Q24" i="1" s="1"/>
</calcChain>
</file>

<file path=xl/sharedStrings.xml><?xml version="1.0" encoding="utf-8"?>
<sst xmlns="http://schemas.openxmlformats.org/spreadsheetml/2006/main" count="191" uniqueCount="61">
  <si>
    <t xml:space="preserve">Diameter </t>
  </si>
  <si>
    <t>inch</t>
  </si>
  <si>
    <t>cm</t>
  </si>
  <si>
    <t>V cR/t=P A/L (Ci-CR)</t>
  </si>
  <si>
    <t>Area (A)</t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</si>
  <si>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</si>
  <si>
    <t>P=V cR L / t A (ci-cR)</t>
  </si>
  <si>
    <t>Volume (V)</t>
  </si>
  <si>
    <r>
      <t>cm</t>
    </r>
    <r>
      <rPr>
        <vertAlign val="superscript"/>
        <sz val="11"/>
        <color theme="1"/>
        <rFont val="Calibri"/>
        <family val="2"/>
        <scheme val="minor"/>
      </rPr>
      <t>3</t>
    </r>
  </si>
  <si>
    <t>Initial concentration (Ci)</t>
  </si>
  <si>
    <t>M</t>
  </si>
  <si>
    <t>conc after=conc diluted*(Vtot-vdiluted)/vtot</t>
  </si>
  <si>
    <t>Slope @ nm</t>
  </si>
  <si>
    <t>abs/uM</t>
  </si>
  <si>
    <t>conc equilibrium1=conc measured1-conc after 0+conc equil0</t>
  </si>
  <si>
    <t>Thickness (L)</t>
  </si>
  <si>
    <t>um</t>
  </si>
  <si>
    <t>Time [d]</t>
  </si>
  <si>
    <t>Time [h]</t>
  </si>
  <si>
    <t>Time [min]</t>
  </si>
  <si>
    <t>Time tot [min]</t>
  </si>
  <si>
    <t>ul Diluted</t>
  </si>
  <si>
    <t>Dilution tot volume (uL)</t>
  </si>
  <si>
    <t>Abs.</t>
  </si>
  <si>
    <t>Conc. [µmol] </t>
  </si>
  <si>
    <t>Conc. [M]</t>
  </si>
  <si>
    <t>Conc. real [M]</t>
  </si>
  <si>
    <t>Conc. after (M)</t>
  </si>
  <si>
    <t>ln(1-2Cr/Cd)</t>
  </si>
  <si>
    <t>VLln(1-2Cr/Cd)/2A</t>
  </si>
  <si>
    <t>Permeability from the slope</t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</si>
  <si>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/min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</si>
  <si>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</t>
    </r>
  </si>
  <si>
    <t>error</t>
  </si>
  <si>
    <t>cm²/s</t>
  </si>
  <si>
    <t>Cb</t>
  </si>
  <si>
    <t>C afte</t>
  </si>
  <si>
    <t>Cx</t>
  </si>
  <si>
    <t>crossed-over. conc. (M)</t>
  </si>
  <si>
    <t>vs</t>
  </si>
  <si>
    <t>donating side solution</t>
  </si>
  <si>
    <t>receiving side solution</t>
  </si>
  <si>
    <t>Adams &amp; Chittenden Hcell</t>
  </si>
  <si>
    <t>TYG</t>
  </si>
  <si>
    <t>NR212</t>
  </si>
  <si>
    <t>24hr soak 1M H2SO4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</si>
  <si>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</si>
  <si>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ie dilute 500 uL from Hcell to 2000 uL using 1500 uL</t>
  </si>
  <si>
    <t>of extra receptor, in the cuvette. Mix w pipette</t>
  </si>
  <si>
    <t xml:space="preserve">Measured conc. of diluted </t>
  </si>
  <si>
    <t>sample</t>
  </si>
  <si>
    <t>receptor cell</t>
  </si>
  <si>
    <t>Real conc. in</t>
  </si>
  <si>
    <t>Conc. in receptor</t>
  </si>
  <si>
    <t>after measurement</t>
  </si>
  <si>
    <t>How much</t>
  </si>
  <si>
    <t>has crossed?</t>
  </si>
  <si>
    <t>328 nm</t>
  </si>
  <si>
    <t>AVG</t>
  </si>
  <si>
    <t>STD</t>
  </si>
  <si>
    <t>2023 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</si>
</sst>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1"/>
    <xf numFmtId="165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0" applyFont="1"/>
    <xf numFmtId="14" fontId="0" fillId="2" borderId="0" xfId="0" applyNumberFormat="1" applyFill="1" applyAlignment="1">
      <alignment horizontal="center" vertical="center"/>
    </xf>
    <xf numFmtId="11" fontId="0" fillId="0" borderId="0" xfId="0" applyNumberForma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  <xf numFmtId="11" fontId="4" fillId="0" borderId="0" xfId="0" applyNumberFormat="1" applyFont="1"/>
    <xf numFmtId="11" fontId="4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 vertic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1" fontId="5" fillId="0" borderId="0" xfId="0" applyNumberFormat="1" applyFont="1" applyAlignment="1">
      <alignment horizontal="center" vertical="center" wrapText="1"/>
    </xf>
    <xf numFmtId="0" fontId="5" fillId="0" borderId="0" xfId="0" applyFont="1"/>
    <xf numFmtId="165" fontId="5" fillId="0" borderId="0" xfId="0" applyNumberFormat="1" applyFont="1" applyAlignment="1">
      <alignment horizontal="center" vertical="center"/>
    </xf>
    <xf numFmtId="0" fontId="7" fillId="0" borderId="0" xfId="0" applyFont="1"/>
    <xf numFmtId="11" fontId="7" fillId="0" borderId="0" xfId="0" applyNumberFormat="1" applyFont="1"/>
    <xf numFmtId="11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5" fillId="0" borderId="4" xfId="0" applyFont="1" applyBorder="1"/>
    <xf numFmtId="0" fontId="0" fillId="0" borderId="5" xfId="0" applyBorder="1"/>
    <xf numFmtId="0" fontId="5" fillId="0" borderId="6" xfId="0" applyFont="1" applyBorder="1"/>
    <xf numFmtId="0" fontId="0" fillId="0" borderId="7" xfId="0" applyBorder="1"/>
    <xf numFmtId="0" fontId="0" fillId="0" borderId="8" xfId="0" applyBorder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0" xfId="0" applyFont="1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'NR211 AR 1'!$D$15:$D$17</c:f>
              <c:numCache>
                <c:formatCode>General</c:formatCode>
                <c:ptCount val="3"/>
                <c:pt idx="0">
                  <c:v>211</c:v>
                </c:pt>
                <c:pt idx="1">
                  <c:v>281</c:v>
                </c:pt>
                <c:pt idx="2">
                  <c:v>424</c:v>
                </c:pt>
              </c:numCache>
            </c:numRef>
          </c:xVal>
          <c:yVal>
            <c:numRef>
              <c:f>'NR211 AR 1'!$O$15:$O$17</c:f>
              <c:numCache>
                <c:formatCode>General</c:formatCode>
                <c:ptCount val="3"/>
                <c:pt idx="0">
                  <c:v>9.9529792126753936E-5</c:v>
                </c:pt>
                <c:pt idx="1">
                  <c:v>1.349518092956154E-4</c:v>
                </c:pt>
                <c:pt idx="2">
                  <c:v>2.015534486248319E-4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D-4B86-9B56-0D6BF0270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94192"/>
        <c:axId val="204791536"/>
      </c:scatterChart>
      <c:valAx>
        <c:axId val="35459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Time (min</a:t>
                </a:r>
                <a:r>
                  <a:rPr lang="en-US" sz="1400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1536"/>
        <c:crosses val="autoZero"/>
        <c:crossBetween val="midCat"/>
      </c:valAx>
      <c:valAx>
        <c:axId val="2047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[ V*L*ln(1-2Cr/Cd)</a:t>
                </a:r>
                <a:r>
                  <a:rPr lang="en-US" sz="1400" b="1" baseline="0"/>
                  <a:t> ] / (2A)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9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'NR211 AR 2'!$D$15:$D$17</c:f>
              <c:numCache>
                <c:formatCode>General</c:formatCode>
                <c:ptCount val="3"/>
                <c:pt idx="0">
                  <c:v>192</c:v>
                </c:pt>
                <c:pt idx="1">
                  <c:v>253</c:v>
                </c:pt>
                <c:pt idx="2">
                  <c:v>399</c:v>
                </c:pt>
              </c:numCache>
            </c:numRef>
          </c:xVal>
          <c:yVal>
            <c:numRef>
              <c:f>'NR211 AR 2'!$O$15:$O$17</c:f>
              <c:numCache>
                <c:formatCode>General</c:formatCode>
                <c:ptCount val="3"/>
                <c:pt idx="0">
                  <c:v>8.6923484295278503E-5</c:v>
                </c:pt>
                <c:pt idx="1">
                  <c:v>1.3928918139925154E-4</c:v>
                </c:pt>
                <c:pt idx="2">
                  <c:v>2.2318743477199753E-4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05-4DE7-8FB5-DA84B0EA3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94192"/>
        <c:axId val="204791536"/>
      </c:scatterChart>
      <c:valAx>
        <c:axId val="35459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Time (min</a:t>
                </a:r>
                <a:r>
                  <a:rPr lang="en-US" sz="1400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1536"/>
        <c:crosses val="autoZero"/>
        <c:crossBetween val="midCat"/>
      </c:valAx>
      <c:valAx>
        <c:axId val="2047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[ V*L*ln(1-2Cr/Cd)</a:t>
                </a:r>
                <a:r>
                  <a:rPr lang="en-US" sz="1400" b="1" baseline="0"/>
                  <a:t> ] / (2A)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9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'NR211 AR 3'!$D$15:$D$17</c:f>
              <c:numCache>
                <c:formatCode>General</c:formatCode>
                <c:ptCount val="3"/>
                <c:pt idx="0">
                  <c:v>176</c:v>
                </c:pt>
                <c:pt idx="1">
                  <c:v>246</c:v>
                </c:pt>
                <c:pt idx="2">
                  <c:v>396</c:v>
                </c:pt>
              </c:numCache>
            </c:numRef>
          </c:xVal>
          <c:yVal>
            <c:numRef>
              <c:f>'NR211 AR 3'!$O$15:$O$17</c:f>
              <c:numCache>
                <c:formatCode>General</c:formatCode>
                <c:ptCount val="3"/>
                <c:pt idx="0">
                  <c:v>6.3832175679809467E-5</c:v>
                </c:pt>
                <c:pt idx="1">
                  <c:v>8.9758654264213069E-5</c:v>
                </c:pt>
                <c:pt idx="2">
                  <c:v>1.4661444941359159E-4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6E-4797-97E7-2E41FD748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94192"/>
        <c:axId val="204791536"/>
      </c:scatterChart>
      <c:valAx>
        <c:axId val="35459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Time (min</a:t>
                </a:r>
                <a:r>
                  <a:rPr lang="en-US" sz="1400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1536"/>
        <c:crosses val="autoZero"/>
        <c:crossBetween val="midCat"/>
      </c:valAx>
      <c:valAx>
        <c:axId val="2047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[ V*L*ln(1-2Cr/Cd)</a:t>
                </a:r>
                <a:r>
                  <a:rPr lang="en-US" sz="1400" b="1" baseline="0"/>
                  <a:t> ] / (2A)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9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2692400</xdr:colOff>
      <xdr:row>22</xdr:row>
      <xdr:rowOff>25400</xdr:rowOff>
    </xdr:from>
    <xdr:to>
      <xdr:col>9</xdr:col>
      <xdr:colOff>203200</xdr:colOff>
      <xdr:row>36</xdr:row>
      <xdr:rowOff>157480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FA72F9-D637-44F0-9C8A-17F92692B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2692400</xdr:colOff>
      <xdr:row>22</xdr:row>
      <xdr:rowOff>25400</xdr:rowOff>
    </xdr:from>
    <xdr:to>
      <xdr:col>9</xdr:col>
      <xdr:colOff>203200</xdr:colOff>
      <xdr:row>36</xdr:row>
      <xdr:rowOff>157480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7E1992-84A7-4D7F-A55B-30B5F49AA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2692400</xdr:colOff>
      <xdr:row>22</xdr:row>
      <xdr:rowOff>25400</xdr:rowOff>
    </xdr:from>
    <xdr:to>
      <xdr:col>9</xdr:col>
      <xdr:colOff>203200</xdr:colOff>
      <xdr:row>36</xdr:row>
      <xdr:rowOff>157480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B736E-80A3-4D0B-978D-8547511BB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6869-480E-45C0-AF79-A925D3ED1E6E}">
  <dimension ref="A1:W39"/>
  <sheetViews>
    <sheetView topLeftCell="E1" zoomScale="70" zoomScaleNormal="60" workbookViewId="0">
      <selection activeCell="Q19" sqref="Q19"/>
    </sheetView>
  </sheetViews>
  <sheetFormatPr defaultRowHeight="14.5" x14ac:dyDescent="0.35"/>
  <cols>
    <col min="1" max="1" width="12.54296875" bestFit="1" customWidth="1"/>
    <col min="3" max="3" width="10.90625" bestFit="1" customWidth="1"/>
    <col min="4" max="4" width="23" bestFit="1" customWidth="1"/>
    <col min="5" max="5" width="39.81640625" bestFit="1" customWidth="1"/>
    <col min="6" max="6" width="22.54296875" bestFit="1" customWidth="1"/>
    <col min="7" max="8" width="9.08984375" bestFit="1" customWidth="1"/>
    <col min="9" max="9" width="22.1796875" bestFit="1" customWidth="1"/>
    <col min="10" max="10" width="9.54296875" bestFit="1" customWidth="1"/>
    <col min="11" max="11" width="13.54296875" bestFit="1" customWidth="1"/>
    <col min="12" max="12" width="18.90625" bestFit="1" customWidth="1"/>
    <col min="13" max="13" width="13.1796875" customWidth="1"/>
    <col min="14" max="14" width="26.54296875" bestFit="1" customWidth="1"/>
    <col min="15" max="15" width="17.54296875" bestFit="1" customWidth="1"/>
    <col min="16" max="16" width="11.54296875" bestFit="1" customWidth="1"/>
    <col min="23" max="23" width="11.54296875" bestFit="1" customWidth="1"/>
  </cols>
  <sheetData>
    <row r="1" spans="1:18" x14ac:dyDescent="0.35">
      <c r="B1" s="1"/>
      <c r="C1" s="1"/>
    </row>
    <row r="2" spans="1:18" ht="15" thickBot="1" x14ac:dyDescent="0.4">
      <c r="D2" s="1"/>
      <c r="E2" s="28" t="s">
        <v>42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8" x14ac:dyDescent="0.35">
      <c r="B3" s="2"/>
      <c r="C3" s="2"/>
      <c r="D3" s="47" t="s">
        <v>0</v>
      </c>
      <c r="E3" s="48">
        <v>0.625</v>
      </c>
      <c r="F3" s="49" t="s">
        <v>1</v>
      </c>
      <c r="K3" s="2"/>
      <c r="L3" s="3"/>
      <c r="M3" s="3"/>
      <c r="N3" s="3"/>
    </row>
    <row r="4" spans="1:18" x14ac:dyDescent="0.35">
      <c r="A4" s="4"/>
      <c r="B4" s="2"/>
      <c r="C4" s="2"/>
      <c r="D4" s="50"/>
      <c r="E4" s="3">
        <f>E3*2.54</f>
        <v>1.5874999999999999</v>
      </c>
      <c r="F4" s="51" t="s">
        <v>2</v>
      </c>
      <c r="I4" t="s">
        <v>40</v>
      </c>
      <c r="K4" s="2"/>
      <c r="L4" s="2" t="s">
        <v>3</v>
      </c>
      <c r="M4" s="3"/>
      <c r="N4" s="3"/>
    </row>
    <row r="5" spans="1:18" ht="16.5" x14ac:dyDescent="0.35">
      <c r="B5" s="2"/>
      <c r="C5" s="2"/>
      <c r="D5" s="50" t="s">
        <v>4</v>
      </c>
      <c r="E5" s="5">
        <f>PI()*E4^2/4</f>
        <v>1.9793260902246004</v>
      </c>
      <c r="F5" s="51" t="s">
        <v>5</v>
      </c>
      <c r="I5" t="s">
        <v>39</v>
      </c>
      <c r="K5" s="2"/>
      <c r="L5" s="2" t="s">
        <v>6</v>
      </c>
      <c r="M5" s="5"/>
      <c r="N5" s="5"/>
    </row>
    <row r="6" spans="1:18" ht="16.5" x14ac:dyDescent="0.35">
      <c r="B6" s="2"/>
      <c r="C6" s="2"/>
      <c r="D6" s="50" t="s">
        <v>7</v>
      </c>
      <c r="E6" s="6">
        <v>10</v>
      </c>
      <c r="F6" s="51" t="s">
        <v>8</v>
      </c>
      <c r="I6" t="s">
        <v>41</v>
      </c>
      <c r="K6" s="2"/>
      <c r="L6" s="6"/>
      <c r="M6" s="6"/>
      <c r="N6" s="6"/>
    </row>
    <row r="7" spans="1:18" ht="15.75" customHeight="1" thickBot="1" x14ac:dyDescent="0.4">
      <c r="B7" s="2"/>
      <c r="C7" s="2"/>
      <c r="D7" s="52" t="s">
        <v>9</v>
      </c>
      <c r="E7" s="53">
        <v>0.1</v>
      </c>
      <c r="F7" s="54" t="s">
        <v>10</v>
      </c>
      <c r="K7" s="60" t="s">
        <v>11</v>
      </c>
      <c r="L7" s="60"/>
      <c r="M7" s="60"/>
      <c r="N7" s="2"/>
    </row>
    <row r="8" spans="1:18" x14ac:dyDescent="0.35">
      <c r="A8" t="s">
        <v>12</v>
      </c>
      <c r="B8" s="2"/>
      <c r="C8" s="7" t="s">
        <v>13</v>
      </c>
      <c r="D8" s="2"/>
      <c r="E8" s="2"/>
      <c r="F8" s="2"/>
      <c r="G8" s="2"/>
      <c r="H8" s="2"/>
      <c r="I8" s="2"/>
      <c r="J8" s="2"/>
      <c r="K8" s="60" t="s">
        <v>14</v>
      </c>
      <c r="L8" s="60"/>
      <c r="M8" s="60"/>
      <c r="N8" s="2"/>
      <c r="O8" s="2"/>
    </row>
    <row r="9" spans="1:18" x14ac:dyDescent="0.35">
      <c r="A9" t="s">
        <v>12</v>
      </c>
      <c r="B9" s="55">
        <v>4.7200000000000002E-3</v>
      </c>
      <c r="C9" s="7" t="s">
        <v>13</v>
      </c>
      <c r="D9" s="29" t="s">
        <v>57</v>
      </c>
      <c r="E9" s="32" t="s">
        <v>15</v>
      </c>
      <c r="F9" s="8">
        <v>25</v>
      </c>
      <c r="G9" s="2" t="s">
        <v>16</v>
      </c>
      <c r="H9" s="2"/>
      <c r="I9" s="2"/>
      <c r="J9" s="2"/>
      <c r="K9" s="2"/>
      <c r="L9" s="5"/>
      <c r="M9" s="5"/>
      <c r="N9" s="5"/>
    </row>
    <row r="10" spans="1:18" x14ac:dyDescent="0.35">
      <c r="B10" s="2"/>
      <c r="C10" s="2"/>
      <c r="D10" s="2"/>
      <c r="E10" s="5"/>
      <c r="F10">
        <f>F9*10^-4</f>
        <v>2.5000000000000001E-3</v>
      </c>
      <c r="G10" s="1" t="s">
        <v>2</v>
      </c>
      <c r="H10" s="2"/>
      <c r="J10" s="2"/>
      <c r="K10" s="2"/>
      <c r="L10" s="5"/>
      <c r="M10" s="5"/>
      <c r="N10" s="5"/>
      <c r="P10" s="8"/>
    </row>
    <row r="11" spans="1:18" x14ac:dyDescent="0.35">
      <c r="A11" s="31" t="s">
        <v>45</v>
      </c>
      <c r="B11" s="29"/>
      <c r="C11" s="29" t="s">
        <v>44</v>
      </c>
      <c r="D11" s="9" t="s">
        <v>60</v>
      </c>
      <c r="E11" t="s">
        <v>43</v>
      </c>
    </row>
    <row r="12" spans="1:18" x14ac:dyDescent="0.35">
      <c r="K12" t="s">
        <v>35</v>
      </c>
      <c r="L12" t="s">
        <v>36</v>
      </c>
      <c r="M12" t="s">
        <v>37</v>
      </c>
    </row>
    <row r="13" spans="1:18" ht="29" x14ac:dyDescent="0.35">
      <c r="A13" s="29" t="s">
        <v>17</v>
      </c>
      <c r="B13" s="29" t="s">
        <v>18</v>
      </c>
      <c r="C13" s="29" t="s">
        <v>19</v>
      </c>
      <c r="D13" s="29" t="s">
        <v>20</v>
      </c>
      <c r="E13" s="29" t="s">
        <v>21</v>
      </c>
      <c r="F13" s="29" t="s">
        <v>22</v>
      </c>
      <c r="G13" s="29"/>
      <c r="H13" s="29" t="s">
        <v>23</v>
      </c>
      <c r="I13" s="29" t="s">
        <v>24</v>
      </c>
      <c r="J13" s="29" t="s">
        <v>25</v>
      </c>
      <c r="K13" s="29" t="s">
        <v>26</v>
      </c>
      <c r="L13" s="30" t="s">
        <v>27</v>
      </c>
      <c r="M13" s="30" t="s">
        <v>38</v>
      </c>
      <c r="N13" s="29" t="s">
        <v>28</v>
      </c>
      <c r="O13" s="29" t="s">
        <v>29</v>
      </c>
      <c r="P13" s="26"/>
    </row>
    <row r="14" spans="1:18" s="8" customFormat="1" x14ac:dyDescent="0.35">
      <c r="A14" s="1">
        <v>0</v>
      </c>
      <c r="B14" s="1">
        <v>0</v>
      </c>
      <c r="C14" s="1">
        <v>0</v>
      </c>
      <c r="D14" s="1"/>
      <c r="E14" s="1"/>
      <c r="F14" s="1"/>
      <c r="G14" s="1"/>
      <c r="H14"/>
      <c r="I14" s="1"/>
      <c r="J14" s="1"/>
      <c r="K14" s="1"/>
      <c r="L14" s="10">
        <v>0</v>
      </c>
      <c r="M14" s="10">
        <v>0</v>
      </c>
      <c r="N14" s="1"/>
      <c r="O14" s="1"/>
      <c r="P14"/>
      <c r="Q14"/>
      <c r="R14"/>
    </row>
    <row r="15" spans="1:18" s="8" customFormat="1" x14ac:dyDescent="0.35">
      <c r="A15" s="12"/>
      <c r="B15" s="27">
        <v>3</v>
      </c>
      <c r="C15" s="12">
        <f xml:space="preserve"> 47-16</f>
        <v>31</v>
      </c>
      <c r="D15" s="12">
        <f>A15*60*24+B15*60+C15</f>
        <v>211</v>
      </c>
      <c r="E15" s="12">
        <v>200</v>
      </c>
      <c r="F15" s="12">
        <v>2200</v>
      </c>
      <c r="G15" s="12"/>
      <c r="H15" s="8">
        <v>0.33547639846801802</v>
      </c>
      <c r="I15" s="12">
        <f>H15/($B$9)</f>
        <v>71.075508150003813</v>
      </c>
      <c r="J15" s="13">
        <f>I15/(10^6)</f>
        <v>7.1075508150003812E-5</v>
      </c>
      <c r="K15" s="14">
        <f>J15*F15/E15</f>
        <v>7.8183058965004186E-4</v>
      </c>
      <c r="L15" s="14">
        <f>K15*($E$6-($E15/1000))/$E$6</f>
        <v>7.6619397785704108E-4</v>
      </c>
      <c r="M15" s="14">
        <f>(K15-L14)+M14</f>
        <v>7.8183058965004186E-4</v>
      </c>
      <c r="N15" s="13">
        <f>LN(1-2*M15/$E$7)</f>
        <v>-1.5760153144889204E-2</v>
      </c>
      <c r="O15" s="12">
        <f>-N15*$E$6*$F$10/(2*$E$5)</f>
        <v>9.9529792126753936E-5</v>
      </c>
      <c r="Q15" s="14">
        <f xml:space="preserve"> (M15*0.01)/($E$5*(D15*60))</f>
        <v>3.120050357111251E-10</v>
      </c>
    </row>
    <row r="16" spans="1:18" s="8" customFormat="1" x14ac:dyDescent="0.35">
      <c r="A16" s="12"/>
      <c r="B16" s="12">
        <v>4</v>
      </c>
      <c r="C16" s="12">
        <v>41</v>
      </c>
      <c r="D16" s="12">
        <f t="shared" ref="D16:D17" si="0">A16*60*24+B16*60+C16</f>
        <v>281</v>
      </c>
      <c r="E16" s="12">
        <v>200</v>
      </c>
      <c r="F16" s="12">
        <v>2200</v>
      </c>
      <c r="G16" s="12"/>
      <c r="H16" s="8">
        <v>0.44689083099365301</v>
      </c>
      <c r="I16" s="12">
        <f>H16/($B$9)</f>
        <v>94.68026080374004</v>
      </c>
      <c r="J16" s="13">
        <f t="shared" ref="J16:J17" si="1">I16/(10^6)</f>
        <v>9.4680260803740036E-5</v>
      </c>
      <c r="K16" s="14">
        <f t="shared" ref="K16" si="2">J16*F16/E16</f>
        <v>1.0414828688411404E-3</v>
      </c>
      <c r="L16" s="14">
        <f>K16*($E$6-($E16/1000))/$E$6</f>
        <v>1.0206532114643177E-3</v>
      </c>
      <c r="M16" s="14">
        <f>(K16-L15)+M15</f>
        <v>1.057119480634141E-3</v>
      </c>
      <c r="N16" s="13">
        <f t="shared" ref="N16:N17" si="3">LN(1-2*M16/$E$7)</f>
        <v>-2.1369090964946106E-2</v>
      </c>
      <c r="O16" s="12">
        <f t="shared" ref="O16:O17" si="4">-N16*$E$6*$F$10/(2*$E$5)</f>
        <v>1.349518092956154E-4</v>
      </c>
      <c r="Q16" s="14">
        <f xml:space="preserve"> (M16*0.01-M15*0.01)/($E$5*(D16*60-D15*60))</f>
        <v>3.311479314476956E-10</v>
      </c>
    </row>
    <row r="17" spans="1:23" s="8" customFormat="1" x14ac:dyDescent="0.35">
      <c r="A17" s="12"/>
      <c r="B17" s="12">
        <v>7</v>
      </c>
      <c r="C17" s="12">
        <v>4</v>
      </c>
      <c r="D17" s="12">
        <f t="shared" si="0"/>
        <v>424</v>
      </c>
      <c r="E17" s="12">
        <v>200</v>
      </c>
      <c r="F17" s="12">
        <v>2200</v>
      </c>
      <c r="G17" s="12"/>
      <c r="H17" s="8">
        <v>0.65826749801635798</v>
      </c>
      <c r="I17" s="12">
        <f t="shared" ref="I17" si="5">H17/($B$9)</f>
        <v>139.46345296956736</v>
      </c>
      <c r="J17" s="13">
        <f t="shared" si="1"/>
        <v>1.3946345296956736E-4</v>
      </c>
      <c r="K17" s="8">
        <f>J17*F17/E17</f>
        <v>1.534097982665241E-3</v>
      </c>
      <c r="L17" s="14">
        <f>K17*($E$6-($E17/1000))/$E$6</f>
        <v>1.5034160230119361E-3</v>
      </c>
      <c r="M17" s="14">
        <f t="shared" ref="M17" si="6">(K17-L16)+M16</f>
        <v>1.5705642518350643E-3</v>
      </c>
      <c r="N17" s="13">
        <f t="shared" si="3"/>
        <v>-3.1915199955029873E-2</v>
      </c>
      <c r="O17" s="12">
        <f t="shared" si="4"/>
        <v>2.015534486248319E-4</v>
      </c>
      <c r="Q17" s="14">
        <f xml:space="preserve"> (M17*0.01-M16*0.01)/($E$5*(D17*60-D16*60))</f>
        <v>3.0233546771833379E-10</v>
      </c>
    </row>
    <row r="18" spans="1:23" x14ac:dyDescent="0.35">
      <c r="B18" s="2"/>
      <c r="C18" s="2"/>
      <c r="F18" s="1"/>
      <c r="G18" s="21"/>
      <c r="I18" s="22"/>
      <c r="J18" s="22"/>
      <c r="K18" s="20"/>
      <c r="L18" s="2"/>
      <c r="M18" s="1"/>
      <c r="O18" s="1"/>
      <c r="Q18" s="1"/>
      <c r="R18" s="21"/>
      <c r="T18" s="22"/>
      <c r="U18" s="22"/>
      <c r="V18" s="20"/>
      <c r="W18" s="2"/>
    </row>
    <row r="19" spans="1:23" x14ac:dyDescent="0.35">
      <c r="B19" s="2"/>
      <c r="C19" s="2"/>
      <c r="E19" s="33" t="s">
        <v>47</v>
      </c>
      <c r="F19" s="1"/>
      <c r="G19" s="21"/>
      <c r="I19" s="34" t="s">
        <v>49</v>
      </c>
      <c r="J19" s="22"/>
      <c r="K19" s="35" t="s">
        <v>52</v>
      </c>
      <c r="L19" s="36" t="s">
        <v>53</v>
      </c>
      <c r="M19" s="37" t="s">
        <v>55</v>
      </c>
      <c r="O19" s="1"/>
      <c r="Q19" s="21">
        <f xml:space="preserve"> AVERAGE(Q15:Q17)</f>
        <v>3.1516281162571816E-10</v>
      </c>
      <c r="R19" s="21"/>
      <c r="T19" s="22"/>
      <c r="U19" s="22"/>
      <c r="V19" s="23"/>
    </row>
    <row r="20" spans="1:23" x14ac:dyDescent="0.35">
      <c r="B20" s="2"/>
      <c r="C20" s="2"/>
      <c r="E20" s="33" t="s">
        <v>48</v>
      </c>
      <c r="F20" s="1"/>
      <c r="G20" s="21"/>
      <c r="I20" s="34" t="s">
        <v>50</v>
      </c>
      <c r="J20" s="22"/>
      <c r="K20" s="33" t="s">
        <v>51</v>
      </c>
      <c r="L20" s="33" t="s">
        <v>54</v>
      </c>
      <c r="M20" s="33" t="s">
        <v>56</v>
      </c>
    </row>
    <row r="21" spans="1:23" ht="15" thickBot="1" x14ac:dyDescent="0.4">
      <c r="S21" s="2"/>
      <c r="T21" s="2"/>
      <c r="U21" s="2"/>
    </row>
    <row r="22" spans="1:23" ht="16.5" x14ac:dyDescent="0.35">
      <c r="B22" s="2"/>
      <c r="C22" s="2"/>
      <c r="F22" s="24"/>
      <c r="G22" s="25"/>
      <c r="H22" s="2"/>
      <c r="I22" s="2"/>
      <c r="J22" s="2"/>
      <c r="N22" s="46" t="s">
        <v>30</v>
      </c>
      <c r="O22" s="38">
        <f>SLOPE(O15:O17,$D$15:$D$17)</f>
        <v>4.7703009785328877E-7</v>
      </c>
      <c r="P22" s="38" t="s">
        <v>31</v>
      </c>
      <c r="Q22" s="39">
        <f>O22/60</f>
        <v>7.9505016308881461E-9</v>
      </c>
      <c r="R22" s="40" t="s">
        <v>32</v>
      </c>
    </row>
    <row r="23" spans="1:23" ht="16.5" x14ac:dyDescent="0.35">
      <c r="C23" s="1"/>
      <c r="D23" s="1"/>
      <c r="N23" s="41" t="s">
        <v>46</v>
      </c>
      <c r="O23">
        <v>0.97460000000000002</v>
      </c>
      <c r="R23" s="42"/>
    </row>
    <row r="24" spans="1:23" ht="17" thickBot="1" x14ac:dyDescent="0.4">
      <c r="B24" s="2"/>
      <c r="C24" s="2"/>
      <c r="N24" s="43" t="s">
        <v>33</v>
      </c>
      <c r="O24" s="44">
        <f>(1-O23)*O22</f>
        <v>1.2116564485473524E-8</v>
      </c>
      <c r="P24" s="44" t="s">
        <v>31</v>
      </c>
      <c r="Q24" s="44">
        <f>O24/60</f>
        <v>2.0194274142455875E-10</v>
      </c>
      <c r="R24" s="45" t="s">
        <v>34</v>
      </c>
    </row>
    <row r="25" spans="1:23" x14ac:dyDescent="0.35">
      <c r="E25" s="7"/>
    </row>
    <row r="26" spans="1:23" x14ac:dyDescent="0.35">
      <c r="B26" s="2"/>
      <c r="C26" s="2"/>
      <c r="D26" s="2"/>
      <c r="G26" s="2"/>
      <c r="H26" s="2"/>
      <c r="I26" s="2"/>
      <c r="J26" s="2"/>
      <c r="K26" s="2"/>
    </row>
    <row r="27" spans="1:23" x14ac:dyDescent="0.35">
      <c r="B27" s="2"/>
      <c r="C27" s="2"/>
      <c r="D27" s="1"/>
      <c r="F27" s="2"/>
      <c r="G27" s="2"/>
      <c r="H27" s="2"/>
      <c r="I27" s="10"/>
      <c r="J27" s="10"/>
      <c r="K27" s="2"/>
      <c r="L27" s="2"/>
      <c r="M27" s="1"/>
      <c r="N27" s="2"/>
      <c r="O27" s="2"/>
    </row>
    <row r="28" spans="1:23" x14ac:dyDescent="0.35">
      <c r="D28" s="1"/>
      <c r="F28" s="2"/>
      <c r="G28" s="2"/>
      <c r="H28" s="2"/>
      <c r="I28" s="10"/>
      <c r="J28" s="10"/>
      <c r="K28" s="2"/>
      <c r="L28" s="2"/>
      <c r="M28" s="1"/>
      <c r="N28" s="2"/>
      <c r="O28" s="2"/>
    </row>
    <row r="29" spans="1:23" x14ac:dyDescent="0.35">
      <c r="B29" s="2"/>
      <c r="C29" s="2"/>
      <c r="D29" s="8"/>
      <c r="E29" s="8"/>
      <c r="F29" s="12"/>
      <c r="G29" s="13"/>
      <c r="H29" s="14"/>
      <c r="I29" s="14"/>
      <c r="J29" s="14"/>
      <c r="K29" s="15"/>
      <c r="L29" s="6"/>
      <c r="N29" s="8"/>
      <c r="O29" s="12"/>
    </row>
    <row r="30" spans="1:23" x14ac:dyDescent="0.35">
      <c r="A30" s="8"/>
      <c r="B30" s="11"/>
      <c r="C30" s="6"/>
      <c r="D30" s="8"/>
      <c r="E30" s="8"/>
      <c r="F30" s="12"/>
      <c r="G30" s="13"/>
      <c r="H30" s="14"/>
      <c r="I30" s="14"/>
      <c r="J30" s="14"/>
      <c r="K30" s="15"/>
      <c r="L30" s="6"/>
      <c r="N30" s="8"/>
      <c r="O30" s="12"/>
    </row>
    <row r="31" spans="1:23" x14ac:dyDescent="0.35">
      <c r="A31" s="8"/>
      <c r="B31" s="6"/>
      <c r="C31" s="6"/>
      <c r="D31" s="8"/>
      <c r="E31" s="8"/>
      <c r="F31" s="12"/>
      <c r="G31" s="13"/>
      <c r="H31" s="14"/>
      <c r="I31" s="14"/>
      <c r="J31" s="14"/>
      <c r="K31" s="15"/>
      <c r="L31" s="6"/>
      <c r="N31" s="8"/>
      <c r="O31" s="12"/>
    </row>
    <row r="32" spans="1:23" x14ac:dyDescent="0.35">
      <c r="A32" s="8"/>
      <c r="B32" s="6"/>
      <c r="C32" s="6"/>
      <c r="D32" s="8"/>
      <c r="E32" s="8"/>
      <c r="F32" s="12"/>
      <c r="G32" s="13"/>
      <c r="H32" s="14"/>
      <c r="I32" s="14"/>
      <c r="J32" s="14"/>
      <c r="K32" s="15"/>
      <c r="L32" s="6"/>
      <c r="N32" s="8"/>
      <c r="O32" s="12"/>
    </row>
    <row r="33" spans="1:15" x14ac:dyDescent="0.35">
      <c r="A33" s="8"/>
      <c r="B33" s="6"/>
      <c r="C33" s="6"/>
      <c r="D33" s="8"/>
      <c r="E33" s="8"/>
      <c r="F33" s="12"/>
      <c r="G33" s="13"/>
      <c r="H33" s="14"/>
      <c r="I33" s="14"/>
      <c r="J33" s="14"/>
      <c r="K33" s="15"/>
      <c r="L33" s="6"/>
      <c r="N33" s="8"/>
      <c r="O33" s="12"/>
    </row>
    <row r="34" spans="1:15" x14ac:dyDescent="0.35">
      <c r="A34" s="16"/>
      <c r="B34" s="17"/>
      <c r="C34" s="17"/>
      <c r="D34" s="16"/>
      <c r="E34" s="16"/>
      <c r="F34" s="18"/>
      <c r="G34" s="19"/>
      <c r="H34" s="14"/>
      <c r="I34" s="14"/>
      <c r="J34" s="14"/>
      <c r="K34" s="15"/>
      <c r="L34" s="6"/>
      <c r="M34" s="18"/>
      <c r="N34" s="16"/>
      <c r="O34" s="18"/>
    </row>
    <row r="35" spans="1:15" x14ac:dyDescent="0.35">
      <c r="B35" s="2"/>
      <c r="C35" s="2"/>
      <c r="F35" s="1"/>
      <c r="G35" s="21"/>
      <c r="I35" s="22"/>
      <c r="J35" s="22"/>
      <c r="K35" s="20"/>
      <c r="L35" s="2"/>
      <c r="M35" s="1"/>
      <c r="O35" s="1"/>
    </row>
    <row r="36" spans="1:15" x14ac:dyDescent="0.35">
      <c r="B36" s="2"/>
      <c r="C36" s="2"/>
      <c r="F36" s="1"/>
      <c r="G36" s="21"/>
      <c r="I36" s="22"/>
      <c r="J36" s="22"/>
      <c r="K36" s="20"/>
      <c r="L36" s="2"/>
      <c r="M36" s="1"/>
      <c r="O36" s="1"/>
    </row>
    <row r="37" spans="1:15" x14ac:dyDescent="0.35">
      <c r="B37" s="2"/>
      <c r="C37" s="2"/>
      <c r="F37" s="1"/>
      <c r="G37" s="21"/>
      <c r="I37" s="22"/>
      <c r="J37" s="22"/>
      <c r="K37" s="23"/>
    </row>
    <row r="39" spans="1:15" x14ac:dyDescent="0.35">
      <c r="B39" s="2"/>
      <c r="C39" s="2"/>
      <c r="F39" s="24"/>
      <c r="G39" s="25"/>
      <c r="H39" s="2"/>
      <c r="I39" s="2"/>
      <c r="J39" s="2"/>
    </row>
  </sheetData>
  <mergeCells count="2">
    <mergeCell ref="K7:M7"/>
    <mergeCell ref="K8:M8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A0EA-9324-4316-9211-F1A88176FF64}">
  <dimension ref="A1:W39"/>
  <sheetViews>
    <sheetView topLeftCell="E1" zoomScale="70" zoomScaleNormal="60" workbookViewId="0">
      <selection activeCell="Q19" sqref="Q19"/>
    </sheetView>
  </sheetViews>
  <sheetFormatPr defaultRowHeight="14.5" x14ac:dyDescent="0.35"/>
  <cols>
    <col min="1" max="1" width="12.54296875" bestFit="1" customWidth="1"/>
    <col min="3" max="3" width="10.90625" bestFit="1" customWidth="1"/>
    <col min="4" max="4" width="23" bestFit="1" customWidth="1"/>
    <col min="5" max="5" width="39.81640625" bestFit="1" customWidth="1"/>
    <col min="6" max="6" width="22.54296875" bestFit="1" customWidth="1"/>
    <col min="7" max="8" width="9.08984375" bestFit="1" customWidth="1"/>
    <col min="9" max="9" width="22.1796875" bestFit="1" customWidth="1"/>
    <col min="10" max="10" width="9.54296875" bestFit="1" customWidth="1"/>
    <col min="11" max="11" width="13.54296875" bestFit="1" customWidth="1"/>
    <col min="12" max="12" width="18.90625" bestFit="1" customWidth="1"/>
    <col min="13" max="13" width="13.1796875" customWidth="1"/>
    <col min="14" max="14" width="26.54296875" bestFit="1" customWidth="1"/>
    <col min="15" max="15" width="17.54296875" bestFit="1" customWidth="1"/>
    <col min="16" max="16" width="11.54296875" bestFit="1" customWidth="1"/>
    <col min="23" max="23" width="11.54296875" bestFit="1" customWidth="1"/>
  </cols>
  <sheetData>
    <row r="1" spans="1:18" x14ac:dyDescent="0.35">
      <c r="B1" s="1"/>
      <c r="C1" s="1"/>
    </row>
    <row r="2" spans="1:18" ht="15" thickBot="1" x14ac:dyDescent="0.4">
      <c r="D2" s="1"/>
      <c r="E2" s="28" t="s">
        <v>42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8" x14ac:dyDescent="0.35">
      <c r="B3" s="2"/>
      <c r="C3" s="2"/>
      <c r="D3" s="47" t="s">
        <v>0</v>
      </c>
      <c r="E3" s="48">
        <v>0.625</v>
      </c>
      <c r="F3" s="49" t="s">
        <v>1</v>
      </c>
      <c r="K3" s="2"/>
      <c r="L3" s="3"/>
      <c r="M3" s="3"/>
      <c r="N3" s="3"/>
    </row>
    <row r="4" spans="1:18" x14ac:dyDescent="0.35">
      <c r="A4" s="4"/>
      <c r="B4" s="2"/>
      <c r="C4" s="2"/>
      <c r="D4" s="50"/>
      <c r="E4" s="3">
        <f>E3*2.54</f>
        <v>1.5874999999999999</v>
      </c>
      <c r="F4" s="51" t="s">
        <v>2</v>
      </c>
      <c r="I4" t="s">
        <v>40</v>
      </c>
      <c r="K4" s="2"/>
      <c r="L4" s="2" t="s">
        <v>3</v>
      </c>
      <c r="M4" s="3"/>
      <c r="N4" s="3"/>
    </row>
    <row r="5" spans="1:18" ht="16.5" x14ac:dyDescent="0.35">
      <c r="B5" s="2"/>
      <c r="C5" s="2"/>
      <c r="D5" s="50" t="s">
        <v>4</v>
      </c>
      <c r="E5" s="5">
        <f>PI()*E4^2/4</f>
        <v>1.9793260902246004</v>
      </c>
      <c r="F5" s="51" t="s">
        <v>5</v>
      </c>
      <c r="I5" t="s">
        <v>39</v>
      </c>
      <c r="K5" s="2"/>
      <c r="L5" s="2" t="s">
        <v>6</v>
      </c>
      <c r="M5" s="5"/>
      <c r="N5" s="5"/>
    </row>
    <row r="6" spans="1:18" ht="16.5" x14ac:dyDescent="0.35">
      <c r="B6" s="2"/>
      <c r="C6" s="2"/>
      <c r="D6" s="50" t="s">
        <v>7</v>
      </c>
      <c r="E6" s="6">
        <v>10</v>
      </c>
      <c r="F6" s="51" t="s">
        <v>8</v>
      </c>
      <c r="I6" t="s">
        <v>41</v>
      </c>
      <c r="K6" s="2"/>
      <c r="L6" s="6"/>
      <c r="M6" s="6"/>
      <c r="N6" s="6"/>
    </row>
    <row r="7" spans="1:18" ht="15.75" customHeight="1" thickBot="1" x14ac:dyDescent="0.4">
      <c r="B7" s="2"/>
      <c r="C7" s="2"/>
      <c r="D7" s="52" t="s">
        <v>9</v>
      </c>
      <c r="E7" s="53">
        <v>0.1</v>
      </c>
      <c r="F7" s="54" t="s">
        <v>10</v>
      </c>
      <c r="K7" s="60" t="s">
        <v>11</v>
      </c>
      <c r="L7" s="60"/>
      <c r="M7" s="60"/>
      <c r="N7" s="2"/>
    </row>
    <row r="8" spans="1:18" x14ac:dyDescent="0.35">
      <c r="A8" t="s">
        <v>12</v>
      </c>
      <c r="B8" s="2"/>
      <c r="C8" s="7" t="s">
        <v>13</v>
      </c>
      <c r="D8" s="2"/>
      <c r="E8" s="2"/>
      <c r="F8" s="2"/>
      <c r="G8" s="2"/>
      <c r="H8" s="2"/>
      <c r="I8" s="2"/>
      <c r="J8" s="2"/>
      <c r="K8" s="60" t="s">
        <v>14</v>
      </c>
      <c r="L8" s="60"/>
      <c r="M8" s="60"/>
      <c r="N8" s="2"/>
      <c r="O8" s="2"/>
    </row>
    <row r="9" spans="1:18" x14ac:dyDescent="0.35">
      <c r="A9" t="s">
        <v>12</v>
      </c>
      <c r="B9" s="55">
        <v>4.7200000000000002E-3</v>
      </c>
      <c r="C9" s="7" t="s">
        <v>13</v>
      </c>
      <c r="D9" s="29" t="s">
        <v>57</v>
      </c>
      <c r="E9" s="32" t="s">
        <v>15</v>
      </c>
      <c r="F9" s="8">
        <v>25</v>
      </c>
      <c r="G9" s="2" t="s">
        <v>16</v>
      </c>
      <c r="H9" s="2"/>
      <c r="I9" s="2"/>
      <c r="J9" s="2"/>
      <c r="K9" s="2"/>
      <c r="L9" s="5"/>
      <c r="M9" s="5"/>
      <c r="N9" s="5"/>
    </row>
    <row r="10" spans="1:18" x14ac:dyDescent="0.35">
      <c r="B10" s="2"/>
      <c r="C10" s="2"/>
      <c r="D10" s="2"/>
      <c r="E10" s="5"/>
      <c r="F10">
        <f>F9*10^-4</f>
        <v>2.5000000000000001E-3</v>
      </c>
      <c r="G10" s="1" t="s">
        <v>2</v>
      </c>
      <c r="H10" s="2"/>
      <c r="J10" s="2"/>
      <c r="K10" s="2"/>
      <c r="L10" s="5"/>
      <c r="M10" s="5"/>
      <c r="N10" s="5"/>
      <c r="P10" s="8"/>
    </row>
    <row r="11" spans="1:18" x14ac:dyDescent="0.35">
      <c r="A11" s="31" t="s">
        <v>45</v>
      </c>
      <c r="B11" s="29"/>
      <c r="C11" s="29" t="s">
        <v>44</v>
      </c>
      <c r="D11" s="9" t="s">
        <v>60</v>
      </c>
      <c r="E11" t="s">
        <v>43</v>
      </c>
    </row>
    <row r="12" spans="1:18" x14ac:dyDescent="0.35">
      <c r="K12" t="s">
        <v>35</v>
      </c>
      <c r="L12" t="s">
        <v>36</v>
      </c>
      <c r="M12" t="s">
        <v>37</v>
      </c>
    </row>
    <row r="13" spans="1:18" ht="29" x14ac:dyDescent="0.35">
      <c r="A13" s="29" t="s">
        <v>17</v>
      </c>
      <c r="B13" s="29" t="s">
        <v>18</v>
      </c>
      <c r="C13" s="29" t="s">
        <v>19</v>
      </c>
      <c r="D13" s="29" t="s">
        <v>20</v>
      </c>
      <c r="E13" s="29" t="s">
        <v>21</v>
      </c>
      <c r="F13" s="29" t="s">
        <v>22</v>
      </c>
      <c r="G13" s="29"/>
      <c r="H13" s="29" t="s">
        <v>23</v>
      </c>
      <c r="I13" s="29" t="s">
        <v>24</v>
      </c>
      <c r="J13" s="29" t="s">
        <v>25</v>
      </c>
      <c r="K13" s="29" t="s">
        <v>26</v>
      </c>
      <c r="L13" s="30" t="s">
        <v>27</v>
      </c>
      <c r="M13" s="30" t="s">
        <v>38</v>
      </c>
      <c r="N13" s="29" t="s">
        <v>28</v>
      </c>
      <c r="O13" s="29" t="s">
        <v>29</v>
      </c>
      <c r="P13" s="26"/>
    </row>
    <row r="14" spans="1:18" s="8" customFormat="1" x14ac:dyDescent="0.35">
      <c r="A14" s="1">
        <v>0</v>
      </c>
      <c r="B14" s="1">
        <v>0</v>
      </c>
      <c r="C14" s="1">
        <v>0</v>
      </c>
      <c r="D14" s="1"/>
      <c r="E14" s="1"/>
      <c r="F14" s="1"/>
      <c r="G14" s="1"/>
      <c r="H14"/>
      <c r="I14" s="1"/>
      <c r="J14" s="1"/>
      <c r="K14" s="1"/>
      <c r="L14" s="10">
        <v>0</v>
      </c>
      <c r="M14" s="10">
        <v>0</v>
      </c>
      <c r="N14" s="1"/>
      <c r="O14" s="1"/>
      <c r="P14"/>
      <c r="Q14"/>
      <c r="R14"/>
    </row>
    <row r="15" spans="1:18" s="8" customFormat="1" x14ac:dyDescent="0.35">
      <c r="A15" s="12"/>
      <c r="B15" s="27">
        <v>3</v>
      </c>
      <c r="C15" s="12">
        <v>12</v>
      </c>
      <c r="D15" s="12">
        <f>A15*60*24+B15*60+C15</f>
        <v>192</v>
      </c>
      <c r="E15" s="12">
        <v>200</v>
      </c>
      <c r="F15" s="12">
        <v>2200</v>
      </c>
      <c r="G15" s="12"/>
      <c r="H15" s="8">
        <v>0.29327726364135798</v>
      </c>
      <c r="I15" s="12">
        <f>H15/($B$9)</f>
        <v>62.135013483338554</v>
      </c>
      <c r="J15" s="13">
        <f>I15/(10^6)</f>
        <v>6.2135013483338551E-5</v>
      </c>
      <c r="K15" s="14">
        <f>J15*F15/E15</f>
        <v>6.8348514831672409E-4</v>
      </c>
      <c r="L15" s="14">
        <f>K15*($E$6-($E15/1000))/$E$6</f>
        <v>6.6981544535038963E-4</v>
      </c>
      <c r="M15" s="14">
        <f>(K15-L14)+M14</f>
        <v>6.8348514831672409E-4</v>
      </c>
      <c r="N15" s="13">
        <f>LN(1-2*M15/$E$7)</f>
        <v>-1.3763993625509844E-2</v>
      </c>
      <c r="O15" s="12">
        <f>-N15*$E$6*$F$10/(2*$E$5)</f>
        <v>8.6923484295278503E-5</v>
      </c>
      <c r="Q15" s="14">
        <f xml:space="preserve"> (M15*0.01)/($E$5*(D15*60))</f>
        <v>2.9975004273738507E-10</v>
      </c>
    </row>
    <row r="16" spans="1:18" s="8" customFormat="1" x14ac:dyDescent="0.35">
      <c r="A16" s="12"/>
      <c r="B16" s="12">
        <v>4</v>
      </c>
      <c r="C16" s="12">
        <v>13</v>
      </c>
      <c r="D16" s="12">
        <f>A16*60*24+B16*60+C16</f>
        <v>253</v>
      </c>
      <c r="E16" s="12">
        <v>200</v>
      </c>
      <c r="F16" s="12">
        <v>2200</v>
      </c>
      <c r="G16" s="12"/>
      <c r="H16" s="8">
        <v>0.46215343475341802</v>
      </c>
      <c r="I16" s="12">
        <f>H16/($B$9)</f>
        <v>97.913863295215677</v>
      </c>
      <c r="J16" s="13">
        <f t="shared" ref="J16:J17" si="0">I16/(10^6)</f>
        <v>9.7913863295215678E-5</v>
      </c>
      <c r="K16" s="14">
        <f t="shared" ref="K16" si="1">J16*F16/E16</f>
        <v>1.0770524962473724E-3</v>
      </c>
      <c r="L16" s="14">
        <f>K16*($E$6-($E16/1000))/$E$6</f>
        <v>1.0555114463224251E-3</v>
      </c>
      <c r="M16" s="14">
        <f>(K16-L15)+M15</f>
        <v>1.0907221992137069E-3</v>
      </c>
      <c r="N16" s="13">
        <f t="shared" ref="N16:N17" si="2">LN(1-2*M16/$E$7)</f>
        <v>-2.2055896866365256E-2</v>
      </c>
      <c r="O16" s="12">
        <f t="shared" ref="O16:O17" si="3">-N16*$E$6*$F$10/(2*$E$5)</f>
        <v>1.3928918139925154E-4</v>
      </c>
      <c r="Q16" s="14">
        <f xml:space="preserve"> (M16*0.01-M15*0.01)/($E$5*(D16*60-D15*60))</f>
        <v>5.6214564313838764E-10</v>
      </c>
    </row>
    <row r="17" spans="1:23" s="8" customFormat="1" x14ac:dyDescent="0.35">
      <c r="A17" s="12"/>
      <c r="B17" s="12">
        <v>6</v>
      </c>
      <c r="C17" s="12">
        <f xml:space="preserve"> 13+26</f>
        <v>39</v>
      </c>
      <c r="D17" s="12">
        <f t="shared" ref="D17" si="4">A17*60*24+B17*60+C17</f>
        <v>399</v>
      </c>
      <c r="E17" s="12">
        <v>200</v>
      </c>
      <c r="F17" s="12">
        <v>2200</v>
      </c>
      <c r="G17" s="12"/>
      <c r="H17" s="8">
        <v>0.72987175000000004</v>
      </c>
      <c r="I17" s="12">
        <f t="shared" ref="I17" si="5">H17/($B$9)</f>
        <v>154.63384533898306</v>
      </c>
      <c r="J17" s="13">
        <f t="shared" si="0"/>
        <v>1.5463384533898305E-4</v>
      </c>
      <c r="K17" s="8">
        <f>J17*F17/E17</f>
        <v>1.7009722987288136E-3</v>
      </c>
      <c r="L17" s="14">
        <f>K17*($E$6-($E17/1000))/$E$6</f>
        <v>1.6669528527542374E-3</v>
      </c>
      <c r="M17" s="14">
        <f t="shared" ref="M17" si="6">(K17-L16)+M16</f>
        <v>1.7361830516200954E-3</v>
      </c>
      <c r="N17" s="13">
        <f t="shared" si="2"/>
        <v>-3.5340857012361268E-2</v>
      </c>
      <c r="O17" s="12">
        <f t="shared" si="3"/>
        <v>2.2318743477199753E-4</v>
      </c>
      <c r="Q17" s="14">
        <f xml:space="preserve"> (M17*0.01-M16*0.01)/($E$5*(D17*60-D16*60))</f>
        <v>3.7226178178720843E-10</v>
      </c>
    </row>
    <row r="18" spans="1:23" x14ac:dyDescent="0.35">
      <c r="B18" s="2"/>
      <c r="C18" s="2"/>
      <c r="F18" s="1"/>
      <c r="G18" s="21"/>
      <c r="I18" s="22"/>
      <c r="J18" s="22"/>
      <c r="K18" s="20"/>
      <c r="L18" s="2"/>
      <c r="M18" s="1"/>
      <c r="O18" s="1"/>
      <c r="Q18" s="1"/>
      <c r="R18" s="21"/>
      <c r="T18" s="22"/>
      <c r="U18" s="22"/>
      <c r="V18" s="20"/>
      <c r="W18" s="2"/>
    </row>
    <row r="19" spans="1:23" x14ac:dyDescent="0.35">
      <c r="B19" s="2"/>
      <c r="C19" s="2"/>
      <c r="E19" s="33" t="s">
        <v>47</v>
      </c>
      <c r="F19" s="1"/>
      <c r="G19" s="21"/>
      <c r="I19" s="34" t="s">
        <v>49</v>
      </c>
      <c r="J19" s="22"/>
      <c r="K19" s="35" t="s">
        <v>52</v>
      </c>
      <c r="L19" s="36" t="s">
        <v>53</v>
      </c>
      <c r="M19" s="37" t="s">
        <v>55</v>
      </c>
      <c r="O19" s="1"/>
      <c r="Q19" s="21">
        <f xml:space="preserve"> AVERAGE(Q15:Q17)</f>
        <v>4.1138582255432707E-10</v>
      </c>
      <c r="R19" s="21"/>
      <c r="T19" s="22"/>
      <c r="U19" s="22"/>
      <c r="V19" s="23"/>
    </row>
    <row r="20" spans="1:23" x14ac:dyDescent="0.35">
      <c r="B20" s="2"/>
      <c r="C20" s="2"/>
      <c r="E20" s="33" t="s">
        <v>48</v>
      </c>
      <c r="F20" s="1"/>
      <c r="G20" s="21"/>
      <c r="I20" s="34" t="s">
        <v>50</v>
      </c>
      <c r="J20" s="22"/>
      <c r="K20" s="33" t="s">
        <v>51</v>
      </c>
      <c r="L20" s="33" t="s">
        <v>54</v>
      </c>
      <c r="M20" s="33" t="s">
        <v>56</v>
      </c>
    </row>
    <row r="21" spans="1:23" ht="15" thickBot="1" x14ac:dyDescent="0.4">
      <c r="S21" s="2"/>
      <c r="T21" s="2"/>
      <c r="U21" s="2"/>
    </row>
    <row r="22" spans="1:23" ht="16.5" x14ac:dyDescent="0.35">
      <c r="B22" s="2"/>
      <c r="C22" s="2"/>
      <c r="F22" s="24"/>
      <c r="G22" s="25"/>
      <c r="H22" s="2"/>
      <c r="I22" s="2"/>
      <c r="J22" s="2"/>
      <c r="N22" s="46" t="s">
        <v>30</v>
      </c>
      <c r="O22" s="38">
        <f>SLOPE(O15:O17,$D$15:$D$17)</f>
        <v>6.4299104770415273E-7</v>
      </c>
      <c r="P22" s="38" t="s">
        <v>31</v>
      </c>
      <c r="Q22" s="39">
        <f>O22/60</f>
        <v>1.0716517461735878E-8</v>
      </c>
      <c r="R22" s="40" t="s">
        <v>32</v>
      </c>
    </row>
    <row r="23" spans="1:23" ht="16.5" x14ac:dyDescent="0.35">
      <c r="C23" s="1"/>
      <c r="D23" s="1"/>
      <c r="N23" s="41" t="s">
        <v>46</v>
      </c>
      <c r="O23">
        <v>0.97460000000000002</v>
      </c>
      <c r="R23" s="42"/>
    </row>
    <row r="24" spans="1:23" ht="17" thickBot="1" x14ac:dyDescent="0.4">
      <c r="B24" s="2"/>
      <c r="C24" s="2"/>
      <c r="N24" s="43" t="s">
        <v>33</v>
      </c>
      <c r="O24" s="44">
        <f>(1-O23)*O22</f>
        <v>1.6331972611685466E-8</v>
      </c>
      <c r="P24" s="44" t="s">
        <v>31</v>
      </c>
      <c r="Q24" s="44">
        <f>O24/60</f>
        <v>2.7219954352809108E-10</v>
      </c>
      <c r="R24" s="45" t="s">
        <v>34</v>
      </c>
    </row>
    <row r="25" spans="1:23" x14ac:dyDescent="0.35">
      <c r="E25" s="7"/>
    </row>
    <row r="26" spans="1:23" x14ac:dyDescent="0.35">
      <c r="B26" s="2"/>
      <c r="C26" s="2"/>
      <c r="D26" s="2"/>
      <c r="G26" s="2"/>
      <c r="H26" s="2"/>
      <c r="I26" s="2"/>
      <c r="J26" s="2"/>
      <c r="K26" s="2"/>
    </row>
    <row r="27" spans="1:23" x14ac:dyDescent="0.35">
      <c r="B27" s="2"/>
      <c r="C27" s="2"/>
      <c r="D27" s="1"/>
      <c r="F27" s="2"/>
      <c r="G27" s="2"/>
      <c r="H27" s="2"/>
      <c r="I27" s="10"/>
      <c r="J27" s="10"/>
      <c r="K27" s="2"/>
      <c r="L27" s="2"/>
      <c r="M27" s="1"/>
      <c r="N27" s="2"/>
      <c r="O27" s="2"/>
    </row>
    <row r="28" spans="1:23" x14ac:dyDescent="0.35">
      <c r="D28" s="1"/>
      <c r="F28" s="2"/>
      <c r="G28" s="2"/>
      <c r="H28" s="2"/>
      <c r="I28" s="10"/>
      <c r="J28" s="10"/>
      <c r="K28" s="2"/>
      <c r="L28" s="2"/>
      <c r="M28" s="1"/>
      <c r="N28" s="2"/>
      <c r="O28" s="2"/>
    </row>
    <row r="29" spans="1:23" x14ac:dyDescent="0.35">
      <c r="B29" s="2"/>
      <c r="C29" s="2"/>
      <c r="D29" s="8"/>
      <c r="E29" s="8"/>
      <c r="F29" s="12"/>
      <c r="G29" s="13"/>
      <c r="H29" s="14"/>
      <c r="I29" s="14"/>
      <c r="J29" s="14"/>
      <c r="K29" s="15"/>
      <c r="L29" s="6"/>
      <c r="N29" s="8"/>
      <c r="O29" s="12"/>
    </row>
    <row r="30" spans="1:23" x14ac:dyDescent="0.35">
      <c r="A30" s="8"/>
      <c r="B30" s="11"/>
      <c r="C30" s="6"/>
      <c r="D30" s="8"/>
      <c r="E30" s="8"/>
      <c r="F30" s="12"/>
      <c r="G30" s="13"/>
      <c r="H30" s="14"/>
      <c r="I30" s="14"/>
      <c r="J30" s="14"/>
      <c r="K30" s="15"/>
      <c r="L30" s="6"/>
      <c r="N30" s="8"/>
      <c r="O30" s="12"/>
    </row>
    <row r="31" spans="1:23" x14ac:dyDescent="0.35">
      <c r="A31" s="8"/>
      <c r="B31" s="6"/>
      <c r="C31" s="6"/>
      <c r="D31" s="8"/>
      <c r="E31" s="8"/>
      <c r="F31" s="12"/>
      <c r="G31" s="13"/>
      <c r="H31" s="14"/>
      <c r="I31" s="14"/>
      <c r="J31" s="14"/>
      <c r="K31" s="15"/>
      <c r="L31" s="6"/>
      <c r="N31" s="8"/>
      <c r="O31" s="12"/>
    </row>
    <row r="32" spans="1:23" x14ac:dyDescent="0.35">
      <c r="A32" s="8"/>
      <c r="B32" s="6"/>
      <c r="C32" s="6"/>
      <c r="D32" s="8"/>
      <c r="E32" s="8"/>
      <c r="F32" s="12"/>
      <c r="G32" s="13"/>
      <c r="H32" s="14"/>
      <c r="I32" s="14"/>
      <c r="J32" s="14"/>
      <c r="K32" s="15"/>
      <c r="L32" s="6"/>
      <c r="N32" s="8"/>
      <c r="O32" s="12"/>
    </row>
    <row r="33" spans="1:15" x14ac:dyDescent="0.35">
      <c r="A33" s="8"/>
      <c r="B33" s="6"/>
      <c r="C33" s="6"/>
      <c r="D33" s="8"/>
      <c r="E33" s="8"/>
      <c r="F33" s="12"/>
      <c r="G33" s="13"/>
      <c r="H33" s="14"/>
      <c r="I33" s="14"/>
      <c r="J33" s="14"/>
      <c r="K33" s="15"/>
      <c r="L33" s="6"/>
      <c r="N33" s="8"/>
      <c r="O33" s="12"/>
    </row>
    <row r="34" spans="1:15" x14ac:dyDescent="0.35">
      <c r="A34" s="16"/>
      <c r="B34" s="17"/>
      <c r="C34" s="17"/>
      <c r="D34" s="16"/>
      <c r="E34" s="16"/>
      <c r="F34" s="18"/>
      <c r="G34" s="19"/>
      <c r="H34" s="14"/>
      <c r="I34" s="14"/>
      <c r="J34" s="14"/>
      <c r="K34" s="15"/>
      <c r="L34" s="6"/>
      <c r="M34" s="18"/>
      <c r="N34" s="16"/>
      <c r="O34" s="18"/>
    </row>
    <row r="35" spans="1:15" x14ac:dyDescent="0.35">
      <c r="B35" s="2"/>
      <c r="C35" s="2"/>
      <c r="F35" s="1"/>
      <c r="G35" s="21"/>
      <c r="I35" s="22"/>
      <c r="J35" s="22"/>
      <c r="K35" s="20"/>
      <c r="L35" s="2"/>
      <c r="M35" s="1"/>
      <c r="O35" s="1"/>
    </row>
    <row r="36" spans="1:15" x14ac:dyDescent="0.35">
      <c r="B36" s="2"/>
      <c r="C36" s="2"/>
      <c r="F36" s="1"/>
      <c r="G36" s="21"/>
      <c r="I36" s="22"/>
      <c r="J36" s="22"/>
      <c r="K36" s="20"/>
      <c r="L36" s="2"/>
      <c r="M36" s="1"/>
      <c r="O36" s="1"/>
    </row>
    <row r="37" spans="1:15" x14ac:dyDescent="0.35">
      <c r="B37" s="2"/>
      <c r="C37" s="2"/>
      <c r="F37" s="1"/>
      <c r="G37" s="21"/>
      <c r="I37" s="22"/>
      <c r="J37" s="22"/>
      <c r="K37" s="23"/>
    </row>
    <row r="39" spans="1:15" x14ac:dyDescent="0.35">
      <c r="B39" s="2"/>
      <c r="C39" s="2"/>
      <c r="F39" s="24"/>
      <c r="G39" s="25"/>
      <c r="H39" s="2"/>
      <c r="I39" s="2"/>
      <c r="J39" s="2"/>
    </row>
  </sheetData>
  <mergeCells count="2">
    <mergeCell ref="K7:M7"/>
    <mergeCell ref="K8:M8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00DD4-5D19-48DD-961E-7CFACC1A2D8C}">
  <dimension ref="A1:W39"/>
  <sheetViews>
    <sheetView tabSelected="1" topLeftCell="E14" zoomScale="70" zoomScaleNormal="60" workbookViewId="0">
      <selection activeCell="Q15" sqref="Q15:Q19"/>
    </sheetView>
  </sheetViews>
  <sheetFormatPr defaultRowHeight="14.5" x14ac:dyDescent="0.35"/>
  <cols>
    <col min="1" max="1" width="12.54296875" bestFit="1" customWidth="1"/>
    <col min="3" max="3" width="10.90625" bestFit="1" customWidth="1"/>
    <col min="4" max="4" width="23" bestFit="1" customWidth="1"/>
    <col min="5" max="5" width="39.81640625" bestFit="1" customWidth="1"/>
    <col min="6" max="6" width="22.54296875" bestFit="1" customWidth="1"/>
    <col min="7" max="8" width="9.08984375" bestFit="1" customWidth="1"/>
    <col min="9" max="9" width="22.1796875" bestFit="1" customWidth="1"/>
    <col min="10" max="10" width="9.54296875" bestFit="1" customWidth="1"/>
    <col min="11" max="11" width="13.54296875" bestFit="1" customWidth="1"/>
    <col min="12" max="12" width="18.90625" bestFit="1" customWidth="1"/>
    <col min="13" max="13" width="13.1796875" customWidth="1"/>
    <col min="14" max="14" width="26.54296875" bestFit="1" customWidth="1"/>
    <col min="15" max="15" width="17.54296875" bestFit="1" customWidth="1"/>
    <col min="16" max="16" width="11.54296875" bestFit="1" customWidth="1"/>
    <col min="23" max="23" width="11.54296875" bestFit="1" customWidth="1"/>
  </cols>
  <sheetData>
    <row r="1" spans="1:18" x14ac:dyDescent="0.35">
      <c r="B1" s="1"/>
      <c r="C1" s="1"/>
    </row>
    <row r="2" spans="1:18" ht="15" thickBot="1" x14ac:dyDescent="0.4">
      <c r="D2" s="1"/>
      <c r="E2" s="28" t="s">
        <v>42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8" x14ac:dyDescent="0.35">
      <c r="B3" s="2"/>
      <c r="C3" s="2"/>
      <c r="D3" s="47" t="s">
        <v>0</v>
      </c>
      <c r="E3" s="48">
        <v>0.625</v>
      </c>
      <c r="F3" s="49" t="s">
        <v>1</v>
      </c>
      <c r="K3" s="2"/>
      <c r="L3" s="3"/>
      <c r="M3" s="3"/>
      <c r="N3" s="3"/>
    </row>
    <row r="4" spans="1:18" x14ac:dyDescent="0.35">
      <c r="A4" s="4"/>
      <c r="B4" s="2"/>
      <c r="C4" s="2"/>
      <c r="D4" s="50"/>
      <c r="E4" s="3">
        <f>E3*2.54</f>
        <v>1.5874999999999999</v>
      </c>
      <c r="F4" s="51" t="s">
        <v>2</v>
      </c>
      <c r="I4" t="s">
        <v>40</v>
      </c>
      <c r="K4" s="2"/>
      <c r="L4" s="2" t="s">
        <v>3</v>
      </c>
      <c r="M4" s="3"/>
      <c r="N4" s="3"/>
    </row>
    <row r="5" spans="1:18" ht="16.5" x14ac:dyDescent="0.35">
      <c r="B5" s="2"/>
      <c r="C5" s="2"/>
      <c r="D5" s="50" t="s">
        <v>4</v>
      </c>
      <c r="E5" s="5">
        <f>PI()*E4^2/4</f>
        <v>1.9793260902246004</v>
      </c>
      <c r="F5" s="51" t="s">
        <v>5</v>
      </c>
      <c r="I5" t="s">
        <v>39</v>
      </c>
      <c r="K5" s="2"/>
      <c r="L5" s="2" t="s">
        <v>6</v>
      </c>
      <c r="M5" s="5"/>
      <c r="N5" s="5"/>
    </row>
    <row r="6" spans="1:18" ht="16.5" x14ac:dyDescent="0.35">
      <c r="B6" s="2"/>
      <c r="C6" s="2"/>
      <c r="D6" s="50" t="s">
        <v>7</v>
      </c>
      <c r="E6" s="6">
        <v>10</v>
      </c>
      <c r="F6" s="51" t="s">
        <v>8</v>
      </c>
      <c r="I6" t="s">
        <v>41</v>
      </c>
      <c r="K6" s="2"/>
      <c r="L6" s="6"/>
      <c r="M6" s="6"/>
      <c r="N6" s="6"/>
    </row>
    <row r="7" spans="1:18" ht="15.75" customHeight="1" thickBot="1" x14ac:dyDescent="0.4">
      <c r="B7" s="2"/>
      <c r="C7" s="2"/>
      <c r="D7" s="52" t="s">
        <v>9</v>
      </c>
      <c r="E7" s="53">
        <v>0.1</v>
      </c>
      <c r="F7" s="54" t="s">
        <v>10</v>
      </c>
      <c r="K7" s="60" t="s">
        <v>11</v>
      </c>
      <c r="L7" s="60"/>
      <c r="M7" s="60"/>
      <c r="N7" s="2"/>
    </row>
    <row r="8" spans="1:18" x14ac:dyDescent="0.35">
      <c r="A8" t="s">
        <v>12</v>
      </c>
      <c r="B8" s="2"/>
      <c r="C8" s="7" t="s">
        <v>13</v>
      </c>
      <c r="D8" s="2"/>
      <c r="E8" s="2"/>
      <c r="F8" s="2"/>
      <c r="G8" s="2"/>
      <c r="H8" s="2"/>
      <c r="I8" s="2"/>
      <c r="J8" s="2"/>
      <c r="K8" s="60" t="s">
        <v>14</v>
      </c>
      <c r="L8" s="60"/>
      <c r="M8" s="60"/>
      <c r="N8" s="2"/>
      <c r="O8" s="2"/>
    </row>
    <row r="9" spans="1:18" x14ac:dyDescent="0.35">
      <c r="A9" t="s">
        <v>12</v>
      </c>
      <c r="B9" s="55">
        <v>4.7200000000000002E-3</v>
      </c>
      <c r="C9" s="7" t="s">
        <v>13</v>
      </c>
      <c r="D9" s="29" t="s">
        <v>57</v>
      </c>
      <c r="E9" s="32" t="s">
        <v>15</v>
      </c>
      <c r="F9" s="8">
        <v>25</v>
      </c>
      <c r="G9" s="2" t="s">
        <v>16</v>
      </c>
      <c r="H9" s="2"/>
      <c r="I9" s="2"/>
      <c r="J9" s="2"/>
      <c r="K9" s="2"/>
      <c r="L9" s="5"/>
      <c r="M9" s="5"/>
      <c r="N9" s="5"/>
    </row>
    <row r="10" spans="1:18" x14ac:dyDescent="0.35">
      <c r="B10" s="2"/>
      <c r="C10" s="2"/>
      <c r="D10" s="2"/>
      <c r="E10" s="5"/>
      <c r="F10">
        <f>F9*10^-4</f>
        <v>2.5000000000000001E-3</v>
      </c>
      <c r="G10" s="1" t="s">
        <v>2</v>
      </c>
      <c r="H10" s="2"/>
      <c r="J10" s="2"/>
      <c r="K10" s="2"/>
      <c r="L10" s="5"/>
      <c r="M10" s="5"/>
      <c r="N10" s="5"/>
      <c r="P10" s="8"/>
    </row>
    <row r="11" spans="1:18" x14ac:dyDescent="0.35">
      <c r="A11" s="31" t="s">
        <v>45</v>
      </c>
      <c r="B11" s="29"/>
      <c r="C11" s="29" t="s">
        <v>44</v>
      </c>
      <c r="D11" s="9" t="s">
        <v>60</v>
      </c>
      <c r="E11" t="s">
        <v>43</v>
      </c>
    </row>
    <row r="12" spans="1:18" x14ac:dyDescent="0.35">
      <c r="K12" t="s">
        <v>35</v>
      </c>
      <c r="L12" t="s">
        <v>36</v>
      </c>
      <c r="M12" t="s">
        <v>37</v>
      </c>
    </row>
    <row r="13" spans="1:18" ht="29" x14ac:dyDescent="0.35">
      <c r="A13" s="29" t="s">
        <v>17</v>
      </c>
      <c r="B13" s="29" t="s">
        <v>18</v>
      </c>
      <c r="C13" s="29" t="s">
        <v>19</v>
      </c>
      <c r="D13" s="29" t="s">
        <v>20</v>
      </c>
      <c r="E13" s="29" t="s">
        <v>21</v>
      </c>
      <c r="F13" s="29" t="s">
        <v>22</v>
      </c>
      <c r="G13" s="29"/>
      <c r="H13" s="29" t="s">
        <v>23</v>
      </c>
      <c r="I13" s="29" t="s">
        <v>24</v>
      </c>
      <c r="J13" s="29" t="s">
        <v>25</v>
      </c>
      <c r="K13" s="29" t="s">
        <v>26</v>
      </c>
      <c r="L13" s="30" t="s">
        <v>27</v>
      </c>
      <c r="M13" s="30" t="s">
        <v>38</v>
      </c>
      <c r="N13" s="29" t="s">
        <v>28</v>
      </c>
      <c r="O13" s="29" t="s">
        <v>29</v>
      </c>
      <c r="P13" s="26"/>
    </row>
    <row r="14" spans="1:18" s="8" customFormat="1" x14ac:dyDescent="0.35">
      <c r="A14" s="1">
        <v>0</v>
      </c>
      <c r="B14" s="1">
        <v>0</v>
      </c>
      <c r="C14" s="1">
        <v>0</v>
      </c>
      <c r="D14" s="1"/>
      <c r="E14" s="1"/>
      <c r="F14" s="1"/>
      <c r="G14" s="1"/>
      <c r="H14"/>
      <c r="I14" s="1"/>
      <c r="J14" s="1"/>
      <c r="K14" s="1"/>
      <c r="L14" s="10">
        <v>0</v>
      </c>
      <c r="M14" s="10">
        <v>0</v>
      </c>
      <c r="N14" s="1"/>
      <c r="O14" s="1"/>
      <c r="P14"/>
      <c r="Q14"/>
      <c r="R14"/>
    </row>
    <row r="15" spans="1:18" s="8" customFormat="1" x14ac:dyDescent="0.35">
      <c r="A15" s="12"/>
      <c r="B15" s="27">
        <v>2</v>
      </c>
      <c r="C15" s="12">
        <v>56</v>
      </c>
      <c r="D15" s="12">
        <f t="shared" ref="D15:D17" si="0">A15*60*24+B15*60+C15</f>
        <v>176</v>
      </c>
      <c r="E15" s="12">
        <v>200</v>
      </c>
      <c r="F15" s="12">
        <v>2200</v>
      </c>
      <c r="G15" s="12"/>
      <c r="H15" s="8">
        <v>0.21576118469238301</v>
      </c>
      <c r="I15" s="12">
        <f>H15/($B$9)</f>
        <v>45.712115400928603</v>
      </c>
      <c r="J15" s="13">
        <f>I15/(10^6)</f>
        <v>4.5712115400928605E-5</v>
      </c>
      <c r="K15" s="14">
        <f>J15*F15/E15</f>
        <v>5.0283326941021468E-4</v>
      </c>
      <c r="L15" s="14">
        <f>K15*($E$6-($E15/1000))/$E$6</f>
        <v>4.9277660402201047E-4</v>
      </c>
      <c r="M15" s="14">
        <f>(K15-L14)+M14</f>
        <v>5.0283326941021468E-4</v>
      </c>
      <c r="N15" s="13">
        <f>LN(1-2*M15/$E$7)</f>
        <v>-1.0107575257507767E-2</v>
      </c>
      <c r="O15" s="12">
        <f>-N15*$E$6*$F$10/(2*$E$5)</f>
        <v>6.3832175679809467E-5</v>
      </c>
      <c r="Q15" s="14">
        <f xml:space="preserve"> (M15*0.01)/($E$5*(D15*60))</f>
        <v>2.4057070288283868E-10</v>
      </c>
    </row>
    <row r="16" spans="1:18" s="8" customFormat="1" x14ac:dyDescent="0.35">
      <c r="A16" s="12"/>
      <c r="B16" s="12">
        <v>4</v>
      </c>
      <c r="C16" s="12">
        <v>6</v>
      </c>
      <c r="D16" s="12">
        <f t="shared" si="0"/>
        <v>246</v>
      </c>
      <c r="E16" s="12">
        <v>200</v>
      </c>
      <c r="F16" s="12">
        <v>2200</v>
      </c>
      <c r="G16" s="12"/>
      <c r="H16" s="8">
        <v>0.29846000671386702</v>
      </c>
      <c r="I16" s="12">
        <f>H16/($B$9)</f>
        <v>63.233052269887075</v>
      </c>
      <c r="J16" s="13">
        <f t="shared" ref="J16:J17" si="1">I16/(10^6)</f>
        <v>6.3233052269887077E-5</v>
      </c>
      <c r="K16" s="14">
        <f t="shared" ref="K16" si="2">J16*F16/E16</f>
        <v>6.9556357496875789E-4</v>
      </c>
      <c r="L16" s="14">
        <f>K16*($E$6-($E16/1000))/$E$6</f>
        <v>6.816523034693828E-4</v>
      </c>
      <c r="M16" s="14">
        <f>(K16-L15)+M15</f>
        <v>7.056202403569621E-4</v>
      </c>
      <c r="N16" s="13">
        <f t="shared" ref="N16:N17" si="3">LN(1-2*M16/$E$7)</f>
        <v>-1.4212931696688519E-2</v>
      </c>
      <c r="O16" s="12">
        <f t="shared" ref="O16:O17" si="4">-N16*$E$6*$F$10/(2*$E$5)</f>
        <v>8.9758654264213069E-5</v>
      </c>
      <c r="Q16" s="14">
        <f xml:space="preserve"> (M16*0.01-M15*0.01)/($E$5*(D16*60-D15*60))</f>
        <v>2.4393460162342009E-10</v>
      </c>
    </row>
    <row r="17" spans="1:23" s="8" customFormat="1" x14ac:dyDescent="0.35">
      <c r="A17" s="12"/>
      <c r="B17" s="12">
        <v>6</v>
      </c>
      <c r="C17" s="12">
        <v>36</v>
      </c>
      <c r="D17" s="12">
        <f t="shared" si="0"/>
        <v>396</v>
      </c>
      <c r="E17" s="12">
        <v>200</v>
      </c>
      <c r="F17" s="12">
        <v>2200</v>
      </c>
      <c r="G17" s="12"/>
      <c r="H17" s="8">
        <v>0.48206329345703097</v>
      </c>
      <c r="I17" s="12">
        <f t="shared" ref="I17" si="5">H17/($B$9)</f>
        <v>102.13205369852351</v>
      </c>
      <c r="J17" s="13">
        <f t="shared" si="1"/>
        <v>1.0213205369852351E-4</v>
      </c>
      <c r="K17" s="8">
        <f>J17*F17/E17</f>
        <v>1.1234525906837587E-3</v>
      </c>
      <c r="L17" s="14">
        <f>K17*($E$6-($E17/1000))/$E$6</f>
        <v>1.1009835388700836E-3</v>
      </c>
      <c r="M17" s="14">
        <f t="shared" ref="M17" si="6">(K17-L16)+M16</f>
        <v>1.1474205275713379E-3</v>
      </c>
      <c r="N17" s="13">
        <f t="shared" si="3"/>
        <v>-2.3215824394258937E-2</v>
      </c>
      <c r="O17" s="12">
        <f t="shared" si="4"/>
        <v>1.4661444941359159E-4</v>
      </c>
      <c r="Q17" s="14">
        <f xml:space="preserve"> (M17*0.01-M16*0.01)/($E$5*(D17*60-D16*60))</f>
        <v>2.4800825414283832E-10</v>
      </c>
    </row>
    <row r="18" spans="1:23" x14ac:dyDescent="0.35">
      <c r="B18" s="2"/>
      <c r="C18" s="2"/>
      <c r="F18" s="1"/>
      <c r="G18" s="21"/>
      <c r="I18" s="22"/>
      <c r="J18" s="22"/>
      <c r="K18" s="20"/>
      <c r="L18" s="2"/>
      <c r="M18" s="1"/>
      <c r="O18" s="1"/>
      <c r="Q18" s="1"/>
      <c r="R18" s="21"/>
      <c r="T18" s="22"/>
      <c r="U18" s="22"/>
      <c r="V18" s="20"/>
      <c r="W18" s="2"/>
    </row>
    <row r="19" spans="1:23" x14ac:dyDescent="0.35">
      <c r="B19" s="2"/>
      <c r="C19" s="2"/>
      <c r="E19" s="33" t="s">
        <v>47</v>
      </c>
      <c r="F19" s="1"/>
      <c r="G19" s="21"/>
      <c r="I19" s="34" t="s">
        <v>49</v>
      </c>
      <c r="J19" s="22"/>
      <c r="K19" s="35" t="s">
        <v>52</v>
      </c>
      <c r="L19" s="36" t="s">
        <v>53</v>
      </c>
      <c r="M19" s="37" t="s">
        <v>55</v>
      </c>
      <c r="O19" s="1"/>
      <c r="Q19" s="21">
        <f xml:space="preserve"> AVERAGE(Q15:Q17)</f>
        <v>2.4417118621636573E-10</v>
      </c>
      <c r="R19" s="21"/>
      <c r="T19" s="22"/>
      <c r="U19" s="22"/>
      <c r="V19" s="23"/>
    </row>
    <row r="20" spans="1:23" x14ac:dyDescent="0.35">
      <c r="B20" s="2"/>
      <c r="C20" s="2"/>
      <c r="E20" s="33" t="s">
        <v>48</v>
      </c>
      <c r="F20" s="1"/>
      <c r="G20" s="21"/>
      <c r="I20" s="34" t="s">
        <v>50</v>
      </c>
      <c r="J20" s="22"/>
      <c r="K20" s="33" t="s">
        <v>51</v>
      </c>
      <c r="L20" s="33" t="s">
        <v>54</v>
      </c>
      <c r="M20" s="33" t="s">
        <v>56</v>
      </c>
    </row>
    <row r="21" spans="1:23" ht="15" thickBot="1" x14ac:dyDescent="0.4">
      <c r="B21" s="12"/>
      <c r="C21" s="12"/>
      <c r="S21" s="2"/>
      <c r="T21" s="2"/>
      <c r="U21" s="2"/>
    </row>
    <row r="22" spans="1:23" ht="16.5" x14ac:dyDescent="0.35">
      <c r="B22" s="12"/>
      <c r="C22" s="12"/>
      <c r="F22" s="24"/>
      <c r="G22" s="25"/>
      <c r="H22" s="2"/>
      <c r="I22" s="2"/>
      <c r="J22" s="2"/>
      <c r="N22" s="46" t="s">
        <v>30</v>
      </c>
      <c r="O22" s="38">
        <f>SLOPE(O15:O17,$D$15:$D$17)</f>
        <v>3.7671930072225721E-7</v>
      </c>
      <c r="P22" s="38" t="s">
        <v>31</v>
      </c>
      <c r="Q22" s="39">
        <f>O22/60</f>
        <v>6.2786550120376199E-9</v>
      </c>
      <c r="R22" s="40" t="s">
        <v>32</v>
      </c>
    </row>
    <row r="23" spans="1:23" ht="16.5" x14ac:dyDescent="0.35">
      <c r="B23" s="12"/>
      <c r="C23" s="12"/>
      <c r="D23" s="1"/>
      <c r="N23" s="41" t="s">
        <v>46</v>
      </c>
      <c r="O23">
        <v>0.97460000000000002</v>
      </c>
      <c r="R23" s="42"/>
    </row>
    <row r="24" spans="1:23" ht="17" thickBot="1" x14ac:dyDescent="0.4">
      <c r="B24" s="2"/>
      <c r="C24" s="2"/>
      <c r="N24" s="43" t="s">
        <v>33</v>
      </c>
      <c r="O24" s="44">
        <f>(1-O23)*O22</f>
        <v>9.5686702383453257E-9</v>
      </c>
      <c r="P24" s="44" t="s">
        <v>31</v>
      </c>
      <c r="Q24" s="44">
        <f>O24/60</f>
        <v>1.5947783730575544E-10</v>
      </c>
      <c r="R24" s="45" t="s">
        <v>34</v>
      </c>
    </row>
    <row r="25" spans="1:23" x14ac:dyDescent="0.35">
      <c r="E25" s="7"/>
    </row>
    <row r="26" spans="1:23" x14ac:dyDescent="0.35">
      <c r="B26" s="2"/>
      <c r="C26" s="2"/>
      <c r="D26" s="2"/>
      <c r="G26" s="2"/>
      <c r="H26" s="2"/>
      <c r="I26" s="2"/>
      <c r="J26" s="2"/>
      <c r="K26" s="2"/>
    </row>
    <row r="27" spans="1:23" x14ac:dyDescent="0.35">
      <c r="B27" s="2"/>
      <c r="C27" s="2"/>
      <c r="D27" s="1"/>
      <c r="F27" s="2"/>
      <c r="G27" s="2"/>
      <c r="H27" s="2"/>
      <c r="I27" s="10"/>
      <c r="J27" s="10"/>
      <c r="K27" s="2"/>
      <c r="L27" s="2"/>
      <c r="M27" s="1"/>
      <c r="N27" s="2"/>
    </row>
    <row r="28" spans="1:23" x14ac:dyDescent="0.35">
      <c r="D28" s="1"/>
      <c r="F28" s="2"/>
      <c r="G28" s="2"/>
      <c r="H28" s="2"/>
      <c r="I28" s="10"/>
      <c r="J28" s="10"/>
      <c r="K28" s="2"/>
      <c r="L28" s="2"/>
      <c r="M28" s="1"/>
      <c r="N28" s="56">
        <v>1</v>
      </c>
      <c r="O28" s="2">
        <v>7.9505016308881461E-9</v>
      </c>
      <c r="P28">
        <v>3.1516281162571816E-10</v>
      </c>
    </row>
    <row r="29" spans="1:23" x14ac:dyDescent="0.35">
      <c r="B29" s="2"/>
      <c r="C29" s="2"/>
      <c r="D29" s="8"/>
      <c r="E29" s="8"/>
      <c r="F29" s="12"/>
      <c r="G29" s="13"/>
      <c r="H29" s="14"/>
      <c r="I29" s="14"/>
      <c r="J29" s="14"/>
      <c r="K29" s="15"/>
      <c r="L29" s="6"/>
      <c r="N29" s="57">
        <v>2</v>
      </c>
      <c r="O29" s="2">
        <v>1.0716517461735878E-8</v>
      </c>
      <c r="P29">
        <v>4.1138582255432707E-10</v>
      </c>
    </row>
    <row r="30" spans="1:23" x14ac:dyDescent="0.35">
      <c r="A30" s="8"/>
      <c r="B30" s="11"/>
      <c r="C30" s="6"/>
      <c r="D30" s="8"/>
      <c r="E30" s="8"/>
      <c r="F30" s="12"/>
      <c r="G30" s="13"/>
      <c r="H30" s="14"/>
      <c r="I30" s="14"/>
      <c r="J30" s="14"/>
      <c r="K30" s="15"/>
      <c r="L30" s="6"/>
      <c r="N30" s="57">
        <v>3</v>
      </c>
      <c r="O30" s="12">
        <v>6.2786550120376199E-9</v>
      </c>
      <c r="P30">
        <v>2.4417118621636573E-10</v>
      </c>
    </row>
    <row r="31" spans="1:23" x14ac:dyDescent="0.35">
      <c r="A31" s="8"/>
      <c r="B31" s="6"/>
      <c r="C31" s="6"/>
      <c r="D31" s="8"/>
      <c r="E31" s="8"/>
      <c r="F31" s="12"/>
      <c r="G31" s="13"/>
      <c r="H31" s="14"/>
      <c r="I31" s="14"/>
      <c r="J31" s="14"/>
      <c r="K31" s="15"/>
      <c r="L31" s="6"/>
      <c r="N31" s="58" t="s">
        <v>58</v>
      </c>
      <c r="O31" s="59">
        <f xml:space="preserve"> AVERAGE(O28:O30)</f>
        <v>8.3152247015538828E-9</v>
      </c>
      <c r="P31" s="59">
        <f xml:space="preserve"> AVERAGE(P28:P30)</f>
        <v>3.2357327346547032E-10</v>
      </c>
    </row>
    <row r="32" spans="1:23" x14ac:dyDescent="0.35">
      <c r="A32" s="8"/>
      <c r="B32" s="6"/>
      <c r="C32" s="6"/>
      <c r="D32" s="8"/>
      <c r="E32" s="8"/>
      <c r="F32" s="12"/>
      <c r="G32" s="13"/>
      <c r="H32" s="14"/>
      <c r="I32" s="14"/>
      <c r="J32" s="14"/>
      <c r="K32" s="15"/>
      <c r="L32" s="6"/>
      <c r="N32" s="58" t="s">
        <v>59</v>
      </c>
      <c r="O32" s="59">
        <f xml:space="preserve"> _xlfn.STDEV.P(O28:O30)</f>
        <v>1.8300132912663665E-9</v>
      </c>
      <c r="P32" s="59">
        <f xml:space="preserve"> _xlfn.STDEV.P(P28:P30)</f>
        <v>6.852364824242606E-11</v>
      </c>
    </row>
    <row r="33" spans="1:15" x14ac:dyDescent="0.35">
      <c r="A33" s="8"/>
      <c r="B33" s="6"/>
      <c r="C33" s="6"/>
      <c r="D33" s="8"/>
      <c r="E33" s="8"/>
      <c r="F33" s="12"/>
      <c r="G33" s="13"/>
      <c r="H33" s="14"/>
      <c r="I33" s="14"/>
      <c r="J33" s="14"/>
      <c r="K33" s="15"/>
      <c r="L33" s="6"/>
      <c r="N33" s="8"/>
      <c r="O33" s="12"/>
    </row>
    <row r="34" spans="1:15" x14ac:dyDescent="0.35">
      <c r="A34" s="16"/>
      <c r="B34" s="17"/>
      <c r="C34" s="17"/>
      <c r="D34" s="16"/>
      <c r="E34" s="16"/>
      <c r="F34" s="18"/>
      <c r="G34" s="19"/>
      <c r="H34" s="14"/>
      <c r="I34" s="14"/>
      <c r="J34" s="14"/>
      <c r="K34" s="15"/>
      <c r="L34" s="6"/>
      <c r="M34" s="18"/>
      <c r="N34" s="16"/>
      <c r="O34" s="18"/>
    </row>
    <row r="35" spans="1:15" x14ac:dyDescent="0.35">
      <c r="B35" s="2"/>
      <c r="C35" s="2"/>
      <c r="F35" s="1"/>
      <c r="G35" s="21"/>
      <c r="I35" s="22"/>
      <c r="J35" s="22"/>
      <c r="K35" s="20"/>
      <c r="L35" s="2"/>
      <c r="M35" s="1"/>
      <c r="O35" s="1"/>
    </row>
    <row r="36" spans="1:15" x14ac:dyDescent="0.35">
      <c r="B36" s="2"/>
      <c r="C36" s="2"/>
      <c r="F36" s="1"/>
      <c r="G36" s="21"/>
      <c r="I36" s="22"/>
      <c r="J36" s="22"/>
      <c r="K36" s="20"/>
      <c r="L36" s="2"/>
      <c r="M36" s="1"/>
      <c r="O36" s="1"/>
    </row>
    <row r="37" spans="1:15" x14ac:dyDescent="0.35">
      <c r="B37" s="2"/>
      <c r="C37" s="2"/>
      <c r="F37" s="1"/>
      <c r="G37" s="21"/>
      <c r="I37" s="22"/>
      <c r="J37" s="22"/>
      <c r="K37" s="23"/>
    </row>
    <row r="39" spans="1:15" x14ac:dyDescent="0.35">
      <c r="B39" s="2"/>
      <c r="C39" s="2"/>
      <c r="F39" s="24"/>
      <c r="G39" s="25"/>
      <c r="H39" s="2"/>
      <c r="I39" s="2"/>
      <c r="J39" s="2"/>
    </row>
  </sheetData>
  <mergeCells count="2">
    <mergeCell ref="K7:M7"/>
    <mergeCell ref="K8:M8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NR211 AR 1</vt:lpstr>
      <vt:lpstr>NR211 AR 2</vt:lpstr>
      <vt:lpstr>NR211 AR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Diana</dc:creator>
  <cp:keywords/>
  <dc:description/>
  <cp:lastModifiedBy>Tommy George</cp:lastModifiedBy>
  <cp:revision/>
  <dcterms:created xsi:type="dcterms:W3CDTF">2018-04-13T20:55:47Z</dcterms:created>
  <dcterms:modified xsi:type="dcterms:W3CDTF">2023-06-14T16:36:09Z</dcterms:modified>
  <cp:category/>
  <cp:contentStatus/>
</cp:coreProperties>
</file>