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geo\Desktop\PhD Research\Research Project Files\Research - Symmetric cell crossover\symmetric cell crossover\NR212 broken\"/>
    </mc:Choice>
  </mc:AlternateContent>
  <xr:revisionPtr revIDLastSave="0" documentId="13_ncr:1_{BC4FABAC-1BE4-41D1-87BC-C98C66458A57}" xr6:coauthVersionLast="47" xr6:coauthVersionMax="47" xr10:uidLastSave="{00000000-0000-0000-0000-000000000000}"/>
  <bookViews>
    <workbookView xWindow="-110" yWindow="-110" windowWidth="19420" windowHeight="10300" activeTab="2" xr2:uid="{F73AB753-5E42-4249-8B1E-C003C6AA4375}"/>
  </bookViews>
  <sheets>
    <sheet name="NR212 AR 1" sheetId="1" r:id="rId1"/>
    <sheet name="NR212 AR 2" sheetId="2" r:id="rId2"/>
    <sheet name="NR212 AR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3" l="1"/>
  <c r="P31" i="3"/>
  <c r="Q19" i="1"/>
  <c r="Q17" i="1"/>
  <c r="Q16" i="1"/>
  <c r="Q15" i="1"/>
  <c r="Q17" i="2"/>
  <c r="Q16" i="2"/>
  <c r="Q15" i="2"/>
  <c r="Q19" i="2" s="1"/>
  <c r="Q19" i="3"/>
  <c r="Q17" i="3"/>
  <c r="Q16" i="3"/>
  <c r="Q15" i="3"/>
  <c r="D17" i="3"/>
  <c r="O32" i="3"/>
  <c r="O31" i="3"/>
  <c r="I17" i="3"/>
  <c r="J17" i="3" s="1"/>
  <c r="K17" i="3" s="1"/>
  <c r="I16" i="3"/>
  <c r="J16" i="3" s="1"/>
  <c r="K16" i="3" s="1"/>
  <c r="D16" i="3"/>
  <c r="I15" i="3"/>
  <c r="J15" i="3" s="1"/>
  <c r="K15" i="3" s="1"/>
  <c r="D15" i="3"/>
  <c r="F10" i="3"/>
  <c r="E4" i="3"/>
  <c r="E5" i="3" s="1"/>
  <c r="I17" i="2"/>
  <c r="J17" i="2" s="1"/>
  <c r="K17" i="2" s="1"/>
  <c r="D17" i="2"/>
  <c r="I16" i="2"/>
  <c r="J16" i="2" s="1"/>
  <c r="K16" i="2" s="1"/>
  <c r="D16" i="2"/>
  <c r="I15" i="2"/>
  <c r="J15" i="2" s="1"/>
  <c r="K15" i="2" s="1"/>
  <c r="D15" i="2"/>
  <c r="F10" i="2"/>
  <c r="E5" i="2"/>
  <c r="E4" i="2"/>
  <c r="I15" i="1"/>
  <c r="J15" i="1" s="1"/>
  <c r="K15" i="1" s="1"/>
  <c r="M15" i="3" l="1"/>
  <c r="N15" i="3" s="1"/>
  <c r="O15" i="3" s="1"/>
  <c r="L15" i="3"/>
  <c r="M16" i="3" s="1"/>
  <c r="N16" i="3" s="1"/>
  <c r="O16" i="3" s="1"/>
  <c r="L16" i="3"/>
  <c r="L17" i="3"/>
  <c r="L16" i="2"/>
  <c r="L17" i="2"/>
  <c r="L15" i="2"/>
  <c r="M15" i="2"/>
  <c r="N15" i="2" s="1"/>
  <c r="O15" i="2" s="1"/>
  <c r="M15" i="1"/>
  <c r="N15" i="1" s="1"/>
  <c r="L15" i="1"/>
  <c r="I16" i="1"/>
  <c r="M16" i="2" l="1"/>
  <c r="N16" i="2" s="1"/>
  <c r="O16" i="2" s="1"/>
  <c r="M17" i="3"/>
  <c r="N17" i="3" s="1"/>
  <c r="O17" i="3" s="1"/>
  <c r="O22" i="3" s="1"/>
  <c r="M17" i="2"/>
  <c r="N17" i="2" s="1"/>
  <c r="O17" i="2" s="1"/>
  <c r="O22" i="2" s="1"/>
  <c r="J16" i="1"/>
  <c r="K16" i="1" s="1"/>
  <c r="I17" i="1"/>
  <c r="J17" i="1" s="1"/>
  <c r="K17" i="1" s="1"/>
  <c r="D17" i="1"/>
  <c r="D16" i="1"/>
  <c r="D15" i="1"/>
  <c r="F10" i="1"/>
  <c r="O15" i="1" s="1"/>
  <c r="E4" i="1"/>
  <c r="E5" i="1" s="1"/>
  <c r="O24" i="3" l="1"/>
  <c r="Q24" i="3" s="1"/>
  <c r="Q22" i="3"/>
  <c r="O24" i="2"/>
  <c r="Q24" i="2" s="1"/>
  <c r="Q22" i="2"/>
  <c r="L17" i="1"/>
  <c r="L16" i="1"/>
  <c r="M16" i="1" l="1"/>
  <c r="N16" i="1" s="1"/>
  <c r="O16" i="1" s="1"/>
  <c r="M17" i="1" l="1"/>
  <c r="N17" i="1" l="1"/>
  <c r="O17" i="1" s="1"/>
  <c r="O22" i="1" s="1"/>
  <c r="Q22" i="1" s="1"/>
  <c r="O24" i="1" l="1"/>
  <c r="Q24" i="1" s="1"/>
</calcChain>
</file>

<file path=xl/sharedStrings.xml><?xml version="1.0" encoding="utf-8"?>
<sst xmlns="http://schemas.openxmlformats.org/spreadsheetml/2006/main" count="191" uniqueCount="62">
  <si>
    <t xml:space="preserve">Diameter </t>
  </si>
  <si>
    <t>inch</t>
  </si>
  <si>
    <t>cm</t>
  </si>
  <si>
    <t>V cR/t=P A/L (Ci-CR)</t>
  </si>
  <si>
    <t>Area (A)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</si>
  <si>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</si>
  <si>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P=V cR L / t A (ci-cR)</t>
  </si>
  <si>
    <t>Volume (V)</t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</si>
  <si>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</si>
  <si>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Initial concentration (Ci)</t>
  </si>
  <si>
    <t>M</t>
  </si>
  <si>
    <t>conc after=conc diluted*(Vtot-vdiluted)/vtot</t>
  </si>
  <si>
    <t>Slope @ nm</t>
  </si>
  <si>
    <t>abs/uM</t>
  </si>
  <si>
    <t>conc equilibrium1=conc measured1-conc after 0+conc equil0</t>
  </si>
  <si>
    <t>Thickness (L)</t>
  </si>
  <si>
    <t>um</t>
  </si>
  <si>
    <t>Time [d]</t>
  </si>
  <si>
    <t>Time [h]</t>
  </si>
  <si>
    <t>Time [min]</t>
  </si>
  <si>
    <t>Time tot [min]</t>
  </si>
  <si>
    <t>ul Diluted</t>
  </si>
  <si>
    <t>Dilution tot volume (uL)</t>
  </si>
  <si>
    <t>Abs.</t>
  </si>
  <si>
    <t>Conc. [µmol] </t>
  </si>
  <si>
    <t>Conc. [M]</t>
  </si>
  <si>
    <t>Conc. real [M]</t>
  </si>
  <si>
    <t>Conc. after (M)</t>
  </si>
  <si>
    <t>ln(1-2Cr/Cd)</t>
  </si>
  <si>
    <t>VLln(1-2Cr/Cd)/2A</t>
  </si>
  <si>
    <t>Permeability from the slope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</si>
  <si>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/min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</si>
  <si>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</si>
  <si>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>error</t>
  </si>
  <si>
    <t>cm²/s</t>
  </si>
  <si>
    <t>Cb</t>
  </si>
  <si>
    <t>C afte</t>
  </si>
  <si>
    <t>Cx</t>
  </si>
  <si>
    <t>crossed-over. conc. (M)</t>
  </si>
  <si>
    <t>vs</t>
  </si>
  <si>
    <t>donating side solution</t>
  </si>
  <si>
    <t>receiving side solution</t>
  </si>
  <si>
    <t>Adams &amp; Chittenden Hcell</t>
  </si>
  <si>
    <t>TYG</t>
  </si>
  <si>
    <t>NR212</t>
  </si>
  <si>
    <t>24hr soak 1M H2SO4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</si>
  <si>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</si>
  <si>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ie dilute 500 uL from Hcell to 2000 uL using 1500 uL</t>
  </si>
  <si>
    <t>of extra receptor, in the cuvette. Mix w pipette</t>
  </si>
  <si>
    <t xml:space="preserve">Measured conc. of diluted </t>
  </si>
  <si>
    <t>sample</t>
  </si>
  <si>
    <t>receptor cell</t>
  </si>
  <si>
    <t>Real conc. in</t>
  </si>
  <si>
    <t>Conc. in receptor</t>
  </si>
  <si>
    <t>after measurement</t>
  </si>
  <si>
    <t>How much</t>
  </si>
  <si>
    <t>has crossed?</t>
  </si>
  <si>
    <t>2023 apr</t>
  </si>
  <si>
    <t>328 nm</t>
  </si>
  <si>
    <t>AVG</t>
  </si>
  <si>
    <t>STD</t>
  </si>
  <si>
    <t>2023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</si>
</sst>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/>
    <xf numFmtId="165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/>
    <xf numFmtId="14" fontId="0" fillId="2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11" fontId="4" fillId="0" borderId="0" xfId="0" applyNumberFormat="1" applyFont="1"/>
    <xf numFmtId="11" fontId="4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1" fontId="5" fillId="0" borderId="0" xfId="0" applyNumberFormat="1" applyFont="1" applyAlignment="1">
      <alignment horizontal="center" vertical="center" wrapText="1"/>
    </xf>
    <xf numFmtId="0" fontId="5" fillId="0" borderId="0" xfId="0" applyFont="1"/>
    <xf numFmtId="165" fontId="5" fillId="0" borderId="0" xfId="0" applyNumberFormat="1" applyFont="1" applyAlignment="1">
      <alignment horizontal="center" vertical="center"/>
    </xf>
    <xf numFmtId="0" fontId="7" fillId="0" borderId="0" xfId="0" applyFont="1"/>
    <xf numFmtId="11" fontId="7" fillId="0" borderId="0" xfId="0" applyNumberFormat="1" applyFont="1"/>
    <xf numFmtId="11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5" fillId="0" borderId="4" xfId="0" applyFont="1" applyBorder="1"/>
    <xf numFmtId="0" fontId="0" fillId="0" borderId="5" xfId="0" applyBorder="1"/>
    <xf numFmtId="0" fontId="5" fillId="0" borderId="6" xfId="0" applyFont="1" applyBorder="1"/>
    <xf numFmtId="0" fontId="0" fillId="0" borderId="7" xfId="0" applyBorder="1"/>
    <xf numFmtId="0" fontId="0" fillId="0" borderId="8" xfId="0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'NR212 AR 1'!$D$15:$D$17</c:f>
              <c:numCache>
                <c:formatCode>General</c:formatCode>
                <c:ptCount val="3"/>
                <c:pt idx="0">
                  <c:v>177</c:v>
                </c:pt>
                <c:pt idx="1">
                  <c:v>237</c:v>
                </c:pt>
                <c:pt idx="2">
                  <c:v>386</c:v>
                </c:pt>
              </c:numCache>
            </c:numRef>
          </c:xVal>
          <c:yVal>
            <c:numRef>
              <c:f>'NR212 AR 1'!$O$15:$O$17</c:f>
              <c:numCache>
                <c:formatCode>General</c:formatCode>
                <c:ptCount val="3"/>
                <c:pt idx="0">
                  <c:v>7.0628926015444733E-5</c:v>
                </c:pt>
                <c:pt idx="1">
                  <c:v>9.3698156661111299E-5</c:v>
                </c:pt>
                <c:pt idx="2">
                  <c:v>1.5278640161896044E-4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D-4B86-9B56-0D6BF027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'NR212 AR 2'!$D$15:$D$17</c:f>
              <c:numCache>
                <c:formatCode>General</c:formatCode>
                <c:ptCount val="3"/>
                <c:pt idx="0">
                  <c:v>165</c:v>
                </c:pt>
                <c:pt idx="1">
                  <c:v>224</c:v>
                </c:pt>
                <c:pt idx="2">
                  <c:v>376</c:v>
                </c:pt>
              </c:numCache>
            </c:numRef>
          </c:xVal>
          <c:yVal>
            <c:numRef>
              <c:f>'NR212 AR 2'!$O$15:$O$17</c:f>
              <c:numCache>
                <c:formatCode>General</c:formatCode>
                <c:ptCount val="3"/>
                <c:pt idx="0">
                  <c:v>5.8357067645228696E-5</c:v>
                </c:pt>
                <c:pt idx="1">
                  <c:v>7.890231335806119E-5</c:v>
                </c:pt>
                <c:pt idx="2">
                  <c:v>1.3233706728398175E-4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05-4DE7-8FB5-DA84B0EA3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'NR212 AR 3'!$D$15:$D$17</c:f>
              <c:numCache>
                <c:formatCode>General</c:formatCode>
                <c:ptCount val="3"/>
                <c:pt idx="0">
                  <c:v>149</c:v>
                </c:pt>
                <c:pt idx="1">
                  <c:v>208</c:v>
                </c:pt>
                <c:pt idx="2">
                  <c:v>363</c:v>
                </c:pt>
              </c:numCache>
            </c:numRef>
          </c:xVal>
          <c:yVal>
            <c:numRef>
              <c:f>'NR212 AR 3'!$O$15:$O$17</c:f>
              <c:numCache>
                <c:formatCode>General</c:formatCode>
                <c:ptCount val="3"/>
                <c:pt idx="0">
                  <c:v>7.0585170489052186E-5</c:v>
                </c:pt>
                <c:pt idx="1">
                  <c:v>9.8513891312673418E-5</c:v>
                </c:pt>
                <c:pt idx="2">
                  <c:v>1.6898046742145535E-4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6E-4797-97E7-2E41FD74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A72F9-D637-44F0-9C8A-17F92692B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E1992-84A7-4D7F-A55B-30B5F49AA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B736E-80A3-4D0B-978D-8547511BB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6869-480E-45C0-AF79-A925D3ED1E6E}">
  <dimension ref="A1:W39"/>
  <sheetViews>
    <sheetView zoomScale="70" zoomScaleNormal="60" workbookViewId="0">
      <selection activeCell="Q19" sqref="Q19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58</v>
      </c>
      <c r="E9" s="32" t="s">
        <v>15</v>
      </c>
      <c r="F9" s="8">
        <v>50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5.0000000000000001E-3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45</v>
      </c>
      <c r="B11" s="29"/>
      <c r="C11" s="29" t="s">
        <v>44</v>
      </c>
      <c r="D11" s="9" t="s">
        <v>57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/>
      <c r="B15" s="27">
        <v>2</v>
      </c>
      <c r="C15" s="12">
        <v>57</v>
      </c>
      <c r="D15" s="12">
        <f t="shared" ref="D15:D17" si="0">A15*60*24+B15*60+C15</f>
        <v>177</v>
      </c>
      <c r="E15" s="12">
        <v>200</v>
      </c>
      <c r="F15" s="12">
        <v>2200</v>
      </c>
      <c r="G15" s="12"/>
      <c r="H15" s="8">
        <v>0.11963701248168999</v>
      </c>
      <c r="I15" s="12">
        <f>H15/($B$9)</f>
        <v>25.34682467832415</v>
      </c>
      <c r="J15" s="13">
        <f>I15/(10^6)</f>
        <v>2.5346824678324152E-5</v>
      </c>
      <c r="K15" s="14">
        <f>J15*F15/E15</f>
        <v>2.7881507146156563E-4</v>
      </c>
      <c r="L15" s="14">
        <f>K15*($E$6-($E15/1000))/$E$6</f>
        <v>2.7323877003233431E-4</v>
      </c>
      <c r="M15" s="14">
        <f>(K15-L14)+M14</f>
        <v>2.7881507146156563E-4</v>
      </c>
      <c r="N15" s="13">
        <f>LN(1-2*M15/$E$7)</f>
        <v>-5.5919070394765107E-3</v>
      </c>
      <c r="O15" s="12">
        <f>-N15*$E$6*$F$10/(2*$E$5)</f>
        <v>7.0628926015444733E-5</v>
      </c>
      <c r="Q15" s="14">
        <f xml:space="preserve"> (M15*0.01)/($E$5*(D15*60))</f>
        <v>1.3263995931223558E-10</v>
      </c>
    </row>
    <row r="16" spans="1:18" s="8" customFormat="1" x14ac:dyDescent="0.35">
      <c r="A16" s="12"/>
      <c r="B16" s="12">
        <v>3</v>
      </c>
      <c r="C16" s="12">
        <v>57</v>
      </c>
      <c r="D16" s="12">
        <f t="shared" si="0"/>
        <v>237</v>
      </c>
      <c r="E16" s="12">
        <v>200</v>
      </c>
      <c r="F16" s="12">
        <v>2200</v>
      </c>
      <c r="G16" s="12"/>
      <c r="H16" s="8">
        <v>0.15617609024047899</v>
      </c>
      <c r="I16" s="12">
        <f>H16/($B$9)</f>
        <v>33.088154711965885</v>
      </c>
      <c r="J16" s="13">
        <f t="shared" ref="J16:J17" si="1">I16/(10^6)</f>
        <v>3.3088154711965887E-5</v>
      </c>
      <c r="K16" s="14">
        <f t="shared" ref="K16" si="2">J16*F16/E16</f>
        <v>3.6396970183162478E-4</v>
      </c>
      <c r="L16" s="14">
        <f>K16*($E$6-($E16/1000))/$E$6</f>
        <v>3.5669030779499229E-4</v>
      </c>
      <c r="M16" s="14">
        <f>(K16-L15)+M15</f>
        <v>3.6954600326085611E-4</v>
      </c>
      <c r="N16" s="13">
        <f t="shared" ref="N16:N17" si="3">LN(1-2*M16/$E$7)</f>
        <v>-7.4183682434115815E-3</v>
      </c>
      <c r="O16" s="12">
        <f t="shared" ref="O16:O17" si="4">-N16*$E$6*$F$10/(2*$E$5)</f>
        <v>9.3698156661111299E-5</v>
      </c>
      <c r="Q16" s="14">
        <f xml:space="preserve"> (M16*0.01-M15*0.01)/($E$5*(D16*60-D15*60))</f>
        <v>1.273314020129657E-10</v>
      </c>
    </row>
    <row r="17" spans="1:23" s="8" customFormat="1" x14ac:dyDescent="0.35">
      <c r="A17" s="12"/>
      <c r="B17" s="12">
        <v>6</v>
      </c>
      <c r="C17" s="12">
        <v>26</v>
      </c>
      <c r="D17" s="12">
        <f t="shared" si="0"/>
        <v>386</v>
      </c>
      <c r="E17" s="12">
        <v>200</v>
      </c>
      <c r="F17" s="12">
        <v>2200</v>
      </c>
      <c r="G17" s="12"/>
      <c r="H17" s="8">
        <v>0.25244665145874001</v>
      </c>
      <c r="I17" s="12">
        <f t="shared" ref="I17" si="5">H17/($B$9)</f>
        <v>53.484460054817795</v>
      </c>
      <c r="J17" s="13">
        <f t="shared" si="1"/>
        <v>5.3484460054817794E-5</v>
      </c>
      <c r="K17" s="8">
        <f>J17*F17/E17</f>
        <v>5.8832906060299578E-4</v>
      </c>
      <c r="L17" s="14">
        <f>K17*($E$6-($E17/1000))/$E$6</f>
        <v>5.7656247939093588E-4</v>
      </c>
      <c r="M17" s="14">
        <f t="shared" ref="M17" si="6">(K17-L16)+M16</f>
        <v>6.0118475606885959E-4</v>
      </c>
      <c r="N17" s="13">
        <f t="shared" si="3"/>
        <v>-1.2096564438237702E-2</v>
      </c>
      <c r="O17" s="12">
        <f t="shared" si="4"/>
        <v>1.5278640161896044E-4</v>
      </c>
      <c r="Q17" s="14">
        <f xml:space="preserve"> (M17*0.01-M16*0.01)/($E$5*(D17*60-D16*60))</f>
        <v>1.309050346095936E-10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47</v>
      </c>
      <c r="F19" s="1"/>
      <c r="G19" s="21"/>
      <c r="I19" s="34" t="s">
        <v>49</v>
      </c>
      <c r="J19" s="22"/>
      <c r="K19" s="35" t="s">
        <v>52</v>
      </c>
      <c r="L19" s="36" t="s">
        <v>53</v>
      </c>
      <c r="M19" s="37" t="s">
        <v>55</v>
      </c>
      <c r="O19" s="1"/>
      <c r="Q19" s="21">
        <f xml:space="preserve"> AVERAGE(Q15:Q17)</f>
        <v>1.3029213197826496E-10</v>
      </c>
      <c r="R19" s="21"/>
      <c r="T19" s="22"/>
      <c r="U19" s="22"/>
      <c r="V19" s="23"/>
    </row>
    <row r="20" spans="1:23" x14ac:dyDescent="0.35">
      <c r="B20" s="2"/>
      <c r="C20" s="2"/>
      <c r="E20" s="33" t="s">
        <v>48</v>
      </c>
      <c r="F20" s="1"/>
      <c r="G20" s="21"/>
      <c r="I20" s="34" t="s">
        <v>50</v>
      </c>
      <c r="J20" s="22"/>
      <c r="K20" s="33" t="s">
        <v>51</v>
      </c>
      <c r="L20" s="33" t="s">
        <v>54</v>
      </c>
      <c r="M20" s="33" t="s">
        <v>56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3.9375974696459946E-7</v>
      </c>
      <c r="P22" s="38" t="s">
        <v>31</v>
      </c>
      <c r="Q22" s="39">
        <f>O22/60</f>
        <v>6.5626624494099908E-9</v>
      </c>
      <c r="R22" s="40" t="s">
        <v>32</v>
      </c>
    </row>
    <row r="23" spans="1:23" ht="16.5" x14ac:dyDescent="0.35">
      <c r="C23" s="1"/>
      <c r="D23" s="1"/>
      <c r="N23" s="41" t="s">
        <v>46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1.0001497572900818E-8</v>
      </c>
      <c r="P24" s="44" t="s">
        <v>31</v>
      </c>
      <c r="Q24" s="44">
        <f>O24/60</f>
        <v>1.6669162621501365E-10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  <c r="O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2"/>
      <c r="O28" s="2"/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8"/>
      <c r="O29" s="12"/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8"/>
      <c r="O30" s="12"/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8"/>
      <c r="O31" s="12"/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8"/>
      <c r="O32" s="12"/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A0EA-9324-4316-9211-F1A88176FF64}">
  <dimension ref="A1:W39"/>
  <sheetViews>
    <sheetView zoomScale="70" zoomScaleNormal="60" workbookViewId="0">
      <selection activeCell="Q19" sqref="Q19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58</v>
      </c>
      <c r="E9" s="32" t="s">
        <v>15</v>
      </c>
      <c r="F9" s="8">
        <v>50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5.0000000000000001E-3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45</v>
      </c>
      <c r="B11" s="29"/>
      <c r="C11" s="29" t="s">
        <v>44</v>
      </c>
      <c r="D11" s="9" t="s">
        <v>57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/>
      <c r="B15" s="27">
        <v>2</v>
      </c>
      <c r="C15" s="12">
        <v>45</v>
      </c>
      <c r="D15" s="12">
        <f t="shared" ref="D15:D17" si="0">A15*60*24+B15*60+C15</f>
        <v>165</v>
      </c>
      <c r="E15" s="12">
        <v>200</v>
      </c>
      <c r="F15" s="12">
        <v>2200</v>
      </c>
      <c r="G15" s="12"/>
      <c r="H15" s="8">
        <v>9.8897933959961007E-2</v>
      </c>
      <c r="I15" s="12">
        <f>H15/($B$9)</f>
        <v>20.952952110161227</v>
      </c>
      <c r="J15" s="13">
        <f>I15/(10^6)</f>
        <v>2.0952952110161229E-5</v>
      </c>
      <c r="K15" s="14">
        <f>J15*F15/E15</f>
        <v>2.3048247321177354E-4</v>
      </c>
      <c r="L15" s="14">
        <f>K15*($E$6-($E15/1000))/$E$6</f>
        <v>2.2587282374753807E-4</v>
      </c>
      <c r="M15" s="14">
        <f>(K15-L14)+M14</f>
        <v>2.3048247321177354E-4</v>
      </c>
      <c r="N15" s="13">
        <f>LN(1-2*M15/$E$7)</f>
        <v>-4.6203066615681217E-3</v>
      </c>
      <c r="O15" s="12">
        <f>-N15*$E$6*$F$10/(2*$E$5)</f>
        <v>5.8357067645228696E-5</v>
      </c>
      <c r="Q15" s="14">
        <f xml:space="preserve"> (M15*0.01)/($E$5*(D15*60))</f>
        <v>1.1762113385539908E-10</v>
      </c>
    </row>
    <row r="16" spans="1:18" s="8" customFormat="1" x14ac:dyDescent="0.35">
      <c r="A16" s="12"/>
      <c r="B16" s="12">
        <v>3</v>
      </c>
      <c r="C16" s="12">
        <v>44</v>
      </c>
      <c r="D16" s="12">
        <f t="shared" si="0"/>
        <v>224</v>
      </c>
      <c r="E16" s="12">
        <v>200</v>
      </c>
      <c r="F16" s="12">
        <v>2200</v>
      </c>
      <c r="G16" s="12"/>
      <c r="H16" s="8">
        <v>0.13162946701049799</v>
      </c>
      <c r="I16" s="12">
        <f>H16/($B$9)</f>
        <v>27.887598942902116</v>
      </c>
      <c r="J16" s="13">
        <f t="shared" ref="J16:J17" si="1">I16/(10^6)</f>
        <v>2.7887598942902117E-5</v>
      </c>
      <c r="K16" s="14">
        <f t="shared" ref="K16" si="2">J16*F16/E16</f>
        <v>3.0676358837192328E-4</v>
      </c>
      <c r="L16" s="14">
        <f>K16*($E$6-($E16/1000))/$E$6</f>
        <v>3.0062831660448481E-4</v>
      </c>
      <c r="M16" s="14">
        <f>(K16-L15)+M15</f>
        <v>3.1137323783615874E-4</v>
      </c>
      <c r="N16" s="13">
        <f t="shared" ref="N16:N17" si="3">LN(1-2*M16/$E$7)</f>
        <v>-6.246936296347501E-3</v>
      </c>
      <c r="O16" s="12">
        <f t="shared" ref="O16:O17" si="4">-N16*$E$6*$F$10/(2*$E$5)</f>
        <v>7.890231335806119E-5</v>
      </c>
      <c r="Q16" s="14">
        <f xml:space="preserve"> (M16*0.01-M15*0.01)/($E$5*(D16*60-D15*60))</f>
        <v>1.154458509606764E-10</v>
      </c>
    </row>
    <row r="17" spans="1:23" s="8" customFormat="1" x14ac:dyDescent="0.35">
      <c r="A17" s="12"/>
      <c r="B17" s="12">
        <v>6</v>
      </c>
      <c r="C17" s="12">
        <v>16</v>
      </c>
      <c r="D17" s="12">
        <f t="shared" si="0"/>
        <v>376</v>
      </c>
      <c r="E17" s="12">
        <v>200</v>
      </c>
      <c r="F17" s="12">
        <v>2200</v>
      </c>
      <c r="G17" s="12"/>
      <c r="H17" s="8">
        <v>0.219006538391113</v>
      </c>
      <c r="I17" s="12">
        <f t="shared" ref="I17" si="5">H17/($B$9)</f>
        <v>46.399690337100211</v>
      </c>
      <c r="J17" s="13">
        <f t="shared" si="1"/>
        <v>4.6399690337100209E-5</v>
      </c>
      <c r="K17" s="8">
        <f>J17*F17/E17</f>
        <v>5.103965937081023E-4</v>
      </c>
      <c r="L17" s="14">
        <f>K17*($E$6-($E17/1000))/$E$6</f>
        <v>5.0018866183394023E-4</v>
      </c>
      <c r="M17" s="14">
        <f t="shared" ref="M17" si="6">(K17-L16)+M16</f>
        <v>5.2114151493977629E-4</v>
      </c>
      <c r="N17" s="13">
        <f t="shared" si="3"/>
        <v>-1.0477528399159738E-2</v>
      </c>
      <c r="O17" s="12">
        <f t="shared" si="4"/>
        <v>1.3233706728398175E-4</v>
      </c>
      <c r="Q17" s="14">
        <f xml:space="preserve"> (M17*0.01-M16*0.01)/($E$5*(D17*60-D16*60))</f>
        <v>1.1620575149666753E-10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47</v>
      </c>
      <c r="F19" s="1"/>
      <c r="G19" s="21"/>
      <c r="I19" s="34" t="s">
        <v>49</v>
      </c>
      <c r="J19" s="22"/>
      <c r="K19" s="35" t="s">
        <v>52</v>
      </c>
      <c r="L19" s="36" t="s">
        <v>53</v>
      </c>
      <c r="M19" s="37" t="s">
        <v>55</v>
      </c>
      <c r="O19" s="1"/>
      <c r="Q19" s="21">
        <f xml:space="preserve"> AVERAGE(Q15:Q17)</f>
        <v>1.1642424543758101E-10</v>
      </c>
      <c r="R19" s="21"/>
      <c r="T19" s="22"/>
      <c r="U19" s="22"/>
      <c r="V19" s="23"/>
    </row>
    <row r="20" spans="1:23" x14ac:dyDescent="0.35">
      <c r="B20" s="2"/>
      <c r="C20" s="2"/>
      <c r="E20" s="33" t="s">
        <v>48</v>
      </c>
      <c r="F20" s="1"/>
      <c r="G20" s="21"/>
      <c r="I20" s="34" t="s">
        <v>50</v>
      </c>
      <c r="J20" s="22"/>
      <c r="K20" s="33" t="s">
        <v>51</v>
      </c>
      <c r="L20" s="33" t="s">
        <v>54</v>
      </c>
      <c r="M20" s="33" t="s">
        <v>56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3.5080066404486169E-7</v>
      </c>
      <c r="P22" s="38" t="s">
        <v>31</v>
      </c>
      <c r="Q22" s="39">
        <f>O22/60</f>
        <v>5.8466777340810283E-9</v>
      </c>
      <c r="R22" s="40" t="s">
        <v>32</v>
      </c>
    </row>
    <row r="23" spans="1:23" ht="16.5" x14ac:dyDescent="0.35">
      <c r="C23" s="1"/>
      <c r="D23" s="1"/>
      <c r="N23" s="41" t="s">
        <v>46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8.9103368667394794E-9</v>
      </c>
      <c r="P24" s="44" t="s">
        <v>31</v>
      </c>
      <c r="Q24" s="44">
        <f>O24/60</f>
        <v>1.4850561444565798E-10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  <c r="O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2"/>
      <c r="O28" s="2"/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8"/>
      <c r="O29" s="12"/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8"/>
      <c r="O30" s="12"/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8"/>
      <c r="O31" s="12"/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8"/>
      <c r="O32" s="12"/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DD4-5D19-48DD-961E-7CFACC1A2D8C}">
  <dimension ref="A1:W39"/>
  <sheetViews>
    <sheetView tabSelected="1" topLeftCell="E9" zoomScale="70" zoomScaleNormal="60" workbookViewId="0">
      <selection activeCell="Q15" sqref="Q15:Q19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58</v>
      </c>
      <c r="E9" s="32" t="s">
        <v>15</v>
      </c>
      <c r="F9" s="8">
        <v>50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5.0000000000000001E-3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45</v>
      </c>
      <c r="B11" s="29"/>
      <c r="C11" s="29" t="s">
        <v>44</v>
      </c>
      <c r="D11" s="9" t="s">
        <v>61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/>
      <c r="B15" s="27">
        <v>2</v>
      </c>
      <c r="C15" s="12">
        <v>29</v>
      </c>
      <c r="D15" s="12">
        <f t="shared" ref="D15:D17" si="0">A15*60*24+B15*60+C15</f>
        <v>149</v>
      </c>
      <c r="E15" s="12">
        <v>200</v>
      </c>
      <c r="F15" s="12">
        <v>2200</v>
      </c>
      <c r="G15" s="12"/>
      <c r="H15" s="8">
        <v>0.119563102722168</v>
      </c>
      <c r="I15" s="12">
        <f>H15/($B$9)</f>
        <v>25.331165830967795</v>
      </c>
      <c r="J15" s="13">
        <f>I15/(10^6)</f>
        <v>2.5331165830967795E-5</v>
      </c>
      <c r="K15" s="14">
        <f>J15*F15/E15</f>
        <v>2.7864282414064576E-4</v>
      </c>
      <c r="L15" s="14">
        <f>K15*($E$6-($E15/1000))/$E$6</f>
        <v>2.7306996765783285E-4</v>
      </c>
      <c r="M15" s="14">
        <f>(K15-L14)+M14</f>
        <v>2.7864282414064576E-4</v>
      </c>
      <c r="N15" s="13">
        <f>LN(1-2*M15/$E$7)</f>
        <v>-5.5884427812773006E-3</v>
      </c>
      <c r="O15" s="12">
        <f>-N15*$E$6*$F$10/(2*$E$5)</f>
        <v>7.0585170489052186E-5</v>
      </c>
      <c r="Q15" s="14">
        <f xml:space="preserve"> (M15*0.01)/($E$5*(D15*60))</f>
        <v>1.5746824784572854E-10</v>
      </c>
    </row>
    <row r="16" spans="1:18" s="8" customFormat="1" x14ac:dyDescent="0.35">
      <c r="A16" s="12"/>
      <c r="B16" s="12">
        <v>3</v>
      </c>
      <c r="C16" s="12">
        <v>28</v>
      </c>
      <c r="D16" s="12">
        <f t="shared" si="0"/>
        <v>208</v>
      </c>
      <c r="E16" s="12">
        <v>200</v>
      </c>
      <c r="F16" s="12">
        <v>2200</v>
      </c>
      <c r="G16" s="12"/>
      <c r="H16" s="8">
        <v>0.16429567337036199</v>
      </c>
      <c r="I16" s="12">
        <f>H16/($B$9)</f>
        <v>34.808405375076688</v>
      </c>
      <c r="J16" s="13">
        <f t="shared" ref="J16:J17" si="1">I16/(10^6)</f>
        <v>3.480840537507669E-5</v>
      </c>
      <c r="K16" s="14">
        <f t="shared" ref="K16" si="2">J16*F16/E16</f>
        <v>3.8289245912584359E-4</v>
      </c>
      <c r="L16" s="14">
        <f>K16*($E$6-($E16/1000))/$E$6</f>
        <v>3.7523460994332675E-4</v>
      </c>
      <c r="M16" s="14">
        <f>(K16-L15)+M15</f>
        <v>3.8846531560865651E-4</v>
      </c>
      <c r="N16" s="13">
        <f t="shared" ref="N16:N17" si="3">LN(1-2*M16/$E$7)</f>
        <v>-7.7996446129890038E-3</v>
      </c>
      <c r="O16" s="12">
        <f t="shared" ref="O16:O17" si="4">-N16*$E$6*$F$10/(2*$E$5)</f>
        <v>9.8513891312673418E-5</v>
      </c>
      <c r="Q16" s="14">
        <f xml:space="preserve"> (M16*0.01-M15*0.01)/($E$5*(D16*60-D15*60))</f>
        <v>1.567366935028831E-10</v>
      </c>
    </row>
    <row r="17" spans="1:23" s="8" customFormat="1" x14ac:dyDescent="0.35">
      <c r="A17" s="12"/>
      <c r="B17" s="12">
        <v>6</v>
      </c>
      <c r="C17" s="12">
        <v>3</v>
      </c>
      <c r="D17" s="12">
        <f t="shared" si="0"/>
        <v>363</v>
      </c>
      <c r="E17" s="12">
        <v>200</v>
      </c>
      <c r="F17" s="12">
        <v>2200</v>
      </c>
      <c r="G17" s="12"/>
      <c r="H17" s="8">
        <v>0.27944517135620101</v>
      </c>
      <c r="I17" s="12">
        <f t="shared" ref="I17" si="5">H17/($B$9)</f>
        <v>59.204485456822241</v>
      </c>
      <c r="J17" s="13">
        <f t="shared" si="1"/>
        <v>5.920448545682224E-5</v>
      </c>
      <c r="K17" s="8">
        <f>J17*F17/E17</f>
        <v>6.5124934002504459E-4</v>
      </c>
      <c r="L17" s="14">
        <f>K17*($E$6-($E17/1000))/$E$6</f>
        <v>6.3822435322454375E-4</v>
      </c>
      <c r="M17" s="14">
        <f t="shared" ref="M17" si="6">(K17-L16)+M16</f>
        <v>6.6448004569037429E-4</v>
      </c>
      <c r="N17" s="13">
        <f t="shared" si="3"/>
        <v>-1.3378697916225387E-2</v>
      </c>
      <c r="O17" s="12">
        <f t="shared" si="4"/>
        <v>1.6898046742145535E-4</v>
      </c>
      <c r="Q17" s="14">
        <f xml:space="preserve"> (M17*0.01-M16*0.01)/($E$5*(D17*60-D16*60))</f>
        <v>1.4994499077827819E-10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47</v>
      </c>
      <c r="F19" s="1"/>
      <c r="G19" s="21"/>
      <c r="I19" s="34" t="s">
        <v>49</v>
      </c>
      <c r="J19" s="22"/>
      <c r="K19" s="35" t="s">
        <v>52</v>
      </c>
      <c r="L19" s="36" t="s">
        <v>53</v>
      </c>
      <c r="M19" s="37" t="s">
        <v>55</v>
      </c>
      <c r="O19" s="1"/>
      <c r="Q19" s="21">
        <f xml:space="preserve"> AVERAGE(Q15:Q17)</f>
        <v>1.547166440422966E-10</v>
      </c>
      <c r="R19" s="21"/>
      <c r="T19" s="22"/>
      <c r="U19" s="22"/>
      <c r="V19" s="23"/>
    </row>
    <row r="20" spans="1:23" x14ac:dyDescent="0.35">
      <c r="B20" s="2"/>
      <c r="C20" s="2"/>
      <c r="E20" s="33" t="s">
        <v>48</v>
      </c>
      <c r="F20" s="1"/>
      <c r="G20" s="21"/>
      <c r="I20" s="34" t="s">
        <v>50</v>
      </c>
      <c r="J20" s="22"/>
      <c r="K20" s="33" t="s">
        <v>51</v>
      </c>
      <c r="L20" s="33" t="s">
        <v>54</v>
      </c>
      <c r="M20" s="33" t="s">
        <v>56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4.5874201753006914E-7</v>
      </c>
      <c r="P22" s="38" t="s">
        <v>31</v>
      </c>
      <c r="Q22" s="39">
        <f>O22/60</f>
        <v>7.6457002921678187E-9</v>
      </c>
      <c r="R22" s="40" t="s">
        <v>32</v>
      </c>
    </row>
    <row r="23" spans="1:23" ht="16.5" x14ac:dyDescent="0.35">
      <c r="C23" s="1"/>
      <c r="D23" s="1"/>
      <c r="N23" s="41" t="s">
        <v>46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1.1652047245263746E-8</v>
      </c>
      <c r="P24" s="44" t="s">
        <v>31</v>
      </c>
      <c r="Q24" s="44">
        <f>O24/60</f>
        <v>1.9420078742106244E-10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56">
        <v>1</v>
      </c>
      <c r="O28" s="2">
        <v>6.5626624494099908E-9</v>
      </c>
      <c r="P28">
        <v>1.3029213197826496E-10</v>
      </c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57">
        <v>2</v>
      </c>
      <c r="O29" s="2">
        <v>5.8466777340810283E-9</v>
      </c>
      <c r="P29">
        <v>1.1642424543758101E-10</v>
      </c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57">
        <v>3</v>
      </c>
      <c r="O30" s="12">
        <v>7.6457002921678187E-9</v>
      </c>
      <c r="P30">
        <v>1.547166440422966E-10</v>
      </c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58" t="s">
        <v>59</v>
      </c>
      <c r="O31" s="59">
        <f xml:space="preserve"> AVERAGE(O28:O30)</f>
        <v>6.6850134918862798E-9</v>
      </c>
      <c r="P31" s="59">
        <f xml:space="preserve"> AVERAGE(P28:P30)</f>
        <v>1.3381100715271418E-10</v>
      </c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58" t="s">
        <v>60</v>
      </c>
      <c r="O32" s="59">
        <f xml:space="preserve"> _xlfn.STDEV.P(O28:O30)</f>
        <v>7.3952591765380823E-10</v>
      </c>
      <c r="P32" s="59">
        <f xml:space="preserve"> _xlfn.STDEV.P(P28:P30)</f>
        <v>1.5829588531094175E-11</v>
      </c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NR212 AR 1</vt:lpstr>
      <vt:lpstr>NR212 AR 2</vt:lpstr>
      <vt:lpstr>NR212 AR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</dc:creator>
  <cp:keywords/>
  <dc:description/>
  <cp:lastModifiedBy>Tommy George</cp:lastModifiedBy>
  <cp:revision/>
  <dcterms:created xsi:type="dcterms:W3CDTF">2018-04-13T20:55:47Z</dcterms:created>
  <dcterms:modified xsi:type="dcterms:W3CDTF">2023-06-14T16:38:27Z</dcterms:modified>
  <cp:category/>
  <cp:contentStatus/>
</cp:coreProperties>
</file>