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t-kajai\AI-Video-Intelligence-Solution-Accelerator\Business Impact Assessment\"/>
    </mc:Choice>
  </mc:AlternateContent>
  <xr:revisionPtr revIDLastSave="0" documentId="13_ncr:1_{F0BFEF5C-73E2-46F4-A3B4-883D09007EE2}" xr6:coauthVersionLast="43" xr6:coauthVersionMax="44" xr10:uidLastSave="{00000000-0000-0000-0000-000000000000}"/>
  <bookViews>
    <workbookView xWindow="-110" yWindow="-110" windowWidth="25820" windowHeight="14020" xr2:uid="{3DECAA21-7DAB-4FE9-B6DA-7A17C2F678ED}"/>
  </bookViews>
  <sheets>
    <sheet name="Retail" sheetId="1" r:id="rId1"/>
    <sheet name="Healthcare" sheetId="4" r:id="rId2"/>
    <sheet name="Manufacturing"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2" i="5" l="1"/>
  <c r="E56" i="5" s="1"/>
  <c r="E47" i="5"/>
  <c r="D47" i="5"/>
  <c r="C47" i="5"/>
  <c r="E45" i="5"/>
  <c r="D39" i="5"/>
  <c r="D52" i="5"/>
  <c r="D56" i="5" s="1"/>
  <c r="E63" i="5"/>
  <c r="E61" i="5"/>
  <c r="D63" i="5"/>
  <c r="D61" i="5"/>
  <c r="D62" i="5" l="1"/>
  <c r="D65" i="5" s="1"/>
  <c r="D67" i="5" s="1"/>
  <c r="D70" i="5" s="1"/>
  <c r="D71" i="5" s="1"/>
  <c r="E62" i="5"/>
  <c r="E65" i="5" s="1"/>
  <c r="E67" i="5" s="1"/>
  <c r="E70" i="5" s="1"/>
  <c r="E71" i="5" s="1"/>
  <c r="C34" i="5"/>
  <c r="C37" i="5" l="1"/>
  <c r="C38" i="5" l="1"/>
  <c r="C23" i="5"/>
  <c r="C42" i="5" s="1"/>
  <c r="C52" i="5"/>
  <c r="C63" i="5"/>
  <c r="C61" i="5"/>
  <c r="C62" i="5" l="1"/>
  <c r="C65" i="5" s="1"/>
  <c r="C56" i="5"/>
  <c r="D33" i="4"/>
  <c r="C48" i="4"/>
  <c r="D48" i="4"/>
  <c r="D13" i="4"/>
  <c r="C37" i="4"/>
  <c r="C38" i="4" s="1"/>
  <c r="C44" i="4" s="1"/>
  <c r="D16" i="4"/>
  <c r="D17" i="4" s="1"/>
  <c r="C21" i="1"/>
  <c r="D59" i="4"/>
  <c r="C59" i="4"/>
  <c r="D57" i="4"/>
  <c r="C57" i="4"/>
  <c r="E18" i="1"/>
  <c r="F57" i="1"/>
  <c r="D65" i="1"/>
  <c r="D67" i="1"/>
  <c r="F65" i="1"/>
  <c r="F67" i="1"/>
  <c r="E65" i="1"/>
  <c r="E67" i="1"/>
  <c r="E57" i="1"/>
  <c r="C51" i="1"/>
  <c r="C54" i="1" s="1"/>
  <c r="C55" i="1" s="1"/>
  <c r="C65" i="1"/>
  <c r="C67" i="1"/>
  <c r="C26" i="1"/>
  <c r="C34" i="1" s="1"/>
  <c r="F34" i="1" s="1"/>
  <c r="F37" i="1" s="1"/>
  <c r="F47" i="1" s="1"/>
  <c r="H14" i="1"/>
  <c r="H13" i="1"/>
  <c r="G13" i="1"/>
  <c r="C67" i="5" l="1"/>
  <c r="C70" i="5" s="1"/>
  <c r="C71" i="5" s="1"/>
  <c r="C58" i="4"/>
  <c r="D34" i="4"/>
  <c r="D44" i="4" s="1"/>
  <c r="D58" i="4"/>
  <c r="D52" i="4"/>
  <c r="C52" i="4"/>
  <c r="D34" i="1"/>
  <c r="D37" i="1" s="1"/>
  <c r="D47" i="1" s="1"/>
  <c r="E51" i="1"/>
  <c r="E54" i="1" s="1"/>
  <c r="E60" i="1" s="1"/>
  <c r="D51" i="1"/>
  <c r="C36" i="1"/>
  <c r="C47" i="1" s="1"/>
  <c r="C30" i="1"/>
  <c r="E34" i="1"/>
  <c r="C66" i="1"/>
  <c r="C69" i="1" s="1"/>
  <c r="C60" i="1"/>
  <c r="C56" i="1"/>
  <c r="D61" i="4" l="1"/>
  <c r="D63" i="4" s="1"/>
  <c r="D66" i="4" s="1"/>
  <c r="C61" i="4"/>
  <c r="D54" i="1"/>
  <c r="F51" i="1"/>
  <c r="F54" i="1" s="1"/>
  <c r="E66" i="1"/>
  <c r="E69" i="1" s="1"/>
  <c r="E71" i="1" s="1"/>
  <c r="E55" i="1"/>
  <c r="E56" i="1" s="1"/>
  <c r="E41" i="1"/>
  <c r="E37" i="1"/>
  <c r="C71" i="1"/>
  <c r="C74" i="1" s="1"/>
  <c r="C77" i="1" s="1"/>
  <c r="C63" i="4" l="1"/>
  <c r="C66" i="4" s="1"/>
  <c r="D67" i="4"/>
  <c r="E47" i="1"/>
  <c r="E74" i="1" s="1"/>
  <c r="E77" i="1" s="1"/>
  <c r="F55" i="1"/>
  <c r="F60" i="1"/>
  <c r="F66" i="1"/>
  <c r="F69" i="1" s="1"/>
  <c r="F71" i="1" s="1"/>
  <c r="F74" i="1" s="1"/>
  <c r="F77" i="1" s="1"/>
  <c r="F56" i="1"/>
  <c r="D55" i="1"/>
  <c r="D56" i="1" s="1"/>
  <c r="D66" i="1"/>
  <c r="D69" i="1" s="1"/>
  <c r="D60" i="1"/>
  <c r="C76" i="1"/>
  <c r="C75" i="1"/>
  <c r="C67" i="4" l="1"/>
  <c r="E76" i="1"/>
  <c r="E75" i="1"/>
  <c r="D71" i="1"/>
  <c r="D74" i="1" s="1"/>
  <c r="F75" i="1"/>
  <c r="F76" i="1"/>
  <c r="D76" i="1" l="1"/>
  <c r="D77" i="1"/>
  <c r="D75" i="1"/>
</calcChain>
</file>

<file path=xl/sharedStrings.xml><?xml version="1.0" encoding="utf-8"?>
<sst xmlns="http://schemas.openxmlformats.org/spreadsheetml/2006/main" count="233" uniqueCount="175">
  <si>
    <t>RETAIL Scenarios: Cost Benefit Analysis for customers</t>
  </si>
  <si>
    <t>Input from the customer</t>
  </si>
  <si>
    <t>Input Recommendations from Microsoft</t>
  </si>
  <si>
    <t>Scenario</t>
  </si>
  <si>
    <t>Shrinkage / Theft</t>
  </si>
  <si>
    <t>Out of Stock alert</t>
  </si>
  <si>
    <t>Cashierless checkout</t>
  </si>
  <si>
    <t>Video Ads</t>
  </si>
  <si>
    <t>2019 Global Loss ($billion)</t>
  </si>
  <si>
    <t>US Loss ($billion)</t>
  </si>
  <si>
    <t>Source</t>
  </si>
  <si>
    <t>Comments</t>
  </si>
  <si>
    <t>Model</t>
  </si>
  <si>
    <t>SSD-VGG</t>
  </si>
  <si>
    <t>MPII, SSD-VGG</t>
  </si>
  <si>
    <t>DBE Frame Rate for 1 camera (fps)</t>
  </si>
  <si>
    <t>Assumptions</t>
  </si>
  <si>
    <t>% of Sales</t>
  </si>
  <si>
    <t>Average Shrinkage</t>
  </si>
  <si>
    <t>2017 NRSS Survey for US or Global GRTB for Retail as a whole</t>
  </si>
  <si>
    <t>Assume 6.9% CAGR for Retail Industry, used the GTB survey report $123.39B lost in 2014</t>
  </si>
  <si>
    <t>Out of Stock Sales Loss (Grocery / Supermarkets)</t>
  </si>
  <si>
    <t>Microsoft Library</t>
  </si>
  <si>
    <t>North America Numbers : $129.5B in 2015</t>
  </si>
  <si>
    <t>Out of Stock Sales Loss (Global Retail)</t>
  </si>
  <si>
    <t>Average Margins</t>
  </si>
  <si>
    <t>https://www.investopedia.com/ask/answers/071615/what-profit-margin-usual-company-retail-sector.asp</t>
  </si>
  <si>
    <t>Expected Revenue Increase after deploying scenario</t>
  </si>
  <si>
    <t>https://www.retailtouchpoints.com/features/special-reports/retailers-embrace-personalization-to-ramp-up-content-investments</t>
  </si>
  <si>
    <t>Automated checxkout stores bring 50% more revenue than typical convenience stroes (RBC capital markets), but set up costs are $1M, taking a conservative estimate here</t>
  </si>
  <si>
    <t>Cashier salaries (% of sales)</t>
  </si>
  <si>
    <t>https://www.salary.com/research/salary/benchmark/retail-cashier-full-time-hourly-wages, FMI.org,</t>
  </si>
  <si>
    <t>Sales per labor hour = $150 in 2017. Assume Labor Cost = $12.5 per hour</t>
  </si>
  <si>
    <t>Expected Reduction in Cashier Costs</t>
  </si>
  <si>
    <t>Assume only 15% of cashiers would be needed to assist customers. Based on anecdotal estimates.</t>
  </si>
  <si>
    <t>Expected Reduction in Theft Loss</t>
  </si>
  <si>
    <t>Total Retail Stores to deploly the technology</t>
  </si>
  <si>
    <t>60% of customers will buy a product if shown video ads for it</t>
  </si>
  <si>
    <t>Number of Supermarkets (2018)</t>
  </si>
  <si>
    <t>https://www.fmi.org/our-research/supermarket-facts</t>
  </si>
  <si>
    <t>*$2M or more in annual sales</t>
  </si>
  <si>
    <t>Total Supermarket Sales (2018) $billion</t>
  </si>
  <si>
    <t>Median Store Size (2016) in sq ft</t>
  </si>
  <si>
    <t>Annual Sales per supermarket ($million)</t>
  </si>
  <si>
    <t>Selling Area of a store (shelves, cashiers etc.)</t>
  </si>
  <si>
    <t>Triangulation of different numbers from www.fmi.org (sales per sq. foot of selling area, sales, total store area). Other is warehouse / unused areas</t>
  </si>
  <si>
    <t>Annual Sales per sq ft of selling area ($)</t>
  </si>
  <si>
    <t>Potential Sales Impact per store that can be mitigated by the solution</t>
  </si>
  <si>
    <t>Annual Sales per store ($million)</t>
  </si>
  <si>
    <t>Direct Sales Impact</t>
  </si>
  <si>
    <t>Annual Loss ($million)</t>
  </si>
  <si>
    <t>Annual Sales Improvement Potential ($million)</t>
  </si>
  <si>
    <t>Labor Impact</t>
  </si>
  <si>
    <t>Man Hours Saved</t>
  </si>
  <si>
    <t>Labor Cost Reduction ($million)</t>
  </si>
  <si>
    <t>Other Losses / Considerations</t>
  </si>
  <si>
    <t>Analytics on Stored Data</t>
  </si>
  <si>
    <t>Bottomline Gains per store ($)</t>
  </si>
  <si>
    <t>Camera Cost Considerations per store</t>
  </si>
  <si>
    <t>Average Selling area in a store (sqft)</t>
  </si>
  <si>
    <t>Camera coverage required (% of selling area)</t>
  </si>
  <si>
    <t>Area covered by one camera (sqft)</t>
  </si>
  <si>
    <t>https://medium.com/@jinghanhao/the-race-to-cashier-less-check-out-experiences-660e712a9b02</t>
  </si>
  <si>
    <t>Trigo Vision claims their technology works with existing cheap cameras. Every 2000 square feet store would need about 50 cameras. Average Trader Joe store size is 10,000 square feet which translates to 250 cameras.</t>
  </si>
  <si>
    <t>Total Cameras required</t>
  </si>
  <si>
    <t>Total Cameras already available in store</t>
  </si>
  <si>
    <t>Total Cameras needed to purchase</t>
  </si>
  <si>
    <t>Cost per camera (and wiring) ($)</t>
  </si>
  <si>
    <t>Life Cycle of Camera (years)</t>
  </si>
  <si>
    <t>Total Cost of Cameras per year ($)</t>
  </si>
  <si>
    <t>DBE Cost Considerations</t>
  </si>
  <si>
    <t>Frame Rate Needed (inference per seconds)</t>
  </si>
  <si>
    <t>Cameras per DBE</t>
  </si>
  <si>
    <t>Number of DBEs needed</t>
  </si>
  <si>
    <t>Cost of one DBE per year ($)</t>
  </si>
  <si>
    <t>Total Annual Cost of DBEs</t>
  </si>
  <si>
    <t>Total Cost per year ($)</t>
  </si>
  <si>
    <t>Net Bottomline impact using DBE per store</t>
  </si>
  <si>
    <t>ROI (%)</t>
  </si>
  <si>
    <t>Bottomline Impact (%)</t>
  </si>
  <si>
    <t>Increase in profits per store by deploying the solution</t>
  </si>
  <si>
    <t>Total Bottomline impact for the customer</t>
  </si>
  <si>
    <t>HEALTHCARE Scenarios: Cost Benefit Analysis for customers</t>
  </si>
  <si>
    <t>Patient Monitoring</t>
  </si>
  <si>
    <t>Operation Room Effeciency</t>
  </si>
  <si>
    <t>Operating Room Costs per hour</t>
  </si>
  <si>
    <t>https://jamanetwork.com/journals/jamasurgery/fullarticle/2673385</t>
  </si>
  <si>
    <t>Average time for Surgery by Expert Surgeon (min)</t>
  </si>
  <si>
    <t>Average time for Surgery by Amateur Surgeons (min)</t>
  </si>
  <si>
    <t>https://caresyntax.com/news/caresyntax-data-analytics-platform-for-surgery-is-more-than-the-sum-of-its-individual-connections/</t>
  </si>
  <si>
    <t>Data for bariatric surgery</t>
  </si>
  <si>
    <t>Average time for Surgery</t>
  </si>
  <si>
    <t>Potential for reduction of surgery time (%)</t>
  </si>
  <si>
    <t>Average reduction across all surgeries</t>
  </si>
  <si>
    <t>Reduction Potential through Video Analytics</t>
  </si>
  <si>
    <t>Assume that the rest cannot be optimized through video analytics, need experience and other solutions</t>
  </si>
  <si>
    <t>Average surgeries per day per OR</t>
  </si>
  <si>
    <t>https://www.beckersasc.com/lists/100-surgery-center-benchmarks-statistics-to-know.html</t>
  </si>
  <si>
    <t>Number of operating rooms per facility</t>
  </si>
  <si>
    <t>Cameras needed per OR</t>
  </si>
  <si>
    <t>Harvard UG report</t>
  </si>
  <si>
    <t>Cameras needed per patient room</t>
  </si>
  <si>
    <t>Labor cost (hourly) for patient monitoring</t>
  </si>
  <si>
    <t>https://www.cisco.com/c/en/us/products/collateral/physical-security/video-surveillance-manager/white_paper_C11-715263.html</t>
  </si>
  <si>
    <t>Cisco white paper has a sample use case</t>
  </si>
  <si>
    <t>Occupancy in patient rooms</t>
  </si>
  <si>
    <t>Number of rooms in a facility for monitoring</t>
  </si>
  <si>
    <t>Number of rooms that usually need staff to monitor patients round the clock</t>
  </si>
  <si>
    <t>Rooms allocated per staff</t>
  </si>
  <si>
    <t>Reduction in labor for monitoring</t>
  </si>
  <si>
    <t>Assume, you still need rest for responses</t>
  </si>
  <si>
    <t>Potential Cost Savings per facility incurred by deploying the solution</t>
  </si>
  <si>
    <t>Operating Cost Impact</t>
  </si>
  <si>
    <t>Operating Hours Saved Annually</t>
  </si>
  <si>
    <t>Operating Room Costs Saved Annually ($million)</t>
  </si>
  <si>
    <t>Labor Hours Saved Annually</t>
  </si>
  <si>
    <t>Patient Lives Saves / Efficiency improvements</t>
  </si>
  <si>
    <t>Bottomline Gains per facility ($)</t>
  </si>
  <si>
    <t>Camera Cost Considerations</t>
  </si>
  <si>
    <t>Cameras required per facility</t>
  </si>
  <si>
    <t>Net Bottomline impact using DBE per hospital</t>
  </si>
  <si>
    <t>MANUFACTURING Scenarios: Cost Benefit Analysis for customers</t>
  </si>
  <si>
    <t>Automated Quality Testing</t>
  </si>
  <si>
    <t>SSD-VGG, others</t>
  </si>
  <si>
    <t>Benefits: Labor cost / Expensive equipment cost reduction, Quality Inspection Accuracy Introduction -&gt; Less wastage, high throughput -&gt; low inventory holding costs</t>
  </si>
  <si>
    <t>https://www.mckinsey.com/~/media/McKinsey/Industries/Semiconductors/Our%20Insights/Smartening%20up%20with%20artificial%20intelligence/Smartening-up-with-artificial-intelligence.ashx</t>
  </si>
  <si>
    <t>AI-based visual inspection based on image recognition may increase defect detection rates by up to 90% as compared to human inspection</t>
  </si>
  <si>
    <t>Manufacturing Operations costs per year ($million)</t>
  </si>
  <si>
    <t>Raw Material Costs (% of Operational Costs)</t>
  </si>
  <si>
    <t>“Many organizations will have true quality-related costs as high as 15 to 20 percent of sales revenue, some going as high as 40 percent of total operations. A general rule of thumb is that costs of poor quality in a thriving company  will be about 10 to 15 percent of operations</t>
  </si>
  <si>
    <t>Overall Defect Rate / Waste rate</t>
  </si>
  <si>
    <t>Cameras needed per line</t>
  </si>
  <si>
    <t>Assume a car paint inspection case to analyze through 5 angles</t>
  </si>
  <si>
    <t>Labor cost (hourly) for paint inspection</t>
  </si>
  <si>
    <t>Active hours for manufacturing line per week</t>
  </si>
  <si>
    <t>Potential reduction in defect rate (increase in detection accuracy)</t>
  </si>
  <si>
    <t>IBM Visual Inspection example</t>
  </si>
  <si>
    <t xml:space="preserve">By using a visual inspection solution, factories can conduct visual analytics, identify defects faster, and reduce defects in the painting process by up to 10%. </t>
  </si>
  <si>
    <t>Inventory Carrying Costs (% of Operating Costs)</t>
  </si>
  <si>
    <t>https://www.supplychainconsortium.com/Leadership-Forum/2010/GetPresentation/D1-Supply-Chain-Cost-Measures</t>
  </si>
  <si>
    <t>2.5% is the average manufacturing inventory carrying cost as a proportion of revenue. Assume operation costs are 80% of revenue (Generally true for automobile companies)</t>
  </si>
  <si>
    <t>Raw Material Costs Saved</t>
  </si>
  <si>
    <t>Cost savings by reducing defect rate</t>
  </si>
  <si>
    <t>Labor Cost Reduction</t>
  </si>
  <si>
    <t>Inventory Holding Costs</t>
  </si>
  <si>
    <t>Savings in Inventory Holding Costs</t>
  </si>
  <si>
    <t>Geofencing: Safety</t>
  </si>
  <si>
    <t>Manufacturing Line Error Detection: Potential Losses include shutting down lines, waste of raw materials due to late detection</t>
  </si>
  <si>
    <t>For Geofencing Safety scenario, use the security cameras to auto detect safety issues: Reduce the cost of injuries, insurance play here</t>
  </si>
  <si>
    <t>Manufacturing facility number of workers</t>
  </si>
  <si>
    <t>Predictive Maintenance / Line fault detection</t>
  </si>
  <si>
    <t>Cost of Downtime (per hour)</t>
  </si>
  <si>
    <t>Downtime Reduction Potential</t>
  </si>
  <si>
    <t>Assumption</t>
  </si>
  <si>
    <t>https://lp.servicemax.com/Vanson-Bourne-Whitepaper-Unplanned-Downtime-LP.html?utm_source=blog&amp;utm_campaign=vansonbourne2017</t>
  </si>
  <si>
    <t>Average Unplanned Downtime Hours per year</t>
  </si>
  <si>
    <t>Manufacturing facility floor area (sq ft)</t>
  </si>
  <si>
    <t>https://www.planning.org/pas/reports/report111.htm</t>
  </si>
  <si>
    <t>assumption is anywhere from 3 to 600 workers in a manufacturing facility</t>
  </si>
  <si>
    <t>https://injuryfacts.nsc.org/work/costs/work-injury-costs/</t>
  </si>
  <si>
    <t>Cost of medically consulted injury: $39k, cost per worker to offset the injury: $1.1k</t>
  </si>
  <si>
    <t>Area covered by a camera (sq ft)</t>
  </si>
  <si>
    <t>Rate of Injuries per year</t>
  </si>
  <si>
    <t>https://injuryfacts.nsc.org/work/industry-incidence-rates/work-related-incident-rate-trends/</t>
  </si>
  <si>
    <t>Manufacturing injury rates are 3.5% in 2017</t>
  </si>
  <si>
    <t>Cost per medically consulted injury</t>
  </si>
  <si>
    <t>Injuries prevented by deploying solution</t>
  </si>
  <si>
    <t>Costs Saved by Injury Prevention</t>
  </si>
  <si>
    <t>Could also be thought of as reduction to insurance costs due to the availability of data. Either ways, the bottom line impact will be similar</t>
  </si>
  <si>
    <t>https://marketrealist.com/2015/02/raw-materials-biggest-cost-driver-auto-industry/, The ASQ Quality Improvement Pocket Guide, 2013</t>
  </si>
  <si>
    <t>For Line fault detection, assume a thermal sensor and 4 cameras for objects causing unplanned downtime (could be orientation check, angle check etc.)</t>
  </si>
  <si>
    <t>Downtime Reduction</t>
  </si>
  <si>
    <t>Savings due to reduction in Downtime</t>
  </si>
  <si>
    <t>Number of Assembly Lines per facility</t>
  </si>
  <si>
    <t>Assume we have multiple similar assembly lines for making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</si>
</sst>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0_)&quot;M&quot;;[Red]\(&quot;$&quot;#,##0.0\)&quot;M&quot;"/>
  </numFmts>
  <fonts count="4"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FFC000"/>
        <bgColor indexed="64"/>
      </patternFill>
    </fill>
  </fills>
  <borders count="25">
    <border>
      <left/>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82">
    <xf numFmtId="0" fontId="0" fillId="0" borderId="0" xfId="0"/>
    <xf numFmtId="0" fontId="1" fillId="0" borderId="0" xfId="0" applyFont="1"/>
    <xf numFmtId="0" fontId="2" fillId="0" borderId="0" xfId="1"/>
    <xf numFmtId="0" fontId="0" fillId="0" borderId="0" xfId="0" applyNumberFormat="1"/>
    <xf numFmtId="2" fontId="0" fillId="0" borderId="0" xfId="0" applyNumberFormat="1"/>
    <xf numFmtId="6" fontId="0" fillId="0" borderId="0" xfId="0" applyNumberFormat="1"/>
    <xf numFmtId="9" fontId="0" fillId="0" borderId="2" xfId="0" applyNumberFormat="1" applyBorder="1"/>
    <xf numFmtId="6" fontId="0" fillId="0" borderId="1" xfId="0" applyNumberFormat="1" applyBorder="1"/>
    <xf numFmtId="0" fontId="1" fillId="0" borderId="5" xfId="0" applyFont="1" applyBorder="1"/>
    <xf numFmtId="0" fontId="0" fillId="0" borderId="6" xfId="0" applyBorder="1"/>
    <xf numFmtId="0" fontId="1" fillId="0" borderId="7" xfId="0" applyFont="1" applyBorder="1"/>
    <xf numFmtId="0" fontId="0" fillId="0" borderId="8" xfId="0" applyBorder="1"/>
    <xf numFmtId="0" fontId="0" fillId="0" borderId="9" xfId="0" applyBorder="1"/>
    <xf numFmtId="0" fontId="0" fillId="3" borderId="10" xfId="0" applyFill="1" applyBorder="1"/>
    <xf numFmtId="0" fontId="0" fillId="0" borderId="10" xfId="0" applyBorder="1"/>
    <xf numFmtId="9" fontId="0" fillId="2" borderId="10" xfId="0" applyNumberFormat="1" applyFill="1" applyBorder="1"/>
    <xf numFmtId="0" fontId="0" fillId="2" borderId="10" xfId="0" applyFill="1" applyBorder="1"/>
    <xf numFmtId="4" fontId="0" fillId="0" borderId="10" xfId="0" applyNumberFormat="1" applyBorder="1"/>
    <xf numFmtId="1" fontId="0" fillId="0" borderId="10" xfId="0" applyNumberFormat="1" applyBorder="1"/>
    <xf numFmtId="0" fontId="1" fillId="0" borderId="9" xfId="0" applyFont="1" applyBorder="1"/>
    <xf numFmtId="0" fontId="0" fillId="0" borderId="11" xfId="0" applyFont="1" applyBorder="1"/>
    <xf numFmtId="3" fontId="0" fillId="0" borderId="10" xfId="0" applyNumberFormat="1" applyBorder="1"/>
    <xf numFmtId="6" fontId="0" fillId="2" borderId="10" xfId="0" applyNumberFormat="1" applyFill="1" applyBorder="1"/>
    <xf numFmtId="0" fontId="0" fillId="0" borderId="11" xfId="0" applyBorder="1"/>
    <xf numFmtId="6" fontId="0" fillId="0" borderId="12" xfId="0" applyNumberFormat="1" applyBorder="1"/>
    <xf numFmtId="0" fontId="0" fillId="0" borderId="9" xfId="0" applyFont="1" applyBorder="1"/>
    <xf numFmtId="6" fontId="0" fillId="0" borderId="8" xfId="0" applyNumberFormat="1" applyBorder="1"/>
    <xf numFmtId="0" fontId="0" fillId="0" borderId="5" xfId="0" applyBorder="1"/>
    <xf numFmtId="0" fontId="0" fillId="0" borderId="7" xfId="0" applyFont="1" applyBorder="1"/>
    <xf numFmtId="6" fontId="0" fillId="0" borderId="13" xfId="0" applyNumberFormat="1" applyBorder="1"/>
    <xf numFmtId="9" fontId="0" fillId="0" borderId="10" xfId="0" applyNumberFormat="1" applyBorder="1"/>
    <xf numFmtId="1" fontId="0" fillId="0" borderId="6" xfId="0" applyNumberFormat="1" applyBorder="1"/>
    <xf numFmtId="9" fontId="0" fillId="0" borderId="10" xfId="0" applyNumberFormat="1" applyFill="1" applyBorder="1"/>
    <xf numFmtId="9" fontId="0" fillId="4" borderId="10" xfId="0" applyNumberFormat="1" applyFill="1" applyBorder="1"/>
    <xf numFmtId="0" fontId="0" fillId="4" borderId="10" xfId="0" applyFill="1" applyBorder="1"/>
    <xf numFmtId="1" fontId="0" fillId="4" borderId="10" xfId="0" applyNumberFormat="1" applyFill="1" applyBorder="1"/>
    <xf numFmtId="0" fontId="0" fillId="0" borderId="14" xfId="0" applyBorder="1"/>
    <xf numFmtId="0" fontId="0" fillId="0" borderId="15" xfId="0" applyBorder="1"/>
    <xf numFmtId="0" fontId="0" fillId="3" borderId="14" xfId="0" applyFill="1" applyBorder="1"/>
    <xf numFmtId="0" fontId="0" fillId="0" borderId="16" xfId="0" applyBorder="1"/>
    <xf numFmtId="9" fontId="0" fillId="2" borderId="16" xfId="0" applyNumberFormat="1" applyFill="1" applyBorder="1"/>
    <xf numFmtId="1" fontId="0" fillId="0" borderId="16" xfId="0" applyNumberFormat="1" applyBorder="1"/>
    <xf numFmtId="4" fontId="0" fillId="0" borderId="16" xfId="0" applyNumberFormat="1" applyBorder="1"/>
    <xf numFmtId="6" fontId="0" fillId="0" borderId="4" xfId="0" applyNumberFormat="1" applyFont="1" applyBorder="1"/>
    <xf numFmtId="9" fontId="0" fillId="0" borderId="16" xfId="0" applyNumberFormat="1" applyBorder="1"/>
    <xf numFmtId="0" fontId="0" fillId="2" borderId="16" xfId="0" applyFill="1" applyBorder="1"/>
    <xf numFmtId="3" fontId="0" fillId="0" borderId="16" xfId="0" applyNumberFormat="1" applyBorder="1"/>
    <xf numFmtId="6" fontId="0" fillId="2" borderId="16" xfId="0" applyNumberFormat="1" applyFill="1" applyBorder="1"/>
    <xf numFmtId="1" fontId="0" fillId="4" borderId="16" xfId="0" applyNumberFormat="1" applyFill="1" applyBorder="1"/>
    <xf numFmtId="6" fontId="0" fillId="0" borderId="4" xfId="0" applyNumberFormat="1" applyBorder="1"/>
    <xf numFmtId="6" fontId="0" fillId="0" borderId="15" xfId="0" applyNumberFormat="1" applyBorder="1"/>
    <xf numFmtId="4" fontId="0" fillId="4" borderId="10" xfId="0" applyNumberFormat="1" applyFill="1" applyBorder="1"/>
    <xf numFmtId="0" fontId="0" fillId="3" borderId="16" xfId="0" applyFill="1" applyBorder="1"/>
    <xf numFmtId="10" fontId="0" fillId="2" borderId="16" xfId="0" applyNumberFormat="1" applyFill="1" applyBorder="1"/>
    <xf numFmtId="9" fontId="0" fillId="0" borderId="16" xfId="0" applyNumberFormat="1" applyFill="1" applyBorder="1"/>
    <xf numFmtId="0" fontId="0" fillId="0" borderId="16" xfId="0" applyFill="1" applyBorder="1"/>
    <xf numFmtId="1" fontId="0" fillId="0" borderId="16" xfId="0" applyNumberFormat="1" applyFill="1" applyBorder="1"/>
    <xf numFmtId="1" fontId="0" fillId="2" borderId="16" xfId="0" applyNumberFormat="1" applyFill="1" applyBorder="1"/>
    <xf numFmtId="4" fontId="0" fillId="2" borderId="16" xfId="0" applyNumberFormat="1" applyFill="1" applyBorder="1"/>
    <xf numFmtId="1" fontId="0" fillId="0" borderId="14" xfId="0" applyNumberFormat="1" applyBorder="1"/>
    <xf numFmtId="9" fontId="0" fillId="4" borderId="16" xfId="0" applyNumberFormat="1" applyFill="1" applyBorder="1"/>
    <xf numFmtId="0" fontId="0" fillId="4" borderId="16" xfId="0" applyFill="1" applyBorder="1"/>
    <xf numFmtId="4" fontId="0" fillId="4" borderId="16" xfId="0" applyNumberFormat="1" applyFill="1" applyBorder="1"/>
    <xf numFmtId="164" fontId="0" fillId="0" borderId="3" xfId="0" applyNumberFormat="1" applyBorder="1"/>
    <xf numFmtId="6" fontId="0" fillId="0" borderId="17" xfId="0" applyNumberFormat="1" applyBorder="1"/>
    <xf numFmtId="164" fontId="0" fillId="0" borderId="18" xfId="0" applyNumberFormat="1" applyBorder="1"/>
    <xf numFmtId="164" fontId="0" fillId="0" borderId="19" xfId="0" applyNumberFormat="1" applyBorder="1"/>
    <xf numFmtId="0" fontId="1" fillId="0" borderId="20" xfId="0" applyFont="1" applyBorder="1"/>
    <xf numFmtId="0" fontId="1" fillId="0" borderId="21" xfId="0" applyFont="1" applyBorder="1"/>
    <xf numFmtId="0" fontId="1" fillId="0" borderId="22" xfId="0" applyFont="1" applyBorder="1"/>
    <xf numFmtId="0" fontId="3" fillId="2" borderId="0" xfId="0" applyFont="1" applyFill="1"/>
    <xf numFmtId="0" fontId="3" fillId="4" borderId="0" xfId="0" applyFont="1" applyFill="1"/>
    <xf numFmtId="3" fontId="0" fillId="2" borderId="16" xfId="0" applyNumberFormat="1" applyFill="1" applyBorder="1"/>
    <xf numFmtId="3" fontId="0" fillId="2" borderId="10" xfId="0" applyNumberFormat="1" applyFill="1" applyBorder="1"/>
    <xf numFmtId="3" fontId="0" fillId="0" borderId="10" xfId="0" applyNumberFormat="1" applyFill="1" applyBorder="1"/>
    <xf numFmtId="6" fontId="0" fillId="0" borderId="16" xfId="0" applyNumberFormat="1" applyFill="1" applyBorder="1"/>
    <xf numFmtId="3" fontId="0" fillId="4" borderId="10" xfId="0" applyNumberFormat="1" applyFill="1" applyBorder="1"/>
    <xf numFmtId="6" fontId="0" fillId="0" borderId="23" xfId="0" applyNumberFormat="1" applyBorder="1"/>
    <xf numFmtId="9" fontId="0" fillId="0" borderId="19" xfId="0" applyNumberFormat="1" applyBorder="1"/>
    <xf numFmtId="9" fontId="0" fillId="0" borderId="24" xfId="0" applyNumberFormat="1" applyBorder="1"/>
    <xf numFmtId="6" fontId="0" fillId="0" borderId="16" xfId="0" applyNumberFormat="1" applyBorder="1"/>
    <xf numFmtId="3" fontId="0" fillId="0" borderId="16" xfId="0" applyNumberFormat="1" applyFill="1" applyBorder="1"/>
  </cellXfs>
  <cellStyles count="2">
    <cellStyle name="Hyperlink" xfId="1" builtinId="8"/>
    <cellStyle name="Normal" xfId="0" builtinId="0"/>
  </cellStyles>
  <dxfs count="3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alary.com/research/salary/benchmark/retail-cashier-full-time-hourly-wages,%20FMI.org," TargetMode="External"/><Relationship Id="rId3" Type="http://schemas.openxmlformats.org/officeDocument/2006/relationships/hyperlink" Target="https://www.fmi.org/our-research/supermarket-facts" TargetMode="External"/><Relationship Id="rId7" Type="http://schemas.openxmlformats.org/officeDocument/2006/relationships/hyperlink" Target="https://medium.com/@jinghanhao/the-race-to-cashier-less-check-out-experiences-660e712a9b02" TargetMode="External"/><Relationship Id="rId2" Type="http://schemas.openxmlformats.org/officeDocument/2006/relationships/hyperlink" Target="https://www.investopedia.com/ask/answers/071615/what-profit-margin-usual-company-retail-sector.asp" TargetMode="External"/><Relationship Id="rId1" Type="http://schemas.openxmlformats.org/officeDocument/2006/relationships/hyperlink" Target="https://microsoft.sharepoint.com/:w:/r/sites/mslibrary/KeyTopics/_layouts/15/Doc.aspx?sourcedoc=%7B1A990153-89CE-4CD5-89EA-18047FB8C369%7D&amp;file=Shrinkage%20Shelf%20Availability%20%20AI%20-%20Combined.docx&amp;action=default&amp;mobileredirect=true&amp;DefaultItemOpen=1&amp;cid=df245073-58d2-403c-9ce7-59339cdfa189" TargetMode="External"/><Relationship Id="rId6" Type="http://schemas.openxmlformats.org/officeDocument/2006/relationships/hyperlink" Target="https://www.retailtouchpoints.com/features/special-reports/retailers-embrace-personalization-to-ramp-up-content-investments" TargetMode="External"/><Relationship Id="rId5" Type="http://schemas.openxmlformats.org/officeDocument/2006/relationships/hyperlink" Target="https://www.fmi.org/our-research/supermarket-facts" TargetMode="External"/><Relationship Id="rId4" Type="http://schemas.openxmlformats.org/officeDocument/2006/relationships/hyperlink" Target="https://www.fmi.org/our-research/supermarket-facts"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beckersasc.com/lists/100-surgery-center-benchmarks-statistics-to-know.html" TargetMode="External"/><Relationship Id="rId2" Type="http://schemas.openxmlformats.org/officeDocument/2006/relationships/hyperlink" Target="https://caresyntax.com/news/caresyntax-data-analytics-platform-for-surgery-is-more-than-the-sum-of-its-individual-connections/" TargetMode="External"/><Relationship Id="rId1" Type="http://schemas.openxmlformats.org/officeDocument/2006/relationships/hyperlink" Target="https://jamanetwork.com/journals/jamasurgery/fullarticle/2673385" TargetMode="External"/><Relationship Id="rId5" Type="http://schemas.openxmlformats.org/officeDocument/2006/relationships/printerSettings" Target="../printerSettings/printerSettings2.bin"/><Relationship Id="rId4" Type="http://schemas.openxmlformats.org/officeDocument/2006/relationships/hyperlink" Target="https://www.cisco.com/c/en/us/products/collateral/physical-security/video-surveillance-manager/white_paper_C11-715263.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njuryfacts.nsc.org/work/industry-incidence-rates/work-related-incident-rate-trends/" TargetMode="External"/><Relationship Id="rId3" Type="http://schemas.openxmlformats.org/officeDocument/2006/relationships/hyperlink" Target="https://www.supplychainconsortium.com/Leadership-Forum/2010/GetPresentation/D1-Supply-Chain-Cost-Measures" TargetMode="External"/><Relationship Id="rId7" Type="http://schemas.openxmlformats.org/officeDocument/2006/relationships/hyperlink" Target="https://injuryfacts.nsc.org/work/costs/work-injury-costs/" TargetMode="External"/><Relationship Id="rId2" Type="http://schemas.openxmlformats.org/officeDocument/2006/relationships/hyperlink" Target="https://www.youtube.com/watch?v=KLnqPuR3nWI&amp;feature=youtu.be" TargetMode="External"/><Relationship Id="rId1" Type="http://schemas.openxmlformats.org/officeDocument/2006/relationships/hyperlink" Target="https://www.mckinsey.com/~/media/McKinsey/Industries/Semiconductors/Our%20Insights/Smartening%20up%20with%20artificial%20intelligence/Smartening-up-with-artificial-intelligence.ashx" TargetMode="External"/><Relationship Id="rId6" Type="http://schemas.openxmlformats.org/officeDocument/2006/relationships/hyperlink" Target="https://www.planning.org/pas/reports/report111.htm" TargetMode="External"/><Relationship Id="rId5" Type="http://schemas.openxmlformats.org/officeDocument/2006/relationships/hyperlink" Target="https://lp.servicemax.com/Vanson-Bourne-Whitepaper-Unplanned-Downtime-LP.html?utm_source=blog&amp;utm_campaign=vansonbourne2017" TargetMode="External"/><Relationship Id="rId4" Type="http://schemas.openxmlformats.org/officeDocument/2006/relationships/hyperlink" Target="https://marketrealist.com/2015/02/raw-materials-biggest-cost-driver-auto-industry/,%20The%20ASQ%20Quality%20Improvement%20Pocket%20Guide,%202013"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51E22-2281-434F-89F4-FDCB8F768B63}">
  <dimension ref="B2:K79"/>
  <sheetViews>
    <sheetView showGridLines="0" tabSelected="1" topLeftCell="B1" zoomScaleNormal="100" workbookViewId="0">
      <selection activeCell="B22" sqref="B22"/>
    </sheetView>
  </sheetViews>
  <sheetFormatPr defaultRowHeight="14.5" x14ac:dyDescent="0.35"/>
  <cols>
    <col min="1" max="1" width="4.453125" customWidth="1"/>
    <col min="2" max="2" width="43.453125" customWidth="1"/>
    <col min="3" max="3" width="15.26953125" customWidth="1"/>
    <col min="4" max="4" width="15.26953125" bestFit="1" customWidth="1"/>
    <col min="5" max="5" width="18.81640625" bestFit="1" customWidth="1"/>
    <col min="6" max="6" width="15.1796875" customWidth="1"/>
  </cols>
  <sheetData>
    <row r="2" spans="2:10" x14ac:dyDescent="0.35">
      <c r="B2" s="1" t="s">
        <v>0</v>
      </c>
    </row>
    <row r="3" spans="2:10" x14ac:dyDescent="0.35">
      <c r="B3" s="1"/>
    </row>
    <row r="4" spans="2:10" x14ac:dyDescent="0.35">
      <c r="B4" s="70" t="s">
        <v>1</v>
      </c>
    </row>
    <row r="5" spans="2:10" x14ac:dyDescent="0.35">
      <c r="B5" s="71" t="s">
        <v>2</v>
      </c>
    </row>
    <row r="7" spans="2:10" x14ac:dyDescent="0.35">
      <c r="B7" s="8" t="s">
        <v>3</v>
      </c>
      <c r="C7" s="36" t="s">
        <v>4</v>
      </c>
      <c r="D7" s="9" t="s">
        <v>5</v>
      </c>
      <c r="E7" s="36" t="s">
        <v>6</v>
      </c>
      <c r="F7" s="36" t="s">
        <v>7</v>
      </c>
      <c r="G7" t="s">
        <v>8</v>
      </c>
      <c r="H7" t="s">
        <v>9</v>
      </c>
      <c r="I7" t="s">
        <v>10</v>
      </c>
      <c r="J7" t="s">
        <v>11</v>
      </c>
    </row>
    <row r="8" spans="2:10" x14ac:dyDescent="0.35">
      <c r="B8" s="10" t="s">
        <v>12</v>
      </c>
      <c r="C8" s="37" t="s">
        <v>13</v>
      </c>
      <c r="D8" s="11" t="s">
        <v>13</v>
      </c>
      <c r="E8" s="37" t="s">
        <v>14</v>
      </c>
      <c r="F8" s="37" t="s">
        <v>14</v>
      </c>
    </row>
    <row r="9" spans="2:10" x14ac:dyDescent="0.35">
      <c r="B9" s="12" t="s">
        <v>15</v>
      </c>
      <c r="C9" s="52">
        <v>10</v>
      </c>
      <c r="D9" s="13">
        <v>10</v>
      </c>
      <c r="E9" s="38">
        <v>10</v>
      </c>
      <c r="F9" s="38">
        <v>10</v>
      </c>
    </row>
    <row r="10" spans="2:10" x14ac:dyDescent="0.35">
      <c r="B10" s="12"/>
      <c r="C10" s="39"/>
      <c r="D10" s="14"/>
      <c r="E10" s="39"/>
      <c r="F10" s="39"/>
    </row>
    <row r="11" spans="2:10" x14ac:dyDescent="0.35">
      <c r="B11" s="12" t="s">
        <v>16</v>
      </c>
      <c r="C11" s="39" t="s">
        <v>17</v>
      </c>
      <c r="D11" s="14"/>
      <c r="E11" s="39"/>
      <c r="F11" s="39"/>
    </row>
    <row r="12" spans="2:10" x14ac:dyDescent="0.35">
      <c r="B12" s="12"/>
      <c r="C12" s="39"/>
      <c r="D12" s="14"/>
      <c r="E12" s="39"/>
      <c r="F12" s="39"/>
    </row>
    <row r="13" spans="2:10" x14ac:dyDescent="0.35">
      <c r="B13" s="12" t="s">
        <v>18</v>
      </c>
      <c r="C13" s="53">
        <v>1.4200000000000001E-2</v>
      </c>
      <c r="D13" s="14"/>
      <c r="E13" s="39"/>
      <c r="F13" s="39"/>
      <c r="G13" s="4">
        <f>123.39*1.069^5</f>
        <v>172.25367262122907</v>
      </c>
      <c r="H13" s="4">
        <f>48.9*1.069^3</f>
        <v>59.736802790099993</v>
      </c>
      <c r="I13" t="s">
        <v>19</v>
      </c>
      <c r="J13" t="s">
        <v>20</v>
      </c>
    </row>
    <row r="14" spans="2:10" x14ac:dyDescent="0.35">
      <c r="B14" s="12" t="s">
        <v>21</v>
      </c>
      <c r="C14" s="39"/>
      <c r="D14" s="40">
        <v>0.08</v>
      </c>
      <c r="E14" s="39"/>
      <c r="F14" s="39"/>
      <c r="G14" s="4"/>
      <c r="H14" s="4">
        <f>129.5*1.069^4</f>
        <v>169.11440005416947</v>
      </c>
      <c r="I14" s="2" t="s">
        <v>22</v>
      </c>
      <c r="J14" t="s">
        <v>23</v>
      </c>
    </row>
    <row r="15" spans="2:10" x14ac:dyDescent="0.35">
      <c r="B15" s="12" t="s">
        <v>24</v>
      </c>
      <c r="C15" s="54">
        <v>4.1000000000000002E-2</v>
      </c>
      <c r="D15" s="14"/>
      <c r="E15" s="39"/>
      <c r="F15" s="39"/>
      <c r="G15" s="4"/>
      <c r="H15" s="4"/>
    </row>
    <row r="16" spans="2:10" x14ac:dyDescent="0.35">
      <c r="B16" s="12" t="s">
        <v>25</v>
      </c>
      <c r="C16" s="40">
        <v>0.03</v>
      </c>
      <c r="D16" s="14"/>
      <c r="E16" s="39"/>
      <c r="F16" s="39"/>
      <c r="I16" s="2" t="s">
        <v>26</v>
      </c>
    </row>
    <row r="17" spans="2:11" x14ac:dyDescent="0.35">
      <c r="B17" s="12" t="s">
        <v>27</v>
      </c>
      <c r="C17" s="54"/>
      <c r="D17" s="14"/>
      <c r="E17" s="40">
        <v>0.3</v>
      </c>
      <c r="F17" s="40">
        <v>0.19</v>
      </c>
      <c r="I17" s="2" t="s">
        <v>28</v>
      </c>
      <c r="J17" t="s">
        <v>29</v>
      </c>
    </row>
    <row r="18" spans="2:11" x14ac:dyDescent="0.35">
      <c r="B18" s="12" t="s">
        <v>30</v>
      </c>
      <c r="C18" s="54"/>
      <c r="D18" s="14"/>
      <c r="E18" s="40">
        <f>12.5/150</f>
        <v>8.3333333333333329E-2</v>
      </c>
      <c r="F18" s="39"/>
      <c r="I18" s="2" t="s">
        <v>31</v>
      </c>
      <c r="K18" t="s">
        <v>32</v>
      </c>
    </row>
    <row r="19" spans="2:11" x14ac:dyDescent="0.35">
      <c r="B19" s="12" t="s">
        <v>33</v>
      </c>
      <c r="C19" s="54"/>
      <c r="D19" s="14"/>
      <c r="E19" s="40">
        <v>0.85</v>
      </c>
      <c r="F19" s="39"/>
      <c r="I19" s="2"/>
      <c r="J19" t="s">
        <v>34</v>
      </c>
    </row>
    <row r="20" spans="2:11" x14ac:dyDescent="0.35">
      <c r="B20" s="12" t="s">
        <v>35</v>
      </c>
      <c r="C20" s="54"/>
      <c r="D20" s="14"/>
      <c r="E20" s="40">
        <v>0.8</v>
      </c>
      <c r="F20" s="39"/>
      <c r="I20" s="2"/>
    </row>
    <row r="21" spans="2:11" x14ac:dyDescent="0.35">
      <c r="B21" s="12" t="s">
        <v>36</v>
      </c>
      <c r="C21" s="57">
        <f>C23</f>
        <v>38307</v>
      </c>
      <c r="D21" s="14"/>
      <c r="E21" s="54"/>
      <c r="F21" s="39"/>
      <c r="I21" s="2"/>
    </row>
    <row r="22" spans="2:11" x14ac:dyDescent="0.35">
      <c r="B22" s="12"/>
      <c r="C22" s="55"/>
      <c r="D22" s="14"/>
      <c r="E22" s="39"/>
      <c r="F22" s="39"/>
      <c r="G22" s="3"/>
      <c r="H22" s="3"/>
      <c r="J22" t="s">
        <v>37</v>
      </c>
    </row>
    <row r="23" spans="2:11" x14ac:dyDescent="0.35">
      <c r="B23" s="12" t="s">
        <v>38</v>
      </c>
      <c r="C23" s="56">
        <v>38307</v>
      </c>
      <c r="D23" s="14"/>
      <c r="E23" s="39"/>
      <c r="F23" s="39"/>
      <c r="I23" s="2" t="s">
        <v>39</v>
      </c>
      <c r="J23" t="s">
        <v>40</v>
      </c>
    </row>
    <row r="24" spans="2:11" x14ac:dyDescent="0.35">
      <c r="B24" s="12" t="s">
        <v>41</v>
      </c>
      <c r="C24" s="56">
        <v>701.88</v>
      </c>
      <c r="D24" s="14"/>
      <c r="E24" s="39"/>
      <c r="F24" s="39"/>
      <c r="I24" s="2" t="s">
        <v>39</v>
      </c>
    </row>
    <row r="25" spans="2:11" x14ac:dyDescent="0.35">
      <c r="B25" s="12" t="s">
        <v>42</v>
      </c>
      <c r="C25" s="57">
        <v>41300</v>
      </c>
      <c r="D25" s="14"/>
      <c r="E25" s="39"/>
      <c r="F25" s="39"/>
      <c r="I25" s="2" t="s">
        <v>39</v>
      </c>
    </row>
    <row r="26" spans="2:11" x14ac:dyDescent="0.35">
      <c r="B26" s="12" t="s">
        <v>43</v>
      </c>
      <c r="C26" s="58">
        <f>C24/C23*1000</f>
        <v>18.322499804213329</v>
      </c>
      <c r="D26" s="14"/>
      <c r="E26" s="39"/>
      <c r="F26" s="39"/>
    </row>
    <row r="27" spans="2:11" x14ac:dyDescent="0.35">
      <c r="B27" s="12" t="s">
        <v>44</v>
      </c>
      <c r="C27" s="40">
        <v>0.8</v>
      </c>
      <c r="D27" s="14"/>
      <c r="E27" s="39"/>
      <c r="F27" s="39"/>
      <c r="I27" t="s">
        <v>45</v>
      </c>
    </row>
    <row r="28" spans="2:11" x14ac:dyDescent="0.35">
      <c r="B28" s="12"/>
      <c r="C28" s="39"/>
      <c r="D28" s="14"/>
      <c r="E28" s="39"/>
      <c r="F28" s="39"/>
    </row>
    <row r="29" spans="2:11" x14ac:dyDescent="0.35">
      <c r="B29" s="12"/>
      <c r="C29" s="39"/>
      <c r="D29" s="14"/>
      <c r="E29" s="39"/>
      <c r="F29" s="39"/>
    </row>
    <row r="30" spans="2:11" x14ac:dyDescent="0.35">
      <c r="B30" s="12" t="s">
        <v>46</v>
      </c>
      <c r="C30" s="42">
        <f>C26*C27/C25*10^6</f>
        <v>354.91525044481028</v>
      </c>
      <c r="D30" s="17"/>
      <c r="E30" s="39"/>
      <c r="F30" s="39"/>
      <c r="G30" s="2"/>
    </row>
    <row r="31" spans="2:11" x14ac:dyDescent="0.35">
      <c r="B31" s="12"/>
      <c r="C31" s="41"/>
      <c r="D31" s="18"/>
      <c r="E31" s="39"/>
      <c r="F31" s="39"/>
    </row>
    <row r="32" spans="2:11" x14ac:dyDescent="0.35">
      <c r="B32" s="8" t="s">
        <v>47</v>
      </c>
      <c r="C32" s="59"/>
      <c r="D32" s="31"/>
      <c r="E32" s="36"/>
      <c r="F32" s="36"/>
    </row>
    <row r="33" spans="2:6" x14ac:dyDescent="0.35">
      <c r="B33" s="12"/>
      <c r="C33" s="41"/>
      <c r="D33" s="18"/>
      <c r="E33" s="39"/>
      <c r="F33" s="39"/>
    </row>
    <row r="34" spans="2:6" x14ac:dyDescent="0.35">
      <c r="B34" s="12" t="s">
        <v>48</v>
      </c>
      <c r="C34" s="41">
        <f>C26</f>
        <v>18.322499804213329</v>
      </c>
      <c r="D34" s="18">
        <f>C34</f>
        <v>18.322499804213329</v>
      </c>
      <c r="E34" s="41">
        <f>C34</f>
        <v>18.322499804213329</v>
      </c>
      <c r="F34" s="41">
        <f>C34</f>
        <v>18.322499804213329</v>
      </c>
    </row>
    <row r="35" spans="2:6" x14ac:dyDescent="0.35">
      <c r="B35" s="19" t="s">
        <v>49</v>
      </c>
      <c r="C35" s="41"/>
      <c r="D35" s="18"/>
      <c r="E35" s="39"/>
      <c r="F35" s="39"/>
    </row>
    <row r="36" spans="2:6" x14ac:dyDescent="0.35">
      <c r="B36" s="12" t="s">
        <v>50</v>
      </c>
      <c r="C36" s="42">
        <f>C13*C34</f>
        <v>0.2601794972198293</v>
      </c>
      <c r="D36" s="17"/>
      <c r="E36" s="39"/>
      <c r="F36" s="39"/>
    </row>
    <row r="37" spans="2:6" x14ac:dyDescent="0.35">
      <c r="B37" s="12" t="s">
        <v>51</v>
      </c>
      <c r="C37" s="41">
        <v>0</v>
      </c>
      <c r="D37" s="17">
        <f>D14*D34</f>
        <v>1.4657999843370664</v>
      </c>
      <c r="E37" s="42">
        <f>E34*E17</f>
        <v>5.4967499412639986</v>
      </c>
      <c r="F37" s="42">
        <f>F34*F17</f>
        <v>3.4812749628005326</v>
      </c>
    </row>
    <row r="38" spans="2:6" x14ac:dyDescent="0.35">
      <c r="B38" s="12"/>
      <c r="C38" s="41"/>
      <c r="D38" s="18"/>
      <c r="E38" s="39"/>
      <c r="F38" s="39"/>
    </row>
    <row r="39" spans="2:6" x14ac:dyDescent="0.35">
      <c r="B39" s="19" t="s">
        <v>52</v>
      </c>
      <c r="C39" s="41"/>
      <c r="D39" s="18"/>
      <c r="E39" s="39"/>
      <c r="F39" s="39"/>
    </row>
    <row r="40" spans="2:6" x14ac:dyDescent="0.35">
      <c r="B40" s="12" t="s">
        <v>53</v>
      </c>
      <c r="C40" s="41">
        <v>0</v>
      </c>
      <c r="D40" s="18"/>
      <c r="E40" s="39"/>
      <c r="F40" s="39"/>
    </row>
    <row r="41" spans="2:6" x14ac:dyDescent="0.35">
      <c r="B41" s="12" t="s">
        <v>54</v>
      </c>
      <c r="C41" s="41">
        <v>0</v>
      </c>
      <c r="D41" s="18"/>
      <c r="E41" s="42">
        <f>E34*E18*E19</f>
        <v>1.2978437361317774</v>
      </c>
      <c r="F41" s="39"/>
    </row>
    <row r="42" spans="2:6" x14ac:dyDescent="0.35">
      <c r="B42" s="12"/>
      <c r="C42" s="41"/>
      <c r="D42" s="18"/>
      <c r="E42" s="39"/>
      <c r="F42" s="39"/>
    </row>
    <row r="43" spans="2:6" x14ac:dyDescent="0.35">
      <c r="B43" s="19" t="s">
        <v>55</v>
      </c>
      <c r="C43" s="41"/>
      <c r="D43" s="18"/>
      <c r="E43" s="39"/>
      <c r="F43" s="39"/>
    </row>
    <row r="44" spans="2:6" x14ac:dyDescent="0.35">
      <c r="B44" s="12" t="s">
        <v>56</v>
      </c>
      <c r="C44" s="41">
        <v>0</v>
      </c>
      <c r="D44" s="18"/>
      <c r="E44" s="39"/>
      <c r="F44" s="39"/>
    </row>
    <row r="45" spans="2:6" x14ac:dyDescent="0.35">
      <c r="B45" s="12"/>
      <c r="C45" s="41"/>
      <c r="D45" s="18"/>
      <c r="E45" s="39"/>
      <c r="F45" s="39"/>
    </row>
    <row r="46" spans="2:6" x14ac:dyDescent="0.35">
      <c r="B46" s="12"/>
      <c r="C46" s="41"/>
      <c r="D46" s="18"/>
      <c r="E46" s="39"/>
      <c r="F46" s="39"/>
    </row>
    <row r="47" spans="2:6" x14ac:dyDescent="0.35">
      <c r="B47" s="20" t="s">
        <v>57</v>
      </c>
      <c r="C47" s="43">
        <f>(C41+C37*$C$16+C36)*10^6</f>
        <v>260179.4972198293</v>
      </c>
      <c r="D47" s="43">
        <f>(D41+D37*$C$16+D36)*10^6</f>
        <v>43973.999530111985</v>
      </c>
      <c r="E47" s="43">
        <f>(E41+E37*$C$16+E36)*10^6</f>
        <v>1462746.2343696973</v>
      </c>
      <c r="F47" s="43">
        <f>(F41+F37*$C$16+F36)*10^6</f>
        <v>104438.24888401596</v>
      </c>
    </row>
    <row r="48" spans="2:6" x14ac:dyDescent="0.35">
      <c r="B48" s="12"/>
      <c r="C48" s="39"/>
      <c r="D48" s="14"/>
      <c r="E48" s="39"/>
      <c r="F48" s="39"/>
    </row>
    <row r="49" spans="2:10" x14ac:dyDescent="0.35">
      <c r="B49" s="8" t="s">
        <v>58</v>
      </c>
      <c r="C49" s="36"/>
      <c r="D49" s="14"/>
      <c r="E49" s="39"/>
      <c r="F49" s="39"/>
    </row>
    <row r="50" spans="2:10" x14ac:dyDescent="0.35">
      <c r="B50" s="12"/>
      <c r="C50" s="39"/>
      <c r="D50" s="14"/>
      <c r="E50" s="39"/>
      <c r="F50" s="39"/>
    </row>
    <row r="51" spans="2:10" x14ac:dyDescent="0.35">
      <c r="B51" s="12" t="s">
        <v>59</v>
      </c>
      <c r="C51" s="41">
        <f>C25*C27</f>
        <v>33040</v>
      </c>
      <c r="D51" s="18">
        <f>C51</f>
        <v>33040</v>
      </c>
      <c r="E51" s="41">
        <f>C51</f>
        <v>33040</v>
      </c>
      <c r="F51" s="41">
        <f>D51</f>
        <v>33040</v>
      </c>
    </row>
    <row r="52" spans="2:10" x14ac:dyDescent="0.35">
      <c r="B52" s="12" t="s">
        <v>60</v>
      </c>
      <c r="C52" s="60">
        <v>0.1</v>
      </c>
      <c r="D52" s="33">
        <v>0.8</v>
      </c>
      <c r="E52" s="33">
        <v>1</v>
      </c>
      <c r="F52" s="33">
        <v>1</v>
      </c>
    </row>
    <row r="53" spans="2:10" x14ac:dyDescent="0.35">
      <c r="B53" s="12" t="s">
        <v>61</v>
      </c>
      <c r="C53" s="61">
        <v>40</v>
      </c>
      <c r="D53" s="34">
        <v>100</v>
      </c>
      <c r="E53" s="34">
        <v>40</v>
      </c>
      <c r="F53" s="34">
        <v>40</v>
      </c>
      <c r="I53" s="2" t="s">
        <v>62</v>
      </c>
      <c r="J53" t="s">
        <v>63</v>
      </c>
    </row>
    <row r="54" spans="2:10" x14ac:dyDescent="0.35">
      <c r="B54" s="12" t="s">
        <v>64</v>
      </c>
      <c r="C54" s="39">
        <f>ROUNDUP(C51*C52/C53,0)</f>
        <v>83</v>
      </c>
      <c r="D54" s="14">
        <f>ROUNDUP(D51*D52/D53,0)</f>
        <v>265</v>
      </c>
      <c r="E54" s="39">
        <f>ROUNDUP(E51*E52/E53,0)</f>
        <v>826</v>
      </c>
      <c r="F54" s="39">
        <f>ROUNDUP(F51*F52/F53,0)</f>
        <v>826</v>
      </c>
    </row>
    <row r="55" spans="2:10" x14ac:dyDescent="0.35">
      <c r="B55" s="12" t="s">
        <v>65</v>
      </c>
      <c r="C55" s="45">
        <f>ROUNDUP(80%*C54,0)</f>
        <v>67</v>
      </c>
      <c r="D55" s="16">
        <f>ROUNDUP(80%*D54,0)</f>
        <v>212</v>
      </c>
      <c r="E55" s="45">
        <f>ROUNDUP(80%*E54,0)</f>
        <v>661</v>
      </c>
      <c r="F55" s="45">
        <f>ROUNDUP(80%*F54,0)</f>
        <v>661</v>
      </c>
    </row>
    <row r="56" spans="2:10" x14ac:dyDescent="0.35">
      <c r="B56" s="12" t="s">
        <v>66</v>
      </c>
      <c r="C56" s="46">
        <f>ROUNDUP(C54-C55,0)</f>
        <v>16</v>
      </c>
      <c r="D56" s="21">
        <f>ROUNDUP(D54-D55,0)</f>
        <v>53</v>
      </c>
      <c r="E56" s="46">
        <f>ROUNDUP(E54-E55,0)</f>
        <v>165</v>
      </c>
      <c r="F56" s="46">
        <f>ROUNDUP(F54-F55,0)</f>
        <v>165</v>
      </c>
    </row>
    <row r="57" spans="2:10" x14ac:dyDescent="0.35">
      <c r="B57" s="12" t="s">
        <v>67</v>
      </c>
      <c r="C57" s="47">
        <v>-50</v>
      </c>
      <c r="D57" s="22">
        <v>-50</v>
      </c>
      <c r="E57" s="47">
        <f>C57</f>
        <v>-50</v>
      </c>
      <c r="F57" s="47">
        <f>D57</f>
        <v>-50</v>
      </c>
    </row>
    <row r="58" spans="2:10" x14ac:dyDescent="0.35">
      <c r="B58" s="12" t="s">
        <v>68</v>
      </c>
      <c r="C58" s="48">
        <v>10</v>
      </c>
      <c r="D58" s="35">
        <v>10</v>
      </c>
      <c r="E58" s="48">
        <v>10</v>
      </c>
      <c r="F58" s="48">
        <v>10</v>
      </c>
    </row>
    <row r="59" spans="2:10" x14ac:dyDescent="0.35">
      <c r="B59" s="12"/>
      <c r="C59" s="41"/>
      <c r="D59" s="18"/>
      <c r="E59" s="44"/>
      <c r="F59" s="44"/>
    </row>
    <row r="60" spans="2:10" x14ac:dyDescent="0.35">
      <c r="B60" s="23" t="s">
        <v>69</v>
      </c>
      <c r="C60" s="49">
        <f>C57*C54/C58</f>
        <v>-415</v>
      </c>
      <c r="D60" s="24">
        <f>D57*D54/D58</f>
        <v>-1325</v>
      </c>
      <c r="E60" s="49">
        <f>E57*E54/E58</f>
        <v>-4130</v>
      </c>
      <c r="F60" s="49">
        <f>F57*F54/F58</f>
        <v>-4130</v>
      </c>
    </row>
    <row r="61" spans="2:10" x14ac:dyDescent="0.35">
      <c r="B61" s="12"/>
      <c r="C61" s="41"/>
      <c r="D61" s="18"/>
      <c r="E61" s="44"/>
      <c r="F61" s="44"/>
    </row>
    <row r="62" spans="2:10" x14ac:dyDescent="0.35">
      <c r="B62" s="19" t="s">
        <v>70</v>
      </c>
      <c r="C62" s="41"/>
      <c r="D62" s="18"/>
      <c r="E62" s="44"/>
      <c r="F62" s="44"/>
    </row>
    <row r="63" spans="2:10" x14ac:dyDescent="0.35">
      <c r="B63" s="19"/>
      <c r="C63" s="41"/>
      <c r="D63" s="18"/>
      <c r="E63" s="44"/>
      <c r="F63" s="44"/>
    </row>
    <row r="64" spans="2:10" x14ac:dyDescent="0.35">
      <c r="B64" s="25" t="s">
        <v>71</v>
      </c>
      <c r="C64" s="48">
        <v>1</v>
      </c>
      <c r="D64" s="51">
        <v>0.1</v>
      </c>
      <c r="E64" s="48">
        <v>10</v>
      </c>
      <c r="F64" s="62">
        <v>0.1</v>
      </c>
    </row>
    <row r="65" spans="2:7" x14ac:dyDescent="0.35">
      <c r="B65" s="25" t="s">
        <v>72</v>
      </c>
      <c r="C65" s="41">
        <f>IF(C9/C64&gt;=1, C9/C64, "Cannot be supported by DBE")</f>
        <v>10</v>
      </c>
      <c r="D65" s="18">
        <f>IF(D9/D64&gt;=1, D9/D64, "Cannot be supported by DBE")</f>
        <v>100</v>
      </c>
      <c r="E65" s="41">
        <f>IF(E9/E64&gt;=1, E9/E64, "Cannot be supported by DBE")</f>
        <v>1</v>
      </c>
      <c r="F65" s="41">
        <f>IF(F9/F64&gt;=1, F9/F64, "Cannot be supported by DBE")</f>
        <v>100</v>
      </c>
    </row>
    <row r="66" spans="2:7" x14ac:dyDescent="0.35">
      <c r="B66" s="25" t="s">
        <v>73</v>
      </c>
      <c r="C66" s="41">
        <f>ROUNDUP(C54/C65,0)</f>
        <v>9</v>
      </c>
      <c r="D66" s="18">
        <f>ROUNDUP(D54/D65,0)</f>
        <v>3</v>
      </c>
      <c r="E66" s="41">
        <f>ROUNDUP(E54/E65,0)</f>
        <v>826</v>
      </c>
      <c r="F66" s="41">
        <f>ROUNDUP(F54/F65,0)</f>
        <v>9</v>
      </c>
    </row>
    <row r="67" spans="2:7" x14ac:dyDescent="0.35">
      <c r="B67" s="25" t="s">
        <v>74</v>
      </c>
      <c r="C67" s="50">
        <f>-700*12</f>
        <v>-8400</v>
      </c>
      <c r="D67" s="26">
        <f>-700*12</f>
        <v>-8400</v>
      </c>
      <c r="E67" s="50">
        <f>-700*12</f>
        <v>-8400</v>
      </c>
      <c r="F67" s="50">
        <f>-700*12</f>
        <v>-8400</v>
      </c>
    </row>
    <row r="68" spans="2:7" x14ac:dyDescent="0.35">
      <c r="B68" s="27"/>
      <c r="C68" s="36"/>
      <c r="D68" s="9"/>
      <c r="E68" s="36"/>
      <c r="F68" s="36"/>
    </row>
    <row r="69" spans="2:7" x14ac:dyDescent="0.35">
      <c r="B69" s="28" t="s">
        <v>75</v>
      </c>
      <c r="C69" s="50">
        <f>C67*C66</f>
        <v>-75600</v>
      </c>
      <c r="D69" s="26">
        <f>D67*D66</f>
        <v>-25200</v>
      </c>
      <c r="E69" s="50">
        <f>E67*E66</f>
        <v>-6938400</v>
      </c>
      <c r="F69" s="50">
        <f>F67*F66</f>
        <v>-75600</v>
      </c>
    </row>
    <row r="70" spans="2:7" x14ac:dyDescent="0.35">
      <c r="B70" s="12"/>
      <c r="C70" s="39"/>
      <c r="D70" s="14"/>
      <c r="E70" s="39"/>
      <c r="F70" s="39"/>
    </row>
    <row r="71" spans="2:7" x14ac:dyDescent="0.35">
      <c r="B71" s="23" t="s">
        <v>76</v>
      </c>
      <c r="C71" s="49">
        <f>C69+C60</f>
        <v>-76015</v>
      </c>
      <c r="D71" s="24">
        <f>D69+D60</f>
        <v>-26525</v>
      </c>
      <c r="E71" s="49">
        <f>E69+E60</f>
        <v>-6942530</v>
      </c>
      <c r="F71" s="49">
        <f>F69+F60</f>
        <v>-79730</v>
      </c>
    </row>
    <row r="72" spans="2:7" x14ac:dyDescent="0.35">
      <c r="B72" s="12"/>
      <c r="C72" s="41"/>
      <c r="D72" s="18"/>
      <c r="E72" s="39"/>
      <c r="F72" s="39"/>
    </row>
    <row r="73" spans="2:7" ht="15" thickBot="1" x14ac:dyDescent="0.4">
      <c r="B73" s="12"/>
      <c r="C73" s="39"/>
      <c r="D73" s="14"/>
      <c r="E73" s="39"/>
      <c r="F73" s="39"/>
    </row>
    <row r="74" spans="2:7" x14ac:dyDescent="0.35">
      <c r="B74" s="67" t="s">
        <v>77</v>
      </c>
      <c r="C74" s="29">
        <f>C71+C47</f>
        <v>184164.4972198293</v>
      </c>
      <c r="D74" s="64">
        <f>D71+D47</f>
        <v>17448.999530111985</v>
      </c>
      <c r="E74" s="64">
        <f>E71+E47</f>
        <v>-5479783.765630303</v>
      </c>
      <c r="F74" s="7">
        <f>F71+F47</f>
        <v>24708.248884015964</v>
      </c>
    </row>
    <row r="75" spans="2:7" x14ac:dyDescent="0.35">
      <c r="B75" s="68" t="s">
        <v>78</v>
      </c>
      <c r="C75" s="30">
        <f>-C74/C71</f>
        <v>2.4227388965313335</v>
      </c>
      <c r="D75" s="44">
        <f>-D74/D71</f>
        <v>0.65783221602684205</v>
      </c>
      <c r="E75" s="44">
        <f>-E74/E71</f>
        <v>-0.78930645825517542</v>
      </c>
      <c r="F75" s="6">
        <f>-F74/F71</f>
        <v>0.30989902024352145</v>
      </c>
    </row>
    <row r="76" spans="2:7" x14ac:dyDescent="0.35">
      <c r="B76" s="68" t="s">
        <v>79</v>
      </c>
      <c r="C76" s="30">
        <f>C74/(C34*$C$16*10^6)</f>
        <v>0.33504252365076659</v>
      </c>
      <c r="D76" s="44">
        <f>D74/(D34*$C$16*10^6)</f>
        <v>3.1744211973556723E-2</v>
      </c>
      <c r="E76" s="44">
        <f>E74/(E34*$C$16*10^6)</f>
        <v>-9.969134168708802</v>
      </c>
      <c r="F76" s="6">
        <f>F74/(F34*$C$16*10^6)</f>
        <v>4.4950651108451568E-2</v>
      </c>
      <c r="G76" t="s">
        <v>80</v>
      </c>
    </row>
    <row r="77" spans="2:7" ht="15" thickBot="1" x14ac:dyDescent="0.4">
      <c r="B77" s="69" t="s">
        <v>81</v>
      </c>
      <c r="C77" s="66">
        <f>C74*$C$21/10^6</f>
        <v>7054.7893950000007</v>
      </c>
      <c r="D77" s="65">
        <f>D74*$C$21/10^6</f>
        <v>668.41882499999974</v>
      </c>
      <c r="E77" s="65">
        <f t="shared" ref="E77:F77" si="0">E74*$C$21/10^6</f>
        <v>-209914.07670999999</v>
      </c>
      <c r="F77" s="63">
        <f t="shared" si="0"/>
        <v>946.49888999999951</v>
      </c>
    </row>
    <row r="79" spans="2:7" x14ac:dyDescent="0.35">
      <c r="C79" s="5"/>
    </row>
  </sheetData>
  <conditionalFormatting sqref="E75:F76">
    <cfRule type="cellIs" dxfId="37" priority="17" operator="lessThan">
      <formula>0</formula>
    </cfRule>
    <cfRule type="cellIs" dxfId="36" priority="18" operator="greaterThan">
      <formula>0</formula>
    </cfRule>
  </conditionalFormatting>
  <conditionalFormatting sqref="E74:F74">
    <cfRule type="cellIs" dxfId="35" priority="15" operator="lessThan">
      <formula>0</formula>
    </cfRule>
    <cfRule type="cellIs" dxfId="34" priority="16" operator="greaterThan">
      <formula>0</formula>
    </cfRule>
  </conditionalFormatting>
  <conditionalFormatting sqref="D75:D76">
    <cfRule type="cellIs" dxfId="33" priority="13" operator="lessThan">
      <formula>0</formula>
    </cfRule>
    <cfRule type="cellIs" dxfId="32" priority="14" operator="greaterThan">
      <formula>0</formula>
    </cfRule>
  </conditionalFormatting>
  <conditionalFormatting sqref="D74">
    <cfRule type="cellIs" dxfId="31" priority="11" operator="lessThan">
      <formula>0</formula>
    </cfRule>
    <cfRule type="cellIs" dxfId="30" priority="12" operator="greaterThan">
      <formula>0</formula>
    </cfRule>
  </conditionalFormatting>
  <conditionalFormatting sqref="C75:C76">
    <cfRule type="cellIs" dxfId="29" priority="9" operator="lessThan">
      <formula>0</formula>
    </cfRule>
    <cfRule type="cellIs" dxfId="28" priority="10" operator="greaterThan">
      <formula>0</formula>
    </cfRule>
  </conditionalFormatting>
  <conditionalFormatting sqref="C74">
    <cfRule type="cellIs" dxfId="27" priority="7" operator="lessThan">
      <formula>0</formula>
    </cfRule>
    <cfRule type="cellIs" dxfId="26" priority="8" operator="greaterThan">
      <formula>0</formula>
    </cfRule>
  </conditionalFormatting>
  <conditionalFormatting sqref="E77:F77">
    <cfRule type="cellIs" dxfId="25" priority="5" operator="lessThan">
      <formula>0</formula>
    </cfRule>
    <cfRule type="cellIs" dxfId="24" priority="6" operator="greaterThan">
      <formula>0</formula>
    </cfRule>
  </conditionalFormatting>
  <conditionalFormatting sqref="D77">
    <cfRule type="cellIs" dxfId="23" priority="3" operator="lessThan">
      <formula>0</formula>
    </cfRule>
    <cfRule type="cellIs" dxfId="22" priority="4" operator="greaterThan">
      <formula>0</formula>
    </cfRule>
  </conditionalFormatting>
  <conditionalFormatting sqref="C77">
    <cfRule type="cellIs" dxfId="21" priority="1" operator="lessThan">
      <formula>0</formula>
    </cfRule>
    <cfRule type="cellIs" dxfId="20" priority="2" operator="greaterThan">
      <formula>0</formula>
    </cfRule>
  </conditionalFormatting>
  <hyperlinks>
    <hyperlink ref="I14" r:id="rId1" xr:uid="{9FF2D537-FD78-4D10-8C2A-B1475B3403BF}"/>
    <hyperlink ref="I16" r:id="rId2" xr:uid="{42309173-F407-4595-9A50-F4A0F2CF8829}"/>
    <hyperlink ref="I23" r:id="rId3" xr:uid="{5E672B75-03D9-4D29-AC7A-15ACF0502D1F}"/>
    <hyperlink ref="I24" r:id="rId4" xr:uid="{65482745-1B86-44C4-A781-D5963EA74312}"/>
    <hyperlink ref="I25" r:id="rId5" xr:uid="{3E4810DA-ADD5-419B-9A62-007C2ABA8780}"/>
    <hyperlink ref="I17" r:id="rId6" xr:uid="{544DDD90-66D5-4BB2-B71B-4634DA4FFEBD}"/>
    <hyperlink ref="I53" r:id="rId7" xr:uid="{49D95B57-CF19-4FB3-AA1B-98D85D909981}"/>
    <hyperlink ref="I18" r:id="rId8" xr:uid="{F5E5D8D2-DC5B-414F-B84C-07733B064152}"/>
  </hyperlinks>
  <pageMargins left="0.7" right="0.7" top="0.75" bottom="0.75" header="0.3" footer="0.3"/>
  <pageSetup orientation="portrait" horizontalDpi="300" verticalDpi="300"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F27A7-792A-4C9F-9E9E-F5A36ADF6BAA}">
  <dimension ref="B2:H67"/>
  <sheetViews>
    <sheetView showGridLines="0" zoomScaleNormal="100" workbookViewId="0">
      <selection activeCell="B37" sqref="B37"/>
    </sheetView>
  </sheetViews>
  <sheetFormatPr defaultRowHeight="14.5" x14ac:dyDescent="0.35"/>
  <cols>
    <col min="1" max="1" width="4.453125" customWidth="1"/>
    <col min="2" max="2" width="45" customWidth="1"/>
    <col min="3" max="3" width="16.453125" bestFit="1" customWidth="1"/>
    <col min="4" max="4" width="23.7265625" bestFit="1" customWidth="1"/>
    <col min="10" max="10" width="9.453125" bestFit="1" customWidth="1"/>
  </cols>
  <sheetData>
    <row r="2" spans="2:8" x14ac:dyDescent="0.35">
      <c r="B2" s="1" t="s">
        <v>82</v>
      </c>
    </row>
    <row r="3" spans="2:8" x14ac:dyDescent="0.35">
      <c r="B3" s="1"/>
    </row>
    <row r="4" spans="2:8" x14ac:dyDescent="0.35">
      <c r="B4" s="70" t="s">
        <v>1</v>
      </c>
    </row>
    <row r="5" spans="2:8" x14ac:dyDescent="0.35">
      <c r="B5" s="71" t="s">
        <v>2</v>
      </c>
    </row>
    <row r="7" spans="2:8" x14ac:dyDescent="0.35">
      <c r="B7" s="8" t="s">
        <v>3</v>
      </c>
      <c r="C7" s="36" t="s">
        <v>83</v>
      </c>
      <c r="D7" s="9" t="s">
        <v>84</v>
      </c>
      <c r="G7" t="s">
        <v>10</v>
      </c>
      <c r="H7" t="s">
        <v>11</v>
      </c>
    </row>
    <row r="8" spans="2:8" x14ac:dyDescent="0.35">
      <c r="B8" s="10" t="s">
        <v>12</v>
      </c>
      <c r="C8" s="37" t="s">
        <v>14</v>
      </c>
      <c r="D8" s="11" t="s">
        <v>14</v>
      </c>
    </row>
    <row r="9" spans="2:8" x14ac:dyDescent="0.35">
      <c r="B9" s="12" t="s">
        <v>15</v>
      </c>
      <c r="C9" s="52">
        <v>10</v>
      </c>
      <c r="D9" s="13">
        <v>10</v>
      </c>
    </row>
    <row r="10" spans="2:8" x14ac:dyDescent="0.35">
      <c r="B10" s="12"/>
      <c r="C10" s="39"/>
      <c r="D10" s="14"/>
    </row>
    <row r="11" spans="2:8" x14ac:dyDescent="0.35">
      <c r="B11" s="12" t="s">
        <v>16</v>
      </c>
      <c r="C11" s="39"/>
      <c r="D11" s="14"/>
    </row>
    <row r="12" spans="2:8" x14ac:dyDescent="0.35">
      <c r="B12" s="12"/>
      <c r="C12" s="39"/>
      <c r="D12" s="14"/>
    </row>
    <row r="13" spans="2:8" x14ac:dyDescent="0.35">
      <c r="B13" s="12" t="s">
        <v>85</v>
      </c>
      <c r="C13" s="75"/>
      <c r="D13" s="22">
        <f>34*60</f>
        <v>2040</v>
      </c>
      <c r="E13" s="4"/>
      <c r="F13" s="4"/>
      <c r="G13" s="2" t="s">
        <v>86</v>
      </c>
    </row>
    <row r="14" spans="2:8" x14ac:dyDescent="0.35">
      <c r="B14" s="12" t="s">
        <v>87</v>
      </c>
      <c r="C14" s="39"/>
      <c r="D14" s="72">
        <v>98</v>
      </c>
      <c r="E14" s="4"/>
      <c r="F14" s="4"/>
      <c r="G14" s="2"/>
    </row>
    <row r="15" spans="2:8" x14ac:dyDescent="0.35">
      <c r="B15" s="12" t="s">
        <v>88</v>
      </c>
      <c r="C15" s="39"/>
      <c r="D15" s="73">
        <v>137</v>
      </c>
      <c r="E15" s="4"/>
      <c r="F15" s="4"/>
      <c r="G15" s="2" t="s">
        <v>89</v>
      </c>
      <c r="H15" t="s">
        <v>90</v>
      </c>
    </row>
    <row r="16" spans="2:8" x14ac:dyDescent="0.35">
      <c r="B16" s="12" t="s">
        <v>91</v>
      </c>
      <c r="C16" s="39"/>
      <c r="D16" s="73">
        <f>(D15+D14)/2</f>
        <v>117.5</v>
      </c>
      <c r="E16" s="4"/>
      <c r="F16" s="4"/>
      <c r="G16" s="2"/>
    </row>
    <row r="17" spans="2:8" x14ac:dyDescent="0.35">
      <c r="B17" s="12" t="s">
        <v>92</v>
      </c>
      <c r="C17" s="39"/>
      <c r="D17" s="32">
        <f>(D16-D14)/D15</f>
        <v>0.14233576642335766</v>
      </c>
      <c r="E17" s="4"/>
      <c r="F17" s="4"/>
      <c r="G17" s="2"/>
      <c r="H17" t="s">
        <v>93</v>
      </c>
    </row>
    <row r="18" spans="2:8" x14ac:dyDescent="0.35">
      <c r="B18" s="12" t="s">
        <v>94</v>
      </c>
      <c r="C18" s="39"/>
      <c r="D18" s="15">
        <v>0.1</v>
      </c>
      <c r="E18" s="4"/>
      <c r="F18" s="4"/>
      <c r="G18" s="2"/>
      <c r="H18" t="s">
        <v>95</v>
      </c>
    </row>
    <row r="19" spans="2:8" x14ac:dyDescent="0.35">
      <c r="B19" s="12" t="s">
        <v>96</v>
      </c>
      <c r="C19" s="39"/>
      <c r="D19" s="73">
        <v>6</v>
      </c>
      <c r="E19" s="4"/>
      <c r="F19" s="4"/>
      <c r="G19" s="2"/>
      <c r="H19" s="2" t="s">
        <v>97</v>
      </c>
    </row>
    <row r="20" spans="2:8" x14ac:dyDescent="0.35">
      <c r="B20" s="12" t="s">
        <v>98</v>
      </c>
      <c r="C20" s="39"/>
      <c r="D20" s="73">
        <v>5</v>
      </c>
      <c r="E20" s="4"/>
      <c r="F20" s="4"/>
      <c r="G20" s="2"/>
      <c r="H20" s="2"/>
    </row>
    <row r="21" spans="2:8" x14ac:dyDescent="0.35">
      <c r="B21" s="12" t="s">
        <v>99</v>
      </c>
      <c r="C21" s="39"/>
      <c r="D21" s="73">
        <v>6</v>
      </c>
      <c r="E21" s="4"/>
      <c r="F21" s="4"/>
      <c r="G21" s="2"/>
      <c r="H21" t="s">
        <v>100</v>
      </c>
    </row>
    <row r="22" spans="2:8" x14ac:dyDescent="0.35">
      <c r="B22" s="12"/>
      <c r="C22" s="39"/>
      <c r="D22" s="74"/>
      <c r="E22" s="4"/>
      <c r="F22" s="4"/>
      <c r="G22" s="2"/>
    </row>
    <row r="23" spans="2:8" x14ac:dyDescent="0.35">
      <c r="B23" s="12" t="s">
        <v>101</v>
      </c>
      <c r="C23" s="45">
        <v>1</v>
      </c>
      <c r="D23" s="74"/>
      <c r="E23" s="4"/>
      <c r="F23" s="4"/>
      <c r="G23" s="2"/>
      <c r="H23" s="2"/>
    </row>
    <row r="24" spans="2:8" x14ac:dyDescent="0.35">
      <c r="B24" s="12" t="s">
        <v>102</v>
      </c>
      <c r="C24" s="47">
        <v>10</v>
      </c>
      <c r="D24" s="74"/>
      <c r="E24" s="4"/>
      <c r="F24" s="4"/>
      <c r="G24" s="2" t="s">
        <v>103</v>
      </c>
      <c r="H24" t="s">
        <v>104</v>
      </c>
    </row>
    <row r="25" spans="2:8" x14ac:dyDescent="0.35">
      <c r="B25" s="12" t="s">
        <v>105</v>
      </c>
      <c r="C25" s="40">
        <v>0.6</v>
      </c>
      <c r="D25" s="14"/>
    </row>
    <row r="26" spans="2:8" x14ac:dyDescent="0.35">
      <c r="B26" s="12" t="s">
        <v>106</v>
      </c>
      <c r="C26" s="45">
        <v>50</v>
      </c>
      <c r="D26" s="14"/>
      <c r="H26" t="s">
        <v>107</v>
      </c>
    </row>
    <row r="27" spans="2:8" x14ac:dyDescent="0.35">
      <c r="B27" s="12" t="s">
        <v>108</v>
      </c>
      <c r="C27" s="72">
        <v>2</v>
      </c>
      <c r="D27" s="17"/>
      <c r="E27" s="2"/>
    </row>
    <row r="28" spans="2:8" x14ac:dyDescent="0.35">
      <c r="B28" s="12" t="s">
        <v>109</v>
      </c>
      <c r="C28" s="40">
        <v>0.5</v>
      </c>
      <c r="D28" s="17"/>
      <c r="E28" s="2"/>
      <c r="H28" t="s">
        <v>110</v>
      </c>
    </row>
    <row r="29" spans="2:8" x14ac:dyDescent="0.35">
      <c r="B29" s="12"/>
      <c r="C29" s="41"/>
      <c r="D29" s="18"/>
    </row>
    <row r="30" spans="2:8" x14ac:dyDescent="0.35">
      <c r="B30" s="8" t="s">
        <v>111</v>
      </c>
      <c r="C30" s="59"/>
      <c r="D30" s="31"/>
    </row>
    <row r="31" spans="2:8" x14ac:dyDescent="0.35">
      <c r="B31" s="19"/>
      <c r="C31" s="41"/>
      <c r="D31" s="18"/>
    </row>
    <row r="32" spans="2:8" x14ac:dyDescent="0.35">
      <c r="B32" s="19" t="s">
        <v>112</v>
      </c>
      <c r="C32" s="41"/>
      <c r="D32" s="18"/>
    </row>
    <row r="33" spans="2:4" x14ac:dyDescent="0.35">
      <c r="B33" s="12" t="s">
        <v>113</v>
      </c>
      <c r="C33" s="41"/>
      <c r="D33" s="18">
        <f>D14*D17*D18*D19*D20*365/60</f>
        <v>254.56751824817519</v>
      </c>
    </row>
    <row r="34" spans="2:4" x14ac:dyDescent="0.35">
      <c r="B34" s="12" t="s">
        <v>114</v>
      </c>
      <c r="C34" s="41"/>
      <c r="D34" s="18">
        <f>D33*D13/10^6</f>
        <v>0.51931773722627739</v>
      </c>
    </row>
    <row r="35" spans="2:4" x14ac:dyDescent="0.35">
      <c r="B35" s="12"/>
      <c r="C35" s="41"/>
      <c r="D35" s="18"/>
    </row>
    <row r="36" spans="2:4" x14ac:dyDescent="0.35">
      <c r="B36" s="19" t="s">
        <v>52</v>
      </c>
      <c r="C36" s="41"/>
      <c r="D36" s="18"/>
    </row>
    <row r="37" spans="2:4" x14ac:dyDescent="0.35">
      <c r="B37" s="12" t="s">
        <v>115</v>
      </c>
      <c r="C37" s="41">
        <f>C26*C25/C27*24*365*C28</f>
        <v>65700</v>
      </c>
      <c r="D37" s="18"/>
    </row>
    <row r="38" spans="2:4" x14ac:dyDescent="0.35">
      <c r="B38" s="12" t="s">
        <v>54</v>
      </c>
      <c r="C38" s="42">
        <f>C37*C24/10^6</f>
        <v>0.65700000000000003</v>
      </c>
      <c r="D38" s="18"/>
    </row>
    <row r="39" spans="2:4" x14ac:dyDescent="0.35">
      <c r="B39" s="12"/>
      <c r="C39" s="41"/>
      <c r="D39" s="18"/>
    </row>
    <row r="40" spans="2:4" x14ac:dyDescent="0.35">
      <c r="B40" s="19" t="s">
        <v>55</v>
      </c>
      <c r="C40" s="41"/>
      <c r="D40" s="18"/>
    </row>
    <row r="41" spans="2:4" x14ac:dyDescent="0.35">
      <c r="B41" s="12" t="s">
        <v>116</v>
      </c>
      <c r="C41" s="41">
        <v>0</v>
      </c>
      <c r="D41" s="18">
        <v>0</v>
      </c>
    </row>
    <row r="42" spans="2:4" x14ac:dyDescent="0.35">
      <c r="B42" s="12"/>
      <c r="C42" s="41"/>
      <c r="D42" s="18"/>
    </row>
    <row r="43" spans="2:4" x14ac:dyDescent="0.35">
      <c r="B43" s="12"/>
      <c r="C43" s="41"/>
      <c r="D43" s="18"/>
    </row>
    <row r="44" spans="2:4" x14ac:dyDescent="0.35">
      <c r="B44" s="20" t="s">
        <v>117</v>
      </c>
      <c r="C44" s="43">
        <f>(C41+C34+C38)*10^6</f>
        <v>657000</v>
      </c>
      <c r="D44" s="43">
        <f>(D41+D34+D38)*10^6</f>
        <v>519317.73722627742</v>
      </c>
    </row>
    <row r="45" spans="2:4" x14ac:dyDescent="0.35">
      <c r="B45" s="12"/>
      <c r="C45" s="39"/>
      <c r="D45" s="14"/>
    </row>
    <row r="46" spans="2:4" x14ac:dyDescent="0.35">
      <c r="B46" s="8" t="s">
        <v>118</v>
      </c>
      <c r="C46" s="36"/>
      <c r="D46" s="14"/>
    </row>
    <row r="47" spans="2:4" x14ac:dyDescent="0.35">
      <c r="B47" s="12"/>
      <c r="C47" s="39"/>
      <c r="D47" s="14"/>
    </row>
    <row r="48" spans="2:4" x14ac:dyDescent="0.35">
      <c r="B48" s="12" t="s">
        <v>119</v>
      </c>
      <c r="C48" s="41">
        <f>C26*C23</f>
        <v>50</v>
      </c>
      <c r="D48" s="18">
        <f>D21*D20</f>
        <v>30</v>
      </c>
    </row>
    <row r="49" spans="2:4" x14ac:dyDescent="0.35">
      <c r="B49" s="12" t="s">
        <v>67</v>
      </c>
      <c r="C49" s="47">
        <v>-50</v>
      </c>
      <c r="D49" s="22">
        <v>-50</v>
      </c>
    </row>
    <row r="50" spans="2:4" x14ac:dyDescent="0.35">
      <c r="B50" s="12" t="s">
        <v>68</v>
      </c>
      <c r="C50" s="48">
        <v>10</v>
      </c>
      <c r="D50" s="35">
        <v>10</v>
      </c>
    </row>
    <row r="51" spans="2:4" x14ac:dyDescent="0.35">
      <c r="B51" s="12"/>
      <c r="C51" s="41"/>
      <c r="D51" s="18"/>
    </row>
    <row r="52" spans="2:4" x14ac:dyDescent="0.35">
      <c r="B52" s="23" t="s">
        <v>69</v>
      </c>
      <c r="C52" s="49">
        <f>C49*C48/C50</f>
        <v>-250</v>
      </c>
      <c r="D52" s="49">
        <f>D49*D48/D50</f>
        <v>-150</v>
      </c>
    </row>
    <row r="53" spans="2:4" x14ac:dyDescent="0.35">
      <c r="B53" s="12"/>
      <c r="C53" s="41"/>
      <c r="D53" s="18"/>
    </row>
    <row r="54" spans="2:4" x14ac:dyDescent="0.35">
      <c r="B54" s="19" t="s">
        <v>70</v>
      </c>
      <c r="C54" s="41"/>
      <c r="D54" s="18"/>
    </row>
    <row r="55" spans="2:4" x14ac:dyDescent="0.35">
      <c r="B55" s="19"/>
      <c r="C55" s="41"/>
      <c r="D55" s="18"/>
    </row>
    <row r="56" spans="2:4" x14ac:dyDescent="0.35">
      <c r="B56" s="25" t="s">
        <v>71</v>
      </c>
      <c r="C56" s="48">
        <v>1</v>
      </c>
      <c r="D56" s="76">
        <v>1</v>
      </c>
    </row>
    <row r="57" spans="2:4" x14ac:dyDescent="0.35">
      <c r="B57" s="25" t="s">
        <v>72</v>
      </c>
      <c r="C57" s="41">
        <f>IF(C9/C56&gt;=1, C9/C56, "Cannot be supported by DBE")</f>
        <v>10</v>
      </c>
      <c r="D57" s="18">
        <f>IF(D9/D56&gt;=1, D9/D56, "Cannot be supported by DBE")</f>
        <v>10</v>
      </c>
    </row>
    <row r="58" spans="2:4" x14ac:dyDescent="0.35">
      <c r="B58" s="25" t="s">
        <v>73</v>
      </c>
      <c r="C58" s="41">
        <f>ROUNDUP(C48/C57,0)</f>
        <v>5</v>
      </c>
      <c r="D58" s="41">
        <f>ROUNDUP(D48/D57,0)</f>
        <v>3</v>
      </c>
    </row>
    <row r="59" spans="2:4" x14ac:dyDescent="0.35">
      <c r="B59" s="25" t="s">
        <v>74</v>
      </c>
      <c r="C59" s="50">
        <f>-700*12</f>
        <v>-8400</v>
      </c>
      <c r="D59" s="26">
        <f>-700*12</f>
        <v>-8400</v>
      </c>
    </row>
    <row r="60" spans="2:4" x14ac:dyDescent="0.35">
      <c r="B60" s="27"/>
      <c r="C60" s="36"/>
      <c r="D60" s="9"/>
    </row>
    <row r="61" spans="2:4" x14ac:dyDescent="0.35">
      <c r="B61" s="28" t="s">
        <v>75</v>
      </c>
      <c r="C61" s="50">
        <f>C59*C58</f>
        <v>-42000</v>
      </c>
      <c r="D61" s="26">
        <f>D59*D58</f>
        <v>-25200</v>
      </c>
    </row>
    <row r="62" spans="2:4" x14ac:dyDescent="0.35">
      <c r="B62" s="12"/>
      <c r="C62" s="39"/>
      <c r="D62" s="14"/>
    </row>
    <row r="63" spans="2:4" x14ac:dyDescent="0.35">
      <c r="B63" s="23" t="s">
        <v>76</v>
      </c>
      <c r="C63" s="49">
        <f>C61+C52</f>
        <v>-42250</v>
      </c>
      <c r="D63" s="24">
        <f>D61+D52</f>
        <v>-25350</v>
      </c>
    </row>
    <row r="64" spans="2:4" x14ac:dyDescent="0.35">
      <c r="B64" s="12"/>
      <c r="C64" s="41"/>
      <c r="D64" s="18"/>
    </row>
    <row r="65" spans="2:4" ht="15" thickBot="1" x14ac:dyDescent="0.4">
      <c r="B65" s="12"/>
      <c r="C65" s="39"/>
      <c r="D65" s="14"/>
    </row>
    <row r="66" spans="2:4" x14ac:dyDescent="0.35">
      <c r="B66" s="67" t="s">
        <v>120</v>
      </c>
      <c r="C66" s="29">
        <f>C63+C44</f>
        <v>614750</v>
      </c>
      <c r="D66" s="77">
        <f>D63+D44</f>
        <v>493967.73722627742</v>
      </c>
    </row>
    <row r="67" spans="2:4" ht="15" thickBot="1" x14ac:dyDescent="0.4">
      <c r="B67" s="69" t="s">
        <v>78</v>
      </c>
      <c r="C67" s="78">
        <f>-C66/C63</f>
        <v>14.550295857988166</v>
      </c>
      <c r="D67" s="79">
        <f>-D66/D63</f>
        <v>19.485906793935992</v>
      </c>
    </row>
  </sheetData>
  <conditionalFormatting sqref="D67">
    <cfRule type="cellIs" dxfId="19" priority="13" operator="lessThan">
      <formula>0</formula>
    </cfRule>
    <cfRule type="cellIs" dxfId="18" priority="14" operator="greaterThan">
      <formula>0</formula>
    </cfRule>
  </conditionalFormatting>
  <conditionalFormatting sqref="D66">
    <cfRule type="cellIs" dxfId="17" priority="11" operator="lessThan">
      <formula>0</formula>
    </cfRule>
    <cfRule type="cellIs" dxfId="16" priority="12" operator="greaterThan">
      <formula>0</formula>
    </cfRule>
  </conditionalFormatting>
  <conditionalFormatting sqref="C67">
    <cfRule type="cellIs" dxfId="15" priority="9" operator="lessThan">
      <formula>0</formula>
    </cfRule>
    <cfRule type="cellIs" dxfId="14" priority="10" operator="greaterThan">
      <formula>0</formula>
    </cfRule>
  </conditionalFormatting>
  <conditionalFormatting sqref="C66">
    <cfRule type="cellIs" dxfId="13" priority="7" operator="lessThan">
      <formula>0</formula>
    </cfRule>
    <cfRule type="cellIs" dxfId="12" priority="8" operator="greaterThan">
      <formula>0</formula>
    </cfRule>
  </conditionalFormatting>
  <hyperlinks>
    <hyperlink ref="G13" r:id="rId1" xr:uid="{3B3E1AB3-B9EE-45B0-B13E-47A7EF519A9A}"/>
    <hyperlink ref="G15" r:id="rId2" xr:uid="{25505809-8923-4636-9F1F-744309909A5B}"/>
    <hyperlink ref="H19" r:id="rId3" xr:uid="{F1F1A2E0-4295-4EE3-8E68-557D54B24F37}"/>
    <hyperlink ref="G24" r:id="rId4" xr:uid="{FF8ECB92-3811-487C-A8AC-F872737981BB}"/>
  </hyperlinks>
  <pageMargins left="0.7" right="0.7" top="0.75" bottom="0.75" header="0.3" footer="0.3"/>
  <pageSetup orientation="portrait" horizontalDpi="300" verticalDpi="3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D754F-C2F7-475B-8F81-F2C50B04A513}">
  <dimension ref="B2:I71"/>
  <sheetViews>
    <sheetView showGridLines="0" topLeftCell="A28" zoomScaleNormal="100" workbookViewId="0">
      <selection activeCell="E48" sqref="E48"/>
    </sheetView>
  </sheetViews>
  <sheetFormatPr defaultRowHeight="14.5" x14ac:dyDescent="0.35"/>
  <cols>
    <col min="1" max="1" width="4.453125" customWidth="1"/>
    <col min="2" max="2" width="58.453125" bestFit="1" customWidth="1"/>
    <col min="3" max="3" width="23.1796875" bestFit="1" customWidth="1"/>
    <col min="4" max="4" width="17.1796875" bestFit="1" customWidth="1"/>
    <col min="5" max="5" width="26.90625" customWidth="1"/>
    <col min="10" max="10" width="9.453125" bestFit="1" customWidth="1"/>
  </cols>
  <sheetData>
    <row r="2" spans="2:8" x14ac:dyDescent="0.35">
      <c r="B2" s="1" t="s">
        <v>121</v>
      </c>
    </row>
    <row r="3" spans="2:8" x14ac:dyDescent="0.35">
      <c r="B3" s="1"/>
    </row>
    <row r="4" spans="2:8" x14ac:dyDescent="0.35">
      <c r="B4" s="70" t="s">
        <v>1</v>
      </c>
    </row>
    <row r="5" spans="2:8" x14ac:dyDescent="0.35">
      <c r="B5" s="71" t="s">
        <v>2</v>
      </c>
    </row>
    <row r="7" spans="2:8" x14ac:dyDescent="0.35">
      <c r="B7" s="8" t="s">
        <v>3</v>
      </c>
      <c r="C7" s="36" t="s">
        <v>122</v>
      </c>
      <c r="D7" s="36" t="s">
        <v>146</v>
      </c>
      <c r="E7" s="36" t="s">
        <v>150</v>
      </c>
      <c r="G7" t="s">
        <v>10</v>
      </c>
      <c r="H7" t="s">
        <v>11</v>
      </c>
    </row>
    <row r="8" spans="2:8" x14ac:dyDescent="0.35">
      <c r="B8" s="10" t="s">
        <v>12</v>
      </c>
      <c r="C8" s="37" t="s">
        <v>123</v>
      </c>
      <c r="D8" s="37" t="s">
        <v>14</v>
      </c>
      <c r="E8" s="37" t="s">
        <v>123</v>
      </c>
    </row>
    <row r="9" spans="2:8" x14ac:dyDescent="0.35">
      <c r="B9" s="12" t="s">
        <v>15</v>
      </c>
      <c r="C9" s="52">
        <v>10</v>
      </c>
      <c r="D9" s="52">
        <v>10</v>
      </c>
      <c r="E9" s="52">
        <v>10</v>
      </c>
      <c r="H9" t="s">
        <v>147</v>
      </c>
    </row>
    <row r="10" spans="2:8" x14ac:dyDescent="0.35">
      <c r="B10" s="12"/>
      <c r="C10" s="39"/>
      <c r="D10" s="39"/>
      <c r="E10" s="39"/>
      <c r="H10" t="s">
        <v>148</v>
      </c>
    </row>
    <row r="11" spans="2:8" x14ac:dyDescent="0.35">
      <c r="B11" s="12" t="s">
        <v>16</v>
      </c>
      <c r="C11" s="39"/>
      <c r="D11" s="39"/>
      <c r="E11" s="39"/>
      <c r="H11" t="s">
        <v>124</v>
      </c>
    </row>
    <row r="12" spans="2:8" x14ac:dyDescent="0.35">
      <c r="B12" s="12"/>
      <c r="C12" s="39"/>
      <c r="D12" s="39"/>
      <c r="E12" s="55"/>
      <c r="G12" s="2" t="s">
        <v>125</v>
      </c>
      <c r="H12" t="s">
        <v>126</v>
      </c>
    </row>
    <row r="13" spans="2:8" x14ac:dyDescent="0.35">
      <c r="B13" s="12" t="s">
        <v>127</v>
      </c>
      <c r="C13" s="72">
        <v>5</v>
      </c>
      <c r="D13" s="81"/>
      <c r="E13" s="81"/>
    </row>
    <row r="14" spans="2:8" x14ac:dyDescent="0.35">
      <c r="B14" s="12" t="s">
        <v>128</v>
      </c>
      <c r="C14" s="40">
        <v>0.47</v>
      </c>
      <c r="D14" s="54"/>
      <c r="E14" s="54"/>
      <c r="F14" s="4"/>
      <c r="G14" s="2" t="s">
        <v>169</v>
      </c>
      <c r="H14" t="s">
        <v>129</v>
      </c>
    </row>
    <row r="15" spans="2:8" x14ac:dyDescent="0.35">
      <c r="B15" s="12" t="s">
        <v>156</v>
      </c>
      <c r="C15" s="39"/>
      <c r="D15" s="45">
        <v>10000</v>
      </c>
      <c r="E15" s="39"/>
      <c r="F15" s="4"/>
    </row>
    <row r="16" spans="2:8" x14ac:dyDescent="0.35">
      <c r="B16" s="12" t="s">
        <v>149</v>
      </c>
      <c r="C16" s="39"/>
      <c r="D16" s="45">
        <v>200</v>
      </c>
      <c r="E16" s="39"/>
      <c r="F16" s="4"/>
      <c r="G16" s="2" t="s">
        <v>157</v>
      </c>
      <c r="H16" t="s">
        <v>158</v>
      </c>
    </row>
    <row r="17" spans="2:9" x14ac:dyDescent="0.35">
      <c r="B17" s="12" t="s">
        <v>130</v>
      </c>
      <c r="C17" s="40">
        <v>0.15</v>
      </c>
      <c r="D17" s="54"/>
      <c r="E17" s="54"/>
      <c r="F17" s="4"/>
      <c r="G17" s="2"/>
    </row>
    <row r="18" spans="2:9" x14ac:dyDescent="0.35">
      <c r="B18" s="12" t="s">
        <v>131</v>
      </c>
      <c r="C18" s="45">
        <v>5</v>
      </c>
      <c r="D18" s="55"/>
      <c r="E18" s="45">
        <v>5</v>
      </c>
      <c r="F18" s="4"/>
      <c r="G18" s="2"/>
      <c r="H18" t="s">
        <v>132</v>
      </c>
      <c r="I18" t="s">
        <v>170</v>
      </c>
    </row>
    <row r="19" spans="2:9" x14ac:dyDescent="0.35">
      <c r="B19" s="12" t="s">
        <v>173</v>
      </c>
      <c r="C19" s="45"/>
      <c r="D19" s="55"/>
      <c r="E19" s="45">
        <v>10</v>
      </c>
      <c r="F19" s="4"/>
      <c r="G19" s="2"/>
      <c r="H19" t="s">
        <v>174</v>
      </c>
    </row>
    <row r="20" spans="2:9" x14ac:dyDescent="0.35">
      <c r="B20" s="12" t="s">
        <v>133</v>
      </c>
      <c r="C20" s="47">
        <v>15</v>
      </c>
      <c r="D20" s="75"/>
      <c r="E20" s="75"/>
      <c r="F20" s="4"/>
      <c r="G20" s="2"/>
    </row>
    <row r="21" spans="2:9" x14ac:dyDescent="0.35">
      <c r="B21" s="12" t="s">
        <v>134</v>
      </c>
      <c r="C21" s="57">
        <v>80</v>
      </c>
      <c r="D21" s="56"/>
      <c r="E21" s="56"/>
    </row>
    <row r="22" spans="2:9" x14ac:dyDescent="0.35">
      <c r="B22" s="12" t="s">
        <v>135</v>
      </c>
      <c r="C22" s="40">
        <v>0.1</v>
      </c>
      <c r="D22" s="54"/>
      <c r="E22" s="54"/>
      <c r="G22" t="s">
        <v>136</v>
      </c>
      <c r="H22" t="s">
        <v>137</v>
      </c>
    </row>
    <row r="23" spans="2:9" x14ac:dyDescent="0.35">
      <c r="B23" s="12" t="s">
        <v>138</v>
      </c>
      <c r="C23" s="40">
        <f>(2.5/0.8)%</f>
        <v>3.125E-2</v>
      </c>
      <c r="D23" s="54"/>
      <c r="E23" s="54"/>
      <c r="G23" s="2" t="s">
        <v>139</v>
      </c>
      <c r="H23" t="s">
        <v>140</v>
      </c>
    </row>
    <row r="24" spans="2:9" x14ac:dyDescent="0.35">
      <c r="B24" s="12" t="s">
        <v>155</v>
      </c>
      <c r="C24" s="54"/>
      <c r="D24" s="54"/>
      <c r="E24" s="72">
        <v>15</v>
      </c>
      <c r="G24" s="2"/>
    </row>
    <row r="25" spans="2:9" x14ac:dyDescent="0.35">
      <c r="B25" s="12" t="s">
        <v>151</v>
      </c>
      <c r="C25" s="54"/>
      <c r="D25" s="54"/>
      <c r="E25" s="47">
        <v>250000</v>
      </c>
      <c r="G25" s="2" t="s">
        <v>154</v>
      </c>
    </row>
    <row r="26" spans="2:9" x14ac:dyDescent="0.35">
      <c r="B26" s="12" t="s">
        <v>152</v>
      </c>
      <c r="C26" s="54"/>
      <c r="D26" s="54"/>
      <c r="E26" s="40">
        <v>0.4</v>
      </c>
      <c r="G26" s="2"/>
      <c r="H26" t="s">
        <v>153</v>
      </c>
    </row>
    <row r="27" spans="2:9" x14ac:dyDescent="0.35">
      <c r="B27" s="12" t="s">
        <v>165</v>
      </c>
      <c r="C27" s="54"/>
      <c r="D27" s="47">
        <v>39000</v>
      </c>
      <c r="E27" s="54"/>
      <c r="G27" s="2" t="s">
        <v>159</v>
      </c>
      <c r="H27" t="s">
        <v>160</v>
      </c>
    </row>
    <row r="28" spans="2:9" x14ac:dyDescent="0.35">
      <c r="B28" s="12" t="s">
        <v>162</v>
      </c>
      <c r="C28" s="54"/>
      <c r="D28" s="53">
        <v>3.5000000000000003E-2</v>
      </c>
      <c r="E28" s="54"/>
      <c r="G28" s="2" t="s">
        <v>163</v>
      </c>
      <c r="H28" t="s">
        <v>164</v>
      </c>
    </row>
    <row r="29" spans="2:9" x14ac:dyDescent="0.35">
      <c r="B29" s="12" t="s">
        <v>166</v>
      </c>
      <c r="C29" s="54"/>
      <c r="D29" s="40">
        <v>0.7</v>
      </c>
      <c r="E29" s="54"/>
      <c r="G29" s="2"/>
      <c r="H29" t="s">
        <v>153</v>
      </c>
    </row>
    <row r="30" spans="2:9" x14ac:dyDescent="0.35">
      <c r="B30" s="12"/>
      <c r="C30" s="41"/>
      <c r="D30" s="41"/>
      <c r="E30" s="80"/>
      <c r="G30" s="2"/>
    </row>
    <row r="31" spans="2:9" x14ac:dyDescent="0.35">
      <c r="B31" s="8" t="s">
        <v>111</v>
      </c>
      <c r="C31" s="59"/>
      <c r="D31" s="59"/>
      <c r="E31" s="59"/>
    </row>
    <row r="32" spans="2:9" x14ac:dyDescent="0.35">
      <c r="B32" s="19"/>
      <c r="C32" s="41"/>
      <c r="D32" s="41"/>
      <c r="E32" s="41"/>
    </row>
    <row r="33" spans="2:8" x14ac:dyDescent="0.35">
      <c r="B33" s="19" t="s">
        <v>141</v>
      </c>
      <c r="C33" s="41"/>
      <c r="D33" s="41"/>
      <c r="E33" s="41"/>
    </row>
    <row r="34" spans="2:8" x14ac:dyDescent="0.35">
      <c r="B34" s="12" t="s">
        <v>142</v>
      </c>
      <c r="C34" s="80">
        <f>C17*C22*C13*C14*10^6</f>
        <v>35250</v>
      </c>
      <c r="D34" s="80"/>
      <c r="E34" s="80"/>
    </row>
    <row r="35" spans="2:8" x14ac:dyDescent="0.35">
      <c r="B35" s="12"/>
      <c r="C35" s="41"/>
      <c r="D35" s="41"/>
      <c r="E35" s="41"/>
    </row>
    <row r="36" spans="2:8" x14ac:dyDescent="0.35">
      <c r="B36" s="19" t="s">
        <v>52</v>
      </c>
      <c r="C36" s="41"/>
      <c r="D36" s="41"/>
      <c r="E36" s="41"/>
    </row>
    <row r="37" spans="2:8" x14ac:dyDescent="0.35">
      <c r="B37" s="12" t="s">
        <v>115</v>
      </c>
      <c r="C37" s="41">
        <f>C21*52</f>
        <v>4160</v>
      </c>
      <c r="D37" s="41"/>
      <c r="E37" s="41"/>
    </row>
    <row r="38" spans="2:8" x14ac:dyDescent="0.35">
      <c r="B38" s="12" t="s">
        <v>143</v>
      </c>
      <c r="C38" s="80">
        <f>C37*C20</f>
        <v>62400</v>
      </c>
      <c r="D38" s="80"/>
      <c r="E38" s="80"/>
    </row>
    <row r="39" spans="2:8" x14ac:dyDescent="0.35">
      <c r="B39" s="12" t="s">
        <v>167</v>
      </c>
      <c r="C39" s="80"/>
      <c r="D39" s="80">
        <f>D29*D28*D16*D27</f>
        <v>191100</v>
      </c>
      <c r="E39" s="80"/>
      <c r="H39" t="s">
        <v>168</v>
      </c>
    </row>
    <row r="40" spans="2:8" x14ac:dyDescent="0.35">
      <c r="B40" s="12"/>
      <c r="C40" s="80"/>
      <c r="D40" s="80"/>
      <c r="E40" s="80"/>
    </row>
    <row r="41" spans="2:8" x14ac:dyDescent="0.35">
      <c r="B41" s="19" t="s">
        <v>144</v>
      </c>
      <c r="C41" s="41"/>
      <c r="D41" s="41"/>
      <c r="E41" s="41"/>
    </row>
    <row r="42" spans="2:8" x14ac:dyDescent="0.35">
      <c r="B42" s="12" t="s">
        <v>145</v>
      </c>
      <c r="C42" s="80">
        <f>C23*C13*C22*10^6</f>
        <v>15625</v>
      </c>
      <c r="D42" s="80"/>
      <c r="E42" s="80"/>
    </row>
    <row r="43" spans="2:8" x14ac:dyDescent="0.35">
      <c r="B43" s="12"/>
      <c r="C43" s="80"/>
      <c r="D43" s="80"/>
      <c r="E43" s="80"/>
    </row>
    <row r="44" spans="2:8" x14ac:dyDescent="0.35">
      <c r="B44" s="19" t="s">
        <v>171</v>
      </c>
      <c r="C44" s="80"/>
      <c r="D44" s="80"/>
      <c r="E44" s="80"/>
    </row>
    <row r="45" spans="2:8" x14ac:dyDescent="0.35">
      <c r="B45" s="12" t="s">
        <v>172</v>
      </c>
      <c r="C45" s="41"/>
      <c r="D45" s="41"/>
      <c r="E45" s="75">
        <f>E26*E25*E24</f>
        <v>1500000</v>
      </c>
    </row>
    <row r="46" spans="2:8" x14ac:dyDescent="0.35">
      <c r="B46" s="12"/>
      <c r="C46" s="41"/>
      <c r="D46" s="41"/>
      <c r="E46" s="41"/>
    </row>
    <row r="47" spans="2:8" x14ac:dyDescent="0.35">
      <c r="B47" s="20" t="s">
        <v>117</v>
      </c>
      <c r="C47" s="43">
        <f>(C42+C34+C39+C38+C45)</f>
        <v>113275</v>
      </c>
      <c r="D47" s="43">
        <f>(D42+D34+D39+D38+D45)</f>
        <v>191100</v>
      </c>
      <c r="E47" s="43">
        <f>(E42+E34+E39+E38+E45)</f>
        <v>1500000</v>
      </c>
    </row>
    <row r="48" spans="2:8" x14ac:dyDescent="0.35">
      <c r="B48" s="12"/>
      <c r="C48" s="39"/>
      <c r="D48" s="39"/>
      <c r="E48" s="39"/>
    </row>
    <row r="49" spans="2:8" x14ac:dyDescent="0.35">
      <c r="B49" s="8" t="s">
        <v>118</v>
      </c>
      <c r="C49" s="36"/>
      <c r="D49" s="36"/>
      <c r="E49" s="36"/>
    </row>
    <row r="50" spans="2:8" x14ac:dyDescent="0.35">
      <c r="B50" s="19"/>
      <c r="C50" s="39"/>
      <c r="D50" s="39"/>
      <c r="E50" s="39"/>
    </row>
    <row r="51" spans="2:8" x14ac:dyDescent="0.35">
      <c r="B51" s="12" t="s">
        <v>161</v>
      </c>
      <c r="C51" s="39"/>
      <c r="D51" s="39">
        <v>80</v>
      </c>
      <c r="E51" s="39"/>
      <c r="H51" t="s">
        <v>153</v>
      </c>
    </row>
    <row r="52" spans="2:8" x14ac:dyDescent="0.35">
      <c r="B52" s="12" t="s">
        <v>119</v>
      </c>
      <c r="C52" s="41">
        <f>C18</f>
        <v>5</v>
      </c>
      <c r="D52" s="41">
        <f>D15/D51</f>
        <v>125</v>
      </c>
      <c r="E52" s="41">
        <f>E18*E19</f>
        <v>50</v>
      </c>
    </row>
    <row r="53" spans="2:8" x14ac:dyDescent="0.35">
      <c r="B53" s="12" t="s">
        <v>67</v>
      </c>
      <c r="C53" s="47">
        <v>-200</v>
      </c>
      <c r="D53" s="47">
        <v>-200</v>
      </c>
      <c r="E53" s="47">
        <v>-200</v>
      </c>
    </row>
    <row r="54" spans="2:8" x14ac:dyDescent="0.35">
      <c r="B54" s="12" t="s">
        <v>68</v>
      </c>
      <c r="C54" s="48">
        <v>10</v>
      </c>
      <c r="D54" s="48">
        <v>10</v>
      </c>
      <c r="E54" s="48">
        <v>5</v>
      </c>
    </row>
    <row r="55" spans="2:8" x14ac:dyDescent="0.35">
      <c r="B55" s="12"/>
      <c r="C55" s="41"/>
      <c r="D55" s="41"/>
      <c r="E55" s="41"/>
    </row>
    <row r="56" spans="2:8" x14ac:dyDescent="0.35">
      <c r="B56" s="23" t="s">
        <v>69</v>
      </c>
      <c r="C56" s="49">
        <f>C53*C52/C54</f>
        <v>-100</v>
      </c>
      <c r="D56" s="49">
        <f>D53*D52/D54</f>
        <v>-2500</v>
      </c>
      <c r="E56" s="49">
        <f>E53*E52/E54</f>
        <v>-2000</v>
      </c>
    </row>
    <row r="57" spans="2:8" x14ac:dyDescent="0.35">
      <c r="B57" s="12"/>
      <c r="C57" s="41"/>
      <c r="D57" s="41"/>
      <c r="E57" s="41"/>
    </row>
    <row r="58" spans="2:8" x14ac:dyDescent="0.35">
      <c r="B58" s="19" t="s">
        <v>70</v>
      </c>
      <c r="C58" s="41"/>
      <c r="D58" s="41"/>
      <c r="E58" s="41"/>
    </row>
    <row r="59" spans="2:8" x14ac:dyDescent="0.35">
      <c r="B59" s="19"/>
      <c r="C59" s="41"/>
      <c r="D59" s="41"/>
      <c r="E59" s="41"/>
    </row>
    <row r="60" spans="2:8" x14ac:dyDescent="0.35">
      <c r="B60" s="25" t="s">
        <v>71</v>
      </c>
      <c r="C60" s="48">
        <v>10</v>
      </c>
      <c r="D60" s="48">
        <v>1</v>
      </c>
      <c r="E60" s="48">
        <v>10</v>
      </c>
    </row>
    <row r="61" spans="2:8" x14ac:dyDescent="0.35">
      <c r="B61" s="25" t="s">
        <v>72</v>
      </c>
      <c r="C61" s="41">
        <f>IF(C9/C60&gt;=1, C9/C60, "Cannot be supported by DBE")</f>
        <v>1</v>
      </c>
      <c r="D61" s="41">
        <f>IF(D9/D60&gt;=1, D9/D60, "Cannot be supported by DBE")</f>
        <v>10</v>
      </c>
      <c r="E61" s="41">
        <f>IF(E9/E60&gt;=1, E9/E60, "Cannot be supported by DBE")</f>
        <v>1</v>
      </c>
    </row>
    <row r="62" spans="2:8" x14ac:dyDescent="0.35">
      <c r="B62" s="25" t="s">
        <v>73</v>
      </c>
      <c r="C62" s="41">
        <f>ROUNDUP(C52/C61,0)</f>
        <v>5</v>
      </c>
      <c r="D62" s="41">
        <f>ROUNDUP(D52/D61,0)</f>
        <v>13</v>
      </c>
      <c r="E62" s="41">
        <f>ROUNDUP(E52/E61,0)</f>
        <v>50</v>
      </c>
    </row>
    <row r="63" spans="2:8" x14ac:dyDescent="0.35">
      <c r="B63" s="25" t="s">
        <v>74</v>
      </c>
      <c r="C63" s="50">
        <f>-700*12</f>
        <v>-8400</v>
      </c>
      <c r="D63" s="50">
        <f>-700*12</f>
        <v>-8400</v>
      </c>
      <c r="E63" s="50">
        <f>-700*12</f>
        <v>-8400</v>
      </c>
    </row>
    <row r="64" spans="2:8" x14ac:dyDescent="0.35">
      <c r="B64" s="27"/>
      <c r="C64" s="36"/>
      <c r="D64" s="36"/>
      <c r="E64" s="36"/>
    </row>
    <row r="65" spans="2:5" x14ac:dyDescent="0.35">
      <c r="B65" s="28" t="s">
        <v>75</v>
      </c>
      <c r="C65" s="50">
        <f>C63*C62</f>
        <v>-42000</v>
      </c>
      <c r="D65" s="50">
        <f>D63*D62</f>
        <v>-109200</v>
      </c>
      <c r="E65" s="50">
        <f>E63*E62</f>
        <v>-420000</v>
      </c>
    </row>
    <row r="66" spans="2:5" x14ac:dyDescent="0.35">
      <c r="B66" s="12"/>
      <c r="C66" s="39"/>
      <c r="D66" s="39"/>
      <c r="E66" s="39"/>
    </row>
    <row r="67" spans="2:5" x14ac:dyDescent="0.35">
      <c r="B67" s="23" t="s">
        <v>76</v>
      </c>
      <c r="C67" s="49">
        <f>C65+C56</f>
        <v>-42100</v>
      </c>
      <c r="D67" s="49">
        <f>D65+D56</f>
        <v>-111700</v>
      </c>
      <c r="E67" s="49">
        <f>E65+E56</f>
        <v>-422000</v>
      </c>
    </row>
    <row r="68" spans="2:5" x14ac:dyDescent="0.35">
      <c r="B68" s="12"/>
      <c r="C68" s="41"/>
      <c r="D68" s="41"/>
      <c r="E68" s="41"/>
    </row>
    <row r="69" spans="2:5" ht="15" thickBot="1" x14ac:dyDescent="0.4">
      <c r="B69" s="12"/>
      <c r="C69" s="39"/>
      <c r="D69" s="39"/>
      <c r="E69" s="39"/>
    </row>
    <row r="70" spans="2:5" x14ac:dyDescent="0.35">
      <c r="B70" s="67" t="s">
        <v>120</v>
      </c>
      <c r="C70" s="29">
        <f>C67+C47</f>
        <v>71175</v>
      </c>
      <c r="D70" s="29">
        <f>D67+D47</f>
        <v>79400</v>
      </c>
      <c r="E70" s="29">
        <f>E67+E47</f>
        <v>1078000</v>
      </c>
    </row>
    <row r="71" spans="2:5" ht="15" thickBot="1" x14ac:dyDescent="0.4">
      <c r="B71" s="69" t="s">
        <v>78</v>
      </c>
      <c r="C71" s="78">
        <f>-C70/C67</f>
        <v>1.6906175771971497</v>
      </c>
      <c r="D71" s="78">
        <f>-D70/D67</f>
        <v>0.71083258728737686</v>
      </c>
      <c r="E71" s="78">
        <f>-E70/E67</f>
        <v>2.5545023696682465</v>
      </c>
    </row>
  </sheetData>
  <conditionalFormatting sqref="C71">
    <cfRule type="cellIs" dxfId="11" priority="15" operator="lessThan">
      <formula>0</formula>
    </cfRule>
    <cfRule type="cellIs" dxfId="10" priority="16" operator="greaterThan">
      <formula>0</formula>
    </cfRule>
  </conditionalFormatting>
  <conditionalFormatting sqref="C70">
    <cfRule type="cellIs" dxfId="9" priority="13" operator="lessThan">
      <formula>0</formula>
    </cfRule>
    <cfRule type="cellIs" dxfId="8" priority="14" operator="greaterThan">
      <formula>0</formula>
    </cfRule>
  </conditionalFormatting>
  <conditionalFormatting sqref="D71">
    <cfRule type="cellIs" dxfId="7" priority="7" operator="lessThan">
      <formula>0</formula>
    </cfRule>
    <cfRule type="cellIs" dxfId="6" priority="8" operator="greaterThan">
      <formula>0</formula>
    </cfRule>
  </conditionalFormatting>
  <conditionalFormatting sqref="D70">
    <cfRule type="cellIs" dxfId="5" priority="5" operator="lessThan">
      <formula>0</formula>
    </cfRule>
    <cfRule type="cellIs" dxfId="4" priority="6" operator="greaterThan">
      <formula>0</formula>
    </cfRule>
  </conditionalFormatting>
  <conditionalFormatting sqref="E71">
    <cfRule type="cellIs" dxfId="3" priority="3" operator="lessThan">
      <formula>0</formula>
    </cfRule>
    <cfRule type="cellIs" dxfId="2" priority="4" operator="greaterThan">
      <formula>0</formula>
    </cfRule>
  </conditionalFormatting>
  <conditionalFormatting sqref="E70">
    <cfRule type="cellIs" dxfId="1" priority="1" operator="lessThan">
      <formula>0</formula>
    </cfRule>
    <cfRule type="cellIs" dxfId="0" priority="2" operator="greaterThan">
      <formula>0</formula>
    </cfRule>
  </conditionalFormatting>
  <hyperlinks>
    <hyperlink ref="G12" r:id="rId1" display="https://www.mckinsey.com/~/media/McKinsey/Industries/Semiconductors/Our Insights/Smartening up with artificial intelligence/Smartening-up-with-artificial-intelligence.ashx" xr:uid="{FAC3A49A-CEBC-4B9E-93DA-C96524246431}"/>
    <hyperlink ref="G22" r:id="rId2" display="https://www.youtube.com/watch?v=KLnqPuR3nWI&amp;feature=youtu.be" xr:uid="{758823DF-907F-4F29-83E8-DE4302B39E3A}"/>
    <hyperlink ref="G23" r:id="rId3" xr:uid="{D176ED3F-F3EB-48FE-B329-B9F0349ADCA4}"/>
    <hyperlink ref="G14" r:id="rId4" xr:uid="{3FDD7BF5-A58B-43D4-85DD-56CA63B0CBC2}"/>
    <hyperlink ref="G25" r:id="rId5" xr:uid="{285617ED-84C1-41DC-B809-63DB96C0E9B9}"/>
    <hyperlink ref="G16" r:id="rId6" xr:uid="{A9960C6B-842D-487A-82F3-EA41041C316E}"/>
    <hyperlink ref="G27" r:id="rId7" xr:uid="{1F3F96A4-1ABB-47F9-946A-952C1C071C27}"/>
    <hyperlink ref="G28" r:id="rId8" xr:uid="{7757D8FF-871A-4F58-9CA4-29FFF8F0A4CC}"/>
  </hyperlinks>
  <pageMargins left="0.7" right="0.7" top="0.75" bottom="0.75" header="0.3" footer="0.3"/>
  <pageSetup orientation="portrait" horizontalDpi="300" verticalDpi="300"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Retail</vt:lpstr>
      <vt:lpstr>Healthcare</vt:lpstr>
      <vt:lpstr>Manufacturing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KAUSHAL JAIN</dc:creator>
  <cp:keywords/>
  <dc:description/>
  <cp:lastModifiedBy>KAUSHAL JAIN</cp:lastModifiedBy>
  <cp:revision/>
  <dcterms:created xsi:type="dcterms:W3CDTF">2019-07-09T01:27:59Z</dcterms:created>
  <dcterms:modified xsi:type="dcterms:W3CDTF">2019-08-01T18:56:38Z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867195-f2b8-4ac2-b0b6-6bb73cb33afc_Enabled">
    <vt:lpwstr>True</vt:lpwstr>
  </property>
  <property fmtid="{D5CDD505-2E9C-101B-9397-08002B2CF9AE}" pid="3" name="MSIP_Label_87867195-f2b8-4ac2-b0b6-6bb73cb33afc_SiteId">
    <vt:lpwstr>72f988bf-86f1-41af-91ab-2d7cd011db47</vt:lpwstr>
  </property>
  <property fmtid="{D5CDD505-2E9C-101B-9397-08002B2CF9AE}" pid="4" name="MSIP_Label_87867195-f2b8-4ac2-b0b6-6bb73cb33afc_Owner">
    <vt:lpwstr>t-kajai@microsoft.com</vt:lpwstr>
  </property>
  <property fmtid="{D5CDD505-2E9C-101B-9397-08002B2CF9AE}" pid="5" name="MSIP_Label_87867195-f2b8-4ac2-b0b6-6bb73cb33afc_SetDate">
    <vt:lpwstr>2019-08-01T18:26:43.5531534Z</vt:lpwstr>
  </property>
  <property fmtid="{D5CDD505-2E9C-101B-9397-08002B2CF9AE}" pid="6" name="MSIP_Label_87867195-f2b8-4ac2-b0b6-6bb73cb33afc_Name">
    <vt:lpwstr>Public</vt:lpwstr>
  </property>
  <property fmtid="{D5CDD505-2E9C-101B-9397-08002B2CF9AE}" pid="7" name="MSIP_Label_87867195-f2b8-4ac2-b0b6-6bb73cb33afc_Application">
    <vt:lpwstr>Microsoft Azure Information Protection</vt:lpwstr>
  </property>
  <property fmtid="{D5CDD505-2E9C-101B-9397-08002B2CF9AE}" pid="8" name="MSIP_Label_87867195-f2b8-4ac2-b0b6-6bb73cb33afc_ActionId">
    <vt:lpwstr>14a3d1ab-fdbb-461b-86fc-5e1860f413bb</vt:lpwstr>
  </property>
  <property fmtid="{D5CDD505-2E9C-101B-9397-08002B2CF9AE}" pid="9" name="MSIP_Label_87867195-f2b8-4ac2-b0b6-6bb73cb33afc_Extended_MSFT_Method">
    <vt:lpwstr>Manual</vt:lpwstr>
  </property>
  <property fmtid="{D5CDD505-2E9C-101B-9397-08002B2CF9AE}" pid="10" name="Sensitivity">
    <vt:lpwstr>Public</vt:lpwstr>
  </property>
</Properties>
</file>