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t-kajai\Downloads\"/>
    </mc:Choice>
  </mc:AlternateContent>
  <xr:revisionPtr revIDLastSave="0" documentId="13_ncr:101_{A1E15AF6-B526-4C53-B5BF-070D5891379E}" xr6:coauthVersionLast="43" xr6:coauthVersionMax="44" xr10:uidLastSave="{00000000-0000-0000-0000-000000000000}"/>
  <bookViews>
    <workbookView xWindow="-110" yWindow="-110" windowWidth="25820" windowHeight="14020" activeTab="1" xr2:uid="{3DECAA21-7DAB-4FE9-B6DA-7A17C2F678ED}"/>
  </bookViews>
  <sheets>
    <sheet name="Readme" sheetId="6" r:id="rId1"/>
    <sheet name="Manufacturing" sheetId="5" r:id="rId2"/>
    <sheet name="Retail" sheetId="1" r:id="rId3"/>
    <sheet name="Healthcare"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5" l="1"/>
  <c r="D47" i="1"/>
  <c r="E47" i="1"/>
  <c r="F47" i="1"/>
  <c r="C47" i="1"/>
  <c r="F16" i="1"/>
  <c r="E16" i="1"/>
  <c r="D16" i="1"/>
  <c r="E21" i="1"/>
  <c r="F21" i="1" s="1"/>
  <c r="D21" i="1"/>
  <c r="E53" i="5" l="1"/>
  <c r="E57" i="5"/>
  <c r="E48" i="5"/>
  <c r="D48" i="5"/>
  <c r="C48" i="5"/>
  <c r="C71" i="5" s="1"/>
  <c r="C72" i="5" s="1"/>
  <c r="E46" i="5"/>
  <c r="D40" i="5"/>
  <c r="D53" i="5"/>
  <c r="D57" i="5"/>
  <c r="E64" i="5"/>
  <c r="E62" i="5"/>
  <c r="D64" i="5"/>
  <c r="D62" i="5"/>
  <c r="D63" i="5"/>
  <c r="D66" i="5"/>
  <c r="D68" i="5"/>
  <c r="D71" i="5"/>
  <c r="D72" i="5"/>
  <c r="E63" i="5"/>
  <c r="E66" i="5"/>
  <c r="E68" i="5"/>
  <c r="E71" i="5"/>
  <c r="E72" i="5"/>
  <c r="C35" i="5"/>
  <c r="C38" i="5"/>
  <c r="C39" i="5"/>
  <c r="C23" i="5"/>
  <c r="C53" i="5"/>
  <c r="C64" i="5"/>
  <c r="C62" i="5"/>
  <c r="C63" i="5"/>
  <c r="C66" i="5"/>
  <c r="C57" i="5"/>
  <c r="D33" i="4"/>
  <c r="C48" i="4"/>
  <c r="D48" i="4"/>
  <c r="D13" i="4"/>
  <c r="C37" i="4"/>
  <c r="C38" i="4"/>
  <c r="C44" i="4"/>
  <c r="D16" i="4"/>
  <c r="D17" i="4"/>
  <c r="C21" i="1"/>
  <c r="D59" i="4"/>
  <c r="C59" i="4"/>
  <c r="D57" i="4"/>
  <c r="C57" i="4"/>
  <c r="E18" i="1"/>
  <c r="F57" i="1"/>
  <c r="D65" i="1"/>
  <c r="D67" i="1"/>
  <c r="F65" i="1"/>
  <c r="F67" i="1"/>
  <c r="E65" i="1"/>
  <c r="E67" i="1"/>
  <c r="E57" i="1"/>
  <c r="C51" i="1"/>
  <c r="C54" i="1"/>
  <c r="C55" i="1"/>
  <c r="C65" i="1"/>
  <c r="C67" i="1"/>
  <c r="C26" i="1"/>
  <c r="C34" i="1"/>
  <c r="F34" i="1"/>
  <c r="F37" i="1"/>
  <c r="H14" i="1"/>
  <c r="H13" i="1"/>
  <c r="G13" i="1"/>
  <c r="C68" i="5"/>
  <c r="C58" i="4"/>
  <c r="D34" i="4"/>
  <c r="D44" i="4"/>
  <c r="D58" i="4"/>
  <c r="D52" i="4"/>
  <c r="C52" i="4"/>
  <c r="D34" i="1"/>
  <c r="D37" i="1"/>
  <c r="E51" i="1"/>
  <c r="E54" i="1"/>
  <c r="E60" i="1"/>
  <c r="D51" i="1"/>
  <c r="C36" i="1"/>
  <c r="C30" i="1"/>
  <c r="E34" i="1"/>
  <c r="C66" i="1"/>
  <c r="C69" i="1"/>
  <c r="C60" i="1"/>
  <c r="C56" i="1"/>
  <c r="D61" i="4"/>
  <c r="D63" i="4"/>
  <c r="D66" i="4"/>
  <c r="C61" i="4"/>
  <c r="D54" i="1"/>
  <c r="F51" i="1"/>
  <c r="F54" i="1"/>
  <c r="E66" i="1"/>
  <c r="E69" i="1"/>
  <c r="E71" i="1"/>
  <c r="E55" i="1"/>
  <c r="E56" i="1"/>
  <c r="E41" i="1"/>
  <c r="E37" i="1"/>
  <c r="C71" i="1"/>
  <c r="C74" i="1"/>
  <c r="C63" i="4"/>
  <c r="C66" i="4"/>
  <c r="D67" i="4"/>
  <c r="E74" i="1"/>
  <c r="E75" i="1" s="1"/>
  <c r="F55" i="1"/>
  <c r="F60" i="1"/>
  <c r="F66" i="1"/>
  <c r="F69" i="1"/>
  <c r="F71" i="1"/>
  <c r="F74" i="1"/>
  <c r="F56" i="1"/>
  <c r="D55" i="1"/>
  <c r="D56" i="1"/>
  <c r="D66" i="1"/>
  <c r="D69" i="1"/>
  <c r="D60" i="1"/>
  <c r="C75" i="1"/>
  <c r="C67" i="4"/>
  <c r="D71" i="1"/>
  <c r="D74" i="1"/>
  <c r="D76" i="1" l="1"/>
  <c r="D77" i="1"/>
  <c r="E76" i="1"/>
  <c r="E77" i="1"/>
  <c r="F76" i="1"/>
  <c r="F77" i="1"/>
  <c r="D75" i="1"/>
  <c r="F75" i="1"/>
  <c r="C76" i="1"/>
  <c r="C77" i="1"/>
</calcChain>
</file>

<file path=xl/sharedStrings.xml><?xml version="1.0" encoding="utf-8"?>
<sst xmlns="http://schemas.openxmlformats.org/spreadsheetml/2006/main" count="264" uniqueCount="206">
  <si>
    <t>MANUFACTURING Scenarios: Cost Benefit Analysis for customers</t>
  </si>
  <si>
    <t>Input from the customer</t>
  </si>
  <si>
    <t>Input Recommendations from Microsoft</t>
  </si>
  <si>
    <t>Scenario</t>
  </si>
  <si>
    <t>Automated Quality Testing</t>
  </si>
  <si>
    <t>Geofencing: Safety</t>
  </si>
  <si>
    <t>Unplanned Downtime Reduction</t>
  </si>
  <si>
    <t>Source</t>
  </si>
  <si>
    <t>Comments</t>
  </si>
  <si>
    <t>Model</t>
  </si>
  <si>
    <t>SSD-VGG, others</t>
  </si>
  <si>
    <t>MPII, SSD-VGG</t>
  </si>
  <si>
    <t>DBE Frame Rate for 1 camera (fps)</t>
  </si>
  <si>
    <t>Manufacturing Line Error Detection: Potential Losses include shutting down lines, waste of raw materials due to late detection</t>
  </si>
  <si>
    <t>For Geofencing Safety scenario, use the security cameras to auto detect safety issues: Reduce the cost of injuries, insurance play here</t>
  </si>
  <si>
    <t>Assumptions</t>
  </si>
  <si>
    <t>Benefits: Labor cost / Expensive equipment cost reduction, Quality Inspection Accuracy Introduction -&gt; Less wastage, high throughput -&gt; low inventory holding costs</t>
  </si>
  <si>
    <t>https://www.mckinsey.com/~/media/McKinsey/Industries/Semiconductors/Our%20Insights/Smartening%20up%20with%20artificial%20intelligence/Smartening-up-with-artificial-intelligence.ashx</t>
  </si>
  <si>
    <t>AI-based visual inspection based on image recognition may increase defect detection rates by up to 90% as compared to human inspection</t>
  </si>
  <si>
    <t>Manufacturing Operations costs per year ($million)</t>
  </si>
  <si>
    <t>Raw Material Costs (% of Operational Costs)</t>
  </si>
  <si>
    <t>https://marketrealist.com/2015/02/raw-materials-biggest-cost-driver-auto-industry/, The ASQ Quality Improvement Pocket Guide, 2013</t>
  </si>
  <si>
    <t>“Many organizations will have true quality-related costs as high as 15 to 20 percent of sales revenue, some going as high as 40 percent of total operations. A general rule of thumb is that costs of poor quality in a thriving company  will be about 10 to 15 percent of operations</t>
  </si>
  <si>
    <t>Manufacturing facility floor area (sq ft)</t>
  </si>
  <si>
    <t>Manufacturing facility number of workers</t>
  </si>
  <si>
    <t>https://www.planning.org/pas/reports/report111.htm</t>
  </si>
  <si>
    <t>assumption is anywhere from 3 to 600 workers in a manufacturing facility</t>
  </si>
  <si>
    <t>Overall Defect Rate / Waste rate</t>
  </si>
  <si>
    <t>Cameras needed per line</t>
  </si>
  <si>
    <t>Assume a car paint inspection case to analyze through 5 angles</t>
  </si>
  <si>
    <t>For Line fault detection, assume a thermal sensor and 4 cameras for objects causing unplanned downtime (could be orientation check, angle check etc.)</t>
  </si>
  <si>
    <t>Number of Assembly Lines per facility</t>
  </si>
  <si>
    <t>Assume we have multiple similar assembly lines for making products.</t>
  </si>
  <si>
    <t>Labor cost (hourly) for paint inspection</t>
  </si>
  <si>
    <t>Active hours for manufacturing line per week</t>
  </si>
  <si>
    <t>Potential reduction in defect rate (increase in detection accuracy)</t>
  </si>
  <si>
    <t>IBM Visual Inspection example</t>
  </si>
  <si>
    <t xml:space="preserve">By using a visual inspection solution, factories can conduct visual analytics, identify defects faster, and reduce defects in the painting process by up to 10%. </t>
  </si>
  <si>
    <t>Inventory Carrying Costs (% of Operating Costs)</t>
  </si>
  <si>
    <t>https://www.supplychainconsortium.com/Leadership-Forum/2010/GetPresentation/D1-Supply-Chain-Cost-Measures</t>
  </si>
  <si>
    <t>2.5% is the average manufacturing inventory carrying cost as a proportion of revenue. Assume operation costs are 80% of revenue (Generally true for automobile companies)</t>
  </si>
  <si>
    <t>Average Unplanned Downtime Hours per year</t>
  </si>
  <si>
    <t>Cost of Downtime (per hour)</t>
  </si>
  <si>
    <t>https://lp.servicemax.com/Vanson-Bourne-Whitepaper-Unplanned-Downtime-LP.html?utm_source=blog&amp;utm_campaign=vansonbourne2017</t>
  </si>
  <si>
    <t>Downtime Reduction Potential</t>
  </si>
  <si>
    <t>Assumption</t>
  </si>
  <si>
    <t>Cost per medically consulted injury</t>
  </si>
  <si>
    <t>https://injuryfacts.nsc.org/work/costs/work-injury-costs/</t>
  </si>
  <si>
    <t>Cost of medically consulted injury: $39k, cost per worker to offset the injury: $1.1k</t>
  </si>
  <si>
    <t>Rate of Injuries per year</t>
  </si>
  <si>
    <t>https://injuryfacts.nsc.org/work/industry-incidence-rates/work-related-incident-rate-trends/</t>
  </si>
  <si>
    <t>Manufacturing injury rates are 3.5% in 2017</t>
  </si>
  <si>
    <t>Injuries prevented by deploying solution</t>
  </si>
  <si>
    <t>Potential Cost Savings per facility incurred by deploying the solution</t>
  </si>
  <si>
    <t>Raw Material Costs Saved</t>
  </si>
  <si>
    <t>Cost savings by reducing defect rate</t>
  </si>
  <si>
    <t>Labor Impact</t>
  </si>
  <si>
    <t>Labor Hours Saved Annually</t>
  </si>
  <si>
    <t>Labor Cost Reduction</t>
  </si>
  <si>
    <t>Costs Saved by Injury Prevention</t>
  </si>
  <si>
    <t>Could also be thought of as reduction to insurance costs due to the availability of data. Either ways, the bottom line impact will be similar</t>
  </si>
  <si>
    <t>Inventory Holding Costs</t>
  </si>
  <si>
    <t>Savings in Inventory Holding Costs</t>
  </si>
  <si>
    <t>Downtime Reduction</t>
  </si>
  <si>
    <t>Savings due to reduction in Downtime</t>
  </si>
  <si>
    <t>Bottomline Gains per facility ($)</t>
  </si>
  <si>
    <t>Camera Cost Considerations</t>
  </si>
  <si>
    <t>Area covered by a camera (sq ft)</t>
  </si>
  <si>
    <t>Cameras required per facility</t>
  </si>
  <si>
    <t>Cost per camera (and wiring) ($)</t>
  </si>
  <si>
    <t>Life Cycle of Camera (years)</t>
  </si>
  <si>
    <t>Total Cost of Cameras per year ($)</t>
  </si>
  <si>
    <t>DBE Cost Considerations</t>
  </si>
  <si>
    <t>Frame Rate Needed (inference per seconds)</t>
  </si>
  <si>
    <t>Cameras per DBE</t>
  </si>
  <si>
    <t>Number of DBEs needed</t>
  </si>
  <si>
    <t>Cost of one DBE per year ($)</t>
  </si>
  <si>
    <t>Total Annual Cost of DBEs</t>
  </si>
  <si>
    <t>Total Cost per year ($)</t>
  </si>
  <si>
    <t>Net Bottomline impact using DBE per hospital</t>
  </si>
  <si>
    <t>ROI (%)</t>
  </si>
  <si>
    <t>RETAIL Scenarios: Cost Benefit Analysis for customers</t>
  </si>
  <si>
    <t>Shrinkage / Theft</t>
  </si>
  <si>
    <t>Out of Stock alert</t>
  </si>
  <si>
    <t>Cashierless checkout</t>
  </si>
  <si>
    <t>Video Ads</t>
  </si>
  <si>
    <t>2019 Global Loss ($billion)</t>
  </si>
  <si>
    <t>US Loss ($billion)</t>
  </si>
  <si>
    <t>SSD-VGG</t>
  </si>
  <si>
    <t>% of Sales</t>
  </si>
  <si>
    <t>Average Shrinkage</t>
  </si>
  <si>
    <t>2017 NRSS Survey for US or Global GRTB for Retail as a whole</t>
  </si>
  <si>
    <t>Assume 6.9% CAGR for Retail Industry, used the GTB survey report $123.39B lost in 2014</t>
  </si>
  <si>
    <t>Out of Stock Sales Loss (Grocery / Supermarkets)</t>
  </si>
  <si>
    <t>Microsoft Library</t>
  </si>
  <si>
    <t>North America Numbers : $129.5B in 2015</t>
  </si>
  <si>
    <t>Out of Stock Sales Loss (Global Retail)</t>
  </si>
  <si>
    <t>Average Margins</t>
  </si>
  <si>
    <t>https://www.investopedia.com/ask/answers/071615/what-profit-margin-usual-company-retail-sector.asp</t>
  </si>
  <si>
    <t>Expected Revenue Increase after deploying scenario</t>
  </si>
  <si>
    <t>https://www.retailtouchpoints.com/features/special-reports/retailers-embrace-personalization-to-ramp-up-content-investments</t>
  </si>
  <si>
    <t>Automated checxkout stores bring 50% more revenue than typical convenience stroes (RBC capital markets), but set up costs are $1M, taking a conservative estimate here</t>
  </si>
  <si>
    <t>Cashier salaries (% of sales)</t>
  </si>
  <si>
    <t>https://www.salary.com/research/salary/benchmark/retail-cashier-full-time-hourly-wages, FMI.org,</t>
  </si>
  <si>
    <t>Sales per labor hour = $150 in 2017. Assume Labor Cost = $12.5 per hour</t>
  </si>
  <si>
    <t>Expected Reduction in Cashier Costs</t>
  </si>
  <si>
    <t>Assume only 15% of cashiers would be needed to assist customers. Based on anecdotal estimates.</t>
  </si>
  <si>
    <t>Expected Reduction in Theft Loss</t>
  </si>
  <si>
    <t>Total Retail Stores to deploly the technology</t>
  </si>
  <si>
    <t>60% of customers will buy a product if shown video ads for it</t>
  </si>
  <si>
    <t>Number of Supermarkets (2018)</t>
  </si>
  <si>
    <t>https://www.fmi.org/our-research/supermarket-facts</t>
  </si>
  <si>
    <t>*$2M or more in annual sales</t>
  </si>
  <si>
    <t>Total Supermarket Sales (2018) $billion</t>
  </si>
  <si>
    <t>Median Store Size (2016) in sq ft</t>
  </si>
  <si>
    <t>Annual Sales per supermarket ($million)</t>
  </si>
  <si>
    <t>Selling Area of a store (shelves, cashiers etc.)</t>
  </si>
  <si>
    <t>Triangulation of different numbers from www.fmi.org (sales per sq. foot of selling area, sales, total store area). Other is warehouse / unused areas</t>
  </si>
  <si>
    <t>Annual Sales per sq ft of selling area ($)</t>
  </si>
  <si>
    <t>Potential Sales Impact per store that can be mitigated by the solution</t>
  </si>
  <si>
    <t>Annual Sales per store ($million)</t>
  </si>
  <si>
    <t>Direct Sales Impact</t>
  </si>
  <si>
    <t>Annual Loss ($million)</t>
  </si>
  <si>
    <t>Annual Sales Improvement Potential ($million)</t>
  </si>
  <si>
    <t>Man Hours Saved</t>
  </si>
  <si>
    <t>Labor Cost Reduction ($million)</t>
  </si>
  <si>
    <t>Other Losses / Considerations</t>
  </si>
  <si>
    <t>Analytics on Stored Data</t>
  </si>
  <si>
    <t>Bottomline Gains per store ($)</t>
  </si>
  <si>
    <t>Camera Cost Considerations per store</t>
  </si>
  <si>
    <t>Average Selling area in a store (sqft)</t>
  </si>
  <si>
    <t>Camera coverage required (% of selling area)</t>
  </si>
  <si>
    <t>Area covered by one camera (sqft)</t>
  </si>
  <si>
    <t>https://medium.com/@jinghanhao/the-race-to-cashier-less-check-out-experiences-660e712a9b02</t>
  </si>
  <si>
    <t>Trigo Vision claims their technology works with existing cheap cameras. Every 2000 square feet store would need about 50 cameras. Average Trader Joe store size is 10,000 square feet which translates to 250 cameras.</t>
  </si>
  <si>
    <t>Total Cameras required</t>
  </si>
  <si>
    <t>Total Cameras already available in store</t>
  </si>
  <si>
    <t>Total Cameras needed to purchase</t>
  </si>
  <si>
    <t>Net Bottomline impact using DBE per store</t>
  </si>
  <si>
    <t>Bottomline Impact (%)</t>
  </si>
  <si>
    <t>Increase in profits per store by deploying the solution</t>
  </si>
  <si>
    <t>Total Bottomline impact for the customer</t>
  </si>
  <si>
    <t>HEALTHCARE Scenarios: Cost Benefit Analysis for customers</t>
  </si>
  <si>
    <t>Patient Monitoring</t>
  </si>
  <si>
    <t>Operation Room Effeciency</t>
  </si>
  <si>
    <t>Operating Room Costs per hour</t>
  </si>
  <si>
    <t>https://jamanetwork.com/journals/jamasurgery/fullarticle/2673385</t>
  </si>
  <si>
    <t>Average time for Surgery by Expert Surgeon (min)</t>
  </si>
  <si>
    <t>Average time for Surgery by Amateur Surgeons (min)</t>
  </si>
  <si>
    <t>https://caresyntax.com/news/caresyntax-data-analytics-platform-for-surgery-is-more-than-the-sum-of-its-individual-connections/</t>
  </si>
  <si>
    <t>Data for bariatric surgery</t>
  </si>
  <si>
    <t>Average time for Surgery</t>
  </si>
  <si>
    <t>Potential for reduction of surgery time (%)</t>
  </si>
  <si>
    <t>Average reduction across all surgeries</t>
  </si>
  <si>
    <t>Reduction Potential through Video Analytics</t>
  </si>
  <si>
    <t>Assume that the rest cannot be optimized through video analytics, need experience and other solutions</t>
  </si>
  <si>
    <t>Average surgeries per day per OR</t>
  </si>
  <si>
    <t>https://www.beckersasc.com/lists/100-surgery-center-benchmarks-statistics-to-know.html</t>
  </si>
  <si>
    <t>Number of operating rooms per facility</t>
  </si>
  <si>
    <t>Cameras needed per OR</t>
  </si>
  <si>
    <t>Harvard UG report</t>
  </si>
  <si>
    <t>Cameras needed per patient room</t>
  </si>
  <si>
    <t>Labor cost (hourly) for patient monitoring</t>
  </si>
  <si>
    <t>https://www.cisco.com/c/en/us/products/collateral/physical-security/video-surveillance-manager/white_paper_C11-715263.html</t>
  </si>
  <si>
    <t>Cisco white paper has a sample use case</t>
  </si>
  <si>
    <t>Occupancy in patient rooms</t>
  </si>
  <si>
    <t>Number of rooms in a facility for monitoring</t>
  </si>
  <si>
    <t>Number of rooms that usually need staff to monitor patients round the clock</t>
  </si>
  <si>
    <t>Rooms allocated per staff</t>
  </si>
  <si>
    <t>Reduction in labor for monitoring</t>
  </si>
  <si>
    <t>Assume, you still need rest for responses</t>
  </si>
  <si>
    <t>Operating Cost Impact</t>
  </si>
  <si>
    <t>Operating Hours Saved Annually</t>
  </si>
  <si>
    <t>Operating Room Costs Saved Annually ($million)</t>
  </si>
  <si>
    <t>Patient Lives Saves / Efficiency improvements</t>
  </si>
  <si>
    <t>Inventory Carrying Costs Saved</t>
  </si>
  <si>
    <t>Assume some savings in inventory carrying costs also occurs due to increased productivity</t>
  </si>
  <si>
    <t>To Enable Business Decision Makers across Industries to make informed decisions on the Costs and Benefits for deploying AI Video Intelligence Solutions across various use-case scenarios.</t>
  </si>
  <si>
    <t>1. Business Decision Makers across organizations</t>
  </si>
  <si>
    <t>2. Partners and Vendors developing Solution Accelerators</t>
  </si>
  <si>
    <t>3. Sales Teams pitching the solution accelerator to customers</t>
  </si>
  <si>
    <t>The Busines Impact Assessment Template contains a number of common scenarios where video analytics could create cost savings, revenue increases, and man-hour savings. The tool is based on several assumptions based off public reports and data across industries. These assumptions are highlighted YELLOW in the file and are meant to serve as a reference. However, the users should change the assumptions based on their local data and environment to get the respective costs and benefits by deploying the solutions at their end. The assumptions in ORANGE are typical recommendations from a technology standpoint. These assumptions should be discussed with the Vendor and may need to be updated based on specific deployment conditions. Here's a description of the use-cases.</t>
  </si>
  <si>
    <t>1. Go to the Relevant Industry Tab (Retail / Healthcare / Manufacturing)</t>
  </si>
  <si>
    <t>2. Edit the assumptions in the YELLOW highlighted cells for the use case you are looking at for your environment</t>
  </si>
  <si>
    <t>3. Find the Results (ROI, Impact) in the last couple of rows (Highlighed Green for positive impact, Red for negative impact)</t>
  </si>
  <si>
    <t>4. Use these preliminary insights to understand the tangible impact of deploying Solutions</t>
  </si>
  <si>
    <t>5. Implement the Solution working with the Vendor or Find Alternatives!</t>
  </si>
  <si>
    <t>## Objective:</t>
  </si>
  <si>
    <t xml:space="preserve">## Useful for: </t>
  </si>
  <si>
    <t>Format: Microsoft Excel Workbook</t>
  </si>
  <si>
    <t xml:space="preserve">## Description: </t>
  </si>
  <si>
    <t xml:space="preserve">## General Directions of Use: </t>
  </si>
  <si>
    <t>Currently Supported Industry Verticals: Retail, Healthcare, and Manufacturing</t>
  </si>
  <si>
    <t>## Use-Cases:</t>
  </si>
  <si>
    <t>### Manufacturing:</t>
  </si>
  <si>
    <t>1. Automated Quality Testing: This is to enable Quality Inspection using the solution. This will improve the accuracy and consistency of identifying defective parts on the assembly line. Potential Savings occur by replacing the expensive industry equipment for testing and reducing the labor-hours. Moreover, some parts of the assembly line may become a bottleneck due to slow inspection. A Video Solution Accelerator can speed up the process and improve throughput as well.</t>
  </si>
  <si>
    <t>2. Geofencing: Safety: This is to enable safety of employees working in a factory. The benefits include reduced injuries and medical expenses for corporations. After successful demonstration of injury reductions, organizations can negotiate better deals with insurance agencies and benefit.</t>
  </si>
  <si>
    <t>3. Unplanned Downtime Reduction: Multiple factors can result in unplanned downtime, and several unplanned downtimes result due to visible defects in the assembly line. These could be prevented through Visual Analytics Solutions on Thermal / Depth / RGB cameras. Because an assembly line downtime can be very expensive, deploying this solution can save on a lot of unplanned costs, improving productivity and efficiency</t>
  </si>
  <si>
    <t>### Retail:</t>
  </si>
  <si>
    <t>1. Shrinkage / Theft: This is for preventing thefts out of the retail outlet, and would typically need cameras covering cashier areas, or doors. This could massively reduce the shrinkage, which is a Cost item for retailers. Given thin margins in the retail industry, this could have a huge bottom-line impact.</t>
  </si>
  <si>
    <t>2. Out-of-Stock alert: Out-of-stock'ed shelves can result in up-to 8% of lost sales. This simple situation could be avoided by deploying an intelligent camera that alerts the store employees about out-of-stock items. Can reduce the potential lost sales. You don't really need a very high frame rate here, and hence this solution could be reasonably low-cost.</t>
  </si>
  <si>
    <t>3. Cashierless Checkout: This is an Amazon-Go like experience or the Just Walk Out technology. You would need many cameras operating complex models in real-time for this to work. This would require a significant investment, and many models working together for it to be successful. Would require many iterations and a POC would be a good place to experiment with.</t>
  </si>
  <si>
    <t>4. Video Ads: Contextual ads based on what products customers are interested in exploring can result in higher revenues. Deploying Video Analytics at retail stores to give online-like personalized recommendations can boost sales.</t>
  </si>
  <si>
    <t xml:space="preserve">### Healthcare: </t>
  </si>
  <si>
    <t>1. Patient Monitoring: Monitoring Patients in Intensive Care Units or wards in hospitals often need round-the-clock dedicated staff for monitoring. Automated Patient Monitoring could be enabled through Video Analytics and can help with the staff productivity and reduce patient injuries while in hospitals.</t>
  </si>
  <si>
    <t>2. Operation Room Effeciency: Video Analytics in Operating Rooms can aid the surgeons conduct the surgeries effectively and reduce the surgery time for medium-skilled or new surgeons. Operating Room costs over $2k per hour and reducing the time for an operation can cut down the costs for hospitals.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</si>
</sst>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_)&quot;M&quot;;[Red]\(&quot;$&quot;#,##0.0\)&quot;M&quot;"/>
  </numFmts>
  <fonts count="4"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s>
  <borders count="23">
    <border>
      <left/>
      <right/>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1" fillId="0" borderId="0" xfId="0" applyFont="1"/>
    <xf numFmtId="0" fontId="2" fillId="0" borderId="0" xfId="1"/>
    <xf numFmtId="0" fontId="0" fillId="0" borderId="0" xfId="0" applyNumberFormat="1"/>
    <xf numFmtId="2" fontId="0" fillId="0" borderId="0" xfId="0" applyNumberFormat="1"/>
    <xf numFmtId="6" fontId="0" fillId="0" borderId="0" xfId="0" applyNumberFormat="1"/>
    <xf numFmtId="9" fontId="0" fillId="0" borderId="2" xfId="0" applyNumberFormat="1" applyBorder="1"/>
    <xf numFmtId="6" fontId="0" fillId="0" borderId="1" xfId="0" applyNumberFormat="1" applyBorder="1"/>
    <xf numFmtId="0" fontId="1" fillId="0" borderId="4" xfId="0" applyFont="1" applyBorder="1"/>
    <xf numFmtId="0" fontId="0" fillId="0" borderId="5" xfId="0" applyBorder="1"/>
    <xf numFmtId="0" fontId="1" fillId="0" borderId="6" xfId="0" applyFont="1" applyBorder="1"/>
    <xf numFmtId="0" fontId="0" fillId="0" borderId="7" xfId="0" applyBorder="1"/>
    <xf numFmtId="0" fontId="0" fillId="0" borderId="8" xfId="0" applyBorder="1"/>
    <xf numFmtId="0" fontId="0" fillId="3" borderId="9" xfId="0" applyFill="1" applyBorder="1"/>
    <xf numFmtId="0" fontId="0" fillId="0" borderId="9" xfId="0" applyBorder="1"/>
    <xf numFmtId="9" fontId="0" fillId="2" borderId="9" xfId="0" applyNumberFormat="1" applyFill="1" applyBorder="1"/>
    <xf numFmtId="0" fontId="0" fillId="2" borderId="9" xfId="0" applyFill="1" applyBorder="1"/>
    <xf numFmtId="4" fontId="0" fillId="0" borderId="9" xfId="0" applyNumberFormat="1" applyBorder="1"/>
    <xf numFmtId="1" fontId="0" fillId="0" borderId="9" xfId="0" applyNumberFormat="1" applyBorder="1"/>
    <xf numFmtId="0" fontId="1" fillId="0" borderId="8" xfId="0" applyFont="1" applyBorder="1"/>
    <xf numFmtId="0" fontId="0" fillId="0" borderId="10" xfId="0" applyFont="1" applyBorder="1"/>
    <xf numFmtId="3" fontId="0" fillId="0" borderId="9" xfId="0" applyNumberFormat="1" applyBorder="1"/>
    <xf numFmtId="6" fontId="0" fillId="2" borderId="9" xfId="0" applyNumberFormat="1" applyFill="1" applyBorder="1"/>
    <xf numFmtId="0" fontId="0" fillId="0" borderId="10" xfId="0" applyBorder="1"/>
    <xf numFmtId="6" fontId="0" fillId="0" borderId="11" xfId="0" applyNumberFormat="1" applyBorder="1"/>
    <xf numFmtId="0" fontId="0" fillId="0" borderId="8" xfId="0" applyFont="1" applyBorder="1"/>
    <xf numFmtId="6" fontId="0" fillId="0" borderId="7" xfId="0" applyNumberFormat="1" applyBorder="1"/>
    <xf numFmtId="0" fontId="0" fillId="0" borderId="4" xfId="0" applyBorder="1"/>
    <xf numFmtId="0" fontId="0" fillId="0" borderId="6" xfId="0" applyFont="1" applyBorder="1"/>
    <xf numFmtId="6" fontId="0" fillId="0" borderId="12" xfId="0" applyNumberFormat="1" applyBorder="1"/>
    <xf numFmtId="9" fontId="0" fillId="0" borderId="9" xfId="0" applyNumberFormat="1" applyBorder="1"/>
    <xf numFmtId="1" fontId="0" fillId="0" borderId="5" xfId="0" applyNumberFormat="1" applyBorder="1"/>
    <xf numFmtId="9" fontId="0" fillId="0" borderId="9" xfId="0" applyNumberFormat="1" applyFill="1" applyBorder="1"/>
    <xf numFmtId="9" fontId="0" fillId="4" borderId="9" xfId="0" applyNumberFormat="1" applyFill="1" applyBorder="1"/>
    <xf numFmtId="0" fontId="0" fillId="4" borderId="9" xfId="0" applyFill="1" applyBorder="1"/>
    <xf numFmtId="1" fontId="0" fillId="4" borderId="9" xfId="0" applyNumberFormat="1" applyFill="1" applyBorder="1"/>
    <xf numFmtId="0" fontId="0" fillId="0" borderId="13" xfId="0" applyBorder="1"/>
    <xf numFmtId="0" fontId="0" fillId="0" borderId="14" xfId="0" applyBorder="1"/>
    <xf numFmtId="0" fontId="0" fillId="3" borderId="13" xfId="0" applyFill="1" applyBorder="1"/>
    <xf numFmtId="0" fontId="0" fillId="0" borderId="15" xfId="0" applyBorder="1"/>
    <xf numFmtId="9" fontId="0" fillId="2" borderId="15" xfId="0" applyNumberFormat="1" applyFill="1" applyBorder="1"/>
    <xf numFmtId="1" fontId="0" fillId="0" borderId="15" xfId="0" applyNumberFormat="1" applyBorder="1"/>
    <xf numFmtId="4" fontId="0" fillId="0" borderId="15" xfId="0" applyNumberFormat="1" applyBorder="1"/>
    <xf numFmtId="6" fontId="0" fillId="0" borderId="3" xfId="0" applyNumberFormat="1" applyFont="1" applyBorder="1"/>
    <xf numFmtId="9" fontId="0" fillId="0" borderId="15" xfId="0" applyNumberFormat="1" applyBorder="1"/>
    <xf numFmtId="0" fontId="0" fillId="2" borderId="15" xfId="0" applyFill="1" applyBorder="1"/>
    <xf numFmtId="3" fontId="0" fillId="0" borderId="15" xfId="0" applyNumberFormat="1" applyBorder="1"/>
    <xf numFmtId="6" fontId="0" fillId="2" borderId="15" xfId="0" applyNumberFormat="1" applyFill="1" applyBorder="1"/>
    <xf numFmtId="1" fontId="0" fillId="4" borderId="15" xfId="0" applyNumberFormat="1" applyFill="1" applyBorder="1"/>
    <xf numFmtId="6" fontId="0" fillId="0" borderId="3" xfId="0" applyNumberFormat="1" applyBorder="1"/>
    <xf numFmtId="6" fontId="0" fillId="0" borderId="14" xfId="0" applyNumberFormat="1" applyBorder="1"/>
    <xf numFmtId="4" fontId="0" fillId="4" borderId="9" xfId="0" applyNumberFormat="1" applyFill="1" applyBorder="1"/>
    <xf numFmtId="0" fontId="0" fillId="3" borderId="15" xfId="0" applyFill="1" applyBorder="1"/>
    <xf numFmtId="10" fontId="0" fillId="2" borderId="15" xfId="0" applyNumberFormat="1" applyFill="1" applyBorder="1"/>
    <xf numFmtId="9" fontId="0" fillId="0" borderId="15" xfId="0" applyNumberFormat="1" applyFill="1" applyBorder="1"/>
    <xf numFmtId="0" fontId="0" fillId="0" borderId="15" xfId="0" applyFill="1" applyBorder="1"/>
    <xf numFmtId="1" fontId="0" fillId="0" borderId="15" xfId="0" applyNumberFormat="1" applyFill="1" applyBorder="1"/>
    <xf numFmtId="1" fontId="0" fillId="2" borderId="15" xfId="0" applyNumberFormat="1" applyFill="1" applyBorder="1"/>
    <xf numFmtId="4" fontId="0" fillId="2" borderId="15" xfId="0" applyNumberFormat="1" applyFill="1" applyBorder="1"/>
    <xf numFmtId="1" fontId="0" fillId="0" borderId="13" xfId="0" applyNumberFormat="1" applyBorder="1"/>
    <xf numFmtId="9" fontId="0" fillId="4" borderId="15" xfId="0" applyNumberFormat="1" applyFill="1" applyBorder="1"/>
    <xf numFmtId="0" fontId="0" fillId="4" borderId="15" xfId="0" applyFill="1" applyBorder="1"/>
    <xf numFmtId="4" fontId="0" fillId="4" borderId="15" xfId="0" applyNumberFormat="1" applyFill="1" applyBorder="1"/>
    <xf numFmtId="6" fontId="0" fillId="0" borderId="16" xfId="0" applyNumberFormat="1" applyBorder="1"/>
    <xf numFmtId="164" fontId="0" fillId="0" borderId="17" xfId="0" applyNumberFormat="1" applyBorder="1"/>
    <xf numFmtId="0" fontId="1" fillId="0" borderId="18" xfId="0" applyFont="1" applyBorder="1"/>
    <xf numFmtId="0" fontId="1" fillId="0" borderId="19" xfId="0" applyFont="1" applyBorder="1"/>
    <xf numFmtId="0" fontId="1" fillId="0" borderId="20" xfId="0" applyFont="1" applyBorder="1"/>
    <xf numFmtId="0" fontId="3" fillId="2" borderId="0" xfId="0" applyFont="1" applyFill="1"/>
    <xf numFmtId="0" fontId="3" fillId="4" borderId="0" xfId="0" applyFont="1" applyFill="1"/>
    <xf numFmtId="3" fontId="0" fillId="2" borderId="15" xfId="0" applyNumberFormat="1" applyFill="1" applyBorder="1"/>
    <xf numFmtId="3" fontId="0" fillId="2" borderId="9" xfId="0" applyNumberFormat="1" applyFill="1" applyBorder="1"/>
    <xf numFmtId="3" fontId="0" fillId="0" borderId="9" xfId="0" applyNumberFormat="1" applyFill="1" applyBorder="1"/>
    <xf numFmtId="6" fontId="0" fillId="0" borderId="15" xfId="0" applyNumberFormat="1" applyFill="1" applyBorder="1"/>
    <xf numFmtId="3" fontId="0" fillId="4" borderId="9" xfId="0" applyNumberFormat="1" applyFill="1" applyBorder="1"/>
    <xf numFmtId="6" fontId="0" fillId="0" borderId="21" xfId="0" applyNumberFormat="1" applyBorder="1"/>
    <xf numFmtId="9" fontId="0" fillId="0" borderId="17" xfId="0" applyNumberFormat="1" applyBorder="1"/>
    <xf numFmtId="9" fontId="0" fillId="0" borderId="22" xfId="0" applyNumberFormat="1" applyBorder="1"/>
    <xf numFmtId="6" fontId="0" fillId="0" borderId="15" xfId="0" applyNumberFormat="1" applyBorder="1"/>
    <xf numFmtId="3" fontId="0" fillId="0" borderId="15" xfId="0" applyNumberFormat="1" applyFill="1" applyBorder="1"/>
    <xf numFmtId="0" fontId="0" fillId="0" borderId="0" xfId="0" applyAlignment="1">
      <alignment wrapText="1"/>
    </xf>
    <xf numFmtId="0" fontId="0" fillId="0" borderId="0" xfId="0" applyAlignment="1">
      <alignment horizontal="centerContinuous" vertical="center"/>
    </xf>
    <xf numFmtId="0" fontId="0" fillId="0" borderId="0" xfId="0" applyAlignment="1">
      <alignment horizontal="left" vertical="center" wrapText="1"/>
    </xf>
  </cellXfs>
  <cellStyles count="2">
    <cellStyle name="Hyperlink" xfId="1" builtinId="8"/>
    <cellStyle name="Normal" xfId="0" builtinId="0"/>
  </cellStyles>
  <dxfs count="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njuryfacts.nsc.org/work/industry-incidence-rates/work-related-incident-rate-trends/" TargetMode="External"/><Relationship Id="rId3" Type="http://schemas.openxmlformats.org/officeDocument/2006/relationships/hyperlink" Target="https://www.supplychainconsortium.com/Leadership-Forum/2010/GetPresentation/D1-Supply-Chain-Cost-Measures" TargetMode="External"/><Relationship Id="rId7" Type="http://schemas.openxmlformats.org/officeDocument/2006/relationships/hyperlink" Target="https://injuryfacts.nsc.org/work/costs/work-injury-costs/" TargetMode="External"/><Relationship Id="rId2" Type="http://schemas.openxmlformats.org/officeDocument/2006/relationships/hyperlink" Target="https://www.youtube.com/watch?v=KLnqPuR3nWI&amp;feature=youtu.be" TargetMode="External"/><Relationship Id="rId1" Type="http://schemas.openxmlformats.org/officeDocument/2006/relationships/hyperlink" Target="https://www.mckinsey.com/~/media/McKinsey/Industries/Semiconductors/Our%20Insights/Smartening%20up%20with%20artificial%20intelligence/Smartening-up-with-artificial-intelligence.ashx" TargetMode="External"/><Relationship Id="rId6" Type="http://schemas.openxmlformats.org/officeDocument/2006/relationships/hyperlink" Target="https://www.planning.org/pas/reports/report111.htm" TargetMode="External"/><Relationship Id="rId5" Type="http://schemas.openxmlformats.org/officeDocument/2006/relationships/hyperlink" Target="https://lp.servicemax.com/Vanson-Bourne-Whitepaper-Unplanned-Downtime-LP.html?utm_source=blog&amp;utm_campaign=vansonbourne2017" TargetMode="External"/><Relationship Id="rId4" Type="http://schemas.openxmlformats.org/officeDocument/2006/relationships/hyperlink" Target="https://marketrealist.com/2015/02/raw-materials-biggest-cost-driver-auto-industry/,%20The%20ASQ%20Quality%20Improvement%20Pocket%20Guide,%202013"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alary.com/research/salary/benchmark/retail-cashier-full-time-hourly-wages,%20FMI.org," TargetMode="External"/><Relationship Id="rId3" Type="http://schemas.openxmlformats.org/officeDocument/2006/relationships/hyperlink" Target="https://www.fmi.org/our-research/supermarket-facts" TargetMode="External"/><Relationship Id="rId7" Type="http://schemas.openxmlformats.org/officeDocument/2006/relationships/hyperlink" Target="https://medium.com/@jinghanhao/the-race-to-cashier-less-check-out-experiences-660e712a9b02" TargetMode="External"/><Relationship Id="rId2" Type="http://schemas.openxmlformats.org/officeDocument/2006/relationships/hyperlink" Target="https://www.investopedia.com/ask/answers/071615/what-profit-margin-usual-company-retail-sector.asp" TargetMode="External"/><Relationship Id="rId1" Type="http://schemas.openxmlformats.org/officeDocument/2006/relationships/hyperlink" Target="https://microsoft.sharepoint.com/:w:/r/sites/mslibrary/KeyTopics/_layouts/15/Doc.aspx?sourcedoc=%7B1A990153-89CE-4CD5-89EA-18047FB8C369%7D&amp;file=Shrinkage%20Shelf%20Availability%20%20AI%20-%20Combined.docx&amp;action=default&amp;mobileredirect=true&amp;DefaultItemOpen=1&amp;cid=df245073-58d2-403c-9ce7-59339cdfa189" TargetMode="External"/><Relationship Id="rId6" Type="http://schemas.openxmlformats.org/officeDocument/2006/relationships/hyperlink" Target="https://www.retailtouchpoints.com/features/special-reports/retailers-embrace-personalization-to-ramp-up-content-investments" TargetMode="External"/><Relationship Id="rId5" Type="http://schemas.openxmlformats.org/officeDocument/2006/relationships/hyperlink" Target="https://www.fmi.org/our-research/supermarket-facts" TargetMode="External"/><Relationship Id="rId4" Type="http://schemas.openxmlformats.org/officeDocument/2006/relationships/hyperlink" Target="https://www.fmi.org/our-research/supermarket-fact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eckersasc.com/lists/100-surgery-center-benchmarks-statistics-to-know.html" TargetMode="External"/><Relationship Id="rId2" Type="http://schemas.openxmlformats.org/officeDocument/2006/relationships/hyperlink" Target="https://caresyntax.com/news/caresyntax-data-analytics-platform-for-surgery-is-more-than-the-sum-of-its-individual-connections/" TargetMode="External"/><Relationship Id="rId1" Type="http://schemas.openxmlformats.org/officeDocument/2006/relationships/hyperlink" Target="https://jamanetwork.com/journals/jamasurgery/fullarticle/2673385" TargetMode="External"/><Relationship Id="rId5" Type="http://schemas.openxmlformats.org/officeDocument/2006/relationships/printerSettings" Target="../printerSettings/printerSettings4.bin"/><Relationship Id="rId4" Type="http://schemas.openxmlformats.org/officeDocument/2006/relationships/hyperlink" Target="https://www.cisco.com/c/en/us/products/collateral/physical-security/video-surveillance-manager/white_paper_C11-71526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E09F-D808-4F16-966B-AFAF89B64485}">
  <dimension ref="A2:Z57"/>
  <sheetViews>
    <sheetView showGridLines="0" workbookViewId="0">
      <selection activeCell="B6" sqref="B6"/>
    </sheetView>
  </sheetViews>
  <sheetFormatPr defaultRowHeight="14.5" x14ac:dyDescent="0.35"/>
  <sheetData>
    <row r="2" spans="1:26" x14ac:dyDescent="0.35">
      <c r="A2" s="82"/>
      <c r="B2" s="81"/>
      <c r="C2" s="81"/>
      <c r="D2" s="81"/>
      <c r="E2" s="81"/>
      <c r="F2" s="81"/>
      <c r="G2" s="81"/>
      <c r="H2" s="81"/>
      <c r="I2" s="81"/>
      <c r="J2" s="81"/>
      <c r="K2" s="81"/>
      <c r="L2" s="81"/>
      <c r="M2" s="81"/>
      <c r="N2" s="81"/>
      <c r="O2" s="81"/>
      <c r="P2" s="81"/>
      <c r="Q2" s="81"/>
      <c r="R2" s="81"/>
      <c r="S2" s="81"/>
      <c r="T2" s="81"/>
      <c r="U2" s="81"/>
      <c r="V2" s="81"/>
      <c r="W2" s="81"/>
      <c r="X2" s="81"/>
      <c r="Y2" s="81"/>
      <c r="Z2" s="81"/>
    </row>
    <row r="3" spans="1:26" x14ac:dyDescent="0.35">
      <c r="B3" s="80"/>
    </row>
    <row r="5" spans="1:26" x14ac:dyDescent="0.35">
      <c r="B5" t="s">
        <v>187</v>
      </c>
    </row>
    <row r="7" spans="1:26" x14ac:dyDescent="0.35">
      <c r="B7" t="s">
        <v>177</v>
      </c>
    </row>
    <row r="9" spans="1:26" x14ac:dyDescent="0.35">
      <c r="B9" t="s">
        <v>188</v>
      </c>
    </row>
    <row r="11" spans="1:26" x14ac:dyDescent="0.35">
      <c r="B11" t="s">
        <v>178</v>
      </c>
    </row>
    <row r="12" spans="1:26" x14ac:dyDescent="0.35">
      <c r="B12" t="s">
        <v>179</v>
      </c>
    </row>
    <row r="13" spans="1:26" x14ac:dyDescent="0.35">
      <c r="B13" t="s">
        <v>180</v>
      </c>
    </row>
    <row r="15" spans="1:26" x14ac:dyDescent="0.35">
      <c r="B15" t="s">
        <v>189</v>
      </c>
    </row>
    <row r="17" spans="2:2" x14ac:dyDescent="0.35">
      <c r="B17" t="s">
        <v>190</v>
      </c>
    </row>
    <row r="19" spans="2:2" x14ac:dyDescent="0.35">
      <c r="B19" t="s">
        <v>181</v>
      </c>
    </row>
    <row r="21" spans="2:2" x14ac:dyDescent="0.35">
      <c r="B21" t="s">
        <v>191</v>
      </c>
    </row>
    <row r="23" spans="2:2" x14ac:dyDescent="0.35">
      <c r="B23" t="s">
        <v>182</v>
      </c>
    </row>
    <row r="24" spans="2:2" x14ac:dyDescent="0.35">
      <c r="B24" t="s">
        <v>183</v>
      </c>
    </row>
    <row r="25" spans="2:2" x14ac:dyDescent="0.35">
      <c r="B25" t="s">
        <v>184</v>
      </c>
    </row>
    <row r="26" spans="2:2" x14ac:dyDescent="0.35">
      <c r="B26" t="s">
        <v>185</v>
      </c>
    </row>
    <row r="27" spans="2:2" x14ac:dyDescent="0.35">
      <c r="B27" t="s">
        <v>186</v>
      </c>
    </row>
    <row r="30" spans="2:2" x14ac:dyDescent="0.35">
      <c r="B30" t="s">
        <v>192</v>
      </c>
    </row>
    <row r="32" spans="2:2" x14ac:dyDescent="0.35">
      <c r="B32" t="s">
        <v>193</v>
      </c>
    </row>
    <row r="34" spans="2:2" x14ac:dyDescent="0.35">
      <c r="B34" t="s">
        <v>194</v>
      </c>
    </row>
    <row r="36" spans="2:2" x14ac:dyDescent="0.35">
      <c r="B36" t="s">
        <v>195</v>
      </c>
    </row>
    <row r="38" spans="2:2" x14ac:dyDescent="0.35">
      <c r="B38" t="s">
        <v>196</v>
      </c>
    </row>
    <row r="40" spans="2:2" x14ac:dyDescent="0.35">
      <c r="B40" t="s">
        <v>197</v>
      </c>
    </row>
    <row r="43" spans="2:2" x14ac:dyDescent="0.35">
      <c r="B43" t="s">
        <v>198</v>
      </c>
    </row>
    <row r="45" spans="2:2" x14ac:dyDescent="0.35">
      <c r="B45" t="s">
        <v>199</v>
      </c>
    </row>
    <row r="47" spans="2:2" x14ac:dyDescent="0.35">
      <c r="B47" t="s">
        <v>200</v>
      </c>
    </row>
    <row r="49" spans="2:2" x14ac:dyDescent="0.35">
      <c r="B49" t="s">
        <v>201</v>
      </c>
    </row>
    <row r="51" spans="2:2" x14ac:dyDescent="0.35">
      <c r="B51" t="s">
        <v>202</v>
      </c>
    </row>
    <row r="53" spans="2:2" x14ac:dyDescent="0.35">
      <c r="B53" t="s">
        <v>203</v>
      </c>
    </row>
    <row r="55" spans="2:2" x14ac:dyDescent="0.35">
      <c r="B55" t="s">
        <v>204</v>
      </c>
    </row>
    <row r="57" spans="2:2" x14ac:dyDescent="0.35">
      <c r="B57" t="s">
        <v>205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754F-C2F7-475B-8F81-F2C50B04A513}">
  <dimension ref="B2:I72"/>
  <sheetViews>
    <sheetView showGridLines="0" tabSelected="1" zoomScaleNormal="100" workbookViewId="0">
      <selection activeCell="B12" sqref="B12"/>
    </sheetView>
  </sheetViews>
  <sheetFormatPr defaultRowHeight="14.5" x14ac:dyDescent="0.35"/>
  <cols>
    <col min="1" max="1" width="4.453125" customWidth="1"/>
    <col min="2" max="2" width="58.453125" bestFit="1" customWidth="1"/>
    <col min="3" max="3" width="23.1796875" bestFit="1" customWidth="1"/>
    <col min="4" max="4" width="17.1796875" bestFit="1" customWidth="1"/>
    <col min="5" max="5" width="26.81640625" customWidth="1"/>
    <col min="10" max="10" width="9.453125" bestFit="1" customWidth="1"/>
  </cols>
  <sheetData>
    <row r="2" spans="2:8" x14ac:dyDescent="0.35">
      <c r="B2" s="1" t="s">
        <v>0</v>
      </c>
    </row>
    <row r="3" spans="2:8" x14ac:dyDescent="0.35">
      <c r="B3" s="1"/>
    </row>
    <row r="4" spans="2:8" x14ac:dyDescent="0.35">
      <c r="B4" s="68" t="s">
        <v>1</v>
      </c>
    </row>
    <row r="5" spans="2:8" x14ac:dyDescent="0.35">
      <c r="B5" s="69" t="s">
        <v>2</v>
      </c>
    </row>
    <row r="7" spans="2:8" x14ac:dyDescent="0.35">
      <c r="B7" s="8" t="s">
        <v>3</v>
      </c>
      <c r="C7" s="36" t="s">
        <v>4</v>
      </c>
      <c r="D7" s="36" t="s">
        <v>5</v>
      </c>
      <c r="E7" s="36" t="s">
        <v>6</v>
      </c>
      <c r="G7" t="s">
        <v>7</v>
      </c>
      <c r="H7" t="s">
        <v>8</v>
      </c>
    </row>
    <row r="8" spans="2:8" x14ac:dyDescent="0.35">
      <c r="B8" s="10" t="s">
        <v>9</v>
      </c>
      <c r="C8" s="37" t="s">
        <v>10</v>
      </c>
      <c r="D8" s="37" t="s">
        <v>11</v>
      </c>
      <c r="E8" s="37" t="s">
        <v>10</v>
      </c>
    </row>
    <row r="9" spans="2:8" x14ac:dyDescent="0.35">
      <c r="B9" s="12" t="s">
        <v>12</v>
      </c>
      <c r="C9" s="52">
        <v>10</v>
      </c>
      <c r="D9" s="52">
        <v>10</v>
      </c>
      <c r="E9" s="52">
        <v>10</v>
      </c>
      <c r="H9" t="s">
        <v>13</v>
      </c>
    </row>
    <row r="10" spans="2:8" x14ac:dyDescent="0.35">
      <c r="B10" s="12"/>
      <c r="C10" s="39"/>
      <c r="D10" s="39"/>
      <c r="E10" s="39"/>
      <c r="H10" t="s">
        <v>14</v>
      </c>
    </row>
    <row r="11" spans="2:8" x14ac:dyDescent="0.35">
      <c r="B11" s="12" t="s">
        <v>15</v>
      </c>
      <c r="C11" s="39"/>
      <c r="D11" s="39"/>
      <c r="E11" s="39"/>
      <c r="H11" t="s">
        <v>16</v>
      </c>
    </row>
    <row r="12" spans="2:8" x14ac:dyDescent="0.35">
      <c r="B12" s="12"/>
      <c r="C12" s="39"/>
      <c r="D12" s="39"/>
      <c r="E12" s="55"/>
      <c r="G12" s="2" t="s">
        <v>17</v>
      </c>
      <c r="H12" t="s">
        <v>18</v>
      </c>
    </row>
    <row r="13" spans="2:8" x14ac:dyDescent="0.35">
      <c r="B13" s="12" t="s">
        <v>19</v>
      </c>
      <c r="C13" s="70">
        <v>5</v>
      </c>
      <c r="D13" s="79"/>
      <c r="E13" s="79"/>
    </row>
    <row r="14" spans="2:8" x14ac:dyDescent="0.35">
      <c r="B14" s="12" t="s">
        <v>20</v>
      </c>
      <c r="C14" s="40">
        <v>0.47</v>
      </c>
      <c r="D14" s="54"/>
      <c r="E14" s="54"/>
      <c r="F14" s="4"/>
      <c r="G14" s="2" t="s">
        <v>21</v>
      </c>
      <c r="H14" t="s">
        <v>22</v>
      </c>
    </row>
    <row r="15" spans="2:8" x14ac:dyDescent="0.35">
      <c r="B15" s="12" t="s">
        <v>23</v>
      </c>
      <c r="C15" s="39"/>
      <c r="D15" s="45">
        <v>10000</v>
      </c>
      <c r="E15" s="39"/>
      <c r="F15" s="4"/>
    </row>
    <row r="16" spans="2:8" x14ac:dyDescent="0.35">
      <c r="B16" s="12" t="s">
        <v>24</v>
      </c>
      <c r="C16" s="39"/>
      <c r="D16" s="45">
        <v>200</v>
      </c>
      <c r="E16" s="39"/>
      <c r="F16" s="4"/>
      <c r="G16" s="2" t="s">
        <v>25</v>
      </c>
      <c r="H16" t="s">
        <v>26</v>
      </c>
    </row>
    <row r="17" spans="2:9" x14ac:dyDescent="0.35">
      <c r="B17" s="12" t="s">
        <v>27</v>
      </c>
      <c r="C17" s="40">
        <v>0.15</v>
      </c>
      <c r="D17" s="54"/>
      <c r="E17" s="54"/>
      <c r="F17" s="4"/>
      <c r="G17" s="2"/>
    </row>
    <row r="18" spans="2:9" x14ac:dyDescent="0.35">
      <c r="B18" s="12" t="s">
        <v>28</v>
      </c>
      <c r="C18" s="45">
        <v>5</v>
      </c>
      <c r="D18" s="55"/>
      <c r="E18" s="45">
        <v>5</v>
      </c>
      <c r="F18" s="4"/>
      <c r="G18" s="2"/>
      <c r="H18" t="s">
        <v>29</v>
      </c>
      <c r="I18" t="s">
        <v>30</v>
      </c>
    </row>
    <row r="19" spans="2:9" x14ac:dyDescent="0.35">
      <c r="B19" s="12" t="s">
        <v>31</v>
      </c>
      <c r="C19" s="45"/>
      <c r="D19" s="55"/>
      <c r="E19" s="45">
        <v>10</v>
      </c>
      <c r="F19" s="4"/>
      <c r="G19" s="2"/>
      <c r="H19" t="s">
        <v>32</v>
      </c>
    </row>
    <row r="20" spans="2:9" x14ac:dyDescent="0.35">
      <c r="B20" s="12" t="s">
        <v>33</v>
      </c>
      <c r="C20" s="47">
        <v>15</v>
      </c>
      <c r="D20" s="73"/>
      <c r="E20" s="73"/>
      <c r="F20" s="4"/>
      <c r="G20" s="2"/>
    </row>
    <row r="21" spans="2:9" x14ac:dyDescent="0.35">
      <c r="B21" s="12" t="s">
        <v>34</v>
      </c>
      <c r="C21" s="57">
        <v>80</v>
      </c>
      <c r="D21" s="56"/>
      <c r="E21" s="56"/>
    </row>
    <row r="22" spans="2:9" x14ac:dyDescent="0.35">
      <c r="B22" s="12" t="s">
        <v>35</v>
      </c>
      <c r="C22" s="40">
        <v>0.1</v>
      </c>
      <c r="D22" s="54"/>
      <c r="E22" s="54"/>
      <c r="G22" t="s">
        <v>36</v>
      </c>
      <c r="H22" t="s">
        <v>37</v>
      </c>
    </row>
    <row r="23" spans="2:9" x14ac:dyDescent="0.35">
      <c r="B23" s="12" t="s">
        <v>38</v>
      </c>
      <c r="C23" s="40">
        <f>(2.5/0.8)%</f>
        <v>3.125E-2</v>
      </c>
      <c r="D23" s="54"/>
      <c r="E23" s="54"/>
      <c r="G23" s="2" t="s">
        <v>39</v>
      </c>
      <c r="H23" t="s">
        <v>40</v>
      </c>
    </row>
    <row r="24" spans="2:9" x14ac:dyDescent="0.35">
      <c r="B24" s="12" t="s">
        <v>175</v>
      </c>
      <c r="C24" s="40">
        <v>0.3</v>
      </c>
      <c r="D24" s="54"/>
      <c r="E24" s="54"/>
      <c r="G24" s="2"/>
      <c r="H24" t="s">
        <v>176</v>
      </c>
    </row>
    <row r="25" spans="2:9" x14ac:dyDescent="0.35">
      <c r="B25" s="12" t="s">
        <v>41</v>
      </c>
      <c r="C25" s="54"/>
      <c r="D25" s="54"/>
      <c r="E25" s="70">
        <v>15</v>
      </c>
      <c r="G25" s="2"/>
    </row>
    <row r="26" spans="2:9" x14ac:dyDescent="0.35">
      <c r="B26" s="12" t="s">
        <v>42</v>
      </c>
      <c r="C26" s="54"/>
      <c r="D26" s="54"/>
      <c r="E26" s="47">
        <v>250000</v>
      </c>
      <c r="G26" s="2" t="s">
        <v>43</v>
      </c>
    </row>
    <row r="27" spans="2:9" x14ac:dyDescent="0.35">
      <c r="B27" s="12" t="s">
        <v>44</v>
      </c>
      <c r="C27" s="54"/>
      <c r="D27" s="54"/>
      <c r="E27" s="40">
        <v>0.4</v>
      </c>
      <c r="G27" s="2"/>
      <c r="H27" t="s">
        <v>45</v>
      </c>
    </row>
    <row r="28" spans="2:9" x14ac:dyDescent="0.35">
      <c r="B28" s="12" t="s">
        <v>46</v>
      </c>
      <c r="C28" s="54"/>
      <c r="D28" s="47">
        <v>39000</v>
      </c>
      <c r="E28" s="54"/>
      <c r="G28" s="2" t="s">
        <v>47</v>
      </c>
      <c r="H28" t="s">
        <v>48</v>
      </c>
    </row>
    <row r="29" spans="2:9" x14ac:dyDescent="0.35">
      <c r="B29" s="12" t="s">
        <v>49</v>
      </c>
      <c r="C29" s="54"/>
      <c r="D29" s="53">
        <v>3.5000000000000003E-2</v>
      </c>
      <c r="E29" s="54"/>
      <c r="G29" s="2" t="s">
        <v>50</v>
      </c>
      <c r="H29" t="s">
        <v>51</v>
      </c>
    </row>
    <row r="30" spans="2:9" x14ac:dyDescent="0.35">
      <c r="B30" s="12" t="s">
        <v>52</v>
      </c>
      <c r="C30" s="54"/>
      <c r="D30" s="40">
        <v>0.7</v>
      </c>
      <c r="E30" s="54"/>
      <c r="G30" s="2"/>
      <c r="H30" t="s">
        <v>45</v>
      </c>
    </row>
    <row r="31" spans="2:9" x14ac:dyDescent="0.35">
      <c r="B31" s="12"/>
      <c r="C31" s="41"/>
      <c r="D31" s="41"/>
      <c r="E31" s="78"/>
      <c r="G31" s="2"/>
    </row>
    <row r="32" spans="2:9" x14ac:dyDescent="0.35">
      <c r="B32" s="8" t="s">
        <v>53</v>
      </c>
      <c r="C32" s="59"/>
      <c r="D32" s="59"/>
      <c r="E32" s="59"/>
    </row>
    <row r="33" spans="2:8" x14ac:dyDescent="0.35">
      <c r="B33" s="19"/>
      <c r="C33" s="41"/>
      <c r="D33" s="41"/>
      <c r="E33" s="41"/>
    </row>
    <row r="34" spans="2:8" x14ac:dyDescent="0.35">
      <c r="B34" s="19" t="s">
        <v>54</v>
      </c>
      <c r="C34" s="41"/>
      <c r="D34" s="41"/>
      <c r="E34" s="41"/>
    </row>
    <row r="35" spans="2:8" x14ac:dyDescent="0.35">
      <c r="B35" s="12" t="s">
        <v>55</v>
      </c>
      <c r="C35" s="78">
        <f>C17*C22*C13*C14*10^6</f>
        <v>35250</v>
      </c>
      <c r="D35" s="78"/>
      <c r="E35" s="78"/>
    </row>
    <row r="36" spans="2:8" x14ac:dyDescent="0.35">
      <c r="B36" s="12"/>
      <c r="C36" s="41"/>
      <c r="D36" s="41"/>
      <c r="E36" s="41"/>
    </row>
    <row r="37" spans="2:8" x14ac:dyDescent="0.35">
      <c r="B37" s="19" t="s">
        <v>56</v>
      </c>
      <c r="C37" s="41"/>
      <c r="D37" s="41"/>
      <c r="E37" s="41"/>
    </row>
    <row r="38" spans="2:8" x14ac:dyDescent="0.35">
      <c r="B38" s="12" t="s">
        <v>57</v>
      </c>
      <c r="C38" s="41">
        <f>C21*52</f>
        <v>4160</v>
      </c>
      <c r="D38" s="41"/>
      <c r="E38" s="41"/>
    </row>
    <row r="39" spans="2:8" x14ac:dyDescent="0.35">
      <c r="B39" s="12" t="s">
        <v>58</v>
      </c>
      <c r="C39" s="78">
        <f>C38*C20</f>
        <v>62400</v>
      </c>
      <c r="D39" s="78"/>
      <c r="E39" s="78"/>
    </row>
    <row r="40" spans="2:8" x14ac:dyDescent="0.35">
      <c r="B40" s="12" t="s">
        <v>59</v>
      </c>
      <c r="C40" s="78"/>
      <c r="D40" s="78">
        <f>D30*D29*D16*D28</f>
        <v>191100</v>
      </c>
      <c r="E40" s="78"/>
      <c r="H40" t="s">
        <v>60</v>
      </c>
    </row>
    <row r="41" spans="2:8" x14ac:dyDescent="0.35">
      <c r="B41" s="12"/>
      <c r="C41" s="78"/>
      <c r="D41" s="78"/>
      <c r="E41" s="78"/>
    </row>
    <row r="42" spans="2:8" x14ac:dyDescent="0.35">
      <c r="B42" s="19" t="s">
        <v>61</v>
      </c>
      <c r="C42" s="41"/>
      <c r="D42" s="41"/>
      <c r="E42" s="41"/>
    </row>
    <row r="43" spans="2:8" x14ac:dyDescent="0.35">
      <c r="B43" s="12" t="s">
        <v>62</v>
      </c>
      <c r="C43" s="78">
        <f>C23*C13*C22*10^6*C24</f>
        <v>4687.5</v>
      </c>
      <c r="D43" s="78"/>
      <c r="E43" s="78"/>
    </row>
    <row r="44" spans="2:8" x14ac:dyDescent="0.35">
      <c r="B44" s="12"/>
      <c r="C44" s="78"/>
      <c r="D44" s="78"/>
      <c r="E44" s="78"/>
    </row>
    <row r="45" spans="2:8" x14ac:dyDescent="0.35">
      <c r="B45" s="19" t="s">
        <v>63</v>
      </c>
      <c r="C45" s="78"/>
      <c r="D45" s="78"/>
      <c r="E45" s="78"/>
    </row>
    <row r="46" spans="2:8" x14ac:dyDescent="0.35">
      <c r="B46" s="12" t="s">
        <v>64</v>
      </c>
      <c r="C46" s="41"/>
      <c r="D46" s="41"/>
      <c r="E46" s="73">
        <f>E27*E26*E25</f>
        <v>1500000</v>
      </c>
    </row>
    <row r="47" spans="2:8" x14ac:dyDescent="0.35">
      <c r="B47" s="12"/>
      <c r="C47" s="41"/>
      <c r="D47" s="41"/>
      <c r="E47" s="41"/>
    </row>
    <row r="48" spans="2:8" x14ac:dyDescent="0.35">
      <c r="B48" s="20" t="s">
        <v>65</v>
      </c>
      <c r="C48" s="43">
        <f>(C43+C35+C40+C39+C46)</f>
        <v>102337.5</v>
      </c>
      <c r="D48" s="43">
        <f>(D43+D35+D40+D39+D46)</f>
        <v>191100</v>
      </c>
      <c r="E48" s="43">
        <f>(E43+E35+E40+E39+E46)</f>
        <v>1500000</v>
      </c>
    </row>
    <row r="49" spans="2:8" x14ac:dyDescent="0.35">
      <c r="B49" s="12"/>
      <c r="C49" s="39"/>
      <c r="D49" s="39"/>
      <c r="E49" s="39"/>
    </row>
    <row r="50" spans="2:8" x14ac:dyDescent="0.35">
      <c r="B50" s="8" t="s">
        <v>66</v>
      </c>
      <c r="C50" s="36"/>
      <c r="D50" s="36"/>
      <c r="E50" s="36"/>
    </row>
    <row r="51" spans="2:8" x14ac:dyDescent="0.35">
      <c r="B51" s="19"/>
      <c r="C51" s="39"/>
      <c r="D51" s="39"/>
      <c r="E51" s="39"/>
    </row>
    <row r="52" spans="2:8" x14ac:dyDescent="0.35">
      <c r="B52" s="12" t="s">
        <v>67</v>
      </c>
      <c r="C52" s="39"/>
      <c r="D52" s="39">
        <v>80</v>
      </c>
      <c r="E52" s="39"/>
      <c r="H52" t="s">
        <v>45</v>
      </c>
    </row>
    <row r="53" spans="2:8" x14ac:dyDescent="0.35">
      <c r="B53" s="12" t="s">
        <v>68</v>
      </c>
      <c r="C53" s="41">
        <f>C18</f>
        <v>5</v>
      </c>
      <c r="D53" s="41">
        <f>D15/D52</f>
        <v>125</v>
      </c>
      <c r="E53" s="41">
        <f>E18*E19</f>
        <v>50</v>
      </c>
    </row>
    <row r="54" spans="2:8" x14ac:dyDescent="0.35">
      <c r="B54" s="12" t="s">
        <v>69</v>
      </c>
      <c r="C54" s="47">
        <v>-200</v>
      </c>
      <c r="D54" s="47">
        <v>-200</v>
      </c>
      <c r="E54" s="47">
        <v>-200</v>
      </c>
    </row>
    <row r="55" spans="2:8" x14ac:dyDescent="0.35">
      <c r="B55" s="12" t="s">
        <v>70</v>
      </c>
      <c r="C55" s="48">
        <v>10</v>
      </c>
      <c r="D55" s="48">
        <v>10</v>
      </c>
      <c r="E55" s="48">
        <v>5</v>
      </c>
    </row>
    <row r="56" spans="2:8" x14ac:dyDescent="0.35">
      <c r="B56" s="12"/>
      <c r="C56" s="41"/>
      <c r="D56" s="41"/>
      <c r="E56" s="41"/>
    </row>
    <row r="57" spans="2:8" x14ac:dyDescent="0.35">
      <c r="B57" s="23" t="s">
        <v>71</v>
      </c>
      <c r="C57" s="49">
        <f>C54*C53/C55</f>
        <v>-100</v>
      </c>
      <c r="D57" s="49">
        <f>D54*D53/D55</f>
        <v>-2500</v>
      </c>
      <c r="E57" s="49">
        <f>E54*E53/E55</f>
        <v>-2000</v>
      </c>
    </row>
    <row r="58" spans="2:8" x14ac:dyDescent="0.35">
      <c r="B58" s="12"/>
      <c r="C58" s="41"/>
      <c r="D58" s="41"/>
      <c r="E58" s="41"/>
    </row>
    <row r="59" spans="2:8" x14ac:dyDescent="0.35">
      <c r="B59" s="19" t="s">
        <v>72</v>
      </c>
      <c r="C59" s="41"/>
      <c r="D59" s="41"/>
      <c r="E59" s="41"/>
    </row>
    <row r="60" spans="2:8" x14ac:dyDescent="0.35">
      <c r="B60" s="19"/>
      <c r="C60" s="41"/>
      <c r="D60" s="41"/>
      <c r="E60" s="41"/>
    </row>
    <row r="61" spans="2:8" x14ac:dyDescent="0.35">
      <c r="B61" s="25" t="s">
        <v>73</v>
      </c>
      <c r="C61" s="48">
        <v>10</v>
      </c>
      <c r="D61" s="48">
        <v>1</v>
      </c>
      <c r="E61" s="48">
        <v>10</v>
      </c>
    </row>
    <row r="62" spans="2:8" x14ac:dyDescent="0.35">
      <c r="B62" s="25" t="s">
        <v>74</v>
      </c>
      <c r="C62" s="41">
        <f>IF(C9/C61&gt;=1, C9/C61, "Cannot be supported by DBE")</f>
        <v>1</v>
      </c>
      <c r="D62" s="41">
        <f>IF(D9/D61&gt;=1, D9/D61, "Cannot be supported by DBE")</f>
        <v>10</v>
      </c>
      <c r="E62" s="41">
        <f>IF(E9/E61&gt;=1, E9/E61, "Cannot be supported by DBE")</f>
        <v>1</v>
      </c>
    </row>
    <row r="63" spans="2:8" x14ac:dyDescent="0.35">
      <c r="B63" s="25" t="s">
        <v>75</v>
      </c>
      <c r="C63" s="41">
        <f>ROUNDUP(C53/C62,0)</f>
        <v>5</v>
      </c>
      <c r="D63" s="41">
        <f>ROUNDUP(D53/D62,0)</f>
        <v>13</v>
      </c>
      <c r="E63" s="41">
        <f>ROUNDUP(E53/E62,0)</f>
        <v>50</v>
      </c>
    </row>
    <row r="64" spans="2:8" x14ac:dyDescent="0.35">
      <c r="B64" s="25" t="s">
        <v>76</v>
      </c>
      <c r="C64" s="50">
        <f>-700*12</f>
        <v>-8400</v>
      </c>
      <c r="D64" s="50">
        <f>-700*12</f>
        <v>-8400</v>
      </c>
      <c r="E64" s="50">
        <f>-700*12</f>
        <v>-8400</v>
      </c>
    </row>
    <row r="65" spans="2:5" x14ac:dyDescent="0.35">
      <c r="B65" s="27"/>
      <c r="C65" s="36"/>
      <c r="D65" s="36"/>
      <c r="E65" s="36"/>
    </row>
    <row r="66" spans="2:5" x14ac:dyDescent="0.35">
      <c r="B66" s="28" t="s">
        <v>77</v>
      </c>
      <c r="C66" s="50">
        <f>C64*C63</f>
        <v>-42000</v>
      </c>
      <c r="D66" s="50">
        <f>D64*D63</f>
        <v>-109200</v>
      </c>
      <c r="E66" s="50">
        <f>E64*E63</f>
        <v>-420000</v>
      </c>
    </row>
    <row r="67" spans="2:5" x14ac:dyDescent="0.35">
      <c r="B67" s="12"/>
      <c r="C67" s="39"/>
      <c r="D67" s="39"/>
      <c r="E67" s="39"/>
    </row>
    <row r="68" spans="2:5" x14ac:dyDescent="0.35">
      <c r="B68" s="23" t="s">
        <v>78</v>
      </c>
      <c r="C68" s="49">
        <f>C66+C57</f>
        <v>-42100</v>
      </c>
      <c r="D68" s="49">
        <f>D66+D57</f>
        <v>-111700</v>
      </c>
      <c r="E68" s="49">
        <f>E66+E57</f>
        <v>-422000</v>
      </c>
    </row>
    <row r="69" spans="2:5" x14ac:dyDescent="0.35">
      <c r="B69" s="12"/>
      <c r="C69" s="41"/>
      <c r="D69" s="41"/>
      <c r="E69" s="41"/>
    </row>
    <row r="70" spans="2:5" ht="15" thickBot="1" x14ac:dyDescent="0.4">
      <c r="B70" s="12"/>
      <c r="C70" s="39"/>
      <c r="D70" s="39"/>
      <c r="E70" s="39"/>
    </row>
    <row r="71" spans="2:5" x14ac:dyDescent="0.35">
      <c r="B71" s="65" t="s">
        <v>79</v>
      </c>
      <c r="C71" s="29">
        <f>C68+C48</f>
        <v>60237.5</v>
      </c>
      <c r="D71" s="29">
        <f>D68+D48</f>
        <v>79400</v>
      </c>
      <c r="E71" s="29">
        <f>E68+E48</f>
        <v>1078000</v>
      </c>
    </row>
    <row r="72" spans="2:5" ht="15" thickBot="1" x14ac:dyDescent="0.4">
      <c r="B72" s="67" t="s">
        <v>80</v>
      </c>
      <c r="C72" s="76">
        <f>-C71/C68</f>
        <v>1.4308194774346794</v>
      </c>
      <c r="D72" s="76">
        <f>-D71/D68</f>
        <v>0.71083258728737686</v>
      </c>
      <c r="E72" s="76">
        <f>-E71/E68</f>
        <v>2.5545023696682465</v>
      </c>
    </row>
  </sheetData>
  <conditionalFormatting sqref="C72">
    <cfRule type="cellIs" dxfId="33" priority="15" operator="lessThan">
      <formula>0</formula>
    </cfRule>
    <cfRule type="cellIs" dxfId="32" priority="16" operator="greaterThan">
      <formula>0</formula>
    </cfRule>
  </conditionalFormatting>
  <conditionalFormatting sqref="C71">
    <cfRule type="cellIs" dxfId="31" priority="13" operator="lessThan">
      <formula>0</formula>
    </cfRule>
    <cfRule type="cellIs" dxfId="30" priority="14" operator="greaterThan">
      <formula>0</formula>
    </cfRule>
  </conditionalFormatting>
  <conditionalFormatting sqref="D72">
    <cfRule type="cellIs" dxfId="29" priority="7" operator="lessThan">
      <formula>0</formula>
    </cfRule>
    <cfRule type="cellIs" dxfId="28" priority="8" operator="greaterThan">
      <formula>0</formula>
    </cfRule>
  </conditionalFormatting>
  <conditionalFormatting sqref="D71">
    <cfRule type="cellIs" dxfId="27" priority="5" operator="lessThan">
      <formula>0</formula>
    </cfRule>
    <cfRule type="cellIs" dxfId="26" priority="6" operator="greaterThan">
      <formula>0</formula>
    </cfRule>
  </conditionalFormatting>
  <conditionalFormatting sqref="E72">
    <cfRule type="cellIs" dxfId="25" priority="3" operator="lessThan">
      <formula>0</formula>
    </cfRule>
    <cfRule type="cellIs" dxfId="24" priority="4" operator="greaterThan">
      <formula>0</formula>
    </cfRule>
  </conditionalFormatting>
  <conditionalFormatting sqref="E71">
    <cfRule type="cellIs" dxfId="23" priority="1" operator="lessThan">
      <formula>0</formula>
    </cfRule>
    <cfRule type="cellIs" dxfId="22" priority="2" operator="greaterThan">
      <formula>0</formula>
    </cfRule>
  </conditionalFormatting>
  <hyperlinks>
    <hyperlink ref="G12" r:id="rId1" display="https://www.mckinsey.com/~/media/McKinsey/Industries/Semiconductors/Our Insights/Smartening up with artificial intelligence/Smartening-up-with-artificial-intelligence.ashx" xr:uid="{FAC3A49A-CEBC-4B9E-93DA-C96524246431}"/>
    <hyperlink ref="G22" r:id="rId2" display="https://www.youtube.com/watch?v=KLnqPuR3nWI&amp;feature=youtu.be" xr:uid="{758823DF-907F-4F29-83E8-DE4302B39E3A}"/>
    <hyperlink ref="G23" r:id="rId3" xr:uid="{D176ED3F-F3EB-48FE-B329-B9F0349ADCA4}"/>
    <hyperlink ref="G14" r:id="rId4" xr:uid="{3FDD7BF5-A58B-43D4-85DD-56CA63B0CBC2}"/>
    <hyperlink ref="G26" r:id="rId5" xr:uid="{285617ED-84C1-41DC-B809-63DB96C0E9B9}"/>
    <hyperlink ref="G16" r:id="rId6" xr:uid="{A9960C6B-842D-487A-82F3-EA41041C316E}"/>
    <hyperlink ref="G28" r:id="rId7" xr:uid="{1F3F96A4-1ABB-47F9-946A-952C1C071C27}"/>
    <hyperlink ref="G29" r:id="rId8" xr:uid="{7757D8FF-871A-4F58-9CA4-29FFF8F0A4CC}"/>
  </hyperlinks>
  <pageMargins left="0.7" right="0.7" top="0.75" bottom="0.75" header="0.3" footer="0.3"/>
  <pageSetup orientation="portrait" horizontalDpi="300" verticalDpi="3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51E22-2281-434F-89F4-FDCB8F768B63}">
  <dimension ref="B2:K79"/>
  <sheetViews>
    <sheetView showGridLines="0" zoomScaleNormal="100" workbookViewId="0">
      <selection activeCell="C29" sqref="C29"/>
    </sheetView>
  </sheetViews>
  <sheetFormatPr defaultRowHeight="14.5" x14ac:dyDescent="0.35"/>
  <cols>
    <col min="1" max="1" width="4.453125" customWidth="1"/>
    <col min="2" max="2" width="43.453125" customWidth="1"/>
    <col min="3" max="3" width="15.26953125" customWidth="1"/>
    <col min="4" max="4" width="15.26953125" bestFit="1" customWidth="1"/>
    <col min="5" max="5" width="18.81640625" bestFit="1" customWidth="1"/>
    <col min="6" max="6" width="15.1796875" customWidth="1"/>
  </cols>
  <sheetData>
    <row r="2" spans="2:10" x14ac:dyDescent="0.35">
      <c r="B2" s="1" t="s">
        <v>81</v>
      </c>
    </row>
    <row r="3" spans="2:10" x14ac:dyDescent="0.35">
      <c r="B3" s="1"/>
    </row>
    <row r="4" spans="2:10" x14ac:dyDescent="0.35">
      <c r="B4" s="68" t="s">
        <v>1</v>
      </c>
    </row>
    <row r="5" spans="2:10" x14ac:dyDescent="0.35">
      <c r="B5" s="69" t="s">
        <v>2</v>
      </c>
    </row>
    <row r="7" spans="2:10" x14ac:dyDescent="0.35">
      <c r="B7" s="8" t="s">
        <v>3</v>
      </c>
      <c r="C7" s="36" t="s">
        <v>82</v>
      </c>
      <c r="D7" s="9" t="s">
        <v>83</v>
      </c>
      <c r="E7" s="36" t="s">
        <v>84</v>
      </c>
      <c r="F7" s="36" t="s">
        <v>85</v>
      </c>
      <c r="G7" t="s">
        <v>86</v>
      </c>
      <c r="H7" t="s">
        <v>87</v>
      </c>
      <c r="I7" t="s">
        <v>7</v>
      </c>
      <c r="J7" t="s">
        <v>8</v>
      </c>
    </row>
    <row r="8" spans="2:10" x14ac:dyDescent="0.35">
      <c r="B8" s="10" t="s">
        <v>9</v>
      </c>
      <c r="C8" s="37" t="s">
        <v>88</v>
      </c>
      <c r="D8" s="11" t="s">
        <v>88</v>
      </c>
      <c r="E8" s="37" t="s">
        <v>11</v>
      </c>
      <c r="F8" s="37" t="s">
        <v>11</v>
      </c>
    </row>
    <row r="9" spans="2:10" x14ac:dyDescent="0.35">
      <c r="B9" s="12" t="s">
        <v>12</v>
      </c>
      <c r="C9" s="52">
        <v>10</v>
      </c>
      <c r="D9" s="13">
        <v>10</v>
      </c>
      <c r="E9" s="38">
        <v>10</v>
      </c>
      <c r="F9" s="38">
        <v>10</v>
      </c>
    </row>
    <row r="10" spans="2:10" x14ac:dyDescent="0.35">
      <c r="B10" s="12"/>
      <c r="C10" s="39"/>
      <c r="D10" s="14"/>
      <c r="E10" s="39"/>
      <c r="F10" s="39"/>
    </row>
    <row r="11" spans="2:10" x14ac:dyDescent="0.35">
      <c r="B11" s="12" t="s">
        <v>15</v>
      </c>
      <c r="C11" s="39" t="s">
        <v>89</v>
      </c>
      <c r="D11" s="14"/>
      <c r="E11" s="39"/>
      <c r="F11" s="39"/>
    </row>
    <row r="12" spans="2:10" x14ac:dyDescent="0.35">
      <c r="B12" s="12"/>
      <c r="C12" s="39"/>
      <c r="D12" s="14"/>
      <c r="E12" s="39"/>
      <c r="F12" s="39"/>
    </row>
    <row r="13" spans="2:10" x14ac:dyDescent="0.35">
      <c r="B13" s="12" t="s">
        <v>90</v>
      </c>
      <c r="C13" s="53">
        <v>1.4200000000000001E-2</v>
      </c>
      <c r="D13" s="14"/>
      <c r="E13" s="39"/>
      <c r="F13" s="39"/>
      <c r="G13" s="4">
        <f>123.39*1.069^5</f>
        <v>172.25367262122907</v>
      </c>
      <c r="H13" s="4">
        <f>48.9*1.069^3</f>
        <v>59.736802790099993</v>
      </c>
      <c r="I13" t="s">
        <v>91</v>
      </c>
      <c r="J13" t="s">
        <v>92</v>
      </c>
    </row>
    <row r="14" spans="2:10" x14ac:dyDescent="0.35">
      <c r="B14" s="12" t="s">
        <v>93</v>
      </c>
      <c r="C14" s="39"/>
      <c r="D14" s="40">
        <v>0.08</v>
      </c>
      <c r="E14" s="39"/>
      <c r="F14" s="39"/>
      <c r="G14" s="4"/>
      <c r="H14" s="4">
        <f>129.5*1.069^4</f>
        <v>169.11440005416947</v>
      </c>
      <c r="I14" s="2" t="s">
        <v>94</v>
      </c>
      <c r="J14" t="s">
        <v>95</v>
      </c>
    </row>
    <row r="15" spans="2:10" x14ac:dyDescent="0.35">
      <c r="B15" s="12" t="s">
        <v>96</v>
      </c>
      <c r="C15" s="54">
        <v>4.1000000000000002E-2</v>
      </c>
      <c r="D15" s="14"/>
      <c r="E15" s="39"/>
      <c r="F15" s="39"/>
      <c r="G15" s="4"/>
      <c r="H15" s="4"/>
    </row>
    <row r="16" spans="2:10" x14ac:dyDescent="0.35">
      <c r="B16" s="12" t="s">
        <v>97</v>
      </c>
      <c r="C16" s="40">
        <v>0.03</v>
      </c>
      <c r="D16" s="15">
        <f>C16</f>
        <v>0.03</v>
      </c>
      <c r="E16" s="40">
        <f>D16</f>
        <v>0.03</v>
      </c>
      <c r="F16" s="40">
        <f>E16</f>
        <v>0.03</v>
      </c>
      <c r="I16" s="2" t="s">
        <v>98</v>
      </c>
    </row>
    <row r="17" spans="2:11" x14ac:dyDescent="0.35">
      <c r="B17" s="12" t="s">
        <v>99</v>
      </c>
      <c r="C17" s="54"/>
      <c r="D17" s="14"/>
      <c r="E17" s="40">
        <v>0.3</v>
      </c>
      <c r="F17" s="40">
        <v>0.19</v>
      </c>
      <c r="I17" s="2" t="s">
        <v>100</v>
      </c>
      <c r="J17" t="s">
        <v>101</v>
      </c>
    </row>
    <row r="18" spans="2:11" x14ac:dyDescent="0.35">
      <c r="B18" s="12" t="s">
        <v>102</v>
      </c>
      <c r="C18" s="54"/>
      <c r="D18" s="14"/>
      <c r="E18" s="40">
        <f>12.5/150</f>
        <v>8.3333333333333329E-2</v>
      </c>
      <c r="F18" s="39"/>
      <c r="I18" s="2" t="s">
        <v>103</v>
      </c>
      <c r="K18" t="s">
        <v>104</v>
      </c>
    </row>
    <row r="19" spans="2:11" x14ac:dyDescent="0.35">
      <c r="B19" s="12" t="s">
        <v>105</v>
      </c>
      <c r="C19" s="54"/>
      <c r="D19" s="14"/>
      <c r="E19" s="40">
        <v>0.85</v>
      </c>
      <c r="F19" s="39"/>
      <c r="I19" s="2"/>
      <c r="J19" t="s">
        <v>106</v>
      </c>
    </row>
    <row r="20" spans="2:11" x14ac:dyDescent="0.35">
      <c r="B20" s="12" t="s">
        <v>107</v>
      </c>
      <c r="C20" s="54"/>
      <c r="D20" s="14"/>
      <c r="E20" s="40">
        <v>0.8</v>
      </c>
      <c r="F20" s="39"/>
      <c r="I20" s="2"/>
    </row>
    <row r="21" spans="2:11" x14ac:dyDescent="0.35">
      <c r="B21" s="12" t="s">
        <v>108</v>
      </c>
      <c r="C21" s="57">
        <f>C23</f>
        <v>38307</v>
      </c>
      <c r="D21" s="57">
        <f>C21</f>
        <v>38307</v>
      </c>
      <c r="E21" s="57">
        <f>D21</f>
        <v>38307</v>
      </c>
      <c r="F21" s="57">
        <f>E21</f>
        <v>38307</v>
      </c>
      <c r="I21" s="2"/>
    </row>
    <row r="22" spans="2:11" x14ac:dyDescent="0.35">
      <c r="B22" s="12"/>
      <c r="C22" s="55"/>
      <c r="D22" s="14"/>
      <c r="E22" s="39"/>
      <c r="F22" s="39"/>
      <c r="G22" s="3"/>
      <c r="H22" s="3"/>
      <c r="J22" t="s">
        <v>109</v>
      </c>
    </row>
    <row r="23" spans="2:11" x14ac:dyDescent="0.35">
      <c r="B23" s="12" t="s">
        <v>110</v>
      </c>
      <c r="C23" s="56">
        <v>38307</v>
      </c>
      <c r="D23" s="14"/>
      <c r="E23" s="39"/>
      <c r="F23" s="39"/>
      <c r="I23" s="2" t="s">
        <v>111</v>
      </c>
      <c r="J23" t="s">
        <v>112</v>
      </c>
    </row>
    <row r="24" spans="2:11" x14ac:dyDescent="0.35">
      <c r="B24" s="12" t="s">
        <v>113</v>
      </c>
      <c r="C24" s="56">
        <v>701.88</v>
      </c>
      <c r="D24" s="14"/>
      <c r="E24" s="39"/>
      <c r="F24" s="39"/>
      <c r="I24" s="2" t="s">
        <v>111</v>
      </c>
    </row>
    <row r="25" spans="2:11" x14ac:dyDescent="0.35">
      <c r="B25" s="12" t="s">
        <v>114</v>
      </c>
      <c r="C25" s="57">
        <v>41300</v>
      </c>
      <c r="D25" s="14"/>
      <c r="E25" s="39"/>
      <c r="F25" s="39"/>
      <c r="I25" s="2" t="s">
        <v>111</v>
      </c>
    </row>
    <row r="26" spans="2:11" x14ac:dyDescent="0.35">
      <c r="B26" s="12" t="s">
        <v>115</v>
      </c>
      <c r="C26" s="58">
        <f>C24/C23*1000</f>
        <v>18.322499804213329</v>
      </c>
      <c r="D26" s="14"/>
      <c r="E26" s="39"/>
      <c r="F26" s="39"/>
    </row>
    <row r="27" spans="2:11" x14ac:dyDescent="0.35">
      <c r="B27" s="12" t="s">
        <v>116</v>
      </c>
      <c r="C27" s="40">
        <v>0.8</v>
      </c>
      <c r="D27" s="14"/>
      <c r="E27" s="39"/>
      <c r="F27" s="39"/>
      <c r="I27" t="s">
        <v>117</v>
      </c>
    </row>
    <row r="28" spans="2:11" x14ac:dyDescent="0.35">
      <c r="B28" s="12"/>
      <c r="C28" s="39"/>
      <c r="D28" s="14"/>
      <c r="E28" s="39"/>
      <c r="F28" s="39"/>
    </row>
    <row r="29" spans="2:11" x14ac:dyDescent="0.35">
      <c r="B29" s="12"/>
      <c r="C29" s="39"/>
      <c r="D29" s="14"/>
      <c r="E29" s="39"/>
      <c r="F29" s="39"/>
    </row>
    <row r="30" spans="2:11" x14ac:dyDescent="0.35">
      <c r="B30" s="12" t="s">
        <v>118</v>
      </c>
      <c r="C30" s="42">
        <f>C26*C27/C25*10^6</f>
        <v>354.91525044481028</v>
      </c>
      <c r="D30" s="17"/>
      <c r="E30" s="39"/>
      <c r="F30" s="39"/>
      <c r="G30" s="2"/>
    </row>
    <row r="31" spans="2:11" x14ac:dyDescent="0.35">
      <c r="B31" s="12"/>
      <c r="C31" s="41"/>
      <c r="D31" s="18"/>
      <c r="E31" s="39"/>
      <c r="F31" s="39"/>
    </row>
    <row r="32" spans="2:11" x14ac:dyDescent="0.35">
      <c r="B32" s="8" t="s">
        <v>119</v>
      </c>
      <c r="C32" s="59"/>
      <c r="D32" s="31"/>
      <c r="E32" s="36"/>
      <c r="F32" s="36"/>
    </row>
    <row r="33" spans="2:6" x14ac:dyDescent="0.35">
      <c r="B33" s="12"/>
      <c r="C33" s="41"/>
      <c r="D33" s="18"/>
      <c r="E33" s="39"/>
      <c r="F33" s="39"/>
    </row>
    <row r="34" spans="2:6" x14ac:dyDescent="0.35">
      <c r="B34" s="12" t="s">
        <v>120</v>
      </c>
      <c r="C34" s="41">
        <f>C26</f>
        <v>18.322499804213329</v>
      </c>
      <c r="D34" s="18">
        <f>C34</f>
        <v>18.322499804213329</v>
      </c>
      <c r="E34" s="41">
        <f>C34</f>
        <v>18.322499804213329</v>
      </c>
      <c r="F34" s="41">
        <f>C34</f>
        <v>18.322499804213329</v>
      </c>
    </row>
    <row r="35" spans="2:6" x14ac:dyDescent="0.35">
      <c r="B35" s="19" t="s">
        <v>121</v>
      </c>
      <c r="C35" s="41"/>
      <c r="D35" s="18"/>
      <c r="E35" s="39"/>
      <c r="F35" s="39"/>
    </row>
    <row r="36" spans="2:6" x14ac:dyDescent="0.35">
      <c r="B36" s="12" t="s">
        <v>122</v>
      </c>
      <c r="C36" s="42">
        <f>C13*C34</f>
        <v>0.2601794972198293</v>
      </c>
      <c r="D36" s="17"/>
      <c r="E36" s="39"/>
      <c r="F36" s="39"/>
    </row>
    <row r="37" spans="2:6" x14ac:dyDescent="0.35">
      <c r="B37" s="12" t="s">
        <v>123</v>
      </c>
      <c r="C37" s="41">
        <v>0</v>
      </c>
      <c r="D37" s="17">
        <f>D14*D34</f>
        <v>1.4657999843370664</v>
      </c>
      <c r="E37" s="42">
        <f>E34*E17</f>
        <v>5.4967499412639986</v>
      </c>
      <c r="F37" s="42">
        <f>F34*F17</f>
        <v>3.4812749628005326</v>
      </c>
    </row>
    <row r="38" spans="2:6" x14ac:dyDescent="0.35">
      <c r="B38" s="12"/>
      <c r="C38" s="41"/>
      <c r="D38" s="18"/>
      <c r="E38" s="39"/>
      <c r="F38" s="39"/>
    </row>
    <row r="39" spans="2:6" x14ac:dyDescent="0.35">
      <c r="B39" s="19" t="s">
        <v>56</v>
      </c>
      <c r="C39" s="41"/>
      <c r="D39" s="18"/>
      <c r="E39" s="39"/>
      <c r="F39" s="39"/>
    </row>
    <row r="40" spans="2:6" x14ac:dyDescent="0.35">
      <c r="B40" s="12" t="s">
        <v>124</v>
      </c>
      <c r="C40" s="41">
        <v>0</v>
      </c>
      <c r="D40" s="18"/>
      <c r="E40" s="39"/>
      <c r="F40" s="39"/>
    </row>
    <row r="41" spans="2:6" x14ac:dyDescent="0.35">
      <c r="B41" s="12" t="s">
        <v>125</v>
      </c>
      <c r="C41" s="41">
        <v>0</v>
      </c>
      <c r="D41" s="18"/>
      <c r="E41" s="42">
        <f>E34*E18*E19</f>
        <v>1.2978437361317774</v>
      </c>
      <c r="F41" s="39"/>
    </row>
    <row r="42" spans="2:6" x14ac:dyDescent="0.35">
      <c r="B42" s="12"/>
      <c r="C42" s="41"/>
      <c r="D42" s="18"/>
      <c r="E42" s="39"/>
      <c r="F42" s="39"/>
    </row>
    <row r="43" spans="2:6" x14ac:dyDescent="0.35">
      <c r="B43" s="19" t="s">
        <v>126</v>
      </c>
      <c r="C43" s="41"/>
      <c r="D43" s="18"/>
      <c r="E43" s="39"/>
      <c r="F43" s="39"/>
    </row>
    <row r="44" spans="2:6" x14ac:dyDescent="0.35">
      <c r="B44" s="12" t="s">
        <v>127</v>
      </c>
      <c r="C44" s="41">
        <v>0</v>
      </c>
      <c r="D44" s="18"/>
      <c r="E44" s="39"/>
      <c r="F44" s="39"/>
    </row>
    <row r="45" spans="2:6" x14ac:dyDescent="0.35">
      <c r="B45" s="12"/>
      <c r="C45" s="41"/>
      <c r="D45" s="18"/>
      <c r="E45" s="39"/>
      <c r="F45" s="39"/>
    </row>
    <row r="46" spans="2:6" x14ac:dyDescent="0.35">
      <c r="B46" s="12"/>
      <c r="C46" s="41"/>
      <c r="D46" s="18"/>
      <c r="E46" s="39"/>
      <c r="F46" s="39"/>
    </row>
    <row r="47" spans="2:6" x14ac:dyDescent="0.35">
      <c r="B47" s="20" t="s">
        <v>128</v>
      </c>
      <c r="C47" s="43">
        <f>(C41+C37*C$16+C36)*10^6</f>
        <v>260179.4972198293</v>
      </c>
      <c r="D47" s="43">
        <f t="shared" ref="D47:F47" si="0">(D41+D37*D$16+D36)*10^6</f>
        <v>43973.999530111985</v>
      </c>
      <c r="E47" s="43">
        <f t="shared" si="0"/>
        <v>1462746.2343696973</v>
      </c>
      <c r="F47" s="43">
        <f t="shared" si="0"/>
        <v>104438.24888401596</v>
      </c>
    </row>
    <row r="48" spans="2:6" x14ac:dyDescent="0.35">
      <c r="B48" s="12"/>
      <c r="C48" s="39"/>
      <c r="D48" s="14"/>
      <c r="E48" s="39"/>
      <c r="F48" s="39"/>
    </row>
    <row r="49" spans="2:10" x14ac:dyDescent="0.35">
      <c r="B49" s="8" t="s">
        <v>129</v>
      </c>
      <c r="C49" s="36"/>
      <c r="D49" s="14"/>
      <c r="E49" s="39"/>
      <c r="F49" s="39"/>
    </row>
    <row r="50" spans="2:10" x14ac:dyDescent="0.35">
      <c r="B50" s="12"/>
      <c r="C50" s="39"/>
      <c r="D50" s="14"/>
      <c r="E50" s="39"/>
      <c r="F50" s="39"/>
    </row>
    <row r="51" spans="2:10" x14ac:dyDescent="0.35">
      <c r="B51" s="12" t="s">
        <v>130</v>
      </c>
      <c r="C51" s="41">
        <f>C25*C27</f>
        <v>33040</v>
      </c>
      <c r="D51" s="18">
        <f>C51</f>
        <v>33040</v>
      </c>
      <c r="E51" s="41">
        <f>C51</f>
        <v>33040</v>
      </c>
      <c r="F51" s="41">
        <f>D51</f>
        <v>33040</v>
      </c>
    </row>
    <row r="52" spans="2:10" x14ac:dyDescent="0.35">
      <c r="B52" s="12" t="s">
        <v>131</v>
      </c>
      <c r="C52" s="60">
        <v>0.1</v>
      </c>
      <c r="D52" s="33">
        <v>0.8</v>
      </c>
      <c r="E52" s="33">
        <v>1</v>
      </c>
      <c r="F52" s="33">
        <v>1</v>
      </c>
    </row>
    <row r="53" spans="2:10" x14ac:dyDescent="0.35">
      <c r="B53" s="12" t="s">
        <v>132</v>
      </c>
      <c r="C53" s="61">
        <v>40</v>
      </c>
      <c r="D53" s="34">
        <v>100</v>
      </c>
      <c r="E53" s="34">
        <v>40</v>
      </c>
      <c r="F53" s="34">
        <v>40</v>
      </c>
      <c r="I53" s="2" t="s">
        <v>133</v>
      </c>
      <c r="J53" t="s">
        <v>134</v>
      </c>
    </row>
    <row r="54" spans="2:10" x14ac:dyDescent="0.35">
      <c r="B54" s="12" t="s">
        <v>135</v>
      </c>
      <c r="C54" s="39">
        <f>ROUNDUP(C51*C52/C53,0)</f>
        <v>83</v>
      </c>
      <c r="D54" s="14">
        <f>ROUNDUP(D51*D52/D53,0)</f>
        <v>265</v>
      </c>
      <c r="E54" s="39">
        <f>ROUNDUP(E51*E52/E53,0)</f>
        <v>826</v>
      </c>
      <c r="F54" s="39">
        <f>ROUNDUP(F51*F52/F53,0)</f>
        <v>826</v>
      </c>
    </row>
    <row r="55" spans="2:10" x14ac:dyDescent="0.35">
      <c r="B55" s="12" t="s">
        <v>136</v>
      </c>
      <c r="C55" s="45">
        <f>ROUNDUP(80%*C54,0)</f>
        <v>67</v>
      </c>
      <c r="D55" s="16">
        <f>ROUNDUP(80%*D54,0)</f>
        <v>212</v>
      </c>
      <c r="E55" s="45">
        <f>ROUNDUP(80%*E54,0)</f>
        <v>661</v>
      </c>
      <c r="F55" s="45">
        <f>ROUNDUP(80%*F54,0)</f>
        <v>661</v>
      </c>
    </row>
    <row r="56" spans="2:10" x14ac:dyDescent="0.35">
      <c r="B56" s="12" t="s">
        <v>137</v>
      </c>
      <c r="C56" s="46">
        <f>ROUNDUP(C54-C55,0)</f>
        <v>16</v>
      </c>
      <c r="D56" s="21">
        <f>ROUNDUP(D54-D55,0)</f>
        <v>53</v>
      </c>
      <c r="E56" s="46">
        <f>ROUNDUP(E54-E55,0)</f>
        <v>165</v>
      </c>
      <c r="F56" s="46">
        <f>ROUNDUP(F54-F55,0)</f>
        <v>165</v>
      </c>
    </row>
    <row r="57" spans="2:10" x14ac:dyDescent="0.35">
      <c r="B57" s="12" t="s">
        <v>69</v>
      </c>
      <c r="C57" s="47">
        <v>-50</v>
      </c>
      <c r="D57" s="22">
        <v>-50</v>
      </c>
      <c r="E57" s="47">
        <f>C57</f>
        <v>-50</v>
      </c>
      <c r="F57" s="47">
        <f>D57</f>
        <v>-50</v>
      </c>
    </row>
    <row r="58" spans="2:10" x14ac:dyDescent="0.35">
      <c r="B58" s="12" t="s">
        <v>70</v>
      </c>
      <c r="C58" s="48">
        <v>10</v>
      </c>
      <c r="D58" s="35">
        <v>10</v>
      </c>
      <c r="E58" s="48">
        <v>10</v>
      </c>
      <c r="F58" s="48">
        <v>10</v>
      </c>
    </row>
    <row r="59" spans="2:10" x14ac:dyDescent="0.35">
      <c r="B59" s="12"/>
      <c r="C59" s="41"/>
      <c r="D59" s="18"/>
      <c r="E59" s="44"/>
      <c r="F59" s="44"/>
    </row>
    <row r="60" spans="2:10" x14ac:dyDescent="0.35">
      <c r="B60" s="23" t="s">
        <v>71</v>
      </c>
      <c r="C60" s="49">
        <f>C57*C54/C58</f>
        <v>-415</v>
      </c>
      <c r="D60" s="24">
        <f>D57*D54/D58</f>
        <v>-1325</v>
      </c>
      <c r="E60" s="49">
        <f>E57*E54/E58</f>
        <v>-4130</v>
      </c>
      <c r="F60" s="49">
        <f>F57*F54/F58</f>
        <v>-4130</v>
      </c>
    </row>
    <row r="61" spans="2:10" x14ac:dyDescent="0.35">
      <c r="B61" s="12"/>
      <c r="C61" s="41"/>
      <c r="D61" s="18"/>
      <c r="E61" s="44"/>
      <c r="F61" s="44"/>
    </row>
    <row r="62" spans="2:10" x14ac:dyDescent="0.35">
      <c r="B62" s="19" t="s">
        <v>72</v>
      </c>
      <c r="C62" s="41"/>
      <c r="D62" s="18"/>
      <c r="E62" s="44"/>
      <c r="F62" s="44"/>
    </row>
    <row r="63" spans="2:10" x14ac:dyDescent="0.35">
      <c r="B63" s="19"/>
      <c r="C63" s="41"/>
      <c r="D63" s="18"/>
      <c r="E63" s="44"/>
      <c r="F63" s="44"/>
    </row>
    <row r="64" spans="2:10" x14ac:dyDescent="0.35">
      <c r="B64" s="25" t="s">
        <v>73</v>
      </c>
      <c r="C64" s="48">
        <v>1</v>
      </c>
      <c r="D64" s="51">
        <v>0.1</v>
      </c>
      <c r="E64" s="48">
        <v>10</v>
      </c>
      <c r="F64" s="62">
        <v>0.1</v>
      </c>
    </row>
    <row r="65" spans="2:7" x14ac:dyDescent="0.35">
      <c r="B65" s="25" t="s">
        <v>74</v>
      </c>
      <c r="C65" s="41">
        <f>IF(C9/C64&gt;=1, C9/C64, "Cannot be supported by DBE")</f>
        <v>10</v>
      </c>
      <c r="D65" s="18">
        <f>IF(D9/D64&gt;=1, D9/D64, "Cannot be supported by DBE")</f>
        <v>100</v>
      </c>
      <c r="E65" s="41">
        <f>IF(E9/E64&gt;=1, E9/E64, "Cannot be supported by DBE")</f>
        <v>1</v>
      </c>
      <c r="F65" s="41">
        <f>IF(F9/F64&gt;=1, F9/F64, "Cannot be supported by DBE")</f>
        <v>100</v>
      </c>
    </row>
    <row r="66" spans="2:7" x14ac:dyDescent="0.35">
      <c r="B66" s="25" t="s">
        <v>75</v>
      </c>
      <c r="C66" s="41">
        <f>ROUNDUP(C54/C65,0)</f>
        <v>9</v>
      </c>
      <c r="D66" s="18">
        <f>ROUNDUP(D54/D65,0)</f>
        <v>3</v>
      </c>
      <c r="E66" s="41">
        <f>ROUNDUP(E54/E65,0)</f>
        <v>826</v>
      </c>
      <c r="F66" s="41">
        <f>ROUNDUP(F54/F65,0)</f>
        <v>9</v>
      </c>
    </row>
    <row r="67" spans="2:7" x14ac:dyDescent="0.35">
      <c r="B67" s="25" t="s">
        <v>76</v>
      </c>
      <c r="C67" s="50">
        <f>-700*12</f>
        <v>-8400</v>
      </c>
      <c r="D67" s="26">
        <f>-700*12</f>
        <v>-8400</v>
      </c>
      <c r="E67" s="50">
        <f>-700*12</f>
        <v>-8400</v>
      </c>
      <c r="F67" s="50">
        <f>-700*12</f>
        <v>-8400</v>
      </c>
    </row>
    <row r="68" spans="2:7" x14ac:dyDescent="0.35">
      <c r="B68" s="27"/>
      <c r="C68" s="36"/>
      <c r="D68" s="9"/>
      <c r="E68" s="36"/>
      <c r="F68" s="36"/>
    </row>
    <row r="69" spans="2:7" x14ac:dyDescent="0.35">
      <c r="B69" s="28" t="s">
        <v>77</v>
      </c>
      <c r="C69" s="50">
        <f>C67*C66</f>
        <v>-75600</v>
      </c>
      <c r="D69" s="26">
        <f>D67*D66</f>
        <v>-25200</v>
      </c>
      <c r="E69" s="50">
        <f>E67*E66</f>
        <v>-6938400</v>
      </c>
      <c r="F69" s="50">
        <f>F67*F66</f>
        <v>-75600</v>
      </c>
    </row>
    <row r="70" spans="2:7" x14ac:dyDescent="0.35">
      <c r="B70" s="12"/>
      <c r="C70" s="39"/>
      <c r="D70" s="14"/>
      <c r="E70" s="39"/>
      <c r="F70" s="39"/>
    </row>
    <row r="71" spans="2:7" x14ac:dyDescent="0.35">
      <c r="B71" s="23" t="s">
        <v>78</v>
      </c>
      <c r="C71" s="49">
        <f>C69+C60</f>
        <v>-76015</v>
      </c>
      <c r="D71" s="24">
        <f>D69+D60</f>
        <v>-26525</v>
      </c>
      <c r="E71" s="49">
        <f>E69+E60</f>
        <v>-6942530</v>
      </c>
      <c r="F71" s="49">
        <f>F69+F60</f>
        <v>-79730</v>
      </c>
    </row>
    <row r="72" spans="2:7" x14ac:dyDescent="0.35">
      <c r="B72" s="12"/>
      <c r="C72" s="41"/>
      <c r="D72" s="18"/>
      <c r="E72" s="39"/>
      <c r="F72" s="39"/>
    </row>
    <row r="73" spans="2:7" ht="15" thickBot="1" x14ac:dyDescent="0.4">
      <c r="B73" s="12"/>
      <c r="C73" s="39"/>
      <c r="D73" s="14"/>
      <c r="E73" s="39"/>
      <c r="F73" s="39"/>
    </row>
    <row r="74" spans="2:7" x14ac:dyDescent="0.35">
      <c r="B74" s="65" t="s">
        <v>138</v>
      </c>
      <c r="C74" s="29">
        <f>C71+C47</f>
        <v>184164.4972198293</v>
      </c>
      <c r="D74" s="63">
        <f>D71+D47</f>
        <v>17448.999530111985</v>
      </c>
      <c r="E74" s="63">
        <f>E71+E47</f>
        <v>-5479783.765630303</v>
      </c>
      <c r="F74" s="7">
        <f>F71+F47</f>
        <v>24708.248884015964</v>
      </c>
    </row>
    <row r="75" spans="2:7" x14ac:dyDescent="0.35">
      <c r="B75" s="66" t="s">
        <v>80</v>
      </c>
      <c r="C75" s="30">
        <f>-C74/C71</f>
        <v>2.4227388965313335</v>
      </c>
      <c r="D75" s="44">
        <f>-D74/D71</f>
        <v>0.65783221602684205</v>
      </c>
      <c r="E75" s="44">
        <f>-E74/E71</f>
        <v>-0.78930645825517542</v>
      </c>
      <c r="F75" s="6">
        <f>-F74/F71</f>
        <v>0.30989902024352145</v>
      </c>
    </row>
    <row r="76" spans="2:7" x14ac:dyDescent="0.35">
      <c r="B76" s="66" t="s">
        <v>139</v>
      </c>
      <c r="C76" s="30">
        <f>C74/(C34*C$16*10^6)</f>
        <v>0.33504252365076659</v>
      </c>
      <c r="D76" s="30">
        <f t="shared" ref="D76:F76" si="1">D74/(D34*D$16*10^6)</f>
        <v>3.1744211973556723E-2</v>
      </c>
      <c r="E76" s="30">
        <f t="shared" si="1"/>
        <v>-9.969134168708802</v>
      </c>
      <c r="F76" s="30">
        <f t="shared" si="1"/>
        <v>4.4950651108451568E-2</v>
      </c>
      <c r="G76" t="s">
        <v>140</v>
      </c>
    </row>
    <row r="77" spans="2:7" ht="15" thickBot="1" x14ac:dyDescent="0.4">
      <c r="B77" s="67" t="s">
        <v>141</v>
      </c>
      <c r="C77" s="64">
        <f>C74*C$21/10^6</f>
        <v>7054.7893950000007</v>
      </c>
      <c r="D77" s="64">
        <f t="shared" ref="D77:F77" si="2">D74*D$21/10^6</f>
        <v>668.41882499999974</v>
      </c>
      <c r="E77" s="64">
        <f t="shared" si="2"/>
        <v>-209914.07670999999</v>
      </c>
      <c r="F77" s="64">
        <f t="shared" si="2"/>
        <v>946.49888999999951</v>
      </c>
    </row>
    <row r="79" spans="2:7" x14ac:dyDescent="0.35">
      <c r="C79" s="5"/>
    </row>
  </sheetData>
  <conditionalFormatting sqref="E75:F75">
    <cfRule type="cellIs" dxfId="21" priority="17" operator="lessThan">
      <formula>0</formula>
    </cfRule>
    <cfRule type="cellIs" dxfId="20" priority="18" operator="greaterThan">
      <formula>0</formula>
    </cfRule>
  </conditionalFormatting>
  <conditionalFormatting sqref="E74:F74">
    <cfRule type="cellIs" dxfId="19" priority="15" operator="lessThan">
      <formula>0</formula>
    </cfRule>
    <cfRule type="cellIs" dxfId="18" priority="16" operator="greaterThan">
      <formula>0</formula>
    </cfRule>
  </conditionalFormatting>
  <conditionalFormatting sqref="D75">
    <cfRule type="cellIs" dxfId="17" priority="13" operator="lessThan">
      <formula>0</formula>
    </cfRule>
    <cfRule type="cellIs" dxfId="16" priority="14" operator="greaterThan">
      <formula>0</formula>
    </cfRule>
  </conditionalFormatting>
  <conditionalFormatting sqref="D74">
    <cfRule type="cellIs" dxfId="15" priority="11" operator="lessThan">
      <formula>0</formula>
    </cfRule>
    <cfRule type="cellIs" dxfId="14" priority="12" operator="greaterThan">
      <formula>0</formula>
    </cfRule>
  </conditionalFormatting>
  <conditionalFormatting sqref="C75:C76 D76:F76">
    <cfRule type="cellIs" dxfId="13" priority="9" operator="lessThan">
      <formula>0</formula>
    </cfRule>
    <cfRule type="cellIs" dxfId="12" priority="10" operator="greaterThan">
      <formula>0</formula>
    </cfRule>
  </conditionalFormatting>
  <conditionalFormatting sqref="C74">
    <cfRule type="cellIs" dxfId="11" priority="7" operator="lessThan">
      <formula>0</formula>
    </cfRule>
    <cfRule type="cellIs" dxfId="10" priority="8" operator="greaterThan">
      <formula>0</formula>
    </cfRule>
  </conditionalFormatting>
  <conditionalFormatting sqref="C77:F77">
    <cfRule type="cellIs" dxfId="9" priority="1" operator="lessThan">
      <formula>0</formula>
    </cfRule>
    <cfRule type="cellIs" dxfId="8" priority="2" operator="greaterThan">
      <formula>0</formula>
    </cfRule>
  </conditionalFormatting>
  <hyperlinks>
    <hyperlink ref="I14" r:id="rId1" xr:uid="{9FF2D537-FD78-4D10-8C2A-B1475B3403BF}"/>
    <hyperlink ref="I16" r:id="rId2" xr:uid="{42309173-F407-4595-9A50-F4A0F2CF8829}"/>
    <hyperlink ref="I23" r:id="rId3" xr:uid="{5E672B75-03D9-4D29-AC7A-15ACF0502D1F}"/>
    <hyperlink ref="I24" r:id="rId4" xr:uid="{65482745-1B86-44C4-A781-D5963EA74312}"/>
    <hyperlink ref="I25" r:id="rId5" xr:uid="{3E4810DA-ADD5-419B-9A62-007C2ABA8780}"/>
    <hyperlink ref="I17" r:id="rId6" xr:uid="{544DDD90-66D5-4BB2-B71B-4634DA4FFEBD}"/>
    <hyperlink ref="I53" r:id="rId7" xr:uid="{49D95B57-CF19-4FB3-AA1B-98D85D909981}"/>
    <hyperlink ref="I18" r:id="rId8" xr:uid="{F5E5D8D2-DC5B-414F-B84C-07733B064152}"/>
  </hyperlinks>
  <pageMargins left="0.7" right="0.7" top="0.75" bottom="0.75" header="0.3" footer="0.3"/>
  <pageSetup orientation="portrait" horizontalDpi="300" verticalDpi="3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27A7-792A-4C9F-9E9E-F5A36ADF6BAA}">
  <dimension ref="B2:H67"/>
  <sheetViews>
    <sheetView showGridLines="0" topLeftCell="A10" zoomScaleNormal="100" workbookViewId="0">
      <selection activeCell="C23" sqref="C23"/>
    </sheetView>
  </sheetViews>
  <sheetFormatPr defaultRowHeight="14.5" x14ac:dyDescent="0.35"/>
  <cols>
    <col min="1" max="1" width="4.453125" customWidth="1"/>
    <col min="2" max="2" width="45" customWidth="1"/>
    <col min="3" max="3" width="16.453125" bestFit="1" customWidth="1"/>
    <col min="4" max="4" width="23.7265625" bestFit="1" customWidth="1"/>
    <col min="10" max="10" width="9.453125" bestFit="1" customWidth="1"/>
  </cols>
  <sheetData>
    <row r="2" spans="2:8" x14ac:dyDescent="0.35">
      <c r="B2" s="1" t="s">
        <v>142</v>
      </c>
    </row>
    <row r="3" spans="2:8" x14ac:dyDescent="0.35">
      <c r="B3" s="1"/>
    </row>
    <row r="4" spans="2:8" x14ac:dyDescent="0.35">
      <c r="B4" s="68" t="s">
        <v>1</v>
      </c>
    </row>
    <row r="5" spans="2:8" x14ac:dyDescent="0.35">
      <c r="B5" s="69" t="s">
        <v>2</v>
      </c>
    </row>
    <row r="7" spans="2:8" x14ac:dyDescent="0.35">
      <c r="B7" s="8" t="s">
        <v>3</v>
      </c>
      <c r="C7" s="36" t="s">
        <v>143</v>
      </c>
      <c r="D7" s="9" t="s">
        <v>144</v>
      </c>
      <c r="G7" t="s">
        <v>7</v>
      </c>
      <c r="H7" t="s">
        <v>8</v>
      </c>
    </row>
    <row r="8" spans="2:8" x14ac:dyDescent="0.35">
      <c r="B8" s="10" t="s">
        <v>9</v>
      </c>
      <c r="C8" s="37" t="s">
        <v>11</v>
      </c>
      <c r="D8" s="11" t="s">
        <v>11</v>
      </c>
    </row>
    <row r="9" spans="2:8" x14ac:dyDescent="0.35">
      <c r="B9" s="12" t="s">
        <v>12</v>
      </c>
      <c r="C9" s="52">
        <v>10</v>
      </c>
      <c r="D9" s="13">
        <v>10</v>
      </c>
    </row>
    <row r="10" spans="2:8" x14ac:dyDescent="0.35">
      <c r="B10" s="12"/>
      <c r="C10" s="39"/>
      <c r="D10" s="14"/>
    </row>
    <row r="11" spans="2:8" x14ac:dyDescent="0.35">
      <c r="B11" s="12" t="s">
        <v>15</v>
      </c>
      <c r="C11" s="39"/>
      <c r="D11" s="14"/>
    </row>
    <row r="12" spans="2:8" x14ac:dyDescent="0.35">
      <c r="B12" s="12"/>
      <c r="C12" s="39"/>
      <c r="D12" s="14"/>
    </row>
    <row r="13" spans="2:8" x14ac:dyDescent="0.35">
      <c r="B13" s="12" t="s">
        <v>145</v>
      </c>
      <c r="C13" s="73"/>
      <c r="D13" s="22">
        <f>34*60</f>
        <v>2040</v>
      </c>
      <c r="E13" s="4"/>
      <c r="F13" s="4"/>
      <c r="G13" s="2" t="s">
        <v>146</v>
      </c>
    </row>
    <row r="14" spans="2:8" x14ac:dyDescent="0.35">
      <c r="B14" s="12" t="s">
        <v>147</v>
      </c>
      <c r="C14" s="39"/>
      <c r="D14" s="70">
        <v>98</v>
      </c>
      <c r="E14" s="4"/>
      <c r="F14" s="4"/>
      <c r="G14" s="2"/>
    </row>
    <row r="15" spans="2:8" x14ac:dyDescent="0.35">
      <c r="B15" s="12" t="s">
        <v>148</v>
      </c>
      <c r="C15" s="39"/>
      <c r="D15" s="71">
        <v>137</v>
      </c>
      <c r="E15" s="4"/>
      <c r="F15" s="4"/>
      <c r="G15" s="2" t="s">
        <v>149</v>
      </c>
      <c r="H15" t="s">
        <v>150</v>
      </c>
    </row>
    <row r="16" spans="2:8" x14ac:dyDescent="0.35">
      <c r="B16" s="12" t="s">
        <v>151</v>
      </c>
      <c r="C16" s="39"/>
      <c r="D16" s="71">
        <f>(D15+D14)/2</f>
        <v>117.5</v>
      </c>
      <c r="E16" s="4"/>
      <c r="F16" s="4"/>
      <c r="G16" s="2"/>
    </row>
    <row r="17" spans="2:8" x14ac:dyDescent="0.35">
      <c r="B17" s="12" t="s">
        <v>152</v>
      </c>
      <c r="C17" s="39"/>
      <c r="D17" s="32">
        <f>(D16-D14)/D15</f>
        <v>0.14233576642335766</v>
      </c>
      <c r="E17" s="4"/>
      <c r="F17" s="4"/>
      <c r="G17" s="2"/>
      <c r="H17" t="s">
        <v>153</v>
      </c>
    </row>
    <row r="18" spans="2:8" x14ac:dyDescent="0.35">
      <c r="B18" s="12" t="s">
        <v>154</v>
      </c>
      <c r="C18" s="39"/>
      <c r="D18" s="15">
        <v>0.1</v>
      </c>
      <c r="E18" s="4"/>
      <c r="F18" s="4"/>
      <c r="G18" s="2"/>
      <c r="H18" t="s">
        <v>155</v>
      </c>
    </row>
    <row r="19" spans="2:8" x14ac:dyDescent="0.35">
      <c r="B19" s="12" t="s">
        <v>156</v>
      </c>
      <c r="C19" s="39"/>
      <c r="D19" s="71">
        <v>6</v>
      </c>
      <c r="E19" s="4"/>
      <c r="F19" s="4"/>
      <c r="G19" s="2"/>
      <c r="H19" s="2" t="s">
        <v>157</v>
      </c>
    </row>
    <row r="20" spans="2:8" x14ac:dyDescent="0.35">
      <c r="B20" s="12" t="s">
        <v>158</v>
      </c>
      <c r="C20" s="39"/>
      <c r="D20" s="71">
        <v>5</v>
      </c>
      <c r="E20" s="4"/>
      <c r="F20" s="4"/>
      <c r="G20" s="2"/>
      <c r="H20" s="2"/>
    </row>
    <row r="21" spans="2:8" x14ac:dyDescent="0.35">
      <c r="B21" s="12" t="s">
        <v>159</v>
      </c>
      <c r="C21" s="39"/>
      <c r="D21" s="71">
        <v>6</v>
      </c>
      <c r="E21" s="4"/>
      <c r="F21" s="4"/>
      <c r="G21" s="2"/>
      <c r="H21" t="s">
        <v>160</v>
      </c>
    </row>
    <row r="22" spans="2:8" x14ac:dyDescent="0.35">
      <c r="B22" s="12"/>
      <c r="C22" s="39"/>
      <c r="D22" s="72"/>
      <c r="E22" s="4"/>
      <c r="F22" s="4"/>
      <c r="G22" s="2"/>
    </row>
    <row r="23" spans="2:8" x14ac:dyDescent="0.35">
      <c r="B23" s="12" t="s">
        <v>161</v>
      </c>
      <c r="C23" s="45">
        <v>1</v>
      </c>
      <c r="D23" s="72"/>
      <c r="E23" s="4"/>
      <c r="F23" s="4"/>
      <c r="G23" s="2"/>
      <c r="H23" s="2"/>
    </row>
    <row r="24" spans="2:8" x14ac:dyDescent="0.35">
      <c r="B24" s="12" t="s">
        <v>162</v>
      </c>
      <c r="C24" s="47">
        <v>10</v>
      </c>
      <c r="D24" s="72"/>
      <c r="E24" s="4"/>
      <c r="F24" s="4"/>
      <c r="G24" s="2" t="s">
        <v>163</v>
      </c>
      <c r="H24" t="s">
        <v>164</v>
      </c>
    </row>
    <row r="25" spans="2:8" x14ac:dyDescent="0.35">
      <c r="B25" s="12" t="s">
        <v>165</v>
      </c>
      <c r="C25" s="40">
        <v>0.6</v>
      </c>
      <c r="D25" s="14"/>
    </row>
    <row r="26" spans="2:8" x14ac:dyDescent="0.35">
      <c r="B26" s="12" t="s">
        <v>166</v>
      </c>
      <c r="C26" s="45">
        <v>50</v>
      </c>
      <c r="D26" s="14"/>
      <c r="H26" t="s">
        <v>167</v>
      </c>
    </row>
    <row r="27" spans="2:8" x14ac:dyDescent="0.35">
      <c r="B27" s="12" t="s">
        <v>168</v>
      </c>
      <c r="C27" s="70">
        <v>2</v>
      </c>
      <c r="D27" s="17"/>
      <c r="E27" s="2"/>
    </row>
    <row r="28" spans="2:8" x14ac:dyDescent="0.35">
      <c r="B28" s="12" t="s">
        <v>169</v>
      </c>
      <c r="C28" s="40">
        <v>0.5</v>
      </c>
      <c r="D28" s="17"/>
      <c r="E28" s="2"/>
      <c r="H28" t="s">
        <v>170</v>
      </c>
    </row>
    <row r="29" spans="2:8" x14ac:dyDescent="0.35">
      <c r="B29" s="12"/>
      <c r="C29" s="41"/>
      <c r="D29" s="18"/>
    </row>
    <row r="30" spans="2:8" x14ac:dyDescent="0.35">
      <c r="B30" s="8" t="s">
        <v>53</v>
      </c>
      <c r="C30" s="59"/>
      <c r="D30" s="31"/>
    </row>
    <row r="31" spans="2:8" x14ac:dyDescent="0.35">
      <c r="B31" s="19"/>
      <c r="C31" s="41"/>
      <c r="D31" s="18"/>
    </row>
    <row r="32" spans="2:8" x14ac:dyDescent="0.35">
      <c r="B32" s="19" t="s">
        <v>171</v>
      </c>
      <c r="C32" s="41"/>
      <c r="D32" s="18"/>
    </row>
    <row r="33" spans="2:4" x14ac:dyDescent="0.35">
      <c r="B33" s="12" t="s">
        <v>172</v>
      </c>
      <c r="C33" s="41"/>
      <c r="D33" s="18">
        <f>D14*D17*D18*D19*D20*365/60</f>
        <v>254.56751824817519</v>
      </c>
    </row>
    <row r="34" spans="2:4" x14ac:dyDescent="0.35">
      <c r="B34" s="12" t="s">
        <v>173</v>
      </c>
      <c r="C34" s="41"/>
      <c r="D34" s="18">
        <f>D33*D13/10^6</f>
        <v>0.51931773722627739</v>
      </c>
    </row>
    <row r="35" spans="2:4" x14ac:dyDescent="0.35">
      <c r="B35" s="12"/>
      <c r="C35" s="41"/>
      <c r="D35" s="18"/>
    </row>
    <row r="36" spans="2:4" x14ac:dyDescent="0.35">
      <c r="B36" s="19" t="s">
        <v>56</v>
      </c>
      <c r="C36" s="41"/>
      <c r="D36" s="18"/>
    </row>
    <row r="37" spans="2:4" x14ac:dyDescent="0.35">
      <c r="B37" s="12" t="s">
        <v>57</v>
      </c>
      <c r="C37" s="41">
        <f>C26*C25/C27*24*365*C28</f>
        <v>65700</v>
      </c>
      <c r="D37" s="18"/>
    </row>
    <row r="38" spans="2:4" x14ac:dyDescent="0.35">
      <c r="B38" s="12" t="s">
        <v>125</v>
      </c>
      <c r="C38" s="42">
        <f>C37*C24/10^6</f>
        <v>0.65700000000000003</v>
      </c>
      <c r="D38" s="18"/>
    </row>
    <row r="39" spans="2:4" x14ac:dyDescent="0.35">
      <c r="B39" s="12"/>
      <c r="C39" s="41"/>
      <c r="D39" s="18"/>
    </row>
    <row r="40" spans="2:4" x14ac:dyDescent="0.35">
      <c r="B40" s="19" t="s">
        <v>126</v>
      </c>
      <c r="C40" s="41"/>
      <c r="D40" s="18"/>
    </row>
    <row r="41" spans="2:4" x14ac:dyDescent="0.35">
      <c r="B41" s="12" t="s">
        <v>174</v>
      </c>
      <c r="C41" s="41">
        <v>0</v>
      </c>
      <c r="D41" s="18">
        <v>0</v>
      </c>
    </row>
    <row r="42" spans="2:4" x14ac:dyDescent="0.35">
      <c r="B42" s="12"/>
      <c r="C42" s="41"/>
      <c r="D42" s="18"/>
    </row>
    <row r="43" spans="2:4" x14ac:dyDescent="0.35">
      <c r="B43" s="12"/>
      <c r="C43" s="41"/>
      <c r="D43" s="18"/>
    </row>
    <row r="44" spans="2:4" x14ac:dyDescent="0.35">
      <c r="B44" s="20" t="s">
        <v>65</v>
      </c>
      <c r="C44" s="43">
        <f>(C41+C34+C38)*10^6</f>
        <v>657000</v>
      </c>
      <c r="D44" s="43">
        <f>(D41+D34+D38)*10^6</f>
        <v>519317.73722627742</v>
      </c>
    </row>
    <row r="45" spans="2:4" x14ac:dyDescent="0.35">
      <c r="B45" s="12"/>
      <c r="C45" s="39"/>
      <c r="D45" s="14"/>
    </row>
    <row r="46" spans="2:4" x14ac:dyDescent="0.35">
      <c r="B46" s="8" t="s">
        <v>66</v>
      </c>
      <c r="C46" s="36"/>
      <c r="D46" s="14"/>
    </row>
    <row r="47" spans="2:4" x14ac:dyDescent="0.35">
      <c r="B47" s="12"/>
      <c r="C47" s="39"/>
      <c r="D47" s="14"/>
    </row>
    <row r="48" spans="2:4" x14ac:dyDescent="0.35">
      <c r="B48" s="12" t="s">
        <v>68</v>
      </c>
      <c r="C48" s="41">
        <f>C26*C23</f>
        <v>50</v>
      </c>
      <c r="D48" s="18">
        <f>D21*D20</f>
        <v>30</v>
      </c>
    </row>
    <row r="49" spans="2:4" x14ac:dyDescent="0.35">
      <c r="B49" s="12" t="s">
        <v>69</v>
      </c>
      <c r="C49" s="47">
        <v>-50</v>
      </c>
      <c r="D49" s="22">
        <v>-50</v>
      </c>
    </row>
    <row r="50" spans="2:4" x14ac:dyDescent="0.35">
      <c r="B50" s="12" t="s">
        <v>70</v>
      </c>
      <c r="C50" s="48">
        <v>10</v>
      </c>
      <c r="D50" s="35">
        <v>10</v>
      </c>
    </row>
    <row r="51" spans="2:4" x14ac:dyDescent="0.35">
      <c r="B51" s="12"/>
      <c r="C51" s="41"/>
      <c r="D51" s="18"/>
    </row>
    <row r="52" spans="2:4" x14ac:dyDescent="0.35">
      <c r="B52" s="23" t="s">
        <v>71</v>
      </c>
      <c r="C52" s="49">
        <f>C49*C48/C50</f>
        <v>-250</v>
      </c>
      <c r="D52" s="49">
        <f>D49*D48/D50</f>
        <v>-150</v>
      </c>
    </row>
    <row r="53" spans="2:4" x14ac:dyDescent="0.35">
      <c r="B53" s="12"/>
      <c r="C53" s="41"/>
      <c r="D53" s="18"/>
    </row>
    <row r="54" spans="2:4" x14ac:dyDescent="0.35">
      <c r="B54" s="19" t="s">
        <v>72</v>
      </c>
      <c r="C54" s="41"/>
      <c r="D54" s="18"/>
    </row>
    <row r="55" spans="2:4" x14ac:dyDescent="0.35">
      <c r="B55" s="19"/>
      <c r="C55" s="41"/>
      <c r="D55" s="18"/>
    </row>
    <row r="56" spans="2:4" x14ac:dyDescent="0.35">
      <c r="B56" s="25" t="s">
        <v>73</v>
      </c>
      <c r="C56" s="48">
        <v>1</v>
      </c>
      <c r="D56" s="74">
        <v>1</v>
      </c>
    </row>
    <row r="57" spans="2:4" x14ac:dyDescent="0.35">
      <c r="B57" s="25" t="s">
        <v>74</v>
      </c>
      <c r="C57" s="41">
        <f>IF(C9/C56&gt;=1, C9/C56, "Cannot be supported by DBE")</f>
        <v>10</v>
      </c>
      <c r="D57" s="18">
        <f>IF(D9/D56&gt;=1, D9/D56, "Cannot be supported by DBE")</f>
        <v>10</v>
      </c>
    </row>
    <row r="58" spans="2:4" x14ac:dyDescent="0.35">
      <c r="B58" s="25" t="s">
        <v>75</v>
      </c>
      <c r="C58" s="41">
        <f>ROUNDUP(C48/C57,0)</f>
        <v>5</v>
      </c>
      <c r="D58" s="41">
        <f>ROUNDUP(D48/D57,0)</f>
        <v>3</v>
      </c>
    </row>
    <row r="59" spans="2:4" x14ac:dyDescent="0.35">
      <c r="B59" s="25" t="s">
        <v>76</v>
      </c>
      <c r="C59" s="50">
        <f>-700*12</f>
        <v>-8400</v>
      </c>
      <c r="D59" s="26">
        <f>-700*12</f>
        <v>-8400</v>
      </c>
    </row>
    <row r="60" spans="2:4" x14ac:dyDescent="0.35">
      <c r="B60" s="27"/>
      <c r="C60" s="36"/>
      <c r="D60" s="9"/>
    </row>
    <row r="61" spans="2:4" x14ac:dyDescent="0.35">
      <c r="B61" s="28" t="s">
        <v>77</v>
      </c>
      <c r="C61" s="50">
        <f>C59*C58</f>
        <v>-42000</v>
      </c>
      <c r="D61" s="26">
        <f>D59*D58</f>
        <v>-25200</v>
      </c>
    </row>
    <row r="62" spans="2:4" x14ac:dyDescent="0.35">
      <c r="B62" s="12"/>
      <c r="C62" s="39"/>
      <c r="D62" s="14"/>
    </row>
    <row r="63" spans="2:4" x14ac:dyDescent="0.35">
      <c r="B63" s="23" t="s">
        <v>78</v>
      </c>
      <c r="C63" s="49">
        <f>C61+C52</f>
        <v>-42250</v>
      </c>
      <c r="D63" s="24">
        <f>D61+D52</f>
        <v>-25350</v>
      </c>
    </row>
    <row r="64" spans="2:4" x14ac:dyDescent="0.35">
      <c r="B64" s="12"/>
      <c r="C64" s="41"/>
      <c r="D64" s="18"/>
    </row>
    <row r="65" spans="2:4" ht="15" thickBot="1" x14ac:dyDescent="0.4">
      <c r="B65" s="12"/>
      <c r="C65" s="39"/>
      <c r="D65" s="14"/>
    </row>
    <row r="66" spans="2:4" x14ac:dyDescent="0.35">
      <c r="B66" s="65" t="s">
        <v>79</v>
      </c>
      <c r="C66" s="29">
        <f>C63+C44</f>
        <v>614750</v>
      </c>
      <c r="D66" s="75">
        <f>D63+D44</f>
        <v>493967.73722627742</v>
      </c>
    </row>
    <row r="67" spans="2:4" ht="15" thickBot="1" x14ac:dyDescent="0.4">
      <c r="B67" s="67" t="s">
        <v>80</v>
      </c>
      <c r="C67" s="76">
        <f>-C66/C63</f>
        <v>14.550295857988166</v>
      </c>
      <c r="D67" s="77">
        <f>-D66/D63</f>
        <v>19.485906793935992</v>
      </c>
    </row>
  </sheetData>
  <conditionalFormatting sqref="D67">
    <cfRule type="cellIs" dxfId="7" priority="13" operator="lessThan">
      <formula>0</formula>
    </cfRule>
    <cfRule type="cellIs" dxfId="6" priority="14" operator="greaterThan">
      <formula>0</formula>
    </cfRule>
  </conditionalFormatting>
  <conditionalFormatting sqref="D66">
    <cfRule type="cellIs" dxfId="5" priority="11" operator="lessThan">
      <formula>0</formula>
    </cfRule>
    <cfRule type="cellIs" dxfId="4" priority="12" operator="greaterThan">
      <formula>0</formula>
    </cfRule>
  </conditionalFormatting>
  <conditionalFormatting sqref="C67">
    <cfRule type="cellIs" dxfId="3" priority="9" operator="lessThan">
      <formula>0</formula>
    </cfRule>
    <cfRule type="cellIs" dxfId="2" priority="10" operator="greaterThan">
      <formula>0</formula>
    </cfRule>
  </conditionalFormatting>
  <conditionalFormatting sqref="C66">
    <cfRule type="cellIs" dxfId="1" priority="7" operator="lessThan">
      <formula>0</formula>
    </cfRule>
    <cfRule type="cellIs" dxfId="0" priority="8" operator="greaterThan">
      <formula>0</formula>
    </cfRule>
  </conditionalFormatting>
  <hyperlinks>
    <hyperlink ref="G13" r:id="rId1" xr:uid="{3B3E1AB3-B9EE-45B0-B13E-47A7EF519A9A}"/>
    <hyperlink ref="G15" r:id="rId2" xr:uid="{25505809-8923-4636-9F1F-744309909A5B}"/>
    <hyperlink ref="H19" r:id="rId3" xr:uid="{F1F1A2E0-4295-4EE3-8E68-557D54B24F37}"/>
    <hyperlink ref="G24" r:id="rId4" xr:uid="{FF8ECB92-3811-487C-A8AC-F872737981BB}"/>
  </hyperlinks>
  <pageMargins left="0.7" right="0.7" top="0.75" bottom="0.75" header="0.3" footer="0.3"/>
  <pageSetup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Manufacturing</vt:lpstr>
      <vt:lpstr>Retail</vt:lpstr>
      <vt:lpstr>Healthcare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KAUSHAL JAIN</dc:creator>
  <cp:keywords/>
  <dc:description/>
  <cp:lastModifiedBy>KAUSHAL JAIN</cp:lastModifiedBy>
  <cp:revision/>
  <dcterms:created xsi:type="dcterms:W3CDTF">2019-07-09T01:27:59Z</dcterms:created>
  <dcterms:modified xsi:type="dcterms:W3CDTF">2019-08-07T03:43:01Z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867195-f2b8-4ac2-b0b6-6bb73cb33afc_Enabled">
    <vt:lpwstr>True</vt:lpwstr>
  </property>
  <property fmtid="{D5CDD505-2E9C-101B-9397-08002B2CF9AE}" pid="3" name="MSIP_Label_87867195-f2b8-4ac2-b0b6-6bb73cb33afc_SiteId">
    <vt:lpwstr>72f988bf-86f1-41af-91ab-2d7cd011db47</vt:lpwstr>
  </property>
  <property fmtid="{D5CDD505-2E9C-101B-9397-08002B2CF9AE}" pid="4" name="MSIP_Label_87867195-f2b8-4ac2-b0b6-6bb73cb33afc_Owner">
    <vt:lpwstr>t-kajai@microsoft.com</vt:lpwstr>
  </property>
  <property fmtid="{D5CDD505-2E9C-101B-9397-08002B2CF9AE}" pid="5" name="MSIP_Label_87867195-f2b8-4ac2-b0b6-6bb73cb33afc_SetDate">
    <vt:lpwstr>2019-08-07T03:42:40.6538739Z</vt:lpwstr>
  </property>
  <property fmtid="{D5CDD505-2E9C-101B-9397-08002B2CF9AE}" pid="6" name="MSIP_Label_87867195-f2b8-4ac2-b0b6-6bb73cb33afc_Name">
    <vt:lpwstr>Public</vt:lpwstr>
  </property>
  <property fmtid="{D5CDD505-2E9C-101B-9397-08002B2CF9AE}" pid="7" name="MSIP_Label_87867195-f2b8-4ac2-b0b6-6bb73cb33afc_Application">
    <vt:lpwstr>Microsoft Azure Information Protection</vt:lpwstr>
  </property>
  <property fmtid="{D5CDD505-2E9C-101B-9397-08002B2CF9AE}" pid="8" name="MSIP_Label_87867195-f2b8-4ac2-b0b6-6bb73cb33afc_ActionId">
    <vt:lpwstr>2dd90463-9a92-41a5-9337-7144c094e3e4</vt:lpwstr>
  </property>
  <property fmtid="{D5CDD505-2E9C-101B-9397-08002B2CF9AE}" pid="9" name="MSIP_Label_87867195-f2b8-4ac2-b0b6-6bb73cb33afc_Extended_MSFT_Method">
    <vt:lpwstr>Manual</vt:lpwstr>
  </property>
  <property fmtid="{D5CDD505-2E9C-101B-9397-08002B2CF9AE}" pid="10" name="Sensitivity">
    <vt:lpwstr>Public</vt:lpwstr>
  </property>
</Properties>
</file>