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github\Azure-Proactive-Resiliency-Library-v2\tools\sample-output\"/>
    </mc:Choice>
  </mc:AlternateContent>
  <xr:revisionPtr revIDLastSave="0" documentId="13_ncr:1_{411455D5-1F78-4F0E-A7B3-57B547502678}" xr6:coauthVersionLast="47" xr6:coauthVersionMax="47" xr10:uidLastSave="{00000000-0000-0000-0000-000000000000}"/>
  <bookViews>
    <workbookView xWindow="-28920" yWindow="3450" windowWidth="29040" windowHeight="15720" xr2:uid="{00000000-000D-0000-FFFF-FFFF00000000}"/>
  </bookViews>
  <sheets>
    <sheet name="Recommendations" sheetId="4" r:id="rId1"/>
    <sheet name="ImpactedResources" sheetId="1" r:id="rId2"/>
    <sheet name="ResourceTypes" sheetId="2" r:id="rId3"/>
    <sheet name="Retirements" sheetId="3" r:id="rId4"/>
    <sheet name="PivotTable" sheetId="5" r:id="rId5"/>
    <sheet name="Charts" sheetId="6" r:id="rId6"/>
  </sheets>
  <calcPr calcId="191029"/>
  <pivotCaches>
    <pivotCache cacheId="7" r:id="rId7"/>
    <pivotCache cacheId="1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0" i="4" l="1"/>
  <c r="A110" i="4"/>
  <c r="B109" i="4"/>
  <c r="A109" i="4"/>
  <c r="B108" i="4"/>
  <c r="A108" i="4"/>
  <c r="B107" i="4"/>
  <c r="A107" i="4"/>
  <c r="B106" i="4"/>
  <c r="A106" i="4"/>
  <c r="B105" i="4"/>
  <c r="A105" i="4"/>
  <c r="B104" i="4"/>
  <c r="A104" i="4"/>
  <c r="B103" i="4"/>
  <c r="A103" i="4"/>
  <c r="B102" i="4"/>
  <c r="A102" i="4"/>
  <c r="B101" i="4"/>
  <c r="A101" i="4"/>
  <c r="B100" i="4"/>
  <c r="A100" i="4"/>
  <c r="B99" i="4"/>
  <c r="A99" i="4"/>
  <c r="B98" i="4"/>
  <c r="A98" i="4"/>
  <c r="B97" i="4"/>
  <c r="A97" i="4"/>
  <c r="B96" i="4"/>
  <c r="A96" i="4"/>
  <c r="B95" i="4"/>
  <c r="A95" i="4"/>
  <c r="B94" i="4"/>
  <c r="A94" i="4"/>
  <c r="B93" i="4"/>
  <c r="A93" i="4"/>
  <c r="B92" i="4"/>
  <c r="A92" i="4"/>
  <c r="B91" i="4"/>
  <c r="A91" i="4"/>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A3" i="4"/>
  <c r="B2" i="4"/>
  <c r="A2" i="4"/>
</calcChain>
</file>

<file path=xl/sharedStrings.xml><?xml version="1.0" encoding="utf-8"?>
<sst xmlns="http://schemas.openxmlformats.org/spreadsheetml/2006/main" count="4164" uniqueCount="754">
  <si>
    <t>How was the resource/recommendation validated or what actions need to be taken?</t>
  </si>
  <si>
    <t>resourceType</t>
  </si>
  <si>
    <t>recommendationTitle</t>
  </si>
  <si>
    <t>recommendationId</t>
  </si>
  <si>
    <t>name</t>
  </si>
  <si>
    <t>id</t>
  </si>
  <si>
    <t>param1</t>
  </si>
  <si>
    <t>param2</t>
  </si>
  <si>
    <t>param3</t>
  </si>
  <si>
    <t>param4</t>
  </si>
  <si>
    <t>param5</t>
  </si>
  <si>
    <t>supportTicketId</t>
  </si>
  <si>
    <t>source</t>
  </si>
  <si>
    <t>checkName</t>
  </si>
  <si>
    <t>Azure Resource Graph</t>
  </si>
  <si>
    <t>Microsoft.Network/applicationGateways</t>
  </si>
  <si>
    <t>Secure all incoming connections with SSL</t>
  </si>
  <si>
    <t>233a7008-71e9-e745-923e-1a1c7a0b92f3</t>
  </si>
  <si>
    <t>CH1-AppFEAppGate-Pri</t>
  </si>
  <si>
    <t>/subscriptions/00000000-0000-0000-0000-000000000000/resourceGroups/RG1/providers/Microsoft.Network/applicationGateways/CH1-AppFEAppGate-Pri</t>
  </si>
  <si>
    <t>frontendPort: 80</t>
  </si>
  <si>
    <t>tls: false</t>
  </si>
  <si>
    <t/>
  </si>
  <si>
    <t>APRL</t>
  </si>
  <si>
    <t>frontendPort: 443</t>
  </si>
  <si>
    <t>Microsoft.Web/serverFarms</t>
  </si>
  <si>
    <t>Use Standard or Premium tier</t>
  </si>
  <si>
    <t>b2113023-a553-2e41-9789-597e2fb54c31</t>
  </si>
  <si>
    <t>CH1-TrafficLoadFuncSvcPlan</t>
  </si>
  <si>
    <t>/subscriptions/00000000-0000-0000-0000-000000000000/resourceGroups/RG1/providers/Microsoft.Web/serverFarms/CH1-TrafficLoadFuncSvcPlan</t>
  </si>
  <si>
    <t>SKU=Dynamic</t>
  </si>
  <si>
    <t>Microsoft.Compute/virtualMachines</t>
  </si>
  <si>
    <t>Run production workloads on two or more VMs using VMSS Flex</t>
  </si>
  <si>
    <t>273f6b30-68e0-4241-85ea-acf15ffb60bf</t>
  </si>
  <si>
    <t>CH1-AppBEVM00</t>
  </si>
  <si>
    <t>/subscriptions/00000000-0000-0000-0000-000000000000/resourceGroups/RG1/providers/Microsoft.Compute/virtualMachines/CH1-AppBEVM00</t>
  </si>
  <si>
    <t>CH1-AppBEVM01</t>
  </si>
  <si>
    <t>/subscriptions/00000000-0000-0000-0000-000000000000/resourceGroups/RG1/providers/Microsoft.Compute/virtualMachines/CH1-APPBEVM01</t>
  </si>
  <si>
    <t>CH1-SQLVM00</t>
  </si>
  <si>
    <t>/subscriptions/00000000-0000-0000-0000-000000000000/resourceGroups/RG1/providers/Microsoft.Compute/virtualMachines/CH1-SQLVM00</t>
  </si>
  <si>
    <t>CH1-SQLVM01</t>
  </si>
  <si>
    <t>/subscriptions/00000000-0000-0000-0000-000000000000/resourceGroups/RG1/providers/Microsoft.Compute/virtualMachines/CH1-SQLVM01</t>
  </si>
  <si>
    <t>CH1-UBNTVM</t>
  </si>
  <si>
    <t>/subscriptions/00000000-0000-0000-0000-000000000000/resourceGroups/RG1/providers/Microsoft.Compute/virtualMachines/CH1-UBNTVM</t>
  </si>
  <si>
    <t>Microsoft.Compute/virtualMachineScaleSets</t>
  </si>
  <si>
    <t>Enable Predictive autoscale and configure at least for Forecast Only</t>
  </si>
  <si>
    <t>3f85a51c-e286-9f44-b4dc-51d00768696c</t>
  </si>
  <si>
    <t>CH1-AppFEVMSS-Pri</t>
  </si>
  <si>
    <t>/subscriptions/00000000-0000-0000-0000-000000000000/resourceGroups/RG1/providers/Microsoft.Compute/virtualMachineScaleSets/CH1-AppFEVMSS-Pri</t>
  </si>
  <si>
    <t>predictiveAutoscalePolicy_scaleMode: Disabled</t>
  </si>
  <si>
    <t>Enable VM Insights</t>
  </si>
  <si>
    <t>b72214bb-e879-5f4b-b9cd-642db84f36f4</t>
  </si>
  <si>
    <t>/subscriptions/00000000-0000-0000-0000-000000000000/resourcegroups/RG1/providers/microsoft.compute/virtualmachines/ch1-appbevm00</t>
  </si>
  <si>
    <t>MonitoringExtension:AzureMonitorWindowsAgent</t>
  </si>
  <si>
    <t>DataCollectionRuleId:</t>
  </si>
  <si>
    <t>isPerformanceEnabled:</t>
  </si>
  <si>
    <t>DataCollectionRuleId:/subscriptions/00000000-0000-0000-0000-000000000000/resourcegroups/ch1-opsrg-pri/providers/microsoft.insights/datacollectionrules/microsoft-vminsights-health</t>
  </si>
  <si>
    <t>/subscriptions/00000000-0000-0000-0000-000000000000/resourcegroups/RG1/providers/microsoft.compute/virtualmachines/ch1-appbevm01</t>
  </si>
  <si>
    <t>/subscriptions/00000000-0000-0000-0000-000000000000/resourcegroups/RG1/providers/microsoft.compute/virtualmachines/ch1-sqlvm00</t>
  </si>
  <si>
    <t>/subscriptions/00000000-0000-0000-0000-000000000000/resourcegroups/RG1/providers/microsoft.compute/virtualmachines/ch1-sqlvm01</t>
  </si>
  <si>
    <t>/subscriptions/00000000-0000-0000-0000-000000000000/resourcegroups/RG1/providers/microsoft.compute/virtualmachines/ch1-ubntvm</t>
  </si>
  <si>
    <t>MonitoringExtension:AzureMonitorLinuxAgent</t>
  </si>
  <si>
    <t>Microsoft.Storage/storageAccounts</t>
  </si>
  <si>
    <t>Ensure that storage accounts are zone or region redundant</t>
  </si>
  <si>
    <t>e6c7e1cc-2f47-264d-aa50-1da421314472</t>
  </si>
  <si>
    <t>asrcacheyerrfhbj7xjwk</t>
  </si>
  <si>
    <t>/subscriptions/00000000-0000-0000-0000-000000000000/resourceGroups/RG1/providers/Microsoft.Storage/storageAccounts/asrcacheyerrfhbj7xjwk</t>
  </si>
  <si>
    <t>sku: Standard_LRS</t>
  </si>
  <si>
    <t>ch1asrcachesasec</t>
  </si>
  <si>
    <t>/subscriptions/00000000-0000-0000-0000-000000000000/resourceGroups/RG1/providers/Microsoft.Storage/storageAccounts/ch1asrcachesasec</t>
  </si>
  <si>
    <t>ch1tloadfuncsapri</t>
  </si>
  <si>
    <t>/subscriptions/00000000-0000-0000-0000-000000000000/resourceGroups/RG1/providers/Microsoft.Storage/storageAccounts/ch1tloadfuncsapri</t>
  </si>
  <si>
    <t>freqgenfunckmb37mnkj4</t>
  </si>
  <si>
    <t>/subscriptions/00000000-0000-0000-0000-000000000000/resourceGroups/RG1/providers/Microsoft.Storage/storageAccounts/freqgenfunckmb37mnkj4</t>
  </si>
  <si>
    <t>loadfunckmb37mnkj4</t>
  </si>
  <si>
    <t>/subscriptions/00000000-0000-0000-0000-000000000000/resourceGroups/RG1/providers/Microsoft.Storage/storageAccounts/loadfunckmb37mnkj4</t>
  </si>
  <si>
    <t>sqlcloudwit3436x4z2xrhdw</t>
  </si>
  <si>
    <t>/subscriptions/00000000-0000-0000-0000-000000000000/resourceGroups/RG1/providers/Microsoft.Storage/storageAccounts/sqlcloudwit3436x4z2xrhdw</t>
  </si>
  <si>
    <t>Plan for backend maintenance by using connection draining</t>
  </si>
  <si>
    <t>10f02bc6-e2e7-004d-a2c2-f9bf9f16b915</t>
  </si>
  <si>
    <t>connectionDraining: Disabled</t>
  </si>
  <si>
    <t>backendSettingsName: appGatewayBackendHttpSettings</t>
  </si>
  <si>
    <t>Backup VMs with Azure Backup service</t>
  </si>
  <si>
    <t>1981f704-97b9-b645-9c57-33f8ded9261a</t>
  </si>
  <si>
    <t>Microsoft.Network/loadBalancers</t>
  </si>
  <si>
    <t>Use Standard Load Balancer SKU</t>
  </si>
  <si>
    <t>38c3bca1-97a1-eb42-8cd3-838b243f35ba</t>
  </si>
  <si>
    <t>CH1-AppBENLB-Pri</t>
  </si>
  <si>
    <t>/subscriptions/00000000-0000-0000-0000-000000000000/resourceGroups/RG1/providers/Microsoft.Network/loadBalancers/CH1-AppBENLB-Pri</t>
  </si>
  <si>
    <t>sku-tier: basic</t>
  </si>
  <si>
    <t>CH1-SQLNLB-Pri</t>
  </si>
  <si>
    <t>/subscriptions/00000000-0000-0000-0000-000000000000/resourceGroups/RG1/providers/Microsoft.Network/loadBalancers/CH1-SQLNLB-Pri</t>
  </si>
  <si>
    <t>Deploy VMs across Availability Zones</t>
  </si>
  <si>
    <t>2bd0be95-a825-6f47-a8c6-3db1fb5eb387</t>
  </si>
  <si>
    <t>No Zone</t>
  </si>
  <si>
    <t>Use Health Probes to detect backend availability</t>
  </si>
  <si>
    <t>847a8d88-21c4-bc48-a94e-562206edd767</t>
  </si>
  <si>
    <t>customHealthProbeUsed: false</t>
  </si>
  <si>
    <t>Deploy VMSS with Flex orchestration mode instead of Uniform</t>
  </si>
  <si>
    <t>e7495e1c-0c75-0946-b266-b429b5c7f3bf</t>
  </si>
  <si>
    <t>orchestrationMode: Uniform</t>
  </si>
  <si>
    <t>Replicate VMs using Azure Site Recovery</t>
  </si>
  <si>
    <t>cfe22a65-b1db-fd41-9e8e-d573922709ae</t>
  </si>
  <si>
    <t>Enable Azure Private Link service for FSLogix storage account</t>
  </si>
  <si>
    <t>dc55be60-6f8c-461e-a9d5-a3c7686ed94e</t>
  </si>
  <si>
    <t xml:space="preserve">Private Endpoint: </t>
  </si>
  <si>
    <t>Access: NetworkACLs in place</t>
  </si>
  <si>
    <t>Enable Accelerated Networking (AccelNet)</t>
  </si>
  <si>
    <t>dfedbeb1-1519-fc47-86a5-52f96cf07105</t>
  </si>
  <si>
    <t>NicName: CH1-AppBEVM01-nic</t>
  </si>
  <si>
    <t>VMSize: Standard_D2s_v3</t>
  </si>
  <si>
    <t>NicName: CH1-SQLVM01-nic</t>
  </si>
  <si>
    <t>VMSize: Standard_D4s_v3</t>
  </si>
  <si>
    <t>NicName: CH1-AppBEVM00-nic</t>
  </si>
  <si>
    <t>NicName: CH1-SQLVM00-nic</t>
  </si>
  <si>
    <t>NicName: CH1-UBNTVM-nic</t>
  </si>
  <si>
    <t>Set a minimum instance count of 2</t>
  </si>
  <si>
    <t>823b0cff-05c0-2e4e-a1e7-9965e1cfa16f</t>
  </si>
  <si>
    <t>autoScaleConfiguration: isNull or MinCapacity &lt;= 1</t>
  </si>
  <si>
    <t>Configure diagnostic settings for all Azure Virtual Machines</t>
  </si>
  <si>
    <t>4a9d8973-6dba-0042-b3aa-07924877ebd5</t>
  </si>
  <si>
    <t>DiagnosticSetting: Enabled, partially configured (IaaSDiagnostics)</t>
  </si>
  <si>
    <t>ProvisioningState: Succeeded</t>
  </si>
  <si>
    <t>storageAccount: n/a</t>
  </si>
  <si>
    <t>PerformanceCounters: Not configured</t>
  </si>
  <si>
    <t>EventLogs/Syslogs: Not configured</t>
  </si>
  <si>
    <t>DiagnosticSetting: Not enabled</t>
  </si>
  <si>
    <t>ProvisioningState: n/a</t>
  </si>
  <si>
    <t>PerformanceCounters: n/a</t>
  </si>
  <si>
    <t>EventLogs/Syslogs: n/a</t>
  </si>
  <si>
    <t>Ensure that your VMs are compliant with Azure Policies</t>
  </si>
  <si>
    <t>c42343ae-2712-2843-a285-3437eb0b28a1</t>
  </si>
  <si>
    <t xml:space="preserve">DefinitionName: </t>
  </si>
  <si>
    <t>DefinitionID: /providers/microsoft.authorization/policydefinitions/fc4d8e41-e223-45ea-9bf5-eada37891d87</t>
  </si>
  <si>
    <t xml:space="preserve">AssignmentName: </t>
  </si>
  <si>
    <t>AssignmentID: /providers/microsoft.management/managementgroups/contoso/providers/microsoft.authorization/policyassignments/deploy-asc-monitoring</t>
  </si>
  <si>
    <t>DefinitionID: /providers/microsoft.authorization/policydefinitions/47a6b606-51aa-4496-8bb7-64b11cf66adc</t>
  </si>
  <si>
    <t>AssignmentID: /providers/microsoft.management/managementgroups/contoso-online/providers/microsoft.authorization/policyassignments/iso-27001-2013</t>
  </si>
  <si>
    <t>DefinitionID: /providers/microsoft.authorization/policydefinitions/72650e9f-97bc-4b2a-ab5f-9781a9fcecbc</t>
  </si>
  <si>
    <t>AssignmentName: ASC Default (subscription: 00000000-0000-0000-0000-000000000000)</t>
  </si>
  <si>
    <t>AssignmentID: /subscriptions/00000000-0000-0000-0000-000000000000/providers/microsoft.authorization/policyassignments/securitycenterbuiltin</t>
  </si>
  <si>
    <t>DefinitionID: /providers/microsoft.authorization/policydefinitions/e1e5fd5d-3e4c-4ce1-8661-7d1873ae6b15</t>
  </si>
  <si>
    <t>DefinitionID: /providers/microsoft.authorization/policydefinitions/6ba6d016-e7c3-4842-b8f2-4992ebc0d72d</t>
  </si>
  <si>
    <t>DefinitionID: /providers/microsoft.authorization/policydefinitions/5752e6d6-1206-46d8-8ab1-ecc2f71a8112</t>
  </si>
  <si>
    <t>DefinitionID: /providers/microsoft.authorization/policydefinitions/3dc5edcd-002d-444c-b216-e123bbfa37c0</t>
  </si>
  <si>
    <t>DefinitionID: /providers/microsoft.authorization/policydefinitions/3ac7c827-eea2-4bde-acc7-9568cd320efa</t>
  </si>
  <si>
    <t>DefinitionID: /providers/microsoft.authorization/policydefinitions/0961003e-5a0a-4549-abde-af6a37f2724d</t>
  </si>
  <si>
    <t>DefinitionID: /providers/microsoft.authorization/policydefinitions/fc9b3da7-8347-4380-8e70-0a0361d8dedd</t>
  </si>
  <si>
    <t>DefinitionID: /providers/microsoft.authorization/policydefinitions/8e42c1f2-a2ab-49bc-994a-12bcd0dc4ac2</t>
  </si>
  <si>
    <t>DefinitionID: /providers/microsoft.authorization/policydefinitions/1f7c564c-0a90-4d44-b7e1-9d456cffaee8</t>
  </si>
  <si>
    <t>DefinitionID: /providers/microsoft.authorization/policydefinitions/13a6c84f-49a5-410a-b5df-5b880c3fe009</t>
  </si>
  <si>
    <t>DefinitionID: /providers/microsoft.authorization/policydefinitions/501541f7-f7e7-4cd6-868c-4190fdad3ac9</t>
  </si>
  <si>
    <t>DefinitionID: /providers/microsoft.authorization/policydefinitions/013e242c-8828-4970-87b3-ab247555486d</t>
  </si>
  <si>
    <t>Deploy Application Gateway in a zone-redundant configuration</t>
  </si>
  <si>
    <t>c9c00f2a-3888-714b-a72b-b4c9e8fcffb2</t>
  </si>
  <si>
    <t>Zones: No Zone or Zonal</t>
  </si>
  <si>
    <t>Zones value: null</t>
  </si>
  <si>
    <t>Consider upgrading legacy storage accounts to v2 storage accounts</t>
  </si>
  <si>
    <t>2ad78dec-5a4d-4a30-8fd1-8584335ad781</t>
  </si>
  <si>
    <t>AccountKind: Storage (general purpose v1)</t>
  </si>
  <si>
    <t>Performance: Standard</t>
  </si>
  <si>
    <t>Replication: Standard_LRS</t>
  </si>
  <si>
    <t>Use ZRS Disks or Protect LRS Disks from Availability Zone Failure</t>
  </si>
  <si>
    <t>fa0cf4f5-0b21-47b7-89a9-ee936f193ce1</t>
  </si>
  <si>
    <t>CH1-AppBEVM00-osdisk</t>
  </si>
  <si>
    <t>/subscriptions/00000000-0000-0000-0000-000000000000/resourceGroups/RG1/providers/Microsoft.Compute/disks/CH1-AppBEVM00-osdisk</t>
  </si>
  <si>
    <t>@{name=Premium_LRS; tier=Premium}</t>
  </si>
  <si>
    <t>CH1-AppBEVM01-osdisk</t>
  </si>
  <si>
    <t>/subscriptions/00000000-0000-0000-0000-000000000000/resourceGroups/RG1/providers/Microsoft.Compute/disks/CH1-AppBEVM01-osdisk</t>
  </si>
  <si>
    <t>CH1-SQLVM00-osdisk</t>
  </si>
  <si>
    <t>/subscriptions/00000000-0000-0000-0000-000000000000/resourceGroups/RG1/providers/Microsoft.Compute/disks/CH1-SQLVM00-osdisk</t>
  </si>
  <si>
    <t>CH1-SQLVM00_disk2_a8fbcb3f2ec841b49ab2d9a1196768d2</t>
  </si>
  <si>
    <t>/subscriptions/00000000-0000-0000-0000-000000000000/resourceGroups/RG1/providers/Microsoft.Compute/disks/CH1-SQLVM00_disk2_a8fbcb3f2ec841b49ab2d9a1196768d2</t>
  </si>
  <si>
    <t>CH1-SQLVM01-osdisk</t>
  </si>
  <si>
    <t>/subscriptions/00000000-0000-0000-0000-000000000000/resourceGroups/RG1/providers/Microsoft.Compute/disks/CH1-SQLVM01-osdisk</t>
  </si>
  <si>
    <t>CH1-SQLVM01_disk2_861cfef2c6124626b13cc862c8f5cb99</t>
  </si>
  <si>
    <t>/subscriptions/00000000-0000-0000-0000-000000000000/resourceGroups/RG1/providers/Microsoft.Compute/disks/CH1-SQLVM01_disk2_861cfef2c6124626b13cc862c8f5cb99</t>
  </si>
  <si>
    <t>CH1-UBNTVM_disk1_93055ccb1ab04c91a877040365f85dad</t>
  </si>
  <si>
    <t>/subscriptions/00000000-0000-0000-0000-000000000000/resourceGroups/RG1/providers/Microsoft.Compute/disks/CH1-UBNTVM_disk1_93055ccb1ab04c91a877040365f85dad</t>
  </si>
  <si>
    <t>Migrate VMs using availability sets to VMSS Flex</t>
  </si>
  <si>
    <t>a8d25876-7951-b646-b4e8-880c9031596b</t>
  </si>
  <si>
    <t>availabilitySet: /subscriptions/00000000-0000-0000-0000-000000000000/resourceGroups/RG1/providers/Microsoft.Compute/availabilitySets/CH1-APPBEASET-PRI</t>
  </si>
  <si>
    <t>availabilitySet: /subscriptions/00000000-0000-0000-0000-000000000000/resourceGroups/RG1/providers/Microsoft.Compute/availabilitySets/CH1-SQLASET-PRI</t>
  </si>
  <si>
    <t>Deploy VMSS across availability zones with VMSS Flex</t>
  </si>
  <si>
    <t>1422c567-782c-7148-ac7c-5fc14cf45adc</t>
  </si>
  <si>
    <t>AvailabilityZones: Single Zone</t>
  </si>
  <si>
    <t>Network access to the VM disk should be set to Disable public access and enable private access</t>
  </si>
  <si>
    <t>70b1d2be-e6c4-b54e-9959-b1b690f9e485</t>
  </si>
  <si>
    <t>VMName: CH1-UBNTVM</t>
  </si>
  <si>
    <t>VMName: CH1-AppBEVM00</t>
  </si>
  <si>
    <t>VMName: CH1-AppBEVM01</t>
  </si>
  <si>
    <t>VMName: CH1-SQLVM00</t>
  </si>
  <si>
    <t>VMName: CH1-SQLVM01</t>
  </si>
  <si>
    <t>Host database data on a data disk</t>
  </si>
  <si>
    <t>4ea2878f-0d69-8d4a-b715-afc10d1e538e</t>
  </si>
  <si>
    <t>Service Not Available In APRL - Validate Service manually if Applicable, if not Delete this line</t>
  </si>
  <si>
    <t>microsoft.insights/datacollectionrules</t>
  </si>
  <si>
    <t>microsoft.insights/autoscalesettings</t>
  </si>
  <si>
    <t>microsoft.eventgrid/systemtopics</t>
  </si>
  <si>
    <t>microsoft.compute/sshpublickeys</t>
  </si>
  <si>
    <t>microsoft.sqlvirtualmachine/sqlvirtualmachines</t>
  </si>
  <si>
    <t>microsoft.compute/availabilitysets</t>
  </si>
  <si>
    <t>microsoft.network/networkinterfaces</t>
  </si>
  <si>
    <t>microsoft.compute/disks</t>
  </si>
  <si>
    <t>microsoft.compute/virtualmachines/extensions</t>
  </si>
  <si>
    <t>Subscription</t>
  </si>
  <si>
    <t>Resource Type</t>
  </si>
  <si>
    <t>Number of Resources</t>
  </si>
  <si>
    <t>Available in APRL?</t>
  </si>
  <si>
    <t>Custom1</t>
  </si>
  <si>
    <t>Custom2</t>
  </si>
  <si>
    <t>Custom3</t>
  </si>
  <si>
    <t>Contoso Hotels Tenant - Production</t>
  </si>
  <si>
    <t>No</t>
  </si>
  <si>
    <t>microsoft.storage/storageaccounts</t>
  </si>
  <si>
    <t>Yes</t>
  </si>
  <si>
    <t>microsoft.compute/virtualmachines</t>
  </si>
  <si>
    <t>microsoft.network/loadbalancers</t>
  </si>
  <si>
    <t>microsoft.network/publicipaddresses</t>
  </si>
  <si>
    <t>microsoft.web/sites</t>
  </si>
  <si>
    <t>microsoft.network/applicationgateways</t>
  </si>
  <si>
    <t>microsoft.web/serverfarms</t>
  </si>
  <si>
    <t>microsoft.compute/virtualmachinescalesets</t>
  </si>
  <si>
    <t>Tracking ID</t>
  </si>
  <si>
    <t>Status</t>
  </si>
  <si>
    <t>Last Update Time</t>
  </si>
  <si>
    <t>End Time</t>
  </si>
  <si>
    <t>Impacted Service</t>
  </si>
  <si>
    <t>Title</t>
  </si>
  <si>
    <t>Summary</t>
  </si>
  <si>
    <t>Details</t>
  </si>
  <si>
    <t>Required Action</t>
  </si>
  <si>
    <t>00000000-0000-0000-0000-000000000000</t>
  </si>
  <si>
    <t>_MYH-NTZ</t>
  </si>
  <si>
    <t>Active</t>
  </si>
  <si>
    <t>04/25/2024 06:13:53</t>
  </si>
  <si>
    <t>09/30/2026 00:00:00</t>
  </si>
  <si>
    <t>Azure Monitor</t>
  </si>
  <si>
    <t>Transition to the ContainerLogV2 table by 30 September 2026</t>
  </si>
  <si>
    <t>You’re receiving this notice because you use Azure Monitor container insights.</t>
  </si>
  <si>
    <t xml:space="preserve">You’re receiving this notice because you use Azure Monitor container insights.
On 30 September 2026, we’ll retire the ContainerLog table in Azure Monitor and you’ll need to transition to the ContainerLogV2 table. The ContainerLogV2 table offers all the functionality of ContainerLog, plus:
Compatibility with the basic logs pricing tier.
Additional pod and container metadata for easier querying.
Support for multiline log entries.
</t>
  </si>
  <si>
    <t xml:space="preserve">
To ensure your alerts and dashboards continue to work as expected, transition to ContainerLogV2 by 30 September 2026.
</t>
  </si>
  <si>
    <t>_MWK-DTZ</t>
  </si>
  <si>
    <t>04/23/2024 22:35:31</t>
  </si>
  <si>
    <t>09/30/2025 00:00:00</t>
  </si>
  <si>
    <t>Migrate to Azure Monitor VM insights by 30 September 2025 when Service Map will be retired</t>
  </si>
  <si>
    <t>You're receiving this notice because you use Azure Service Map.</t>
  </si>
  <si>
    <t xml:space="preserve">You're receiving this notice because you use Azure Service Map.
On 30 September 2025, Azure Service Map will be retired. To monitor connections between servers, processes, inbound and outbound connection latency, and ports across any TCP-connected architecture, you'll need to migrate to Azure Monitor VM insights.
The map experience of VM insights includes all the same functionality of Service Map, plus:
Improved scalability and support for more complex maps.
Deeper metrics capabilities for connections.
Support for grouping the machines you onboard to the map experience with subscriptions, resource groups, Azure Virtual Machine Scale Sets, and Azure Cloud Services.
</t>
  </si>
  <si>
    <t xml:space="preserve">
To continue monitoring processes and dependencies for your Azure virtual machines and on-premises machines, review pricing and migrate to Azure Monitor VM insights by 30 September 2025.
</t>
  </si>
  <si>
    <t>XKB7-9TG</t>
  </si>
  <si>
    <t>03/27/2024 17:43:31</t>
  </si>
  <si>
    <t>08/31/2024 00:00:00</t>
  </si>
  <si>
    <t>Log Analytics</t>
  </si>
  <si>
    <t>Action required: Start using the Azure Monitor Agent before 31 August 2024</t>
  </si>
  <si>
    <t>You're receiving this notice because you use the Log Analytics Agent to monitor your Virtual Machines (VMs) or servers.</t>
  </si>
  <si>
    <t xml:space="preserve">You're receiving this notice because you use the Log Analytics Agent to monitor your Virtual Machines (VMs) or servers.
On 31 August 2024, we'll retire the Log Analytics Agent and it will no longer be supported by Microsoft. You'll need to start using the Azure Monitor Agent to monitor your VMs and servers in Azure. The Azure Monitor agent provides new features and capabilities, including:
Centralized configuration for multiple VMs.
Data limits and filters at the source.
Multiple destinations for data from a single agent.
</t>
  </si>
  <si>
    <t xml:space="preserve">
Follow the migration instructions to start using the Azure Monitor agent to monitor your VMs and servers before 31 August 2024.
If you're using the Log Analytics Agents with other Microsoft solutions, follow these guidelines for using the Azure Monitor Agent for those solutions.
</t>
  </si>
  <si>
    <t>WL54-58G</t>
  </si>
  <si>
    <t>03/05/2024 16:07:34</t>
  </si>
  <si>
    <t>02/29/2024 00:00:00</t>
  </si>
  <si>
    <t>Application Insights</t>
  </si>
  <si>
    <t xml:space="preserve"> Action required: Migrate classic application insights resources to workspace-based application insights</t>
  </si>
  <si>
    <t>You're receiving this notice because you use classic application insights in Azure Monitor.</t>
  </si>
  <si>
    <t xml:space="preserve">You're receiving this notice because you use classic application insights in Azure Monitor.
As of 29 February 2024, classic application insights in Azure Monitor has retired and you'll need to migrate your resources to workspace-based application insights. After 29 February 2024, your classic resources will continue to work and will not be deleted. If you have recently migrated to workspace-based application insights or are not currently using classic application insights, no further action is required.
Workspace-based application insights offers improved functionality such as:
Continuous export of app logs via diagnostic settings.
The ability to collect data from multiple resources in a single Azure Monitor log analytics workspace.
Enhanced encryption and optimization with a dedicated cluster.
New options to reduce costs.
Although most customers' pricing will remain the same, some may experience a change associated with this migration. Use the Azure pricing calculator to confirm your pricing.
</t>
  </si>
  <si>
    <t xml:space="preserve">
We recommend you migrate your resources to workspace-based application insights as soon as possible.
More information
If you have questions, get answers from community experts in Microsoft Q&amp;A. If you have a support plan and you need technical help, please create a support request:
For Summary, type a description of your issue.
For Issue type, select Technical.
For Subscription, select your subscription.
For Service, select My services.
For Service type, select Application Insights.
For Resource, select the resource you need help with.
For Problem type, select Deprecated Features.
For Problem subtype, select Migrate from Classic to Log Analytics based Application Insights.</t>
  </si>
  <si>
    <t>VSQ2-DSG</t>
  </si>
  <si>
    <t>04/01/2024 07:08:09</t>
  </si>
  <si>
    <t>Retirement notice: Transition to using standard tests in Azure Monitor application insights</t>
  </si>
  <si>
    <t>You’re receiving this notice because you use URL ping tests for single-step availability testing in application insights.</t>
  </si>
  <si>
    <t xml:space="preserve">You’re receiving this notice because you use URL ping tests for single-step availability testing in application insights.
On 30 September 2026, the URL ping test capability of the application insights feature of Azure Monitor will be retired and ping tests will be removed from your resources. Before that date, you’ll need to transition to using standard tests, which also provide:
SSL certificate validity
Proactive lifetime check
HTTP request verb (such as GET, HEAD, POST)
Custom headers and custom data associated with HTTP requests
Recommended action
To ensure you can continue to run single-step availability tests in your application insights resources, review the pricing of standard tests and transition to using them before 30 September 2026. 
</t>
  </si>
  <si>
    <t xml:space="preserve"> 
If you have questions, get answers from community experts in Microsoft Q&amp;A. If you have a support plan and you need technical help, create a support request: 
For Summary, type a description of your issue.  
For Issue type, select Technical.  
For Subscription, select your subscription.  
For Service, select My services.  
For Service type, select Application Insights.  
For Problem type, select A feature that I use is deprecated and will be removed from Application Insights. 
For Problem subtype, select Ping Tests are deprecated. 
Learn more about service retirements that may impact your resources in the Azure Retirement Workbook. Please note that retirements may not be visible in the workbook for up to two weeks after being announced. </t>
  </si>
  <si>
    <t>RM64-FSZ</t>
  </si>
  <si>
    <t>03/12/2024 02:01:35</t>
  </si>
  <si>
    <t>Subscription Management</t>
  </si>
  <si>
    <t xml:space="preserve">Action required: Transition from Azure classic administrator roles to RBAC roles </t>
  </si>
  <si>
    <t xml:space="preserve">You're receiving this notice because you use Azure classic administrator roles. </t>
  </si>
  <si>
    <t xml:space="preserve">You're receiving this notice because you use Azure classic administrator roles. 
On 31 August 2024, Azure classic administrator roles will be retired. If your organization has active Co-Administrator or Service Admin roles, you'll need to transition to using Azure RBAC roles by then. (All Azure classic resources and Azure Service Manager will also be retired on that date.)
You may continue using these Azure classic admin roles until they're retired. However, starting 3 April 2024, you'll no longer be able to add new Co-Administrator roles through the Azure portal. 
</t>
  </si>
  <si>
    <t xml:space="preserve">
To avoid potential disruptions in service, transition any classic admin roles that still need access to your subscription to an Azure RBAC role by 31 August 2024, when classic admin roles will no longer be supported. 
</t>
  </si>
  <si>
    <t>NNYV-38Z</t>
  </si>
  <si>
    <t>03/19/2024 18:42:15</t>
  </si>
  <si>
    <t>Azure Managed Grafana</t>
  </si>
  <si>
    <t>Action recommended: Update to using Grafana version 10 for Azure Managed Grafana</t>
  </si>
  <si>
    <t>You’re receiving this notice because you’re using Grafana version 9 on Azure Managed Grafana.</t>
  </si>
  <si>
    <t xml:space="preserve">You’re receiving this notice because you’re using Grafana version 9 on Azure Managed Grafana.
Starting 31 August 2024, we will retire Grafana version 9. Before that date, you’ll need to update to Grafana version 10 as soon as possible. Grafana 10 provides all the functionality of Grafana 9 plus new ones, including:
New visualization panels
New or updated data source plugins
Tracing and correlations
Grafana version 9 will reach end-of-life support later this year and Grafana Labs will no longer provide security patches and other critical updates after that point. As a result, Azure Managed Grafana will stop offering Grafana version 9 as a supported software version on 31 August 2024. We strongly recommend that you upgrade your Managed Grafana workspace to Grafana 10 manually as soon as possible. If your workspace is still using Grafana version 9 after 31 August 2024, it will be migrated to Grafana version 10 in September 2024. You won’t be notified of the exact timing of this migration in advance.
You can still use Grafana 9 between 31 August 2024 and the date your workspace is automatically upgraded to Grafana version 10. However, during this period, Grafana version 9 will no longer receive updates from Microsoft. 
Recommended Action
To avoid support disruptions, we strongly recommend that you manually upgrade to Grafana version 10 by 31 August 2024. 
</t>
  </si>
  <si>
    <t xml:space="preserve">
If you have questions, get answers from community experts in Microsoft Q&amp;A. If you have a support plan and you need technical help, please create a support request.
For Issue type, select Technical.
For Subscription, select your subscription.
For Service, select My services, then select Azure Managed Grafana.
For Summary, type a description of your issue.
For Problem type, select Issues using Grafana.  
For Problem subtype, select My issue is not listed.
Learn more about service retirements that may impact your resources in the Azure Retirement Workbook. Please note that retirements may not be visible in the workbook for up to two weeks after being announced.</t>
  </si>
  <si>
    <t>NKCZ-HZG</t>
  </si>
  <si>
    <t>02/08/2024 03:45:34</t>
  </si>
  <si>
    <t>Load Balancer</t>
  </si>
  <si>
    <t>Action required: Upgrade to Azure Standard Load Balancer by 30 September 2025</t>
  </si>
  <si>
    <t>You're receiving this notice because you've used Azure Basic Load Balancer within the last month.</t>
  </si>
  <si>
    <t xml:space="preserve">You're receiving this notice because you've used Azure Basic Load Balancer within the last month.
This is a reminder that on 30 September 2025, Azure Basic Load Balancer will be retired. You can continue to use your existing Basic Load Balancers until then, but you'll no longer be able to deploy new ones after 31 March 2025. 
To keep your workloads appropriately distributed, you'll need to upgrade to Standard Load Balancer, which provides significant improvements including:
High performance, ultra-low latency, and superior resilient load-balancing. 
Security by default—closed to inbound flows unless allowed by a network security group.
Diagnostics such as multi-dimensional metrics and alerts, resource health, and monitoring.
SLA of 99.99 percent availability.
If you have any Basic Load Balancers deployed in Azure Cloud Services (extended support), those deployments will not be affected by this retirement and you don't need to take any action for them.
</t>
  </si>
  <si>
    <t xml:space="preserve">
To avoid any potential service disruptions, review pricing and then follow the detailed steps to upgrade from Basic Load Balancer to Standard Load Balancer by 30 September 2025. Additionally, plan to halt new deployments of Basic Load Balancer deployments before 31 March 2025. 
</t>
  </si>
  <si>
    <t>JNRV-3PZ</t>
  </si>
  <si>
    <t>02/23/2024 18:35:10</t>
  </si>
  <si>
    <t>03/08/2024 05:57:40</t>
  </si>
  <si>
    <t>Cognitive Services</t>
  </si>
  <si>
    <t>Action recommended: Prepare for a version update in Azure OpenAI Service deployments</t>
  </si>
  <si>
    <t>You're receiving this notice because you use Azure OpenAI Service.</t>
  </si>
  <si>
    <t xml:space="preserve">You're receiving this notice because you use Azure OpenAI Service.
On 8 March 2024, we'll begin updating Azure OpenAI deployments that use GPT-4 version 1106-preview to use version 0125-preview. The update will be completed within two weeks of that date.
GPT-4 version 0125-preview offers several improvements, including:
More complete code generation.
A higher rate of task completion.
Fixing a bug that affected non-English UTF-8 generations.
Because of these improved capabilities, you may notice some changes in the model behavior and compatibility after the update.
Recommended action
In a region where GPT-4 version 0125-preview is available, test your applications and workflows that use version 1106-preview before 8 March 2024 to ensure they'll continue working as expected.
</t>
  </si>
  <si>
    <t xml:space="preserve">
If you have questions, ask community experts in Microsoft Q&amp;A. If you have a support plan and you need technical help, open the Azure portal and select the question mark icon at the top of the page.</t>
  </si>
  <si>
    <t>FSQ7-B9G</t>
  </si>
  <si>
    <t>04/29/2024 07:14:20</t>
  </si>
  <si>
    <t>04/03/2024 06:12:00</t>
  </si>
  <si>
    <t>Functions</t>
  </si>
  <si>
    <t>Retirement Notice: Support for the 1.x version of Azure Functions is ending on 14 September 2026</t>
  </si>
  <si>
    <t>You’re receiving this notice because you use version 1.x of the Azure Functions runtime.</t>
  </si>
  <si>
    <t xml:space="preserve">You’re receiving this notice because you use version 1.x of the Azure Functions runtime.
On 14 September 2026, support for version 1.x of the Azure Functions runtime will end. You’ll still be able to use that version beyond that date, but it will no longer be supported or receive software or security updates.
To continue with a supported version, migrate to version 4.x of the Azure Functions runtime, which includes benefits such as:
Support for additional target framework versions, including .NET Framework 4.8, .NET 6, and .NET 7.
Ability to work with the latest Azure SDKs.
Enhanced monitoring options.
Improved reliability, throughput, and cold-start performance.
Recommended action
To ensure your function apps continue to run on a supported version, migrate to version 4.x of the Azure Functions runtime by 14 September 2026.
</t>
  </si>
  <si>
    <t xml:space="preserve">
If you have questions, get answers from community experts in Microsoft Q&amp;A. If you have a support plan and you need technical help, create a support request:
For Issue type, select Technical.
For Subscription, select your subscription.
For Service, select My services.
For Service type, select Function App.
For Resource, select your function app resource.
For Summary, type a description of your issue.
For Problem type, select Configuring and Managing Function Apps.
For Problem subtype, select Updating Function App Language Version.</t>
  </si>
  <si>
    <t>7KFP-RTG</t>
  </si>
  <si>
    <t>02/08/2024 03:59:18</t>
  </si>
  <si>
    <t>09/30/2025 20:48:53</t>
  </si>
  <si>
    <t>Virtual Network</t>
  </si>
  <si>
    <t>Action required: Upgrade from Basic to Standard SKU public IP addresses in Azure by 30 September 2025</t>
  </si>
  <si>
    <t>You're receiving this notice because you've used Basic SKU public IP addresses within the last 30 days.</t>
  </si>
  <si>
    <t xml:space="preserve">You're receiving this notice because you've used Basic SKU public IP addresses within the last 30 days.
This is a reminder that on 30 September 2025, Basic SKU public IP addresses will be retired in Azure. You can continue to use your existing Basic SKU public IP addresses until then, however, you'll no longer be able to create new ones after 31 March 2025.
Standard SKU public IP addresses offer significant improvements, including: 
Access to a variety of other Azure products, including Standard Load Balancer, Azure Firewall, and NAT Gateway.
Security by default—closed to inbound flows unless allowed by a network security group.
Zone-redundant and zonal front ends for inbound and outbound traffic.
If you have any Basic SKU public IP addresses deployed in Azure Cloud Services (extended support), those deployments will not be affected by this retirement and you don't need to take any action for them.
</t>
  </si>
  <si>
    <t xml:space="preserve">
To avoid any potential service disruptions, review pricing and then upgrade to Standard SKU public IP addresses by 30 September 2025. Additionally, plan to halt new Basic SKU public IP addresses deployments before 31 March 2025. 
</t>
  </si>
  <si>
    <t>3T_R-3DZ</t>
  </si>
  <si>
    <t>04/09/2024 19:21:08</t>
  </si>
  <si>
    <t>03/15/2027 00:00:00</t>
  </si>
  <si>
    <t>Azure Kubernetes Service (AKS)</t>
  </si>
  <si>
    <t xml:space="preserve">Retirement notice: Windows Server 2022 will retire with k8s 1.34 on 15 March 2027 </t>
  </si>
  <si>
    <t>You're receiving this notice because you currently use Windows Server 2022 node pools on AKS.</t>
  </si>
  <si>
    <t xml:space="preserve">You're receiving this notice because you currently use Windows Server 2022 node pools on AKS.
On 15 March 2027, Windows Server 2022 will be retired when Kubernetes 1.34 reaches the end of platform support. You won't be able to create new Windows Server 2022 node pools on Kubernetes 1.35 and above. We encourage you to make the switch before 15 March 2027 to gain the richer benefits of Windows Server 2025 or Windows Server Annual Channel. These new Windows OS versions will be supported on AKS before Windows Server 2022 is retired. For more updates, see our AKS public roadmap. 
</t>
  </si>
  <si>
    <t xml:space="preserve">
From now through 14 March 2027, you can continue to use Windows Server 2022 on Kubernetes version 1.34 and below. After 15 March 2027, Windows Server 2022 won't be supported. You won't be able to create Windows Server 2022 node pools on Kubernetes 1.35 and above. Follow the detailed steps in our documentation to upgrade to a supported Windows Server version (Windows Server 2025 or Windows Server Annual Channel) by 15 March 2027.
</t>
  </si>
  <si>
    <t>Implemented?Yes/No</t>
  </si>
  <si>
    <t>Number of Impacted Resources?</t>
  </si>
  <si>
    <t>Azure Service / Well-Architected</t>
  </si>
  <si>
    <t>Recommendation Source</t>
  </si>
  <si>
    <t>Azure Service Category / Well-Architected Area</t>
  </si>
  <si>
    <t>Azure Service / Well-Architected Topic</t>
  </si>
  <si>
    <t>Resiliency Category</t>
  </si>
  <si>
    <t>Recommendation Title</t>
  </si>
  <si>
    <t>Impact</t>
  </si>
  <si>
    <t>Best Practices Guidance</t>
  </si>
  <si>
    <t>Read More</t>
  </si>
  <si>
    <t>Add associated Outage TrackingID and/or Support Request # and/or Service Retirement TrackingID</t>
  </si>
  <si>
    <t>Observation / Annotation</t>
  </si>
  <si>
    <t>Recommendation Id</t>
  </si>
  <si>
    <t>Azure Service</t>
  </si>
  <si>
    <t>Microsoft.Compute</t>
  </si>
  <si>
    <t>virtualMachines</t>
  </si>
  <si>
    <t>High Availability</t>
  </si>
  <si>
    <t>High</t>
  </si>
  <si>
    <t xml:space="preserve">Production VM workloads should be deployed on multiple VMs and grouped in a VMSS Flex instance to intelligently distribute across the platform, minimizing the impact of platform faults and updates.
</t>
  </si>
  <si>
    <t>https://learn.microsoft.com/azure/virtual-machine-scale-sets/virtual-machine-scale-sets-orchestration-modes#what-has-changed-with-flexible-orchestration-mode https://learn.microsoft.com/azure/virtual-machine-scale-sets/virtual-machine-scale-sets-attach-detach-vm?branch=main&amp;tabs=portal-1%2Cportal-2%2Cportal-3</t>
  </si>
  <si>
    <t xml:space="preserve">Azure Availability Zones, within each Azure region, are tolerant to local failures, protecting applications and data against unlikely Datacenter failures by being physically separate.
</t>
  </si>
  <si>
    <t>https://learn.microsoft.com/azure/virtual-machines/create-portal-availability-zone?tabs=standard</t>
  </si>
  <si>
    <t xml:space="preserve">Availability sets will soon be retired. Migrate workloads from VMs to VMSS Flex for deployment across zones or within the same zone across different fault domains (FDs) and update domains (UDs) for better reliability.
</t>
  </si>
  <si>
    <t>https://learn.microsoft.com/azure/architecture/checklist/resiliency-per-service#virtual-machines</t>
  </si>
  <si>
    <t>Disaster Recovery</t>
  </si>
  <si>
    <t>Medium</t>
  </si>
  <si>
    <t xml:space="preserve">Replicating Azure VMs via Site Recovery entails continuous, asynchronous disk replication to a target region. Recovery points are generated every few minutes, ensuring a Recovery Point Objective (RPO) in minutes.
</t>
  </si>
  <si>
    <t>https://learn.microsoft.com/azure/architecture/checklist/resiliency-per-service#virtual-machines https://learn.microsoft.com/azure/site-recovery/site-recovery-test-failover-to-azure</t>
  </si>
  <si>
    <t>Use Managed Disks for VM disks</t>
  </si>
  <si>
    <t xml:space="preserve">Azure is retiring unmanaged disks on September 30, 2025. Users should plan the migration to avoid disruptions and maintain service reliability.
</t>
  </si>
  <si>
    <t>https://learn.microsoft.com/azure/virtual-machines/unmanaged-disks-deprecation https://learn.microsoft.com/azure/virtual-machines/windows/convert-unmanaged-to-managed-disks https://learn.microsoft.com/azure/virtual-machines/linux/convert-unmanaged-to-managed-disks</t>
  </si>
  <si>
    <t>122d11d7-b91f-8747-a562-f56b79bcfbdc</t>
  </si>
  <si>
    <t>Scalability</t>
  </si>
  <si>
    <t>Low</t>
  </si>
  <si>
    <t xml:space="preserve">A data disk is a managed disk attached to a virtual machine for storing database or other essential data. These disks are SCSI drives labeled as per choice.
</t>
  </si>
  <si>
    <t>https://learn.microsoft.com/azure/virtual-machines/managed-disks-overview#data-disk https://learn.microsoft.com/azure/virtual-machines/disks-types</t>
  </si>
  <si>
    <t xml:space="preserve">Enable backups for your virtual machines with Azure Backup to secure and quickly recover your data. This service offers simple, secure, and cost-effective solutions for backing up and recovering data from the Microsoft Azure cloud.
</t>
  </si>
  <si>
    <t>https://learn.microsoft.com/azure/backup/backup-overview</t>
  </si>
  <si>
    <t>Production VMs should be using SSD disks</t>
  </si>
  <si>
    <t xml:space="preserve">Premium SSD disks support I/O-intensive apps with high performance, low latency, ideal for production. Standard SSDs offer cost-effective solutions for less critical workloads with consistent performance.
</t>
  </si>
  <si>
    <t>https://learn.microsoft.com/azure/virtual-machines/disks-types#premium-ssd</t>
  </si>
  <si>
    <t>d3f3ee41-b9aa-d34d-b442-5d46d20232b2</t>
  </si>
  <si>
    <t>Governance</t>
  </si>
  <si>
    <t>Review VMs in stopped state</t>
  </si>
  <si>
    <t xml:space="preserve">Azure Virtual Machines (VM) instances have various states, like provisioning and power states. A non-running VM may indicate issues or it being unnecessary, suggesting removal could help cut costs.
</t>
  </si>
  <si>
    <t>https://learn.microsoft.com/azure/virtual-machines/states-billing?context=%2Ftroubleshoot%2Fazure%2Fvirtual-machines%2Fcontext%2Fcontext#power-states-and-billing</t>
  </si>
  <si>
    <t>98b334c0-8578-6046-9e43-b6e8fce6318e</t>
  </si>
  <si>
    <t xml:space="preserve">Accelerated networking enables SR-IOV to a VM, greatly improving its networking performance by bypassing the host from the data path, which reduces latency, jitter, and CPU utilization for demanding network workloads on supported VM types.
</t>
  </si>
  <si>
    <t>https://learn.microsoft.com/azure/virtual-network/accelerated-networking-overview</t>
  </si>
  <si>
    <t>When AccelNet is enabled, you must manually update the GuestOS NIC driver</t>
  </si>
  <si>
    <t xml:space="preserve">When Accelerated Networking is enabled, the default Azure VNet interface in GuestOS is swapped for a Mellanox, and its driver comes from a 3rd party. Marketplace images have the latest Mellanox drivers, but post-deployment, updating the driver is the user's responsibility.
</t>
  </si>
  <si>
    <t>73d1bb04-7d3e-0d47-bc0d-63afe773b5fe</t>
  </si>
  <si>
    <t>Security</t>
  </si>
  <si>
    <t>VMs should not have a Public IP directly associated</t>
  </si>
  <si>
    <t xml:space="preserve">For outbound internet connectivity of Virtual Machines, using NAT Gateway or Azure Firewall is recommended to enhance security and service resilience, thanks to their higher availability and SNAT ports.
</t>
  </si>
  <si>
    <t>https://learn.microsoft.com/azure/load-balancer/load-balancer-outbound-connections</t>
  </si>
  <si>
    <t>1f629a30-c9d0-d241-82ee-6f2eb9d42cb4</t>
  </si>
  <si>
    <t>VM network interfaces and associated subnets both have a Network Security Group (NSG) associated</t>
  </si>
  <si>
    <t xml:space="preserve">Unless you have a specific reason, it's advised to associate a network security group to a subnet or a network interface, but not both, to avoid unexpected communication issues and troubleshooting due to potential rule conflicts between the two associations.
</t>
  </si>
  <si>
    <t>https://learn.microsoft.com/azure/virtual-network/network-security-group-how-it-works#intra-subnet-traffic</t>
  </si>
  <si>
    <t>82b3cf6b-9ae2-2e44-b193-10793213f676</t>
  </si>
  <si>
    <t>IP Forwarding should only be enabled for Network Virtual Appliances</t>
  </si>
  <si>
    <t xml:space="preserve">IP forwarding allows a virtual machine network interface to receive and send network traffic not destined for or originating from its assigned IP addresses.
</t>
  </si>
  <si>
    <t>https://learn.microsoft.com/azure/virtual-network/virtual-network-network-interface?tabs=network-interface-portal#enable-or-disable-ip-forwarding</t>
  </si>
  <si>
    <t>41a22a5e-5e08-9647-92d0-2ffe9ef1bdad</t>
  </si>
  <si>
    <t>Other Best Practices</t>
  </si>
  <si>
    <t>Customer DNS Servers should be configured in the Virtual Network level</t>
  </si>
  <si>
    <t xml:space="preserve">Configure the DNS Server at the Virtual Network level to prevent any inconsistency across the environment.
</t>
  </si>
  <si>
    <t>https://learn.microsoft.com/azure/virtual-network/virtual-networks-name-resolution-for-vms-and-role-instances</t>
  </si>
  <si>
    <t>1cf8fe21-9593-1e4e-966b-779a294c0d30</t>
  </si>
  <si>
    <t>Shared disks should only be enabled in clustered servers</t>
  </si>
  <si>
    <t xml:space="preserve">Azure shared disks let you attach a disk to multiple VMs at once for deploying or migrating clustered applications, suitable only when a disk is shared among VM cluster members.
</t>
  </si>
  <si>
    <t>https://learn.microsoft.com/azure/virtual-machines/disks-shared https://learn.microsoft.com/azure/virtual-machines/disks-shared-enable?tabs=azure-portal</t>
  </si>
  <si>
    <t>3263a64a-c256-de48-9818-afd3cbc55c2a</t>
  </si>
  <si>
    <t xml:space="preserve">Recommended changing to "Disable public access and enable private access" and creating a Private Endpoint to improve security by restricting direct public access and ensuring connections are made privately, enhancing data protection and minimizing potential external threats.
</t>
  </si>
  <si>
    <t>https://learn.microsoft.com/azure/virtual-machines/disks-enable-private-links-for-import-export-portal</t>
  </si>
  <si>
    <t xml:space="preserve">Keeping your virtual machine (VM) secure is crucial for the applications you run. This involves using various Azure services and features to ensure secure access to your VMs and the secure storage of your data, aiming for overall security of your VM and applications.
</t>
  </si>
  <si>
    <t>https://learn.microsoft.com/azure/cloud-adoption-framework/ready/landing-zone/design-principles#policy-driven-governance https://learn.microsoft.com/azure/virtual-machines/security-policy</t>
  </si>
  <si>
    <t>Enable advanced encryption options for your managed disks</t>
  </si>
  <si>
    <t xml:space="preserve">Consider enabling Azure Disk Encryption (ADE) for encrypting Azure VM disks using DM-Crypt (Linux) or BitLocker (Windows). Additionally, consider Encryption at host and Confidential disk encryption for enhanced data security.
</t>
  </si>
  <si>
    <t>https://learn.microsoft.com/azure/virtual-machines/disk-encryption-overview</t>
  </si>
  <si>
    <t>f0a97179-133a-6e4f-8a49-8a44da73ffce</t>
  </si>
  <si>
    <t>Monitoring and Alerting</t>
  </si>
  <si>
    <t xml:space="preserve">VM Insights monitors VM and scale set performance, health, running processes, and dependencies. It enhances the predictability of application performance and availability by pinpointing performance bottlenecks and network issues, and it clarifies if problems are related to other dependencies.
</t>
  </si>
  <si>
    <t>https://learn.microsoft.com/azure/azure-monitor/vm/vminsights-overview https://learn.microsoft.com/azure/azure-monitor/vm/vminsights-troubleshoot#did-the-extension-install-properly</t>
  </si>
  <si>
    <t xml:space="preserve">Azure Monitor Metrics automatically receives platform metrics, but platform logs, which offer detailed diagnostics and auditing for resources and their Azure platform, need to be manually routed for collection.
</t>
  </si>
  <si>
    <t>https://learn.microsoft.com/azure/azure-monitor/essentials/diagnostic-settings?tabs=portal</t>
  </si>
  <si>
    <t>Use maintenance configurations for the VMs</t>
  </si>
  <si>
    <t xml:space="preserve">The maintenance configuration settings let users schedule and manage updates, making sure the updates or interruptions on the VM are performed within a planned timeframe.
</t>
  </si>
  <si>
    <t>https://learn.microsoft.com/azure/virtual-machines/maintenance-configurations</t>
  </si>
  <si>
    <t>52ab9e5c-eec0-3148-8bd7-b6dd9e1be870</t>
  </si>
  <si>
    <t>Don't use A or B-Series VMs for production needing constant full CPU performance</t>
  </si>
  <si>
    <t xml:space="preserve">A-series VMs are tailored for entry-level workloads like development and testing, including use cases such as development and test servers, low traffic web servers, and small to medium databases.
</t>
  </si>
  <si>
    <t>https://learn.microsoft.com/en-us/azure/virtual-machines/sizes-b-series-burstable</t>
  </si>
  <si>
    <t>3201dba8-d1da-4826-98a4-104066545170</t>
  </si>
  <si>
    <t>Mission Critical Workloads should consider using Premium or Ultra Disks</t>
  </si>
  <si>
    <t xml:space="preserve">Compared to Standard HDD and SSD, Premium SSD, SSDv2, and Ultra SSDs offer improved performance, configurability, and higher single-instance Virtual Machine uptime SLAs. The lowest SLA of all disks on a Virtual Machine applies, so it is best to use Premium or Ultra Disks for the highest uptime SLA.
</t>
  </si>
  <si>
    <t>https://learn.microsoft.com/en-us/azure/virtual-machines/disks-types#disk-type-comparison</t>
  </si>
  <si>
    <t>df0ff862-814d-45a3-95e4-4fad5a244ba6</t>
  </si>
  <si>
    <t>Use Azure Boost VMs for Maintenance sensitive workload</t>
  </si>
  <si>
    <t xml:space="preserve">If the workload is Maintenance sensitive, consider Azure Boost compatible VMs. Azure Boost is designed to lessen the impact on customers when Azure maintenance activities occur on the host, and the current list of compatible VM sizes are documented in the first link below.
</t>
  </si>
  <si>
    <t>https://learn.microsoft.com/azure/azure-boost/overview https://aka.ms/AzureBoostGABlog</t>
  </si>
  <si>
    <t>9ab499d8-8844-424d-a2d4-8f53690eb8f8</t>
  </si>
  <si>
    <t>Enable Scheduled Events for Maintenance sensitive workload VMs</t>
  </si>
  <si>
    <t xml:space="preserve">If your workload is Maintenance sensitive, enable Scheduled Events. This Azure Metadata Service lets your app prepare for virtual machine maintenance by providing information on upcoming events like reboots, reducing disruptions.
</t>
  </si>
  <si>
    <t>https://learn.microsoft.com/azure/virtual-machines/windows/scheduled-event-service https://learn.microsoft.com/azure/virtual-machines/linux/scheduled-events https://learn.microsoft.com/azure/virtual-machines/windows/scheduled-events</t>
  </si>
  <si>
    <t>2de8fa5e-14f4-4c4c-857f-1520f87a629f</t>
  </si>
  <si>
    <t xml:space="preserve">Azure disks offers a zone-redundant storage (ZRS) option for workloads that need to be resilient to an entire zone being down. Due to the cross-zone data replication, ZRS disks have higher write latency when compared to the locally-redundant option (LRS), so make sure to benchmark your disks.
</t>
  </si>
  <si>
    <t>https://aka.ms/zrsdisksdoc</t>
  </si>
  <si>
    <t>virtualMachineScaleSets</t>
  </si>
  <si>
    <t xml:space="preserve">Deploying even single instance VMs into a scale set with Flexible orchestration mode future-proofs applications for scaling and availability. This mode guarantees high availability (up to 1000 VMs) by distributing VMs across fault domains in a region or within an Availability Zone.
</t>
  </si>
  <si>
    <t>https://learn.microsoft.com/azure/virtual-machine-scale-sets/virtual-machine-scale-sets-design-overview#when-to-use-scale-sets-instead-of-virtual-machines https://learn.microsoft.com/azure/well-architected/services/compute/virtual-machines/virtual-machines-review</t>
  </si>
  <si>
    <t>Enable VMSS application health monitoring</t>
  </si>
  <si>
    <t xml:space="preserve">Monitoring application health in Azure Virtual Machine Scale Sets is crucial for deployment management. It supports rolling upgrades such as automatic OS-image upgrades and VM guest patching, leveraging health monitoring for upgrading.
</t>
  </si>
  <si>
    <t>https://learn.microsoft.com/azure/virtual-machine-scale-sets/virtual-machine-scale-sets-health-extension?tabs=rest-api</t>
  </si>
  <si>
    <t>94794d2a-eff0-2345-9b67-6f9349d0a627</t>
  </si>
  <si>
    <t>Automation</t>
  </si>
  <si>
    <t>Enable Automatic Repair policy</t>
  </si>
  <si>
    <t xml:space="preserve">Enabling automatic instance repairs in Azure Virtual Machine Scale Sets enhances application availability through a continuous health check and maintenance process.
</t>
  </si>
  <si>
    <t>https://learn.microsoft.com/azure/virtual-machine-scale-sets/virtual-machine-scale-sets-automatic-instance-repairs#requirements-for-using-automatic-instance-repairs</t>
  </si>
  <si>
    <t>820f4743-1f94-e946-ae0b-45efafd87962</t>
  </si>
  <si>
    <t>Configure VMSS Autoscale to custom and configure the scaling metrics</t>
  </si>
  <si>
    <t xml:space="preserve">Use custom autoscale for VMSS based on metrics and schedules to improve performance and cost effectiveness, adjusting instances as demand changes.
</t>
  </si>
  <si>
    <t>https://learn.microsoft.com/azure/azure-monitor/autoscale/autoscale-get-started?WT.mc_id=Portal-Microsoft_Azure_Monitoring https://learn.microsoft.com/azure/azure-monitor/autoscale/autoscale-overview</t>
  </si>
  <si>
    <t>ee66ff65-9aa3-2345-93c1-25827cf79f44</t>
  </si>
  <si>
    <t xml:space="preserve">Predictive autoscale utilizes machine learning to efficiently manage and scale Azure Virtual Machine Scale Sets by forecasting CPU load through historical usage analysis, ensuring timely scale-out to meet demand.
</t>
  </si>
  <si>
    <t>https://learn.microsoft.com/azure/azure-monitor/autoscale/autoscale-predictive</t>
  </si>
  <si>
    <t>Disable Force strictly even balance across zones to avoid scale in and out fail attempts</t>
  </si>
  <si>
    <t xml:space="preserve">Microsoft advises disabling strictly even VM instance distribution across Availability Zones in VMSS to improve scalability and flexibility, noting that uneven distribution may better serve application load demands despite the potential trade-off in resilience.
</t>
  </si>
  <si>
    <t>https://learn.microsoft.com/azure/virtual-machine-scale-sets/virtual-machine-scale-sets-scale-in-policy</t>
  </si>
  <si>
    <t>b5a63aa0-c58e-244f-b8a6-cbba0560a6db</t>
  </si>
  <si>
    <t xml:space="preserve">When creating VMSS, implement availability zones as a protection measure for your applications and data against the rare event of datacenter failure.
</t>
  </si>
  <si>
    <t>https://learn.microsoft.com/azure/virtual-machine-scale-sets/virtual-machine-scale-sets-use-availability-zones https://learn.microsoft.com/azure/virtual-machine-scale-sets/virtual-machine-scale-sets-use-availability-zones?tabs=cli-1%2Cportal-2#update-scale-set-to-add-availability-zones</t>
  </si>
  <si>
    <t>Set Patch orchestration options to Azure-orchestrated</t>
  </si>
  <si>
    <t xml:space="preserve">Enabling automatic VM guest patching eases update management by safely, automatically patching virtual machines to maintain security compliance, while limiting blast radius of VMs. Note, the KQL will not return sets using Uniform orchestration.
</t>
  </si>
  <si>
    <t>https://learn.microsoft.com/azure/virtual-machines/automatic-vm-guest-patching https://learn.microsoft.com/en-us/azure/virtual-machine-scale-sets/virtual-machine-scale-sets-automatic-upgrade</t>
  </si>
  <si>
    <t>e4ffd7b0-ba24-c84e-9352-ba4819f908c0</t>
  </si>
  <si>
    <t>Upgrade VMSS Image versions scheduled to be deprecated or already retired</t>
  </si>
  <si>
    <t xml:space="preserve">Ensure current versions of images are in use to avoid disruption after image deprecation. Please review the publisher, offer, sku information of the VM to ensure you are running on a supported image. Enable Auto Guest Patching or Image Upgrades, to get notifications about image deprecation.
</t>
  </si>
  <si>
    <t>https://learn.microsoft.com/en-us/azure/virtual-machines/deprecated-images</t>
  </si>
  <si>
    <t>83d61669-7bd6-9642-a305-175db8adcdf4</t>
  </si>
  <si>
    <t>Production VMSS instances should be using SSD disks</t>
  </si>
  <si>
    <t xml:space="preserve">Using SSD disks for Production workloads is advised as HDDs could negatively impact resources, being suitable only for non-critical resources or those needing infrequent access.
</t>
  </si>
  <si>
    <t>1074f391-22bf-42f5-9c95-68af5ad89bf6</t>
  </si>
  <si>
    <t>Use Azure Site Recovery or backups to protect VMs supporting personal desktops</t>
  </si>
  <si>
    <t xml:space="preserve">Implement Azure Site Recovery (ASR) or Azure Backup for personal host pools to enable seamless failover and failback. This replicates VMs supporting personal desktops to a secondary Azure region, ensuring recovery from a known state in case of a disaster or outage.
</t>
  </si>
  <si>
    <t>https://learn.microsoft.com/en-us/azure/site-recovery/site-recovery-overview</t>
  </si>
  <si>
    <t>38721758-2cc2-4d6b-b7b7-8b47dadbf7df</t>
  </si>
  <si>
    <t>Microsoft.Network</t>
  </si>
  <si>
    <t>applicationGateways</t>
  </si>
  <si>
    <t xml:space="preserve">Azure Application Gateways v2 are deployed highly available with multiple instances by default.
</t>
  </si>
  <si>
    <t>https://learn.microsoft.com/azure/application-gateway/application-gateway-autoscaling-zone-redundant#autoscaling-and-high-availability</t>
  </si>
  <si>
    <t xml:space="preserve">Secure all incoming connections using HTTPS for production services with end-to-end SSL/TLS or SSL/TLS termination at the Application Gateway to protect against attacks and ensure data remains private and encrypted between the web server and browsers.
</t>
  </si>
  <si>
    <t>https://learn.microsoft.com/azure/well-architected/services/networking/azure-application-gateway#security https://learn.microsoft.com/azure/application-gateway/ssl-overview https://learn.microsoft.com/azure/application-gateway/application-gateway-ssl-policy-overview https://learn.microsoft.com/azure/application-gateway/key-vault-certs https://learn.microsoft.com/azure/application-gateway/ssl-certificate-management</t>
  </si>
  <si>
    <t>Enable Web Application Firewall policies</t>
  </si>
  <si>
    <t xml:space="preserve">Use Application Gateway with Web Application Firewall (WAF) in an application virtual network to safeguard inbound HTTP/S internet traffic. WAF offers centralized defense against potential exploits through OWASP core rule sets-based rules.
</t>
  </si>
  <si>
    <t>https://learn.microsoft.com/azure/well-architected/services/networking/azure-application-gateway https://learn.microsoft.com/azure/application-gateway/features#web-application-firewall</t>
  </si>
  <si>
    <t>8d9223c4-730d-ca47-af88-a9a024c37270</t>
  </si>
  <si>
    <t>Use Application GW V2 instead of V1</t>
  </si>
  <si>
    <t xml:space="preserve">Use Application Gateway v2 for built-in features like autoscaling, static VIPs, Azure KeyVault integration for better traffic management and performance, unless v1 is necessary.
</t>
  </si>
  <si>
    <t>https://learn.microsoft.com/azure/application-gateway/overview-v2 https://learn.microsoft.com/azure/application-gateway/overview-v2#feature-comparison-between-v1-sku-and-v2-sku https://azure.microsoft.com/updates/application-gateway-v1-will-be-retired-on-28-april-2026-transition-to-application-gateway-v2/</t>
  </si>
  <si>
    <t>7893f0b3-8622-1d47-beed-4b50a19f7895</t>
  </si>
  <si>
    <t>Monitor and Log the configurations and traffic</t>
  </si>
  <si>
    <t xml:space="preserve">Enable logging in storage accounts, Log Analytics, and monitoring services for auditing and insights. If using NSGs, enable NSG flow logs to be stored, providing in-depth traffic analysis into Azure Cloud.
</t>
  </si>
  <si>
    <t>https://learn.microsoft.com/azure/application-gateway/application-gateway-metrics https://learn.microsoft.com/azure/application-gateway/application-gateway-diagnostics</t>
  </si>
  <si>
    <t>5d035919-898d-a047-8d5d-454e199692e5</t>
  </si>
  <si>
    <t xml:space="preserve">Using custom health probes enhances understanding of backend availability and facilitates monitoring of backend services for any impact.
</t>
  </si>
  <si>
    <t>https://learn.microsoft.com/azure/application-gateway/application-gateway-probe-overview https://learn.microsoft.com/azure/well-architected/services/networking/azure-application-gateway</t>
  </si>
  <si>
    <t xml:space="preserve">Deploying Application Gateway in a zone-aware configuration ensures continued customer access to services even if a specific zone goes down, as services in other zones remain available.
</t>
  </si>
  <si>
    <t>https://learn.microsoft.com/azure/well-architected/services/networking/azure-application-gateway#reliability https://learn.microsoft.com/azure/application-gateway/overview-v2</t>
  </si>
  <si>
    <t xml:space="preserve">Using connection draining for backend maintenance ensures graceful removal of backend pool members during updates or health issues. It's enabled via Backend Setting and applies to all members during rule creation.
</t>
  </si>
  <si>
    <t>https://learn.microsoft.com/azure/application-gateway/features#connection-draining https://learn.microsoft.com/azure/application-gateway/configuration-http-settings#connection-draining</t>
  </si>
  <si>
    <t>Ensure Application Gateway Subnet is using a /24 subnet mask</t>
  </si>
  <si>
    <t xml:space="preserve">Application Gateway v2 (Standard_v2 or WAF_v2 SKU) can support up to 125 instances. A /24 subnet isn't mandatory for deployment but is advised to provide enough space for autoscaling and maintenance upgrades.
</t>
  </si>
  <si>
    <t>https://learn.microsoft.com/en-us/azure/application-gateway/configuration-infrastructure#size-of-the-subnet</t>
  </si>
  <si>
    <t>8364fd0a-7c0e-e240-9d95-4bf965aec243</t>
  </si>
  <si>
    <t>loadBalancers</t>
  </si>
  <si>
    <t xml:space="preserve">Selecting Standard SKU Load Balancer enhances reliability through availability zones and zone resiliency, ensuring deployments withstand zone and region failures. Unlike Basic, it supports global load balancing and offers an SLA.
</t>
  </si>
  <si>
    <t>https://learn.microsoft.com/azure/architecture/framework/services/networking/azure-load-balancer/reliability https://learn.microsoft.com/azure/architecture/checklist/resiliency-per-service#azure-load-balancer</t>
  </si>
  <si>
    <t>Ensure the Backend Pool contains at least two instances</t>
  </si>
  <si>
    <t xml:space="preserve">Deploying Azure Load Balancers with at least two instances in the backend prevents a single point of failure and supports scalability. Pairing with Virtual Machine Scale Sets is advised for optimal scale building.
</t>
  </si>
  <si>
    <t>https://learn.microsoft.com/azure/architecture/checklist/resiliency-per-service#azure-load-balancer</t>
  </si>
  <si>
    <t>6d82d042-6d61-ad49-86f0-6a5455398081</t>
  </si>
  <si>
    <t>Use NAT Gateway instead of Outbound Rules for Production Workloads</t>
  </si>
  <si>
    <t xml:space="preserve">Outbound rules for Standard Public Load Balancer involve manual port allocation for backend pools, limiting scalability and risk of SNAT port exhaustion. NAT Gateway is recommended for its dynamic scaling and secure internet connectivity.
</t>
  </si>
  <si>
    <t>8d319a05-677b-944f-b9b4-ca0fb42e883c</t>
  </si>
  <si>
    <t>Ensure Standard Load Balancer is zone-redundant</t>
  </si>
  <si>
    <t xml:space="preserve">In regions with Availability Zones, assigning a zone-redundant frontend IP to a Standard Load Balancer ensures continuous traffic distribution even if one availability zone fails, provided other healthy zones and backend instances are available to receive the traffic.
</t>
  </si>
  <si>
    <t>https://learn.microsoft.com/en-us/azure/load-balancer/load-balancer-standard-availability-zones#zone-redundant</t>
  </si>
  <si>
    <t>621dbc78-3745-4d32-8eac-9e65b27b7512</t>
  </si>
  <si>
    <t>publicIPAddresses</t>
  </si>
  <si>
    <t>Use Standard SKU and Zone-Redundant IPs when applicable</t>
  </si>
  <si>
    <t xml:space="preserve">Public IP addresses in Azure can be of standard SKU, available as non-zonal, zonal, or zone-redundant. Zone-redundant IPs are accessible across all zones, resisting any single zone failure, thereby providing higher resilience.
</t>
  </si>
  <si>
    <t>https://learn.microsoft.com/azure/virtual-network/ip-services/public-ip-addresses#availability-zone https://learn.microsoft.com/en-us/azure/virtual-network/ip-services/public-ip-basic-upgrade-guidance#steps-to-complete-the-upgrade</t>
  </si>
  <si>
    <t>c63b81fb-7afc-894c-a840-91bb8a8dcfaf</t>
  </si>
  <si>
    <t>Use NAT gateway for outbound connectivity to avoid SNAT Exhaustion</t>
  </si>
  <si>
    <t xml:space="preserve">Prevent connectivity failures due to SNAT port exhaustion by employing NAT gateway for outbound traffic from virtual networks, ensuring dynamic scaling and secure internet connections.
</t>
  </si>
  <si>
    <t>https://learn.microsoft.com/azure/advisor/advisor-reference-reliability-recommendations#use-nat-gateway-for-outbound-connectivity https://learn.microsoft.com/azure/architecture/framework/services/compute/azure-app-service/reliability#tcp-and-snat-ports</t>
  </si>
  <si>
    <t>1adba190-5c4c-e646-8527-dd1b2a6d8b15</t>
  </si>
  <si>
    <t>Upgrade Basic SKU public IP addresses to Standard SKU</t>
  </si>
  <si>
    <t xml:space="preserve">Basic SKU public IP addresses will be retired on September 30, 2025. Users are advised to upgrade to Standard SKU public IP addresses before this date to avoid service disruptions.
</t>
  </si>
  <si>
    <t>https://learn.microsoft.com/en-us/azure/virtual-network/ip-services/public-ip-basic-upgrade-guidance https://azure.microsoft.com/en-us/updates/upgrade-to-standard-sku-public-ip-addresses-in-azure-by-30-september-2025-basic-sku-will-be-retired/</t>
  </si>
  <si>
    <t>5cea1501-6fe4-4ec4-ac8f-f72320eb18d3</t>
  </si>
  <si>
    <t>Microsoft.Storage</t>
  </si>
  <si>
    <t>storageAccounts</t>
  </si>
  <si>
    <t xml:space="preserve">Redundancy ensures storage accounts meet availability and durability targets amidst failures, weighing lower costs against higher availability. Locally redundant storage offers the least durability at the lowest cost.
</t>
  </si>
  <si>
    <t>https://learn.microsoft.com/azure/storage/common/storage-redundancy https://learn.microsoft.com/azure/storage/common/redundancy-migration</t>
  </si>
  <si>
    <t>Service Upgrade and Retirement</t>
  </si>
  <si>
    <t>Do not use classic storage accounts</t>
  </si>
  <si>
    <t xml:space="preserve">Classic storage accounts will be fully retired on August 31, 2024. If you have classic storage accounts, start planning your migration now.
</t>
  </si>
  <si>
    <t>https://azure.microsoft.com/updates/classic-azure-storage-accounts-will-be-retired-on-31-august-2024/ https://learn.microsoft.com/azure/storage/common/classic-account-migration-overview</t>
  </si>
  <si>
    <t>63ad027e-611c-294b-acc5-8e3234db9a40</t>
  </si>
  <si>
    <t>Ensure Performance tier is set as per workload</t>
  </si>
  <si>
    <t xml:space="preserve">Consider using the appropriate storage performance tier for workload scenarios. Each workload scenario requires appropriate performance tiers, and selecting the appropriate tiers based on storage usage is crucial.
</t>
  </si>
  <si>
    <t>https://learn.microsoft.com/azure/storage/common/storage-account-overview#types-of-storage-accounts https://learn.microsoft.com/azure/storage/common/scalability-targets-standard-account https://learn.microsoft.com/azure/storage/blobs/storage-performance-checklist https://learn.microsoft.com/azure/storage/blobs/scalability-targets https://learn.microsoft.com/azure/storage/blobs/storage-blob-block-blob-premium</t>
  </si>
  <si>
    <t>5587ef77-7a05-a74d-9c6e-449547a12f27</t>
  </si>
  <si>
    <t>Enable soft delete for recovery of data</t>
  </si>
  <si>
    <t xml:space="preserve">The soft delete option enables data recovery if mistakenly deleted, while the Lock feature prevents the accidental deletion of the storage account itself, ensuring additional security and data integrity measures.
</t>
  </si>
  <si>
    <t xml:space="preserve">https://learn.microsoft.com//azure/storage/blobs/soft-delete-blob-enable?tabs=azure-portal </t>
  </si>
  <si>
    <t>03263c57-c869-3841-9e0a-3dbb9ef3e28d</t>
  </si>
  <si>
    <t>Enable versioning for accidental modification and keep the number of versions below 1000</t>
  </si>
  <si>
    <t xml:space="preserve">Consider enabling versioning for Azure Storage Accounts to recover from accidental modifications or deletions and manage blob operation latency. Microsoft advises maintaining fewer than 1000 versions per blob to optimize performance. Lifecycle management can help delete old versions automatically.
</t>
  </si>
  <si>
    <t xml:space="preserve">https://learn.microsoft.com/azure/storage/blobs/versioning-overview </t>
  </si>
  <si>
    <t>8ebda7c0-e0e1-ed45-af59-2d7ea9a1c05d</t>
  </si>
  <si>
    <t>Enable point-in-time restore for GPv2 accounts to safeguard against data loss</t>
  </si>
  <si>
    <t xml:space="preserve">Consider enabling point-in-time restore for standard general purpose v2 accounts with flat namespace to protect against accidental deletion or corruption by restoring block blob data to an earlier state.
</t>
  </si>
  <si>
    <t>https://learn.microsoft.com/azure/storage/blobs/point-in-time-restore-overview https://learn.microsoft.com/azure/storage/blobs/point-in-time-restore-manage?tabs=portal</t>
  </si>
  <si>
    <t>1b965cb9-7629-214e-b682-6bf6e450a100</t>
  </si>
  <si>
    <t>Monitor all blob storage accounts</t>
  </si>
  <si>
    <t xml:space="preserve">For critical applications and business processes relying on Azure, monitoring and alerts are crucial. Resource logs are only stored after creating a diagnostic setting to route logs to specified locations, requiring selection of log categories to collect.
</t>
  </si>
  <si>
    <t>https://learn.microsoft.com/azure/storage/blobs/monitor-blob-storage https://learn.microsoft.com/azure/storage/blobs/blob-storage-monitoring-scenarios</t>
  </si>
  <si>
    <t>96cb8331-6b06-8242-8ce8-4e2f665dc679</t>
  </si>
  <si>
    <t xml:space="preserve">General-purpose v2 accounts are recommended for most storage scenarios offering the latest features or the lowest per-gigabyte pricing. Legacy accounts like Standard general-purpose v1 and Blob Storage aren't advised by Microsoft but may fit specific scenarios.
</t>
  </si>
  <si>
    <t>https://learn.microsoft.com/azure/storage/common/storage-account-overview#legacy-storage-account-types https://learn.microsoft.com/azure/storage/common/storage-account-upgrade</t>
  </si>
  <si>
    <t xml:space="preserve">Azure Private Link Service enables you to access Azure Storage Account and Azure hosted customer/partner services over a Private Endpoint in your virtual network. An Azure Private Endpoint is a network interface that connects you privately and securely to a service powered by Azure Private Link. The private endpoint uses a private IP address from your VNet, effectively bringing the service into your VNet. All traffic to the service can be routed through the private endpoint, so no gateways, NAT devices, ExpressRoute or VPN connections, or public IP addresses are needed. Traffic between your virtual network and the service traverses over the Microsoft backbone network, eliminating exposure from the public Internet. You can connect to an instance of an Azure resource, giving you the highest level of granularity in access control.
Azure Private Link Service offers secure access to Azure Storage and services via a Private Endpoint in your VNet. No public IPs needed, ensuring privacy. Granular access control provided.
</t>
  </si>
  <si>
    <t>https://learn.microsoft.com/en-us/azure/architecture/example-scenario/wvd/windows-virtual-desktop#azure-virtual-desktop-limitations https://learn.microsoft.com/en-us/azure/well-architected/azure-virtual-desktop/networking#private-endpoints-private-link</t>
  </si>
  <si>
    <t>Microsoft.Web</t>
  </si>
  <si>
    <t>serverFarms</t>
  </si>
  <si>
    <t>Migrate App Service to availability Zone Support</t>
  </si>
  <si>
    <t xml:space="preserve">Azure's feature of deploying App Service plans across availability zones enhances resiliency and reliability by ensuring operation during datacenter failures, providing redundancy without needing different regions, thus minimizing downtime and maintaining uninterrupted services.
</t>
  </si>
  <si>
    <t>https://learn.microsoft.com/en-us/azure/reliability/migrate-app-service https://learn.microsoft.com/en-us/azure/architecture/reference-architectures/enterprise-integration/ase-high-availability-deployment</t>
  </si>
  <si>
    <t>88cb90c2-3b99-814b-9820-821a63f600dd</t>
  </si>
  <si>
    <t xml:space="preserve">Choose Standard/Premium Azure App Service Plan for robust apps with advanced scaling, high availability, better performance, and multiple slots, ensuring resilience and continuous operation.
</t>
  </si>
  <si>
    <t>https://learn.microsoft.com/en-us/azure/architecture/checklist/resiliency-per-service#app-service</t>
  </si>
  <si>
    <t>Avoid scaling up or down</t>
  </si>
  <si>
    <t xml:space="preserve">Avoid frequent scaling up/down of Azure App Service instances to prevent service disruptions. Choose the right tier and size for the workload and scale out for traffic changes, as scaling adjustments can trigger application restarts.
</t>
  </si>
  <si>
    <t>07243659-4643-d44c-a1c6-07ac21635072</t>
  </si>
  <si>
    <t>Create separate App Service plans for production and test</t>
  </si>
  <si>
    <t xml:space="preserve">It is strongly recommended to create separate App Service plans for production and test environments to avoid using slots within your production deployment for testing purposes.
</t>
  </si>
  <si>
    <t>dbe3fd66-fb2a-9d46-b162-1791e21da236</t>
  </si>
  <si>
    <t>Enable Autoscale/Automatic scaling to ensure adequate resources are available to service requests</t>
  </si>
  <si>
    <t xml:space="preserve">Enabling Autoscale/Automatic Scaling for your Azure App Service ensures sufficient resources for incoming requests. Autoscaling is rule-based, whereas Automatic Scaling, a newer feature, automatically adjusts resources based on HTTP traffic.
</t>
  </si>
  <si>
    <t>https://learn.microsoft.com/en-us/azure/app-service/manage-automatic-scaling?tabs=azure-portal https://learn.microsoft.com/en-us/azure/azure-monitor/autoscale/autoscale-get-started</t>
  </si>
  <si>
    <t>6320abf6-f917-1843-b2ae-4779c35985ae</t>
  </si>
  <si>
    <t>sites</t>
  </si>
  <si>
    <t>Enable diagnostics logging</t>
  </si>
  <si>
    <t xml:space="preserve">Enabling diagnostics logging for your Azure App Service is crucial for monitoring and diagnostics, including both application logging and web server logging.
</t>
  </si>
  <si>
    <t>https://learn.microsoft.com/azure/app-service/troubleshoot-diagnostic-logs</t>
  </si>
  <si>
    <t>493f6079-3bb6-4a56-96ba-ab3248474cb1</t>
  </si>
  <si>
    <t>Monitor Performance</t>
  </si>
  <si>
    <t xml:space="preserve">Use Application Insights to monitor app performance and load behavior, offering real-time insights, issue diagnosis, and root-cause analysis. It supports ASP.NET, ASP.NET Core, Java, and Node.js on Azure App Service, now with built-in monitoring.
</t>
  </si>
  <si>
    <t>https://learn.microsoft.com/azure/application-insights/app-insights-overview https://learn.microsoft.com/azure/azure-monitor/app/azure-web-apps</t>
  </si>
  <si>
    <t>a7e8bb3d-8ceb-442d-b26f-007cd63f9ffc</t>
  </si>
  <si>
    <t>Separate web apps from web APIs</t>
  </si>
  <si>
    <t xml:space="preserve">If your solution includes both a web front end and a web API, decomposing them into separate App Service apps facilitates solution decomposition by workload, allowing for independent scaling. Initially, you can deploy both in the same plan and separate them for independent scaling when necessary.
</t>
  </si>
  <si>
    <t>https://learn.microsoft.com/azure/architecture/checklist/resiliency-per-service#app-service</t>
  </si>
  <si>
    <t>78a5c033-ff51-4332-8a71-83464c34494b</t>
  </si>
  <si>
    <t>Create a separate storage account for logs</t>
  </si>
  <si>
    <t xml:space="preserve">Creating a separate storage account for logs and not using the same one for application data prevents logging activities from reducing application performance by ensuring that the resources dedicated to handling application data are not burdened by logging processes.
</t>
  </si>
  <si>
    <t>3f9ddb59-0bb3-4acb-9c9b-99aa1776f0ab</t>
  </si>
  <si>
    <t>Deploy to a staging slot</t>
  </si>
  <si>
    <t xml:space="preserve">Create a deployment slot for staging to deploy updates, verify them, and ensure all instances are warmed up before production swap, reducing bad update chances. An LKG slot allows easy rollback to a previous good deployment if issues arise later, enhancing reliability.
</t>
  </si>
  <si>
    <t>https://learn.microsoft.com/azure/app-service-web/web-sites-staged-publishing</t>
  </si>
  <si>
    <t>a1d91661-32d4-430b-b3b6-5adeb0975df7</t>
  </si>
  <si>
    <t>Store configuration as app settings</t>
  </si>
  <si>
    <t xml:space="preserve">Use app settings for configuration and define them in Resource Manager templates or via PowerShell to facilitate part of an automated deployment/update process for improved reliability.
</t>
  </si>
  <si>
    <t>https://learn.microsoft.com/azure/app-service-web/web-sites-configure</t>
  </si>
  <si>
    <t>0b80b67c-afbe-4988-ad58-a85a146b681e</t>
  </si>
  <si>
    <t>Well Architected</t>
  </si>
  <si>
    <t>WellArchitected</t>
  </si>
  <si>
    <t>Define</t>
  </si>
  <si>
    <t>Define and share Availability Targets with all teams for workload consistency</t>
  </si>
  <si>
    <t xml:space="preserve">Ensure the Availability Targets (SLA, SLO, SLI) are well defined, tested, monitored and communicated across teams working on the Workload.
A Service Level Agreement (SLA) is an availability target that represents a commitment around performance and availability of the application. Understanding the SLA of individual components within the system is essential to define reliability targets. Knowing the SLA of dependencies will also provide a justification for additional spend when making the dependencies highly available and with proper support contracts. Availability targets for any dependencies leveraged by the application should be understood and ideally align with application targets should also be considered.
Understanding your availability expectations is vital to reviewing overall operations for the application.
For example, if you are striving to achieve an application Service Level Objective (SLO) of 99.999%, the level of inherent operational action required by the application is going to be far greater than if an SLO of 99.9% was the goal.
</t>
  </si>
  <si>
    <t>https://learn.microsoft.com/azure/well-architected/resiliency/business-metrics#workload-availability-targets https://learn.microsoft.com/azure/well-architected/resiliency/design-requirements</t>
  </si>
  <si>
    <t>0c8a12dd-52fb-cf40-bb4a-b60f99409bab</t>
  </si>
  <si>
    <t>Ensure the Recovery Targets are well defined and communicated across teams working on the Workload</t>
  </si>
  <si>
    <t xml:space="preserve">Ensure the Recovery Targets are well defined and communicated across teams working on the Workload.
Two important metrics to consider are the recovery time objective and recovery point objective, as they pertain to disaster recovery.
- Recovery time objective (RTO) is the maximum acceptable time that an application can be unavailable after an incident. If your RTO is 90 minutes, you must be able to restore the application to a running state within 90 minutes from the start of a disaster. If you have a very low RTO, you might keep a second regional deployment continually running an active/passive configuration on standby, to protect against a regional outage. In some cases, you might deploy an active/active configuration to achieve even lower RTO.
- Recovery point objective (RPO) is the maximum duration of data loss that is acceptable during a disaster. For example, if you store data in a single database, with no replication to other databases, and perform hourly backups, you could lose up to an hour of data.
RTO and RPO are non-functional requirements of a system and should be dictated by business requirements. To derive these values, it's a good idea to conduct a risk assessment, and clearly understanding the cost of downtime or data loss.
Monitoring and measuring application availability is vital to qualifying overall application health and progress towards defined targets. Make sure you measure and monitor key targets such as:
- Mean Time Between Failures (MTBF) — The average time between failures of a particular component.
- Mean Time to Recover (MTTR) — The average time it takes to restore a component after a failure.
</t>
  </si>
  <si>
    <t>https://learn.microsoft.com/azure/well-architected/resiliency/design-requirements</t>
  </si>
  <si>
    <t>a43ab756-5b33-2345-8743-3daee911a1ae</t>
  </si>
  <si>
    <t>Deploy</t>
  </si>
  <si>
    <t>Avoid manual configuration to enforce consistency with Infrastructure as code</t>
  </si>
  <si>
    <t xml:space="preserve">Infrastructure as code (IaC) uses DevOps methodology and versioning with a descriptive model to define and deploy infrastructure, such as networks, virtual machines, load balancers, and connection topologies. Just as the same source code always generates the same binary, an IaC model generates the same environment every time it deploys.
IaC is a key DevOps practice and a component of continuous delivery. With IaC, DevOps teams can work together with a unified set of practices and tools to deliver applications and their supporting infrastructure rapidly and reliably at scale.
Key Points:
- Avoid manual configuration to enforce consistency
- Deliver stable test environments rapidly at scale
- Use declarative definition files
</t>
  </si>
  <si>
    <t>https://learn.microsoft.com/devops/deliver/what-is-infrastructure-as-code#avoid-manual-configuration-to-enforce-consistency</t>
  </si>
  <si>
    <t>6bf9e5d5-fe57-c647-8daa-4903770e1302</t>
  </si>
  <si>
    <t>Validated all changes in development environments before applying them to production</t>
  </si>
  <si>
    <t xml:space="preserve">Continuously delivering value has become a mandatory requirement for organizations. To deliver value to your end users, you must release continually and without errors.
Continuous delivery (CD) is the process of automating build, test, configuration, and deployment from a build to a production environment.
A release pipeline can create multiple testing or staging environments to automate infrastructure creation and deploy new builds. Successive environments support progressively longer-running integration, load, and user acceptance testing activities.
</t>
  </si>
  <si>
    <t>https://learn.microsoft.com/devops/operate/safe-deployment-practices</t>
  </si>
  <si>
    <t>e42e646c-7d67-dd4b-96dc-16a3439fa030</t>
  </si>
  <si>
    <t>Ensure the deployment method used is aligned to reliability strategy</t>
  </si>
  <si>
    <t xml:space="preserve">Another aspect of reliability is the deployment method used to update or roll back your workload. You should ensure that the deployment method used is aligned to your reliability strategy and supports the availability and performance requirements of your workload. For example, you may choose to use blue-green deployments, canary deployments, or rolling deployments depending on the level of risk and impact you want to mitigate. You should also consider the trade-offs between speed and safety when deploying changes, and use appropriate testing and validation methods to ensure the quality of your code and configuration. Additionally, you should have a clear and documented process for handling deployment failures and communicate any changes or issues to your stakeholders and customers.
</t>
  </si>
  <si>
    <t>https://learn.microsoft.com/azure/well-architected/mission-critical/mission-critical-deployment-testing https://learn.microsoft.com/devops/operate/safe-deployment-practices</t>
  </si>
  <si>
    <t>e067b48e-7f91-40d9-bed9-bccac945417a</t>
  </si>
  <si>
    <t>Implement a full suite of tests during deployment</t>
  </si>
  <si>
    <t xml:space="preserve">Testing your cloud solution at different stages of deployment can help you improve the quality and reliability of your solution and reduce the risk of costly and damaging incidents in production. By adopting a "shift left" approach, you can perform unit testing, smoke testing, load testing, and chaos testing to verify the functionality, integration, performance, scalability, resilience, and fault tolerance of your solution. These tests can help you identify and fix any issues or bugs before they affect your customers or users.
</t>
  </si>
  <si>
    <t>https://learn.microsoft.com/azure/well-architected/mission-critical/mission-critical-deployment-testing</t>
  </si>
  <si>
    <t>e435d7c1-afd7-4350-9130-b410482df2b9</t>
  </si>
  <si>
    <t>Ensure that failure scenarios are tested regularly</t>
  </si>
  <si>
    <t xml:space="preserve">Failure scenarios are situations where your cloud solution may not perform as expected or meet your service level objectives (SLOs) due to internal or external factors. For example, failure scenarios can include hardware failures, network outages, security breaches, configuration errors, unexpected spikes in demand, or dependencies on third-party services. Testing these scenarios regularly can help you assess the impact of failures on your solution and prepare contingency plans to mitigate them. You can use tools and techniques such as fault injection, disaster recovery drills, game days, and chaos engineering to simulate and test failure scenarios in a controlled environment.
</t>
  </si>
  <si>
    <t>59f2b6c5-a7ba-422a-aa52-eb1380e9a22b</t>
  </si>
  <si>
    <t>Regularly test regional failovers</t>
  </si>
  <si>
    <t xml:space="preserve">A regional failover is a process of switching to a secondary region in case of a major disruption or outage in the primary region of your cloud solution. Regional failovers can help you maintain availability and performance of your solution across different geographic areas. However, regional failovers are not trivial and require careful planning and testing. You should regularly test regional failovers to verify that your backup region can handle the load and functionality of your solution, that your data is consistent and secure across regions, and that your failover and failback procedures are working as expected. Testing regional failovers can also help you identify and resolve potential issues or gaps in your failover strategy before they affect your users or customers.
</t>
  </si>
  <si>
    <t>770dbc38-bd28-4669-83a5-81f1a49b682b</t>
  </si>
  <si>
    <t>Ensure failover automation is available during outages</t>
  </si>
  <si>
    <t xml:space="preserve">One of the key aspects of a reliable failover strategy is automation. Automation can reduce the human error, latency, and complexity involved in switching to a secondary region during an outage. However, automation itself can be vulnerable to failures or disruptions, especially if it depends on components or services that are affected by the outage. Therefore, you should ensure that your failover automation is available and resilient during outages, and that it can be triggered without manual intervention. You should also monitor and test your failover automation regularly to ensure that it performs as expected under different scenarios and conditions. As an example, if you are using regional failover as a mitigation for a potential regional outage, the automation used to orchestrate the failover to the backup region should not be hosted in the region that suffers the outage. Consider hosting your automation in a region that does not contain the production environment of your workload.
</t>
  </si>
  <si>
    <t>0b0893f6-7c47-4580-83b2-ff6711ac8406</t>
  </si>
  <si>
    <t>Design</t>
  </si>
  <si>
    <t>Consider deploying your application across multiple zones</t>
  </si>
  <si>
    <t xml:space="preserve">Design your application architecture to use availability zones within a region. Availability zones can be used to optimize application availability within a region by providing datacenter-level fault tolerance. However, the application architecture must not share dependencies between zones to use them effectively.
Consider if component proximity is required for application performance reasons. If all or part of the application is highly sensitive to latency, components might need to be co-located which can limit the applicability of multi-region and multi-zone strategies.
</t>
  </si>
  <si>
    <t>https://learn.microsoft.com/azure/reliability/availability-zones-overview#availability-zones</t>
  </si>
  <si>
    <t>063d7237-5f68-5d42-b3d1-43144b3630b5</t>
  </si>
  <si>
    <t>Consider deploying your application across multiple regions</t>
  </si>
  <si>
    <t xml:space="preserve">If your application is deployed to a single region, and the region becomes unavailable, your application will also be unavailable. This might be unacceptable under the terms of your application's SLA.
If so, consider deploying your application and its services across multiple regions. A multiregional deployment can use an active-active or active-passive configuration.
An active-active configuration distributes requests across multiple active regions. An active-passive configuration keeps warm instances in the secondary region, but doesn't send traffic there unless the primary region fails.
</t>
  </si>
  <si>
    <t>https://learn.microsoft.com/azure/well-architected/resiliency/app-design https://learn.microsoft.com/azure/reliability/cross-region-replication-azure</t>
  </si>
  <si>
    <t>8a497b6d-d065-0d43-a7d9-e3f8eebfe0f4</t>
  </si>
  <si>
    <t>Ensure that all fault-points and fault-modes are understood and operationalized</t>
  </si>
  <si>
    <t xml:space="preserve">Ensure that all fault-points and fault-modes are understood and operationalized.
Failure mode analysis (FMA) is a process for building resiliency into a system, by identifying possible failure points in the system. The FMA should be part of the architecture and design phases, so that you can build failure recovery into the system from the beginning.
Identify all fault-points and fault-modes. Fault-points describe the elements within an application architecture which can fail, while fault-modes capture the various ways by which a fault-point may fail. To ensure an application is resilient to end-to-end failures, it is essential that all fault-points and fault-modes are understood and operationalized.
</t>
  </si>
  <si>
    <t>https://learn.microsoft.com/azure/architecture/resiliency/failure-mode-analysis</t>
  </si>
  <si>
    <t>99ebe682-6306-6446-bfc7-cf6610ebfa02</t>
  </si>
  <si>
    <t>Use PaaS Azure services instead of IaaS</t>
  </si>
  <si>
    <t xml:space="preserve">PaaS provides a framework for developing and running apps. As with IaaS, the PaaS provider hosts and maintains the platform's servers, networks, storage, and other computing resources. But PaaS also includes tools, services, and systems that support the web application lifecycle.
Developers use the platform to build apps without having to manage backups, security solutions, upgrades, and other administrative tasks.
</t>
  </si>
  <si>
    <t>https://learn.microsoft.com/azure/architecture/guide/design-principles/managed-services</t>
  </si>
  <si>
    <t>097651d8-6e62-314a-9299-a0234ffd190e</t>
  </si>
  <si>
    <t>Design the application to scale out</t>
  </si>
  <si>
    <t xml:space="preserve">Azure provides elastic scalability and you should design to scale out. However, applications must leverage a scale-unit approach to navigate service and subscription limits to ensure that individual components and the application as a whole can scale horizontally. Don't forget about scale in, which is important to reduce cost.
For example, scale in and out for App Service is done via rules. Often customers write scale out rules and never write scale in rules, which leaves the App Service more expensive.
</t>
  </si>
  <si>
    <t>https://learn.microsoft.com/azure/architecture/guide/design-principles/scale-out</t>
  </si>
  <si>
    <t>7f4c76d7-f9d4-d643-ab73-4d8f27fd7ed9</t>
  </si>
  <si>
    <t>Create a landing zone for the workload following the Microsoft Cloud Adoption Framework</t>
  </si>
  <si>
    <t xml:space="preserve">From a workload perspective, a landing zone refers to a prepared platform into which the application gets deployed. A landing zone implementation can have compute, data sources, access controls, and networking components already provisioned. With the required plumbing ready in place; the workload needs to plug into it. When considering the overall security, a landing zone offers centralized security capabilities that adds a threat mitigation layer for the workload.
Implementations can vary but here are some common strategies that enhance the security posture.
- Isolation through segmentation. You can isolate assets at several layers from Azure enrollment down to a subscription that has the resources for the workload.
- Consistent adoption of organizational policies, enforce creation and deletion of services and their configuration through Azure Policy.
- Configurations that align with principles of Zero Trust. For instance an implementation might have network connectivity to on-premises data centers.
</t>
  </si>
  <si>
    <t>https://learn.microsoft.com/azure/well-architected/security/design-governance-landing-zone</t>
  </si>
  <si>
    <t>6132a11a-3ea0-e64c-877b-f01ca1de79d4</t>
  </si>
  <si>
    <t>Design a BCDR strategy that will help to meet the business requirements</t>
  </si>
  <si>
    <t xml:space="preserve">Disaster recovery is the process of restoring application functionality after a catastrophic loss. In cloud environments, we acknowledge up front that failures happen. Instead of trying to prevent failures altogether, the goal is to minimize the effects of a single failing component.
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
Key points:
- Create and test a disaster recovery plan regularly using key failure scenarios.
- Design a disaster recovery strategy to run most applications with reduced functionality.
- Design a backup strategy that's tailored for the business requirements and circumstances of the application.
- Automate failover and failback steps and processes.
- Test and validate the failover and failback approach successfully at least once.
</t>
  </si>
  <si>
    <t>https://learn.microsoft.com/azure/well-architected/resiliency/backup-and-recovery</t>
  </si>
  <si>
    <t>b09061cb-d536-1347-9957-390c2d0cfa3d</t>
  </si>
  <si>
    <t>Provide security assurance through identity management</t>
  </si>
  <si>
    <t xml:space="preserve">Provide security assurance through identity management: the process of authenticating and authorizing security principals. Use identity management services to authenticate and grant permission to users, partners, customers, applications, services, and other entities. Identity management is typically a centralized function not controlled by the workload team as a part of the workload's architecture.
- Define clear lines of responsibility and separation of duties for each function. Restrict access based on a need-to-know basis and least privilege security principles.
- Assign permissions to users, groups, and applications at a certain scope through Azure RBAC. Use built-in roles when possible.
- Prevent deletion or modification of a resource, resource group, or subscription through management locks.
- Use managed identities to access resources in Azure.
</t>
  </si>
  <si>
    <t>https://learn.microsoft.com/azure/well-architected/security/design-identity</t>
  </si>
  <si>
    <t>835e616d-78e6-7f4c-a48b-6f80382a48cf</t>
  </si>
  <si>
    <t>Addressing security risks minimizes downtime and data loss from exposures</t>
  </si>
  <si>
    <t xml:space="preserve">Security is one of the most important aspects of any architecture. It provides the following assurances against deliberate attacks and abuse of your valuable data and systems: Confidentiality ,Integrity, and Availability.
The security of complex systems depends on understanding the business context, social context, and technical context. As you design your system, cover these areas:
- Ensure that the identity provider (AAD/ADFS/AD/Other) is highly available and aligns with application availability and recovery targets.
- All external application endpoints are secured.
- Communication to Azure PaaS services secured using Virtual Network Service Endpoints or Private Link.
- Keys and secrets are backed-up to geo-redundant storage, and are still available in a failover case.
- Ensure that the process for key rotation is automated and tested.
- Emergency access break glass accounts have been tested and secured for recovering from Identity provider failure scenarios.
</t>
  </si>
  <si>
    <t>https://learn.microsoft.com/azure/well-architected/security/security-principles</t>
  </si>
  <si>
    <t>c5d8f87e-45ef-1644-a4aa-95ec08b88109</t>
  </si>
  <si>
    <t>Develop</t>
  </si>
  <si>
    <t>Use appropriate patterns for managing outgoing connections</t>
  </si>
  <si>
    <t xml:space="preserve">Outgoing connections are the requests that your cloud solution makes to external services or resources, such as databases, APIs, or third-party providers. Managing these connections properly is crucial for ensuring the reliability and performance of your solution. You should use appropriate patterns for opening, closing, reusing, and pooling outgoing connections, depending on the type and frequency of the requests. For example, you can use the circuit breaker pattern to prevent your solution from making repeated requests to a failing service, or you can use connection pooling to reuse existing connections and reduce the overhead of creating new ones. Additionally, you can use patterns like dependency injection or factory patterns to manage connection objects in code, and make sure to close connections you no longer use to prevent port exhaustion.
</t>
  </si>
  <si>
    <t>https://learn.microsoft.com/dotnet/core/extensions/dependency-injection-usage https://learn.microsoft.com/dotnet/architecture/microservices/implement-resilient-applications/use-httpclientfactory-to-implement-resilient-http-requests</t>
  </si>
  <si>
    <t>7ffd4456-d121-4cdb-a776-29762e1bff8d</t>
  </si>
  <si>
    <t>Expect outgoing connections to fail</t>
  </si>
  <si>
    <t xml:space="preserve">One of the main challenges of cloud computing is that you have to deal with uncertainty and unpredictability of network communication. Outgoing connections can fail for various reasons, such as network congestion, timeouts, service outages, or configuration errors. You should expect these failures to occur and design your solution to handle them gracefully. For example, you can use patterns like retry, fallback, or timeout to recover from transient failures, or use patterns like bulkhead or queue-based load leveling to isolate and manage the impact of failures on your system. By expecting and handling outgoing connection failures, you can improve the resilience and availability of your cloud solution.
</t>
  </si>
  <si>
    <t>https://learn.microsoft.com/azure/architecture/patterns/retry</t>
  </si>
  <si>
    <t>4d03e777-bc01-4a35-b23c-92cfd4f218be</t>
  </si>
  <si>
    <t>Ensure the infrastructure can support the number of outgoing connections</t>
  </si>
  <si>
    <t xml:space="preserve">Outgoing connections go through various components on the network path to their destination. These components include gateways, proxies, firewalls, or other appliances as well as Azure NAT gateways or other means of scaling outgoing connections. Make sure that these components can scale to at least the expected outgoing traffic volume.
</t>
  </si>
  <si>
    <t>https://azure.microsoft.com/blog/ensure-zone-resilient-outbound-connectivity-with-nat-gateway/</t>
  </si>
  <si>
    <t>f1993b50-61a0-4206-8215-c43e3fd61500</t>
  </si>
  <si>
    <t>Implement Coding Patterns to handle partial failures</t>
  </si>
  <si>
    <t xml:space="preserve">Partial failures are inevitable in distributed systems, where some components may fail or become unavailable while others continue to function. Therefore, cloud solutions should implement patterns to handle partial failures gracefully and avoid disrupting the entire system. Some of these patterns include retrying failed operations with exponential backoff, using timeouts to limit the impact of slow or unresponsive services, and fallback logic to provide alternative responses when the primary service is not available. As an example, dynamic content loaded into a webpage should revert to default values if the content is unavailable or should be hidden altogether. This presents a more favorable user experience than displaying error messages.
</t>
  </si>
  <si>
    <t>https://learn.microsoft.com/azure/well-architected/reliability/self-preservation#application-design-guidance-and-patterns-1</t>
  </si>
  <si>
    <t>d70e7d1f-b956-40da-b8f2-19378ab61b63</t>
  </si>
  <si>
    <t>Implement circuit breakers to prevent cascading failures</t>
  </si>
  <si>
    <t xml:space="preserve">Circuit breakers are a design pattern that can help prevent cascading failures in distributed systems. The idea is to monitor the health of each service and stop sending requests to it if it becomes unhealthy or unresponsive. This way, the failure of one service does not affect the rest of the system, and the service can recover faster by avoiding overload. Circuit breakers can also trigger fallback logic, such as using cached data or default values, when the primary service is unavailable. This improves the reliability and resilience of the system and provides a better user experience.
</t>
  </si>
  <si>
    <t>https://learn.microsoft.com/azure/architecture/patterns/circuit-breaker</t>
  </si>
  <si>
    <t>c220efa2-c3c4-4b99-960c-4ae753c2e103</t>
  </si>
  <si>
    <t>Monitor</t>
  </si>
  <si>
    <t>Make sure your application's health is being monitored</t>
  </si>
  <si>
    <t xml:space="preserve">Monitoring and diagnostics are crucial for availability and resiliency. If something fails, you need to know that it failed, when it failed, and why.
Monitoring isn't the same as failure detection. For example, your application might detect a transient error and retry, avoiding downtime. It should also log the retry operation so that you can monitor the error rate to get an overall picture of application health.
Key points:
- Define alerts that are actionable and effectively prioritized.
- Create alerts that poll for services nearing their limits and quotas.
- Use application instrumentation to detect and resolve performance anomalies.
- Track the progress of long-running processes.
- Troubleshoot issues to gain an overall view of application health.
- Document how to analyze, diagnose, and respond to signals being monitored
</t>
  </si>
  <si>
    <t>https://learn.microsoft.com/azure/well-architected/resiliency/monitoring</t>
  </si>
  <si>
    <t>46fb4540-ecac-6e49-bc10-34c7792eb35d</t>
  </si>
  <si>
    <t>Define a health model based on performance, availability, and recovery targets</t>
  </si>
  <si>
    <t xml:space="preserve">The health model should be able to surface the health of critical system flows or key subsystems to ensure that appropriate operational prioritization is applied.
For example, the health model should be able to represent the current state of the user sign-in transaction flow. The health model shouldn't treat all failures the same. The health model should distinguish between transient and non transient faults. It should clearly distinguish between expected-transient but recoverable failures and a true disaster state.
Key points:
- Know how to tell if an application is healthy or unhealthy.
- Understand the effects of logs in diagnostic data.
- Ensure the consistent use of diagnostic settings across the application.
- Use critical system flows in your health model.
</t>
  </si>
  <si>
    <t>https://learn.microsoft.com/azure/well-architected/resiliency/monitor-model https://learn.microsoft.com/en-us/azure/well-architected/cross-cutting-guides/health-modeling</t>
  </si>
  <si>
    <t>5dd7a9a3-fb79-004d-bc89-c9ef79890900</t>
  </si>
  <si>
    <t>Create Dashboards and Alerts for Azure Platform resources</t>
  </si>
  <si>
    <t xml:space="preserve">In this stage, telemetry data is presented so that an operator can quickly notice problems or trends.
Examples include Workbook, Dashboards or email alerts. With Azure Workbooks and/or dashboards, you can build a single pane of glass view of monitoring graphs originating from Application Insights, Log Analytics, Azure Monitor metrics and service health. With Azure Monitor alerts, you can create alerts on service health and resource health.
</t>
  </si>
  <si>
    <t>https://learn.microsoft.com/azure/azure-monitor/visualize/workbooks-templates</t>
  </si>
  <si>
    <t>1691bfea-c9fd-0948-969a-03e5abcab299</t>
  </si>
  <si>
    <t>Ensure that the right people in your organization will be notified about any future service issues</t>
  </si>
  <si>
    <t xml:space="preserve">Azure offers a suite of experiences to keep you informed about the health of your cloud resources.
The Service Health portal tracks four types of health events that may impact your resources:
- Service issues - Problems in the Azure services that affect you right now (Outages)
- Planned maintenance - Upcoming maintenance that can affect the availability of your services in the future.
- Health advisories - Changes in Azure services that require your attention. Examples include deprecation of Azure features or upgrade requirements (e.g upgrade to a supported PHP framework).
- Security advisories - Security related notifications or violations that may affect the availability of your Azure services.
</t>
  </si>
  <si>
    <t>https://learn.microsoft.com/azure/service-health/alerts-activity-log-service-notifications-portal#create-a-service-health-alert-using-the-azure-portal</t>
  </si>
  <si>
    <t>1422b388-5d23-5641-ba1c-139a59fb7b4c</t>
  </si>
  <si>
    <t>Utilize built-in Resilience policies</t>
  </si>
  <si>
    <t xml:space="preserve">Utilize Azure's built-in Resilience policies to audit and enforce resilient configurations of Azure services. Azure Policy helps to enforce organizational standards and to assess compliance at-scale.
</t>
  </si>
  <si>
    <t>https://github.com/Azure/azure-policy/tree/master/built-in-policies/policyDefinitions/Resilience https://learn.microsoft.com/azure/governance/policy/how-to/get-compliance-data</t>
  </si>
  <si>
    <t>2af4f8c2-bafc-4808-88df-0af009a019b5</t>
  </si>
  <si>
    <t>Define metrics to track reliability in relation to business requirements</t>
  </si>
  <si>
    <t xml:space="preserve">To measure and improve the reliability of your cloud solution, you need to define metrics that reflect how well your solution meets your business requirements. For example, you can use availability, latency, throughput, error rate, and durability as metrics to quantify the performance and reliability of your solution. These metrics can help you track the progress of your reliability goals, such as SLAs and SLOs, and identify areas for improvement. You should also align your metrics with your customer expectations and feedback, and use them to prioritize your reliability efforts.
</t>
  </si>
  <si>
    <t>https://learn.microsoft.com/azure/well-architected/reliability/metrics</t>
  </si>
  <si>
    <t>3e2f722e-7d94-4efa-96f1-78bd3e256a41</t>
  </si>
  <si>
    <t>Respond</t>
  </si>
  <si>
    <t>Implement proactive Incident Response</t>
  </si>
  <si>
    <t xml:space="preserve">Prevention of all problems is a laudable, but impossible goal. Things will go wrong, so we need a plan to limit the impact on our end users and return operations to normal as quickly as possible.
The key is to respond with urgency, rather than react. A reaction tends to be more impulsive and based in the present moment, without consideration of long-term effects. A response is well-thought-out, organized, and information based.
Your incident response approach determines your effectiveness at:
- Understanding what's going on (diagnosing the problem)
- Triaging (determining the urgency) and prioritizing the problem
- Engaging the right resources to mitigate the issue(s)
- Communicating with stakeholders about the problem.
- After the problem has been remediated, you can then learn from the incident through a post-incident review process. That's an important subject which has a whole separate module worth of discussion.
</t>
  </si>
  <si>
    <t>https://learn.microsoft.com/training/modules/improve-reliability-incidents/2-importance https://learn.microsoft.com/training/modules/improve-reliability-incidents/5-tracking</t>
  </si>
  <si>
    <t>daf605e4-d3fd-fc42-819a-e3ec084ffda6</t>
  </si>
  <si>
    <t>Test</t>
  </si>
  <si>
    <t>Test your applications for availability and resiliency</t>
  </si>
  <si>
    <t xml:space="preserve">Applications should be tested to ensure availability and resiliency. Availability describes the amount of time that an application runs in a healthy state without significant downtime. Resiliency describes how quickly an application recovers from failure.
Being able to measure availability and resiliency can answer questions like:
- How much downtime is acceptable? How much does potential downtime cost your business?
- What are your availability requirements?
- How much do you invest in making your application highly available?
- What is the risk versus the cost?
- Testing plays a critical role in making sure your applications can meet these requirements.
Key points:
- Test regularly to validate existing thresholds, targets, and assumptions.
- Automate testing as much as possible.
- Perform testing on both key Test environments and the production environment.
- Verify how the end-to-end workload performs under intermittent failure conditions.
- Test the application against critical functional and nonfunctional requirements for performance.
- Conduct load testing with expected peak volumes to Test scalability and performance under load.
- Perform chaos testing by injecting faults.
</t>
  </si>
  <si>
    <t>https://learn.microsoft.com/azure/well-architected/resiliency/testing</t>
  </si>
  <si>
    <t>28a8ce6f-1b47-c243-bafb-208f4422fe7a</t>
  </si>
  <si>
    <t>Consider building logic into your workload to handle errors</t>
  </si>
  <si>
    <t xml:space="preserve">In a distributed system, ensuring that your application can recover from errors is critical. You can test your applications to prevent errors and failure, but you need to prepare for a wide range of issues. Testing doesn't always catch everything, so you should understand how to handle errors and prevent potential failure.
Many things in a distributed system, such as underlying cloud infrastructure and third-party runtime dependencies, are outside your span of control and your means to test. You can be sure something will fail eventually, so you need to be prepared.
Key points:
- Implement retry logic to handle transient application failures and transient failures with internal or external dependencies.
- Uncover issues or failures in your application's retry logic.
- Configure request timeouts to manage intercomponent calls.
- Configure and test health probes for your load balancers and traffic managers.
- Segregate read operations from update operations across application data stores.
</t>
  </si>
  <si>
    <t>https://learn.microsoft.com/azure/well-architected/resiliency/app-design-error-handling</t>
  </si>
  <si>
    <t>155dda00-c264-1b45-8ac0-d6f68178844f</t>
  </si>
  <si>
    <t>Perform disaster recovery tests regularly</t>
  </si>
  <si>
    <t xml:space="preserve">Disaster recovery is the process of restoring application functionality after a catastrophic loss.
In cloud environments, we acknowledge up front that failures happen. Instead of trying to prevent failures altogether, the goal is to minimize the effects of a single failing component.
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
Key points:
- Create and test a disaster recovery plan regularly using key failure scenarios.
- Design a disaster recovery strategy to run most applications with reduced functionality.
- Design a backup strategy that's tailored for the business requirements and circumstances of the application.
- Automate failover and failback steps and processes.
- Test and validate the failover and failback approach successfully at least once.
</t>
  </si>
  <si>
    <t>1b612a06-28dc-e64e-9057-17467e57764a</t>
  </si>
  <si>
    <t>Use chaos engineering to test Azure applications</t>
  </si>
  <si>
    <t xml:space="preserve">Ideally, you should apply chaos principles continuously. There's constant change in the environments in which software and hardware run, so monitoring the changes is key. By constantly applying stress or faults on components, you can help expose issues early, before small problems are compounded by many other factors.
Apply chaos engineering principles when you:
- Deploy new code.
- Add dependencies.
- Observe changes in usage patterns.
- Mitigate problems.
</t>
  </si>
  <si>
    <t>https://learn.microsoft.com/en-us/azure/well-architected/reliability/testing-strategy#fault-injection-and-chaos-engineering-guidance</t>
  </si>
  <si>
    <t>e10f11a5-9c5b-6c4c-a684-4d9f4063127a</t>
  </si>
  <si>
    <t>Test application fault resiliency</t>
  </si>
  <si>
    <t xml:space="preserve">High availability is a fundamental part of the SQL Database platform that works transparently for your database application. However, we recognize that you may want to test how the automatic failover operations initiated during planned or unplanned events would impact an application before you deploy it to production. You can manually trigger a failover by calling a special API to restart a database, or an elastic pool.
In the case of a zone-redundant serverless or provisioned General Purpose database or elastic pool, the API call would result in redirecting client connections to the new primary in an Availability Zone different from the Availability Zone of the old primary. So in addition to testing how failover impacts existing database sessions, you can also verify if it changes the end-to-end performance due to changes in network latency.
Because the restart operation is intrusive and a large number of them could stress the platform, only one failover call is allowed every 15 minutes for each database or elastic pool.
</t>
  </si>
  <si>
    <t>https://learn.microsoft.com/en-us/azure/azure-sql/database/high-availability-sla?view=azuresql&amp;tabs=azure-powershell#testing-application-fault-resiliency</t>
  </si>
  <si>
    <t>c8ba80d4-20d9-456f-a2bd-8e6d488d8ff9</t>
  </si>
  <si>
    <t>Copy the Charts below to your Word and Powerpoint Documents</t>
  </si>
  <si>
    <t>Count of Resiliency Category</t>
  </si>
  <si>
    <t>Column Labels</t>
  </si>
  <si>
    <t>Row Labels</t>
  </si>
  <si>
    <t>Grand Total</t>
  </si>
  <si>
    <t>Count of Azure Service Category / Well-Architected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</si>
</sst>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u/>
      <sz val="11"/>
      <color rgb="FF0000FF"/>
      <name val="Calibri"/>
    </font>
    <font>
      <b/>
      <sz val="11"/>
      <color rgb="FFFFFFFF"/>
      <name val="Calibri"/>
    </font>
    <font>
      <b/>
      <sz val="11"/>
      <name val="Calibri"/>
    </font>
  </fonts>
  <fills count="4">
    <fill>
      <patternFill patternType="none"/>
    </fill>
    <fill>
      <patternFill patternType="gray125"/>
    </fill>
    <fill>
      <patternFill patternType="solid">
        <fgColor rgb="FF2F4F4F"/>
      </patternFill>
    </fill>
    <fill>
      <patternFill patternType="solid">
        <fgColor rgb="FFFFFF00"/>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2" borderId="0" xfId="0" applyFont="1" applyFill="1" applyAlignment="1">
      <alignment horizontal="center"/>
    </xf>
    <xf numFmtId="1" fontId="0" fillId="0" borderId="0" xfId="0" applyNumberFormat="1" applyAlignment="1">
      <alignment horizontal="center"/>
    </xf>
    <xf numFmtId="1" fontId="2" fillId="2" borderId="0" xfId="0" applyNumberFormat="1" applyFont="1" applyFill="1" applyAlignment="1">
      <alignment horizontal="center"/>
    </xf>
    <xf numFmtId="1" fontId="0" fillId="0" borderId="0" xfId="0" applyNumberFormat="1" applyAlignment="1">
      <alignment horizontal="center" wrapText="1"/>
    </xf>
    <xf numFmtId="1" fontId="2" fillId="2" borderId="0" xfId="0" applyNumberFormat="1" applyFont="1" applyFill="1" applyAlignment="1">
      <alignment horizontal="center" wrapText="1"/>
    </xf>
    <xf numFmtId="0" fontId="0" fillId="0" borderId="0" xfId="0" applyAlignment="1">
      <alignment horizontal="left"/>
    </xf>
    <xf numFmtId="0" fontId="2" fillId="2" borderId="0" xfId="0" applyFont="1"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pivotButton="1"/>
    <xf numFmtId="0" fontId="0" fillId="0" borderId="0" xfId="0" applyAlignment="1">
      <alignment horizontal="left" indent="1"/>
    </xf>
    <xf numFmtId="0" fontId="3" fillId="3" borderId="0" xfId="0" applyFont="1" applyFill="1" applyAlignment="1">
      <alignment horizontal="left"/>
    </xf>
    <xf numFmtId="0" fontId="0" fillId="0" borderId="0" xfId="0" applyNumberFormat="1"/>
  </cellXfs>
  <cellStyles count="1">
    <cellStyle name="Normal" xfId="0" builtinId="0"/>
  </cellStyles>
  <dxfs count="3">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[WARA Action Plan 2024-05-07_12_07.xlsx]PivotTable!P0</c:name>
    <c:fmtId val="1"/>
  </c:pivotSource>
  <c:chart>
    <c:title>
      <c:tx>
        <c:rich>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a:ea typeface="Segoe UI"/>
                <a:cs typeface="Segoe UI"/>
              </a:defRPr>
            </a:pPr>
            <a:r>
              <a:rPr lang="en-US"/>
              <a:t>Recommendations per Services/Well-Architected Area</a:t>
            </a:r>
          </a:p>
        </c:rich>
      </c:tx>
      <c:overlay val="0"/>
      <c:spPr>
        <a:noFill/>
        <a:ln>
          <a:noFill/>
        </a:ln>
        <a:effectLst/>
      </c:spPr>
      <c:txPr>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a:ea typeface="Segoe UI"/>
              <a:cs typeface="Segoe UI"/>
            </a:defRPr>
          </a:pPr>
          <a:endParaRPr lang="en-US"/>
        </a:p>
      </c:txPr>
    </c:title>
    <c:autoTitleDeleted val="0"/>
    <c:pivotFmts>
      <c:pivotFmt>
        <c:idx val="0"/>
        <c:marker>
          <c:symbol val="none"/>
        </c:marker>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multiLvlStrRef>
              <c:f>PivotTable!$A$5:$A$12</c:f>
              <c:multiLvlStrCache>
                <c:ptCount val="6"/>
                <c:lvl>
                  <c:pt idx="0">
                    <c:v>virtualMachines</c:v>
                  </c:pt>
                  <c:pt idx="1">
                    <c:v>virtualMachineScaleSets</c:v>
                  </c:pt>
                  <c:pt idx="2">
                    <c:v>applicationGateways</c:v>
                  </c:pt>
                  <c:pt idx="3">
                    <c:v>loadBalancers</c:v>
                  </c:pt>
                  <c:pt idx="4">
                    <c:v>storageAccounts</c:v>
                  </c:pt>
                  <c:pt idx="5">
                    <c:v>serverFarms</c:v>
                  </c:pt>
                </c:lvl>
                <c:lvl>
                  <c:pt idx="0">
                    <c:v>Azure Service</c:v>
                  </c:pt>
                </c:lvl>
              </c:multiLvlStrCache>
            </c:multiLvlStrRef>
          </c:cat>
          <c:val>
            <c:numRef>
              <c:f>PivotTable!$B$5:$B$12</c:f>
              <c:numCache>
                <c:formatCode>General</c:formatCode>
                <c:ptCount val="6"/>
                <c:pt idx="0">
                  <c:v>3</c:v>
                </c:pt>
                <c:pt idx="1">
                  <c:v>1</c:v>
                </c:pt>
                <c:pt idx="2">
                  <c:v>4</c:v>
                </c:pt>
                <c:pt idx="3">
                  <c:v>1</c:v>
                </c:pt>
                <c:pt idx="4">
                  <c:v>1</c:v>
                </c:pt>
                <c:pt idx="5">
                  <c:v>1</c:v>
                </c:pt>
              </c:numCache>
            </c:numRef>
          </c:val>
          <c:extLst>
            <c:ext xmlns:c16="http://schemas.microsoft.com/office/drawing/2014/chart" uri="{C3380CC4-5D6E-409C-BE32-E72D297353CC}">
              <c16:uniqueId val="{00000000-CB59-4D20-BE4D-B67E8F7180BC}"/>
            </c:ext>
          </c:extLst>
        </c:ser>
        <c:ser>
          <c:idx val="1"/>
          <c:order val="1"/>
          <c:tx>
            <c:strRef>
              <c:f>PivotTable!$C$3:$C$4</c:f>
              <c:strCache>
                <c:ptCount val="1"/>
                <c:pt idx="0">
                  <c:v>Medium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PivotTable!$A$5:$A$12</c:f>
              <c:multiLvlStrCache>
                <c:ptCount val="6"/>
                <c:lvl>
                  <c:pt idx="0">
                    <c:v>virtualMachines</c:v>
                  </c:pt>
                  <c:pt idx="1">
                    <c:v>virtualMachineScaleSets</c:v>
                  </c:pt>
                  <c:pt idx="2">
                    <c:v>applicationGateways</c:v>
                  </c:pt>
                  <c:pt idx="3">
                    <c:v>loadBalancers</c:v>
                  </c:pt>
                  <c:pt idx="4">
                    <c:v>storageAccounts</c:v>
                  </c:pt>
                  <c:pt idx="5">
                    <c:v>serverFarms</c:v>
                  </c:pt>
                </c:lvl>
                <c:lvl>
                  <c:pt idx="0">
                    <c:v>Azure Service</c:v>
                  </c:pt>
                </c:lvl>
              </c:multiLvlStrCache>
            </c:multiLvlStrRef>
          </c:cat>
          <c:val>
            <c:numRef>
              <c:f>PivotTable!$C$5:$C$12</c:f>
              <c:numCache>
                <c:formatCode>General</c:formatCode>
                <c:ptCount val="6"/>
                <c:pt idx="0">
                  <c:v>4</c:v>
                </c:pt>
                <c:pt idx="1">
                  <c:v>1</c:v>
                </c:pt>
                <c:pt idx="2">
                  <c:v>1</c:v>
                </c:pt>
                <c:pt idx="4">
                  <c:v>1</c:v>
                </c:pt>
              </c:numCache>
            </c:numRef>
          </c:val>
          <c:extLst>
            <c:ext xmlns:c16="http://schemas.microsoft.com/office/drawing/2014/chart" uri="{C3380CC4-5D6E-409C-BE32-E72D297353CC}">
              <c16:uniqueId val="{00000001-CB59-4D20-BE4D-B67E8F7180BC}"/>
            </c:ext>
          </c:extLst>
        </c:ser>
        <c:ser>
          <c:idx val="2"/>
          <c:order val="2"/>
          <c:tx>
            <c:strRef>
              <c:f>PivotTable!$D$3:$D$4</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PivotTable!$A$5:$A$12</c:f>
              <c:multiLvlStrCache>
                <c:ptCount val="6"/>
                <c:lvl>
                  <c:pt idx="0">
                    <c:v>virtualMachines</c:v>
                  </c:pt>
                  <c:pt idx="1">
                    <c:v>virtualMachineScaleSets</c:v>
                  </c:pt>
                  <c:pt idx="2">
                    <c:v>applicationGateways</c:v>
                  </c:pt>
                  <c:pt idx="3">
                    <c:v>loadBalancers</c:v>
                  </c:pt>
                  <c:pt idx="4">
                    <c:v>storageAccounts</c:v>
                  </c:pt>
                  <c:pt idx="5">
                    <c:v>serverFarms</c:v>
                  </c:pt>
                </c:lvl>
                <c:lvl>
                  <c:pt idx="0">
                    <c:v>Azure Service</c:v>
                  </c:pt>
                </c:lvl>
              </c:multiLvlStrCache>
            </c:multiLvlStrRef>
          </c:cat>
          <c:val>
            <c:numRef>
              <c:f>PivotTable!$D$5:$D$12</c:f>
              <c:numCache>
                <c:formatCode>General</c:formatCode>
                <c:ptCount val="6"/>
                <c:pt idx="0">
                  <c:v>5</c:v>
                </c:pt>
                <c:pt idx="1">
                  <c:v>1</c:v>
                </c:pt>
                <c:pt idx="4">
                  <c:v>1</c:v>
                </c:pt>
              </c:numCache>
            </c:numRef>
          </c:val>
          <c:extLst>
            <c:ext xmlns:c16="http://schemas.microsoft.com/office/drawing/2014/chart" uri="{C3380CC4-5D6E-409C-BE32-E72D297353CC}">
              <c16:uniqueId val="{00000002-CB59-4D20-BE4D-B67E8F7180BC}"/>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crossAx val="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900">
          <a:latin typeface="Segoe UI"/>
          <a:ea typeface="Segoe UI"/>
          <a:cs typeface="Segoe U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[WARA Action Plan 2024-05-07_12_07.xlsx]PivotTable!P1</c:name>
    <c:fmtId val="1"/>
  </c:pivotSource>
  <c:chart>
    <c:title>
      <c:tx>
        <c:rich>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a:ea typeface="Segoe UI"/>
                <a:cs typeface="Segoe UI"/>
              </a:defRPr>
            </a:pPr>
            <a:r>
              <a:rPr lang="en-US"/>
              <a:t>Recommendations per Resiliency Category</a:t>
            </a:r>
          </a:p>
        </c:rich>
      </c:tx>
      <c:overlay val="0"/>
      <c:spPr>
        <a:noFill/>
        <a:ln>
          <a:noFill/>
        </a:ln>
        <a:effectLst/>
      </c:spPr>
      <c:txPr>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a:ea typeface="Segoe UI"/>
              <a:cs typeface="Segoe UI"/>
            </a:defRPr>
          </a:pPr>
          <a:endParaRPr lang="en-US"/>
        </a:p>
      </c:txPr>
    </c:title>
    <c:autoTitleDeleted val="0"/>
    <c:pivotFmts>
      <c:pivotFmt>
        <c:idx val="0"/>
        <c:marker>
          <c:symbol val="none"/>
        </c:marker>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PivotTable!$I$3:$I$4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PivotTable!$H$5:$H$11</c:f>
              <c:strCache>
                <c:ptCount val="6"/>
                <c:pt idx="0">
                  <c:v>High Availability</c:v>
                </c:pt>
                <c:pt idx="1">
                  <c:v>Disaster Recovery</c:v>
                </c:pt>
                <c:pt idx="2">
                  <c:v>Scalability</c:v>
                </c:pt>
                <c:pt idx="3">
                  <c:v>Governance</c:v>
                </c:pt>
                <c:pt idx="4">
                  <c:v>Security</c:v>
                </c:pt>
                <c:pt idx="5">
                  <c:v>Monitoring and Alerting</c:v>
                </c:pt>
              </c:strCache>
            </c:strRef>
          </c:cat>
          <c:val>
            <c:numRef>
              <c:f>PivotTable!$I$5:$I$11</c:f>
              <c:numCache>
                <c:formatCode>General</c:formatCode>
                <c:ptCount val="6"/>
                <c:pt idx="0">
                  <c:v>8</c:v>
                </c:pt>
                <c:pt idx="2">
                  <c:v>1</c:v>
                </c:pt>
                <c:pt idx="4">
                  <c:v>1</c:v>
                </c:pt>
                <c:pt idx="5">
                  <c:v>1</c:v>
                </c:pt>
              </c:numCache>
            </c:numRef>
          </c:val>
          <c:extLst>
            <c:ext xmlns:c16="http://schemas.microsoft.com/office/drawing/2014/chart" uri="{C3380CC4-5D6E-409C-BE32-E72D297353CC}">
              <c16:uniqueId val="{00000000-1006-4E6D-8ED5-E98B70218EBE}"/>
            </c:ext>
          </c:extLst>
        </c:ser>
        <c:ser>
          <c:idx val="1"/>
          <c:order val="1"/>
          <c:tx>
            <c:strRef>
              <c:f>PivotTable!$J$3:$J$4</c:f>
              <c:strCache>
                <c:ptCount val="1"/>
                <c:pt idx="0">
                  <c:v>Medium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PivotTable!$H$5:$H$11</c:f>
              <c:strCache>
                <c:ptCount val="6"/>
                <c:pt idx="0">
                  <c:v>High Availability</c:v>
                </c:pt>
                <c:pt idx="1">
                  <c:v>Disaster Recovery</c:v>
                </c:pt>
                <c:pt idx="2">
                  <c:v>Scalability</c:v>
                </c:pt>
                <c:pt idx="3">
                  <c:v>Governance</c:v>
                </c:pt>
                <c:pt idx="4">
                  <c:v>Security</c:v>
                </c:pt>
                <c:pt idx="5">
                  <c:v>Monitoring and Alerting</c:v>
                </c:pt>
              </c:strCache>
            </c:strRef>
          </c:cat>
          <c:val>
            <c:numRef>
              <c:f>PivotTable!$J$5:$J$11</c:f>
              <c:numCache>
                <c:formatCode>General</c:formatCode>
                <c:ptCount val="6"/>
                <c:pt idx="0">
                  <c:v>2</c:v>
                </c:pt>
                <c:pt idx="1">
                  <c:v>2</c:v>
                </c:pt>
                <c:pt idx="2">
                  <c:v>2</c:v>
                </c:pt>
                <c:pt idx="4">
                  <c:v>1</c:v>
                </c:pt>
              </c:numCache>
            </c:numRef>
          </c:val>
          <c:extLst>
            <c:ext xmlns:c16="http://schemas.microsoft.com/office/drawing/2014/chart" uri="{C3380CC4-5D6E-409C-BE32-E72D297353CC}">
              <c16:uniqueId val="{00000001-1006-4E6D-8ED5-E98B70218EBE}"/>
            </c:ext>
          </c:extLst>
        </c:ser>
        <c:ser>
          <c:idx val="2"/>
          <c:order val="2"/>
          <c:tx>
            <c:strRef>
              <c:f>PivotTable!$K$3:$K$4</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PivotTable!$H$5:$H$11</c:f>
              <c:strCache>
                <c:ptCount val="6"/>
                <c:pt idx="0">
                  <c:v>High Availability</c:v>
                </c:pt>
                <c:pt idx="1">
                  <c:v>Disaster Recovery</c:v>
                </c:pt>
                <c:pt idx="2">
                  <c:v>Scalability</c:v>
                </c:pt>
                <c:pt idx="3">
                  <c:v>Governance</c:v>
                </c:pt>
                <c:pt idx="4">
                  <c:v>Security</c:v>
                </c:pt>
                <c:pt idx="5">
                  <c:v>Monitoring and Alerting</c:v>
                </c:pt>
              </c:strCache>
            </c:strRef>
          </c:cat>
          <c:val>
            <c:numRef>
              <c:f>PivotTable!$K$5:$K$11</c:f>
              <c:numCache>
                <c:formatCode>General</c:formatCode>
                <c:ptCount val="6"/>
                <c:pt idx="2">
                  <c:v>3</c:v>
                </c:pt>
                <c:pt idx="3">
                  <c:v>1</c:v>
                </c:pt>
                <c:pt idx="4">
                  <c:v>1</c:v>
                </c:pt>
                <c:pt idx="5">
                  <c:v>2</c:v>
                </c:pt>
              </c:numCache>
            </c:numRef>
          </c:val>
          <c:extLst>
            <c:ext xmlns:c16="http://schemas.microsoft.com/office/drawing/2014/chart" uri="{C3380CC4-5D6E-409C-BE32-E72D297353CC}">
              <c16:uniqueId val="{00000002-1006-4E6D-8ED5-E98B70218EBE}"/>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crossAx val="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900">
          <a:latin typeface="Segoe UI"/>
          <a:ea typeface="Segoe UI"/>
          <a:cs typeface="Segoe U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228600</xdr:colOff>
      <xdr:row>2</xdr:row>
      <xdr:rowOff>127000</xdr:rowOff>
    </xdr:from>
    <xdr:to>
      <xdr:col>10</xdr:col>
      <xdr:colOff>104775</xdr:colOff>
      <xdr:row>37</xdr:row>
      <xdr:rowOff>88900</xdr:rowOff>
    </xdr:to>
    <xdr:graphicFrame macro="">
      <xdr:nvGraphicFramePr>
        <xdr:cNvPr id="2" name="ChartP0">
          <a:extLst>
            <a:ext uri="{FF2B5EF4-FFF2-40B4-BE49-F238E27FC236}">
              <a16:creationId xmlns:a16="http://schemas.microsoft.com/office/drawing/2014/main" id="{5A4ECF2B-C13B-4200-8CCB-FBB5F2675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2</xdr:row>
      <xdr:rowOff>127000</xdr:rowOff>
    </xdr:from>
    <xdr:to>
      <xdr:col>18</xdr:col>
      <xdr:colOff>476250</xdr:colOff>
      <xdr:row>31</xdr:row>
      <xdr:rowOff>22225</xdr:rowOff>
    </xdr:to>
    <xdr:graphicFrame macro="">
      <xdr:nvGraphicFramePr>
        <xdr:cNvPr id="3" name="ChartP1">
          <a:extLst>
            <a:ext uri="{FF2B5EF4-FFF2-40B4-BE49-F238E27FC236}">
              <a16:creationId xmlns:a16="http://schemas.microsoft.com/office/drawing/2014/main" id="{72DC48BA-856B-441E-946A-6BF213623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drigo Santos (AZURE)" refreshedDate="45425.56271215278" createdVersion="8" refreshedVersion="8" recordCount="109" xr:uid="{00000000-000A-0000-FFFF-FFFF02000000}">
  <cacheSource type="worksheet">
    <worksheetSource name="Table1"/>
  </cacheSource>
  <cacheFields count="14">
    <cacheField name="Implemented?Yes/No" numFmtId="0">
      <sharedItems count="2">
        <s v="No"/>
        <s v="Yes"/>
      </sharedItems>
    </cacheField>
    <cacheField name="Number of Impacted Resources?" numFmtId="0">
      <sharedItems containsSemiMixedTypes="0" containsString="0" containsNumber="1" containsInteger="1" minValue="0" maxValue="84"/>
    </cacheField>
    <cacheField name="Azure Service / Well-Architected" numFmtId="0">
      <sharedItems/>
    </cacheField>
    <cacheField name="Recommendation Source" numFmtId="0">
      <sharedItems/>
    </cacheField>
    <cacheField name="Azure Service Category / Well-Architected Area" numFmtId="0">
      <sharedItems/>
    </cacheField>
    <cacheField name="Azure Service / Well-Architected Topic" numFmtId="0">
      <sharedItems/>
    </cacheField>
    <cacheField name="Resiliency Category" numFmtId="0">
      <sharedItems count="9">
        <s v="High Availability"/>
        <s v="Disaster Recovery"/>
        <s v="Scalability"/>
        <s v="Governance"/>
        <s v="Security"/>
        <s v="Other Best Practices"/>
        <s v="Monitoring and Alerting"/>
        <s v="Automation"/>
        <s v="Service Upgrade and Retirement"/>
      </sharedItems>
    </cacheField>
    <cacheField name="Recommendation Title" numFmtId="0">
      <sharedItems/>
    </cacheField>
    <cacheField name="Impact" numFmtId="0">
      <sharedItems count="3">
        <s v="High"/>
        <s v="Medium"/>
        <s v="Low"/>
      </sharedItems>
    </cacheField>
    <cacheField name="Best Practices Guidance" numFmtId="0">
      <sharedItems longText="1"/>
    </cacheField>
    <cacheField name="Read More" numFmtId="0">
      <sharedItems longText="1"/>
    </cacheField>
    <cacheField name="Add associated Outage TrackingID and/or Support Request # and/or Service Retirement TrackingID" numFmtId="0">
      <sharedItems/>
    </cacheField>
    <cacheField name="Observation / Annotation" numFmtId="0">
      <sharedItems/>
    </cacheField>
    <cacheField name="Recommendation 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drigo Santos (AZURE)" refreshedDate="45425.562712268518" createdVersion="8" refreshedVersion="8" recordCount="109" xr:uid="{00000000-000A-0000-FFFF-FFFF01000000}">
  <cacheSource type="worksheet">
    <worksheetSource name="Table1"/>
  </cacheSource>
  <cacheFields count="14">
    <cacheField name="Implemented?Yes/No" numFmtId="0">
      <sharedItems count="2">
        <s v="No"/>
        <s v="Yes"/>
      </sharedItems>
    </cacheField>
    <cacheField name="Number of Impacted Resources?" numFmtId="0">
      <sharedItems containsSemiMixedTypes="0" containsString="0" containsNumber="1" containsInteger="1" minValue="0" maxValue="84"/>
    </cacheField>
    <cacheField name="Azure Service / Well-Architected" numFmtId="0">
      <sharedItems count="2">
        <s v="Azure Service"/>
        <s v="Well Architected"/>
      </sharedItems>
    </cacheField>
    <cacheField name="Recommendation Source" numFmtId="0">
      <sharedItems/>
    </cacheField>
    <cacheField name="Azure Service Category / Well-Architected Area" numFmtId="0">
      <sharedItems/>
    </cacheField>
    <cacheField name="Azure Service / Well-Architected Topic" numFmtId="0">
      <sharedItems count="15">
        <s v="virtualMachines"/>
        <s v="virtualMachineScaleSets"/>
        <s v="applicationGateways"/>
        <s v="loadBalancers"/>
        <s v="publicIPAddresses"/>
        <s v="storageAccounts"/>
        <s v="serverFarms"/>
        <s v="sites"/>
        <s v="Define"/>
        <s v="Deploy"/>
        <s v="Design"/>
        <s v="Develop"/>
        <s v="Monitor"/>
        <s v="Respond"/>
        <s v="Test"/>
      </sharedItems>
    </cacheField>
    <cacheField name="Resiliency Category" numFmtId="0">
      <sharedItems/>
    </cacheField>
    <cacheField name="Recommendation Title" numFmtId="0">
      <sharedItems/>
    </cacheField>
    <cacheField name="Impact" numFmtId="0">
      <sharedItems count="3">
        <s v="High"/>
        <s v="Medium"/>
        <s v="Low"/>
      </sharedItems>
    </cacheField>
    <cacheField name="Best Practices Guidance" numFmtId="0">
      <sharedItems longText="1"/>
    </cacheField>
    <cacheField name="Read More" numFmtId="0">
      <sharedItems longText="1"/>
    </cacheField>
    <cacheField name="Add associated Outage TrackingID and/or Support Request # and/or Service Retirement TrackingID" numFmtId="0">
      <sharedItems/>
    </cacheField>
    <cacheField name="Observation / Annotation" numFmtId="0">
      <sharedItems/>
    </cacheField>
    <cacheField name="Recommendation 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n v="5"/>
    <s v="Azure Service"/>
    <s v="APRL"/>
    <s v="Microsoft.Compute"/>
    <s v="virtualMachines"/>
    <x v="0"/>
    <s v="Run production workloads on two or more VMs using VMSS Flex"/>
    <x v="0"/>
    <s v="Production VM workloads should be deployed on multiple VMs and grouped in a VMSS Flex instance to intelligently distribute across the platform, minimizing the impact of platform faults and updates._x000a_"/>
    <s v="https://learn.microsoft.com/azure/virtual-machine-scale-sets/virtual-machine-scale-sets-orchestration-modes#what-has-changed-with-flexible-orchestration-mode https://learn.microsoft.com/azure/virtual-machine-scale-sets/virtual-machine-scale-sets-attach-detach-vm?branch=main&amp;tabs=portal-1%2Cportal-2%2Cportal-3"/>
    <s v=""/>
    <s v=""/>
    <s v="273f6b30-68e0-4241-85ea-acf15ffb60bf"/>
  </r>
  <r>
    <x v="0"/>
    <n v="5"/>
    <s v="Azure Service"/>
    <s v="APRL"/>
    <s v="Microsoft.Compute"/>
    <s v="virtualMachines"/>
    <x v="0"/>
    <s v="Deploy VMs across Availability Zones"/>
    <x v="0"/>
    <s v="Azure Availability Zones, within each Azure region, are tolerant to local failures, protecting applications and data against unlikely Datacenter failures by being physically separate._x000a_"/>
    <s v="https://learn.microsoft.com/azure/virtual-machines/create-portal-availability-zone?tabs=standard"/>
    <s v=""/>
    <s v=""/>
    <s v="2bd0be95-a825-6f47-a8c6-3db1fb5eb387"/>
  </r>
  <r>
    <x v="0"/>
    <n v="4"/>
    <s v="Azure Service"/>
    <s v="APRL"/>
    <s v="Microsoft.Compute"/>
    <s v="virtualMachines"/>
    <x v="0"/>
    <s v="Migrate VMs using availability sets to VMSS Flex"/>
    <x v="0"/>
    <s v="Availability sets will soon be retired. Migrate workloads from VMs to VMSS Flex for deployment across zones or within the same zone across different fault domains (FDs) and update domains (UDs) for better reliability._x000a_"/>
    <s v="https://learn.microsoft.com/azure/architecture/checklist/resiliency-per-service#virtual-machines"/>
    <s v=""/>
    <s v=""/>
    <s v="a8d25876-7951-b646-b4e8-880c9031596b"/>
  </r>
  <r>
    <x v="0"/>
    <n v="3"/>
    <s v="Azure Service"/>
    <s v="APRL"/>
    <s v="Microsoft.Compute"/>
    <s v="virtualMachines"/>
    <x v="1"/>
    <s v="Replicate VMs using Azure Site Recovery"/>
    <x v="1"/>
    <s v="Replicating Azure VMs via Site Recovery entails continuous, asynchronous disk replication to a target region. Recovery points are generated every few minutes, ensuring a Recovery Point Objective (RPO) in minutes._x000a_"/>
    <s v="https://learn.microsoft.com/azure/architecture/checklist/resiliency-per-service#virtual-machines https://learn.microsoft.com/azure/site-recovery/site-recovery-test-failover-to-azure"/>
    <s v=""/>
    <s v=""/>
    <s v="cfe22a65-b1db-fd41-9e8e-d573922709ae"/>
  </r>
  <r>
    <x v="1"/>
    <n v="0"/>
    <s v="Azure Service"/>
    <s v="APRL"/>
    <s v="Microsoft.Compute"/>
    <s v="virtualMachines"/>
    <x v="0"/>
    <s v="Use Managed Disks for VM disks"/>
    <x v="0"/>
    <s v="Azure is retiring unmanaged disks on September 30, 2025. Users should plan the migration to avoid disruptions and maintain service reliability._x000a_"/>
    <s v="https://learn.microsoft.com/azure/virtual-machines/unmanaged-disks-deprecation https://learn.microsoft.com/azure/virtual-machines/windows/convert-unmanaged-to-managed-disks https://learn.microsoft.com/azure/virtual-machines/linux/convert-unmanaged-to-managed-disks"/>
    <s v=""/>
    <s v=""/>
    <s v="122d11d7-b91f-8747-a562-f56b79bcfbdc"/>
  </r>
  <r>
    <x v="0"/>
    <n v="3"/>
    <s v="Azure Service"/>
    <s v="APRL"/>
    <s v="Microsoft.Compute"/>
    <s v="virtualMachines"/>
    <x v="2"/>
    <s v="Host database data on a data disk"/>
    <x v="2"/>
    <s v="A data disk is a managed disk attached to a virtual machine for storing database or other essential data. These disks are SCSI drives labeled as per choice._x000a_"/>
    <s v="https://learn.microsoft.com/azure/virtual-machines/managed-disks-overview#data-disk https://learn.microsoft.com/azure/virtual-machines/disks-types"/>
    <s v=""/>
    <s v=""/>
    <s v="4ea2878f-0d69-8d4a-b715-afc10d1e538e"/>
  </r>
  <r>
    <x v="0"/>
    <n v="1"/>
    <s v="Azure Service"/>
    <s v="APRL"/>
    <s v="Microsoft.Compute"/>
    <s v="virtualMachines"/>
    <x v="1"/>
    <s v="Backup VMs with Azure Backup service"/>
    <x v="1"/>
    <s v="Enable backups for your virtual machines with Azure Backup to secure and quickly recover your data. This service offers simple, secure, and cost-effective solutions for backing up and recovering data from the Microsoft Azure cloud._x000a_"/>
    <s v="https://learn.microsoft.com/azure/backup/backup-overview"/>
    <s v=""/>
    <s v=""/>
    <s v="1981f704-97b9-b645-9c57-33f8ded9261a"/>
  </r>
  <r>
    <x v="1"/>
    <n v="0"/>
    <s v="Azure Service"/>
    <s v="APRL"/>
    <s v="Microsoft.Compute"/>
    <s v="virtualMachines"/>
    <x v="2"/>
    <s v="Production VMs should be using SSD disks"/>
    <x v="0"/>
    <s v="Premium SSD disks support I/O-intensive apps with high performance, low latency, ideal for production. Standard SSDs offer cost-effective solutions for less critical workloads with consistent performance._x000a_"/>
    <s v="https://learn.microsoft.com/azure/virtual-machines/disks-types#premium-ssd"/>
    <s v=""/>
    <s v=""/>
    <s v="d3f3ee41-b9aa-d34d-b442-5d46d20232b2"/>
  </r>
  <r>
    <x v="1"/>
    <n v="0"/>
    <s v="Azure Service"/>
    <s v="APRL"/>
    <s v="Microsoft.Compute"/>
    <s v="virtualMachines"/>
    <x v="3"/>
    <s v="Review VMs in stopped state"/>
    <x v="2"/>
    <s v="Azure Virtual Machines (VM) instances have various states, like provisioning and power states. A non-running VM may indicate issues or it being unnecessary, suggesting removal could help cut costs._x000a_"/>
    <s v="https://learn.microsoft.com/azure/virtual-machines/states-billing?context=%2Ftroubleshoot%2Fazure%2Fvirtual-machines%2Fcontext%2Fcontext#power-states-and-billing"/>
    <s v=""/>
    <s v=""/>
    <s v="98b334c0-8578-6046-9e43-b6e8fce6318e"/>
  </r>
  <r>
    <x v="0"/>
    <n v="5"/>
    <s v="Azure Service"/>
    <s v="APRL"/>
    <s v="Microsoft.Compute"/>
    <s v="virtualMachines"/>
    <x v="2"/>
    <s v="Enable Accelerated Networking (AccelNet)"/>
    <x v="1"/>
    <s v="Accelerated networking enables SR-IOV to a VM, greatly improving its networking performance by bypassing the host from the data path, which reduces latency, jitter, and CPU utilization for demanding network workloads on supported VM types._x000a_"/>
    <s v="https://learn.microsoft.com/azure/virtual-network/accelerated-networking-overview"/>
    <s v=""/>
    <s v=""/>
    <s v="dfedbeb1-1519-fc47-86a5-52f96cf07105"/>
  </r>
  <r>
    <x v="1"/>
    <n v="0"/>
    <s v="Azure Service"/>
    <s v="APRL"/>
    <s v="Microsoft.Compute"/>
    <s v="virtualMachines"/>
    <x v="3"/>
    <s v="When AccelNet is enabled, you must manually update the GuestOS NIC driver"/>
    <x v="2"/>
    <s v="When Accelerated Networking is enabled, the default Azure VNet interface in GuestOS is swapped for a Mellanox, and its driver comes from a 3rd party. Marketplace images have the latest Mellanox drivers, but post-deployment, updating the driver is the user's responsibility._x000a_"/>
    <s v="https://learn.microsoft.com/azure/virtual-network/accelerated-networking-overview"/>
    <s v=""/>
    <s v=""/>
    <s v="73d1bb04-7d3e-0d47-bc0d-63afe773b5fe"/>
  </r>
  <r>
    <x v="1"/>
    <n v="0"/>
    <s v="Azure Service"/>
    <s v="APRL"/>
    <s v="Microsoft.Compute"/>
    <s v="virtualMachines"/>
    <x v="4"/>
    <s v="VMs should not have a Public IP directly associated"/>
    <x v="1"/>
    <s v="For outbound internet connectivity of Virtual Machines, using NAT Gateway or Azure Firewall is recommended to enhance security and service resilience, thanks to their higher availability and SNAT ports._x000a_"/>
    <s v="https://learn.microsoft.com/azure/load-balancer/load-balancer-outbound-connections"/>
    <s v=""/>
    <s v=""/>
    <s v="1f629a30-c9d0-d241-82ee-6f2eb9d42cb4"/>
  </r>
  <r>
    <x v="1"/>
    <n v="0"/>
    <s v="Azure Service"/>
    <s v="APRL"/>
    <s v="Microsoft.Compute"/>
    <s v="virtualMachines"/>
    <x v="4"/>
    <s v="VM network interfaces and associated subnets both have a Network Security Group (NSG) associated"/>
    <x v="2"/>
    <s v="Unless you have a specific reason, it's advised to associate a network security group to a subnet or a network interface, but not both, to avoid unexpected communication issues and troubleshooting due to potential rule conflicts between the two associations._x000a_"/>
    <s v="https://learn.microsoft.com/azure/virtual-network/network-security-group-how-it-works#intra-subnet-traffic"/>
    <s v=""/>
    <s v=""/>
    <s v="82b3cf6b-9ae2-2e44-b193-10793213f676"/>
  </r>
  <r>
    <x v="1"/>
    <n v="0"/>
    <s v="Azure Service"/>
    <s v="APRL"/>
    <s v="Microsoft.Compute"/>
    <s v="virtualMachines"/>
    <x v="4"/>
    <s v="IP Forwarding should only be enabled for Network Virtual Appliances"/>
    <x v="1"/>
    <s v="IP forwarding allows a virtual machine network interface to receive and send network traffic not destined for or originating from its assigned IP addresses._x000a_"/>
    <s v="https://learn.microsoft.com/azure/virtual-network/virtual-network-network-interface?tabs=network-interface-portal#enable-or-disable-ip-forwarding"/>
    <s v=""/>
    <s v=""/>
    <s v="41a22a5e-5e08-9647-92d0-2ffe9ef1bdad"/>
  </r>
  <r>
    <x v="1"/>
    <n v="0"/>
    <s v="Azure Service"/>
    <s v="APRL"/>
    <s v="Microsoft.Compute"/>
    <s v="virtualMachines"/>
    <x v="5"/>
    <s v="Customer DNS Servers should be configured in the Virtual Network level"/>
    <x v="2"/>
    <s v="Configure the DNS Server at the Virtual Network level to prevent any inconsistency across the environment._x000a_"/>
    <s v="https://learn.microsoft.com/azure/virtual-network/virtual-networks-name-resolution-for-vms-and-role-instances"/>
    <s v=""/>
    <s v=""/>
    <s v="1cf8fe21-9593-1e4e-966b-779a294c0d30"/>
  </r>
  <r>
    <x v="1"/>
    <n v="0"/>
    <s v="Azure Service"/>
    <s v="APRL"/>
    <s v="Microsoft.Compute"/>
    <s v="virtualMachines"/>
    <x v="5"/>
    <s v="Shared disks should only be enabled in clustered servers"/>
    <x v="1"/>
    <s v="Azure shared disks let you attach a disk to multiple VMs at once for deploying or migrating clustered applications, suitable only when a disk is shared among VM cluster members._x000a_"/>
    <s v="https://learn.microsoft.com/azure/virtual-machines/disks-shared https://learn.microsoft.com/azure/virtual-machines/disks-shared-enable?tabs=azure-portal"/>
    <s v=""/>
    <s v=""/>
    <s v="3263a64a-c256-de48-9818-afd3cbc55c2a"/>
  </r>
  <r>
    <x v="0"/>
    <n v="7"/>
    <s v="Azure Service"/>
    <s v="APRL"/>
    <s v="Microsoft.Compute"/>
    <s v="virtualMachines"/>
    <x v="4"/>
    <s v="Network access to the VM disk should be set to Disable public access and enable private access"/>
    <x v="2"/>
    <s v="Recommended changing to &quot;Disable public access and enable private access&quot; and creating a Private Endpoint to improve security by restricting direct public access and ensuring connections are made privately, enhancing data protection and minimizing potential external threats._x000a_"/>
    <s v="https://learn.microsoft.com/azure/virtual-machines/disks-enable-private-links-for-import-export-portal"/>
    <s v=""/>
    <s v=""/>
    <s v="70b1d2be-e6c4-b54e-9959-b1b690f9e485"/>
  </r>
  <r>
    <x v="0"/>
    <n v="84"/>
    <s v="Azure Service"/>
    <s v="APRL"/>
    <s v="Microsoft.Compute"/>
    <s v="virtualMachines"/>
    <x v="3"/>
    <s v="Ensure that your VMs are compliant with Azure Policies"/>
    <x v="2"/>
    <s v="Keeping your virtual machine (VM) secure is crucial for the applications you run. This involves using various Azure services and features to ensure secure access to your VMs and the secure storage of your data, aiming for overall security of your VM and applications._x000a_"/>
    <s v="https://learn.microsoft.com/azure/cloud-adoption-framework/ready/landing-zone/design-principles#policy-driven-governance https://learn.microsoft.com/azure/virtual-machines/security-policy"/>
    <s v=""/>
    <s v=""/>
    <s v="c42343ae-2712-2843-a285-3437eb0b28a1"/>
  </r>
  <r>
    <x v="1"/>
    <n v="0"/>
    <s v="Azure Service"/>
    <s v="APRL"/>
    <s v="Microsoft.Compute"/>
    <s v="virtualMachines"/>
    <x v="4"/>
    <s v="Enable advanced encryption options for your managed disks"/>
    <x v="1"/>
    <s v="Consider enabling Azure Disk Encryption (ADE) for encrypting Azure VM disks using DM-Crypt (Linux) or BitLocker (Windows). Additionally, consider Encryption at host and Confidential disk encryption for enhanced data security._x000a_"/>
    <s v="https://learn.microsoft.com/azure/virtual-machines/disk-encryption-overview"/>
    <s v=""/>
    <s v=""/>
    <s v="f0a97179-133a-6e4f-8a49-8a44da73ffce"/>
  </r>
  <r>
    <x v="0"/>
    <n v="10"/>
    <s v="Azure Service"/>
    <s v="APRL"/>
    <s v="Microsoft.Compute"/>
    <s v="virtualMachines"/>
    <x v="6"/>
    <s v="Enable VM Insights"/>
    <x v="2"/>
    <s v="VM Insights monitors VM and scale set performance, health, running processes, and dependencies. It enhances the predictability of application performance and availability by pinpointing performance bottlenecks and network issues, and it clarifies if problems are related to other dependencies._x000a_"/>
    <s v="https://learn.microsoft.com/azure/azure-monitor/vm/vminsights-overview https://learn.microsoft.com/azure/azure-monitor/vm/vminsights-troubleshoot#did-the-extension-install-properly"/>
    <s v=""/>
    <s v=""/>
    <s v="b72214bb-e879-5f4b-b9cd-642db84f36f4"/>
  </r>
  <r>
    <x v="0"/>
    <n v="5"/>
    <s v="Azure Service"/>
    <s v="APRL"/>
    <s v="Microsoft.Compute"/>
    <s v="virtualMachines"/>
    <x v="6"/>
    <s v="Configure diagnostic settings for all Azure Virtual Machines"/>
    <x v="2"/>
    <s v="Azure Monitor Metrics automatically receives platform metrics, but platform logs, which offer detailed diagnostics and auditing for resources and their Azure platform, need to be manually routed for collection._x000a_"/>
    <s v="https://learn.microsoft.com/azure/azure-monitor/essentials/diagnostic-settings?tabs=portal"/>
    <s v=""/>
    <s v=""/>
    <s v="4a9d8973-6dba-0042-b3aa-07924877ebd5"/>
  </r>
  <r>
    <x v="1"/>
    <n v="0"/>
    <s v="Azure Service"/>
    <s v="APRL"/>
    <s v="Microsoft.Compute"/>
    <s v="virtualMachines"/>
    <x v="0"/>
    <s v="Use maintenance configurations for the VMs"/>
    <x v="0"/>
    <s v="The maintenance configuration settings let users schedule and manage updates, making sure the updates or interruptions on the VM are performed within a planned timeframe._x000a_"/>
    <s v="https://learn.microsoft.com/azure/virtual-machines/maintenance-configurations"/>
    <s v=""/>
    <s v=""/>
    <s v="52ab9e5c-eec0-3148-8bd7-b6dd9e1be870"/>
  </r>
  <r>
    <x v="1"/>
    <n v="0"/>
    <s v="Azure Service"/>
    <s v="APRL"/>
    <s v="Microsoft.Compute"/>
    <s v="virtualMachines"/>
    <x v="2"/>
    <s v="Don't use A or B-Series VMs for production needing constant full CPU performance"/>
    <x v="0"/>
    <s v="A-series VMs are tailored for entry-level workloads like development and testing, including use cases such as development and test servers, low traffic web servers, and small to medium databases._x000a_"/>
    <s v="https://learn.microsoft.com/en-us/azure/virtual-machines/sizes-b-series-burstable"/>
    <s v=""/>
    <s v=""/>
    <s v="3201dba8-d1da-4826-98a4-104066545170"/>
  </r>
  <r>
    <x v="1"/>
    <n v="0"/>
    <s v="Azure Service"/>
    <s v="APRL"/>
    <s v="Microsoft.Compute"/>
    <s v="virtualMachines"/>
    <x v="2"/>
    <s v="Mission Critical Workloads should consider using Premium or Ultra Disks"/>
    <x v="0"/>
    <s v="Compared to Standard HDD and SSD, Premium SSD, SSDv2, and Ultra SSDs offer improved performance, configurability, and higher single-instance Virtual Machine uptime SLAs. The lowest SLA of all disks on a Virtual Machine applies, so it is best to use Premium or Ultra Disks for the highest uptime SLA._x000a_"/>
    <s v="https://learn.microsoft.com/en-us/azure/virtual-machines/disks-types#disk-type-comparison"/>
    <s v=""/>
    <s v=""/>
    <s v="df0ff862-814d-45a3-95e4-4fad5a244ba6"/>
  </r>
  <r>
    <x v="1"/>
    <n v="0"/>
    <s v="Azure Service"/>
    <s v="APRL"/>
    <s v="Microsoft.Compute"/>
    <s v="virtualMachines"/>
    <x v="0"/>
    <s v="Use Azure Boost VMs for Maintenance sensitive workload"/>
    <x v="1"/>
    <s v="If the workload is Maintenance sensitive, consider Azure Boost compatible VMs. Azure Boost is designed to lessen the impact on customers when Azure maintenance activities occur on the host, and the current list of compatible VM sizes are documented in the first link below._x000a_"/>
    <s v="https://learn.microsoft.com/azure/azure-boost/overview https://aka.ms/AzureBoostGABlog"/>
    <s v=""/>
    <s v=""/>
    <s v="9ab499d8-8844-424d-a2d4-8f53690eb8f8"/>
  </r>
  <r>
    <x v="1"/>
    <n v="0"/>
    <s v="Azure Service"/>
    <s v="APRL"/>
    <s v="Microsoft.Compute"/>
    <s v="virtualMachines"/>
    <x v="0"/>
    <s v="Enable Scheduled Events for Maintenance sensitive workload VMs"/>
    <x v="1"/>
    <s v="If your workload is Maintenance sensitive, enable Scheduled Events. This Azure Metadata Service lets your app prepare for virtual machine maintenance by providing information on upcoming events like reboots, reducing disruptions._x000a_"/>
    <s v="https://learn.microsoft.com/azure/virtual-machines/windows/scheduled-event-service https://learn.microsoft.com/azure/virtual-machines/linux/scheduled-events https://learn.microsoft.com/azure/virtual-machines/windows/scheduled-events"/>
    <s v=""/>
    <s v=""/>
    <s v="2de8fa5e-14f4-4c4c-857f-1520f87a629f"/>
  </r>
  <r>
    <x v="0"/>
    <n v="7"/>
    <s v="Azure Service"/>
    <s v="APRL"/>
    <s v="Microsoft.Compute"/>
    <s v="virtualMachines"/>
    <x v="0"/>
    <s v="Use ZRS Disks or Protect LRS Disks from Availability Zone Failure"/>
    <x v="1"/>
    <s v="Azure disks offers a zone-redundant storage (ZRS) option for workloads that need to be resilient to an entire zone being down. Due to the cross-zone data replication, ZRS disks have higher write latency when compared to the locally-redundant option (LRS), so make sure to benchmark your disks._x000a_"/>
    <s v="https://aka.ms/zrsdisksdoc"/>
    <s v=""/>
    <s v=""/>
    <s v="fa0cf4f5-0b21-47b7-89a9-ee936f193ce1"/>
  </r>
  <r>
    <x v="0"/>
    <n v="1"/>
    <s v="Azure Service"/>
    <s v="APRL"/>
    <s v="Microsoft.Compute"/>
    <s v="virtualMachineScaleSets"/>
    <x v="2"/>
    <s v="Deploy VMSS with Flex orchestration mode instead of Uniform"/>
    <x v="1"/>
    <s v="Deploying even single instance VMs into a scale set with Flexible orchestration mode future-proofs applications for scaling and availability. This mode guarantees high availability (up to 1000 VMs) by distributing VMs across fault domains in a region or within an Availability Zone._x000a_"/>
    <s v="https://learn.microsoft.com/azure/virtual-machine-scale-sets/virtual-machine-scale-sets-design-overview#when-to-use-scale-sets-instead-of-virtual-machines https://learn.microsoft.com/azure/well-architected/services/compute/virtual-machines/virtual-machines-review"/>
    <s v=""/>
    <s v=""/>
    <s v="e7495e1c-0c75-0946-b266-b429b5c7f3bf"/>
  </r>
  <r>
    <x v="1"/>
    <n v="0"/>
    <s v="Azure Service"/>
    <s v="APRL"/>
    <s v="Microsoft.Compute"/>
    <s v="virtualMachineScaleSets"/>
    <x v="6"/>
    <s v="Enable VMSS application health monitoring"/>
    <x v="1"/>
    <s v="Monitoring application health in Azure Virtual Machine Scale Sets is crucial for deployment management. It supports rolling upgrades such as automatic OS-image upgrades and VM guest patching, leveraging health monitoring for upgrading._x000a_"/>
    <s v="https://learn.microsoft.com/azure/virtual-machine-scale-sets/virtual-machine-scale-sets-health-extension?tabs=rest-api"/>
    <s v=""/>
    <s v=""/>
    <s v="94794d2a-eff0-2345-9b67-6f9349d0a627"/>
  </r>
  <r>
    <x v="1"/>
    <n v="0"/>
    <s v="Azure Service"/>
    <s v="APRL"/>
    <s v="Microsoft.Compute"/>
    <s v="virtualMachineScaleSets"/>
    <x v="7"/>
    <s v="Enable Automatic Repair policy"/>
    <x v="0"/>
    <s v="Enabling automatic instance repairs in Azure Virtual Machine Scale Sets enhances application availability through a continuous health check and maintenance process._x000a_"/>
    <s v="https://learn.microsoft.com/azure/virtual-machine-scale-sets/virtual-machine-scale-sets-automatic-instance-repairs#requirements-for-using-automatic-instance-repairs"/>
    <s v=""/>
    <s v=""/>
    <s v="820f4743-1f94-e946-ae0b-45efafd87962"/>
  </r>
  <r>
    <x v="1"/>
    <n v="0"/>
    <s v="Azure Service"/>
    <s v="APRL"/>
    <s v="Microsoft.Compute"/>
    <s v="virtualMachineScaleSets"/>
    <x v="2"/>
    <s v="Configure VMSS Autoscale to custom and configure the scaling metrics"/>
    <x v="0"/>
    <s v="Use custom autoscale for VMSS based on metrics and schedules to improve performance and cost effectiveness, adjusting instances as demand changes._x000a_"/>
    <s v="https://learn.microsoft.com/azure/azure-monitor/autoscale/autoscale-get-started?WT.mc_id=Portal-Microsoft_Azure_Monitoring https://learn.microsoft.com/azure/azure-monitor/autoscale/autoscale-overview"/>
    <s v=""/>
    <s v=""/>
    <s v="ee66ff65-9aa3-2345-93c1-25827cf79f44"/>
  </r>
  <r>
    <x v="0"/>
    <n v="1"/>
    <s v="Azure Service"/>
    <s v="APRL"/>
    <s v="Microsoft.Compute"/>
    <s v="virtualMachineScaleSets"/>
    <x v="2"/>
    <s v="Enable Predictive autoscale and configure at least for Forecast Only"/>
    <x v="2"/>
    <s v="Predictive autoscale utilizes machine learning to efficiently manage and scale Azure Virtual Machine Scale Sets by forecasting CPU load through historical usage analysis, ensuring timely scale-out to meet demand._x000a_"/>
    <s v="https://learn.microsoft.com/azure/azure-monitor/autoscale/autoscale-predictive"/>
    <s v=""/>
    <s v=""/>
    <s v="3f85a51c-e286-9f44-b4dc-51d00768696c"/>
  </r>
  <r>
    <x v="1"/>
    <n v="0"/>
    <s v="Azure Service"/>
    <s v="APRL"/>
    <s v="Microsoft.Compute"/>
    <s v="virtualMachineScaleSets"/>
    <x v="0"/>
    <s v="Disable Force strictly even balance across zones to avoid scale in and out fail attempts"/>
    <x v="0"/>
    <s v="Microsoft advises disabling strictly even VM instance distribution across Availability Zones in VMSS to improve scalability and flexibility, noting that uneven distribution may better serve application load demands despite the potential trade-off in resilience._x000a_"/>
    <s v="https://learn.microsoft.com/azure/virtual-machine-scale-sets/virtual-machine-scale-sets-scale-in-policy"/>
    <s v=""/>
    <s v=""/>
    <s v="b5a63aa0-c58e-244f-b8a6-cbba0560a6db"/>
  </r>
  <r>
    <x v="0"/>
    <n v="1"/>
    <s v="Azure Service"/>
    <s v="APRL"/>
    <s v="Microsoft.Compute"/>
    <s v="virtualMachineScaleSets"/>
    <x v="0"/>
    <s v="Deploy VMSS across availability zones with VMSS Flex"/>
    <x v="0"/>
    <s v="When creating VMSS, implement availability zones as a protection measure for your applications and data against the rare event of datacenter failure._x000a_"/>
    <s v="https://learn.microsoft.com/azure/virtual-machine-scale-sets/virtual-machine-scale-sets-use-availability-zones https://learn.microsoft.com/azure/virtual-machine-scale-sets/virtual-machine-scale-sets-use-availability-zones?tabs=cli-1%2Cportal-2#update-scale-set-to-add-availability-zones"/>
    <s v=""/>
    <s v=""/>
    <s v="1422c567-782c-7148-ac7c-5fc14cf45adc"/>
  </r>
  <r>
    <x v="1"/>
    <n v="0"/>
    <s v="Azure Service"/>
    <s v="APRL"/>
    <s v="Microsoft.Compute"/>
    <s v="virtualMachineScaleSets"/>
    <x v="7"/>
    <s v="Set Patch orchestration options to Azure-orchestrated"/>
    <x v="2"/>
    <s v="Enabling automatic VM guest patching eases update management by safely, automatically patching virtual machines to maintain security compliance, while limiting blast radius of VMs. Note, the KQL will not return sets using Uniform orchestration._x000a_"/>
    <s v="https://learn.microsoft.com/azure/virtual-machines/automatic-vm-guest-patching https://learn.microsoft.com/en-us/azure/virtual-machine-scale-sets/virtual-machine-scale-sets-automatic-upgrade"/>
    <s v=""/>
    <s v=""/>
    <s v="e4ffd7b0-ba24-c84e-9352-ba4819f908c0"/>
  </r>
  <r>
    <x v="1"/>
    <n v="0"/>
    <s v="Azure Service"/>
    <s v="APRL"/>
    <s v="Microsoft.Compute"/>
    <s v="virtualMachineScaleSets"/>
    <x v="3"/>
    <s v="Upgrade VMSS Image versions scheduled to be deprecated or already retired"/>
    <x v="0"/>
    <s v="Ensure current versions of images are in use to avoid disruption after image deprecation. Please review the publisher, offer, sku information of the VM to ensure you are running on a supported image. Enable Auto Guest Patching or Image Upgrades, to get notifications about image deprecation._x000a_"/>
    <s v="https://learn.microsoft.com/en-us/azure/virtual-machines/deprecated-images"/>
    <s v=""/>
    <s v=""/>
    <s v="83d61669-7bd6-9642-a305-175db8adcdf4"/>
  </r>
  <r>
    <x v="1"/>
    <n v="0"/>
    <s v="Azure Service"/>
    <s v="APRL"/>
    <s v="Microsoft.Compute"/>
    <s v="virtualMachineScaleSets"/>
    <x v="2"/>
    <s v="Production VMSS instances should be using SSD disks"/>
    <x v="0"/>
    <s v="Using SSD disks for Production workloads is advised as HDDs could negatively impact resources, being suitable only for non-critical resources or those needing infrequent access._x000a_"/>
    <s v="https://learn.microsoft.com/en-us/azure/virtual-machines/disks-types#disk-type-comparison"/>
    <s v=""/>
    <s v=""/>
    <s v="1074f391-22bf-42f5-9c95-68af5ad89bf6"/>
  </r>
  <r>
    <x v="1"/>
    <n v="0"/>
    <s v="Azure Service"/>
    <s v="APRL"/>
    <s v="Microsoft.Compute"/>
    <s v="virtualMachines"/>
    <x v="1"/>
    <s v="Use Azure Site Recovery or backups to protect VMs supporting personal desktops"/>
    <x v="1"/>
    <s v="Implement Azure Site Recovery (ASR) or Azure Backup for personal host pools to enable seamless failover and failback. This replicates VMs supporting personal desktops to a secondary Azure region, ensuring recovery from a known state in case of a disaster or outage._x000a_"/>
    <s v="https://learn.microsoft.com/en-us/azure/site-recovery/site-recovery-overview"/>
    <s v=""/>
    <s v=""/>
    <s v="38721758-2cc2-4d6b-b7b7-8b47dadbf7df"/>
  </r>
  <r>
    <x v="0"/>
    <n v="1"/>
    <s v="Azure Service"/>
    <s v="APRL"/>
    <s v="Microsoft.Network"/>
    <s v="applicationGateways"/>
    <x v="2"/>
    <s v="Set a minimum instance count of 2"/>
    <x v="0"/>
    <s v="Azure Application Gateways v2 are deployed highly available with multiple instances by default._x000a_"/>
    <s v="https://learn.microsoft.com/azure/application-gateway/application-gateway-autoscaling-zone-redundant#autoscaling-and-high-availability"/>
    <s v=""/>
    <s v=""/>
    <s v="823b0cff-05c0-2e4e-a1e7-9965e1cfa16f"/>
  </r>
  <r>
    <x v="0"/>
    <n v="2"/>
    <s v="Azure Service"/>
    <s v="APRL"/>
    <s v="Microsoft.Network"/>
    <s v="applicationGateways"/>
    <x v="4"/>
    <s v="Secure all incoming connections with SSL"/>
    <x v="0"/>
    <s v="Secure all incoming connections using HTTPS for production services with end-to-end SSL/TLS or SSL/TLS termination at the Application Gateway to protect against attacks and ensure data remains private and encrypted between the web server and browsers._x000a_"/>
    <s v="https://learn.microsoft.com/azure/well-architected/services/networking/azure-application-gateway#security https://learn.microsoft.com/azure/application-gateway/ssl-overview https://learn.microsoft.com/azure/application-gateway/application-gateway-ssl-policy-overview https://learn.microsoft.com/azure/application-gateway/key-vault-certs https://learn.microsoft.com/azure/application-gateway/ssl-certificate-management"/>
    <s v=""/>
    <s v=""/>
    <s v="233a7008-71e9-e745-923e-1a1c7a0b92f3"/>
  </r>
  <r>
    <x v="1"/>
    <n v="0"/>
    <s v="Azure Service"/>
    <s v="APRL"/>
    <s v="Microsoft.Network"/>
    <s v="applicationGateways"/>
    <x v="4"/>
    <s v="Enable Web Application Firewall policies"/>
    <x v="0"/>
    <s v="Use Application Gateway with Web Application Firewall (WAF) in an application virtual network to safeguard inbound HTTP/S internet traffic. WAF offers centralized defense against potential exploits through OWASP core rule sets-based rules._x000a_"/>
    <s v="https://learn.microsoft.com/azure/well-architected/services/networking/azure-application-gateway https://learn.microsoft.com/azure/application-gateway/features#web-application-firewall"/>
    <s v=""/>
    <s v=""/>
    <s v="8d9223c4-730d-ca47-af88-a9a024c37270"/>
  </r>
  <r>
    <x v="1"/>
    <n v="0"/>
    <s v="Azure Service"/>
    <s v="APRL"/>
    <s v="Microsoft.Network"/>
    <s v="applicationGateways"/>
    <x v="2"/>
    <s v="Use Application GW V2 instead of V1"/>
    <x v="0"/>
    <s v="Use Application Gateway v2 for built-in features like autoscaling, static VIPs, Azure KeyVault integration for better traffic management and performance, unless v1 is necessary._x000a_"/>
    <s v="https://learn.microsoft.com/azure/application-gateway/overview-v2 https://learn.microsoft.com/azure/application-gateway/overview-v2#feature-comparison-between-v1-sku-and-v2-sku https://azure.microsoft.com/updates/application-gateway-v1-will-be-retired-on-28-april-2026-transition-to-application-gateway-v2/"/>
    <s v=""/>
    <s v=""/>
    <s v="7893f0b3-8622-1d47-beed-4b50a19f7895"/>
  </r>
  <r>
    <x v="1"/>
    <n v="0"/>
    <s v="Azure Service"/>
    <s v="APRL"/>
    <s v="Microsoft.Network"/>
    <s v="applicationGateways"/>
    <x v="6"/>
    <s v="Monitor and Log the configurations and traffic"/>
    <x v="0"/>
    <s v="Enable logging in storage accounts, Log Analytics, and monitoring services for auditing and insights. If using NSGs, enable NSG flow logs to be stored, providing in-depth traffic analysis into Azure Cloud._x000a_"/>
    <s v="https://learn.microsoft.com/azure/application-gateway/application-gateway-metrics https://learn.microsoft.com/azure/application-gateway/application-gateway-diagnostics"/>
    <s v=""/>
    <s v=""/>
    <s v="5d035919-898d-a047-8d5d-454e199692e5"/>
  </r>
  <r>
    <x v="0"/>
    <n v="1"/>
    <s v="Azure Service"/>
    <s v="APRL"/>
    <s v="Microsoft.Network"/>
    <s v="applicationGateways"/>
    <x v="6"/>
    <s v="Use Health Probes to detect backend availability"/>
    <x v="0"/>
    <s v="Using custom health probes enhances understanding of backend availability and facilitates monitoring of backend services for any impact._x000a_"/>
    <s v="https://learn.microsoft.com/azure/application-gateway/application-gateway-probe-overview https://learn.microsoft.com/azure/well-architected/services/networking/azure-application-gateway"/>
    <s v=""/>
    <s v=""/>
    <s v="847a8d88-21c4-bc48-a94e-562206edd767"/>
  </r>
  <r>
    <x v="0"/>
    <n v="1"/>
    <s v="Azure Service"/>
    <s v="APRL"/>
    <s v="Microsoft.Network"/>
    <s v="applicationGateways"/>
    <x v="0"/>
    <s v="Deploy Application Gateway in a zone-redundant configuration"/>
    <x v="0"/>
    <s v="Deploying Application Gateway in a zone-aware configuration ensures continued customer access to services even if a specific zone goes down, as services in other zones remain available._x000a_"/>
    <s v="https://learn.microsoft.com/azure/well-architected/services/networking/azure-application-gateway#reliability https://learn.microsoft.com/azure/application-gateway/overview-v2"/>
    <s v=""/>
    <s v=""/>
    <s v="c9c00f2a-3888-714b-a72b-b4c9e8fcffb2"/>
  </r>
  <r>
    <x v="0"/>
    <n v="1"/>
    <s v="Azure Service"/>
    <s v="APRL"/>
    <s v="Microsoft.Network"/>
    <s v="applicationGateways"/>
    <x v="0"/>
    <s v="Plan for backend maintenance by using connection draining"/>
    <x v="1"/>
    <s v="Using connection draining for backend maintenance ensures graceful removal of backend pool members during updates or health issues. It's enabled via Backend Setting and applies to all members during rule creation._x000a_"/>
    <s v="https://learn.microsoft.com/azure/application-gateway/features#connection-draining https://learn.microsoft.com/azure/application-gateway/configuration-http-settings#connection-draining"/>
    <s v=""/>
    <s v=""/>
    <s v="10f02bc6-e2e7-004d-a2c2-f9bf9f16b915"/>
  </r>
  <r>
    <x v="1"/>
    <n v="0"/>
    <s v="Azure Service"/>
    <s v="APRL"/>
    <s v="Microsoft.Network"/>
    <s v="applicationGateways"/>
    <x v="5"/>
    <s v="Ensure Application Gateway Subnet is using a /24 subnet mask"/>
    <x v="0"/>
    <s v="Application Gateway v2 (Standard_v2 or WAF_v2 SKU) can support up to 125 instances. A /24 subnet isn't mandatory for deployment but is advised to provide enough space for autoscaling and maintenance upgrades._x000a_"/>
    <s v="https://learn.microsoft.com/en-us/azure/application-gateway/configuration-infrastructure#size-of-the-subnet"/>
    <s v=""/>
    <s v=""/>
    <s v="8364fd0a-7c0e-e240-9d95-4bf965aec243"/>
  </r>
  <r>
    <x v="0"/>
    <n v="2"/>
    <s v="Azure Service"/>
    <s v="APRL"/>
    <s v="Microsoft.Network"/>
    <s v="loadBalancers"/>
    <x v="0"/>
    <s v="Use Standard Load Balancer SKU"/>
    <x v="0"/>
    <s v="Selecting Standard SKU Load Balancer enhances reliability through availability zones and zone resiliency, ensuring deployments withstand zone and region failures. Unlike Basic, it supports global load balancing and offers an SLA._x000a_"/>
    <s v="https://learn.microsoft.com/azure/architecture/framework/services/networking/azure-load-balancer/reliability https://learn.microsoft.com/azure/architecture/checklist/resiliency-per-service#azure-load-balancer"/>
    <s v=""/>
    <s v=""/>
    <s v="38c3bca1-97a1-eb42-8cd3-838b243f35ba"/>
  </r>
  <r>
    <x v="1"/>
    <n v="0"/>
    <s v="Azure Service"/>
    <s v="APRL"/>
    <s v="Microsoft.Network"/>
    <s v="loadBalancers"/>
    <x v="0"/>
    <s v="Ensure the Backend Pool contains at least two instances"/>
    <x v="0"/>
    <s v="Deploying Azure Load Balancers with at least two instances in the backend prevents a single point of failure and supports scalability. Pairing with Virtual Machine Scale Sets is advised for optimal scale building._x000a_"/>
    <s v="https://learn.microsoft.com/azure/architecture/checklist/resiliency-per-service#azure-load-balancer"/>
    <s v=""/>
    <s v=""/>
    <s v="6d82d042-6d61-ad49-86f0-6a5455398081"/>
  </r>
  <r>
    <x v="1"/>
    <n v="0"/>
    <s v="Azure Service"/>
    <s v="APRL"/>
    <s v="Microsoft.Network"/>
    <s v="loadBalancers"/>
    <x v="0"/>
    <s v="Use NAT Gateway instead of Outbound Rules for Production Workloads"/>
    <x v="1"/>
    <s v="Outbound rules for Standard Public Load Balancer involve manual port allocation for backend pools, limiting scalability and risk of SNAT port exhaustion. NAT Gateway is recommended for its dynamic scaling and secure internet connectivity._x000a_"/>
    <s v="https://learn.microsoft.com/azure/architecture/checklist/resiliency-per-service#azure-load-balancer"/>
    <s v=""/>
    <s v=""/>
    <s v="8d319a05-677b-944f-b9b4-ca0fb42e883c"/>
  </r>
  <r>
    <x v="1"/>
    <n v="0"/>
    <s v="Azure Service"/>
    <s v="APRL"/>
    <s v="Microsoft.Network"/>
    <s v="loadBalancers"/>
    <x v="0"/>
    <s v="Ensure Standard Load Balancer is zone-redundant"/>
    <x v="0"/>
    <s v="In regions with Availability Zones, assigning a zone-redundant frontend IP to a Standard Load Balancer ensures continuous traffic distribution even if one availability zone fails, provided other healthy zones and backend instances are available to receive the traffic._x000a_"/>
    <s v="https://learn.microsoft.com/en-us/azure/load-balancer/load-balancer-standard-availability-zones#zone-redundant"/>
    <s v=""/>
    <s v=""/>
    <s v="621dbc78-3745-4d32-8eac-9e65b27b7512"/>
  </r>
  <r>
    <x v="1"/>
    <n v="0"/>
    <s v="Azure Service"/>
    <s v="APRL"/>
    <s v="Microsoft.Network"/>
    <s v="publicIPAddresses"/>
    <x v="0"/>
    <s v="Use Standard SKU and Zone-Redundant IPs when applicable"/>
    <x v="0"/>
    <s v="Public IP addresses in Azure can be of standard SKU, available as non-zonal, zonal, or zone-redundant. Zone-redundant IPs are accessible across all zones, resisting any single zone failure, thereby providing higher resilience._x000a_"/>
    <s v="https://learn.microsoft.com/azure/virtual-network/ip-services/public-ip-addresses#availability-zone https://learn.microsoft.com/en-us/azure/virtual-network/ip-services/public-ip-basic-upgrade-guidance#steps-to-complete-the-upgrade"/>
    <s v=""/>
    <s v=""/>
    <s v="c63b81fb-7afc-894c-a840-91bb8a8dcfaf"/>
  </r>
  <r>
    <x v="1"/>
    <n v="0"/>
    <s v="Azure Service"/>
    <s v="APRL"/>
    <s v="Microsoft.Network"/>
    <s v="publicIPAddresses"/>
    <x v="0"/>
    <s v="Use NAT gateway for outbound connectivity to avoid SNAT Exhaustion"/>
    <x v="1"/>
    <s v="Prevent connectivity failures due to SNAT port exhaustion by employing NAT gateway for outbound traffic from virtual networks, ensuring dynamic scaling and secure internet connections._x000a_"/>
    <s v="https://learn.microsoft.com/azure/advisor/advisor-reference-reliability-recommendations#use-nat-gateway-for-outbound-connectivity https://learn.microsoft.com/azure/architecture/framework/services/compute/azure-app-service/reliability#tcp-and-snat-ports"/>
    <s v=""/>
    <s v=""/>
    <s v="1adba190-5c4c-e646-8527-dd1b2a6d8b15"/>
  </r>
  <r>
    <x v="1"/>
    <n v="0"/>
    <s v="Azure Service"/>
    <s v="APRL"/>
    <s v="Microsoft.Network"/>
    <s v="publicIPAddresses"/>
    <x v="0"/>
    <s v="Upgrade Basic SKU public IP addresses to Standard SKU"/>
    <x v="1"/>
    <s v="Basic SKU public IP addresses will be retired on September 30, 2025. Users are advised to upgrade to Standard SKU public IP addresses before this date to avoid service disruptions._x000a_"/>
    <s v="https://learn.microsoft.com/en-us/azure/virtual-network/ip-services/public-ip-basic-upgrade-guidance https://azure.microsoft.com/en-us/updates/upgrade-to-standard-sku-public-ip-addresses-in-azure-by-30-september-2025-basic-sku-will-be-retired/"/>
    <s v=""/>
    <s v=""/>
    <s v="5cea1501-6fe4-4ec4-ac8f-f72320eb18d3"/>
  </r>
  <r>
    <x v="0"/>
    <n v="6"/>
    <s v="Azure Service"/>
    <s v="APRL"/>
    <s v="Microsoft.Storage"/>
    <s v="storageAccounts"/>
    <x v="0"/>
    <s v="Ensure that storage accounts are zone or region redundant"/>
    <x v="0"/>
    <s v="Redundancy ensures storage accounts meet availability and durability targets amidst failures, weighing lower costs against higher availability. Locally redundant storage offers the least durability at the lowest cost._x000a_"/>
    <s v="https://learn.microsoft.com/azure/storage/common/storage-redundancy https://learn.microsoft.com/azure/storage/common/redundancy-migration"/>
    <s v=""/>
    <s v=""/>
    <s v="e6c7e1cc-2f47-264d-aa50-1da421314472"/>
  </r>
  <r>
    <x v="1"/>
    <n v="0"/>
    <s v="Azure Service"/>
    <s v="APRL"/>
    <s v="Microsoft.Storage"/>
    <s v="storageAccounts"/>
    <x v="8"/>
    <s v="Do not use classic storage accounts"/>
    <x v="0"/>
    <s v="Classic storage accounts will be fully retired on August 31, 2024. If you have classic storage accounts, start planning your migration now._x000a_"/>
    <s v="https://azure.microsoft.com/updates/classic-azure-storage-accounts-will-be-retired-on-31-august-2024/ https://learn.microsoft.com/azure/storage/common/classic-account-migration-overview"/>
    <s v=""/>
    <s v=""/>
    <s v="63ad027e-611c-294b-acc5-8e3234db9a40"/>
  </r>
  <r>
    <x v="1"/>
    <n v="0"/>
    <s v="Azure Service"/>
    <s v="APRL"/>
    <s v="Microsoft.Storage"/>
    <s v="storageAccounts"/>
    <x v="2"/>
    <s v="Ensure Performance tier is set as per workload"/>
    <x v="1"/>
    <s v="Consider using the appropriate storage performance tier for workload scenarios. Each workload scenario requires appropriate performance tiers, and selecting the appropriate tiers based on storage usage is crucial._x000a_"/>
    <s v="https://learn.microsoft.com/azure/storage/common/storage-account-overview#types-of-storage-accounts https://learn.microsoft.com/azure/storage/common/scalability-targets-standard-account https://learn.microsoft.com/azure/storage/blobs/storage-performance-checklist https://learn.microsoft.com/azure/storage/blobs/scalability-targets https://learn.microsoft.com/azure/storage/blobs/storage-blob-block-blob-premium"/>
    <s v=""/>
    <s v=""/>
    <s v="5587ef77-7a05-a74d-9c6e-449547a12f27"/>
  </r>
  <r>
    <x v="1"/>
    <n v="0"/>
    <s v="Azure Service"/>
    <s v="APRL"/>
    <s v="Microsoft.Storage"/>
    <s v="storageAccounts"/>
    <x v="1"/>
    <s v="Enable soft delete for recovery of data"/>
    <x v="1"/>
    <s v="The soft delete option enables data recovery if mistakenly deleted, while the Lock feature prevents the accidental deletion of the storage account itself, ensuring additional security and data integrity measures._x000a_"/>
    <s v="https://learn.microsoft.com//azure/storage/blobs/soft-delete-blob-enable?tabs=azure-portal "/>
    <s v=""/>
    <s v=""/>
    <s v="03263c57-c869-3841-9e0a-3dbb9ef3e28d"/>
  </r>
  <r>
    <x v="1"/>
    <n v="0"/>
    <s v="Azure Service"/>
    <s v="APRL"/>
    <s v="Microsoft.Storage"/>
    <s v="storageAccounts"/>
    <x v="1"/>
    <s v="Enable versioning for accidental modification and keep the number of versions below 1000"/>
    <x v="2"/>
    <s v="Consider enabling versioning for Azure Storage Accounts to recover from accidental modifications or deletions and manage blob operation latency. Microsoft advises maintaining fewer than 1000 versions per blob to optimize performance. Lifecycle management can help delete old versions automatically._x000a_"/>
    <s v="https://learn.microsoft.com/azure/storage/blobs/versioning-overview "/>
    <s v=""/>
    <s v=""/>
    <s v="8ebda7c0-e0e1-ed45-af59-2d7ea9a1c05d"/>
  </r>
  <r>
    <x v="1"/>
    <n v="0"/>
    <s v="Azure Service"/>
    <s v="APRL"/>
    <s v="Microsoft.Storage"/>
    <s v="storageAccounts"/>
    <x v="1"/>
    <s v="Enable point-in-time restore for GPv2 accounts to safeguard against data loss"/>
    <x v="2"/>
    <s v="Consider enabling point-in-time restore for standard general purpose v2 accounts with flat namespace to protect against accidental deletion or corruption by restoring block blob data to an earlier state._x000a_"/>
    <s v="https://learn.microsoft.com/azure/storage/blobs/point-in-time-restore-overview https://learn.microsoft.com/azure/storage/blobs/point-in-time-restore-manage?tabs=portal"/>
    <s v=""/>
    <s v=""/>
    <s v="1b965cb9-7629-214e-b682-6bf6e450a100"/>
  </r>
  <r>
    <x v="1"/>
    <n v="0"/>
    <s v="Azure Service"/>
    <s v="APRL"/>
    <s v="Microsoft.Storage"/>
    <s v="storageAccounts"/>
    <x v="6"/>
    <s v="Monitor all blob storage accounts"/>
    <x v="2"/>
    <s v="For critical applications and business processes relying on Azure, monitoring and alerts are crucial. Resource logs are only stored after creating a diagnostic setting to route logs to specified locations, requiring selection of log categories to collect._x000a_"/>
    <s v="https://learn.microsoft.com/azure/storage/blobs/monitor-blob-storage https://learn.microsoft.com/azure/storage/blobs/blob-storage-monitoring-scenarios"/>
    <s v=""/>
    <s v=""/>
    <s v="96cb8331-6b06-8242-8ce8-4e2f665dc679"/>
  </r>
  <r>
    <x v="0"/>
    <n v="5"/>
    <s v="Azure Service"/>
    <s v="APRL"/>
    <s v="Microsoft.Storage"/>
    <s v="storageAccounts"/>
    <x v="2"/>
    <s v="Consider upgrading legacy storage accounts to v2 storage accounts"/>
    <x v="2"/>
    <s v="General-purpose v2 accounts are recommended for most storage scenarios offering the latest features or the lowest per-gigabyte pricing. Legacy accounts like Standard general-purpose v1 and Blob Storage aren't advised by Microsoft but may fit specific scenarios._x000a_"/>
    <s v="https://learn.microsoft.com/azure/storage/common/storage-account-overview#legacy-storage-account-types https://learn.microsoft.com/azure/storage/common/storage-account-upgrade"/>
    <s v=""/>
    <s v=""/>
    <s v="2ad78dec-5a4d-4a30-8fd1-8584335ad781"/>
  </r>
  <r>
    <x v="0"/>
    <n v="6"/>
    <s v="Azure Service"/>
    <s v="APRL"/>
    <s v="Microsoft.Storage"/>
    <s v="storageAccounts"/>
    <x v="4"/>
    <s v="Enable Azure Private Link service for FSLogix storage account"/>
    <x v="1"/>
    <s v="Azure Private Link Service enables you to access Azure Storage Account and Azure hosted customer/partner services over a Private Endpoint in your virtual network. An Azure Private Endpoint is a network interface that connects you privately and securely to a service powered by Azure Private Link. The private endpoint uses a private IP address from your VNet, effectively bringing the service into your VNet. All traffic to the service can be routed through the private endpoint, so no gateways, NAT devices, ExpressRoute or VPN connections, or public IP addresses are needed. Traffic between your virtual network and the service traverses over the Microsoft backbone network, eliminating exposure from the public Internet. You can connect to an instance of an Azure resource, giving you the highest level of granularity in access control._x000a_Azure Private Link Service offers secure access to Azure Storage and services via a Private Endpoint in your VNet. No public IPs needed, ensuring privacy. Granular access control provided._x000a_"/>
    <s v="https://learn.microsoft.com/en-us/azure/architecture/example-scenario/wvd/windows-virtual-desktop#azure-virtual-desktop-limitations https://learn.microsoft.com/en-us/azure/well-architected/azure-virtual-desktop/networking#private-endpoints-private-link"/>
    <s v=""/>
    <s v=""/>
    <s v="dc55be60-6f8c-461e-a9d5-a3c7686ed94e"/>
  </r>
  <r>
    <x v="1"/>
    <n v="0"/>
    <s v="Azure Service"/>
    <s v="APRL"/>
    <s v="Microsoft.Web"/>
    <s v="serverFarms"/>
    <x v="0"/>
    <s v="Migrate App Service to availability Zone Support"/>
    <x v="0"/>
    <s v="Azure's feature of deploying App Service plans across availability zones enhances resiliency and reliability by ensuring operation during datacenter failures, providing redundancy without needing different regions, thus minimizing downtime and maintaining uninterrupted services._x000a_"/>
    <s v="https://learn.microsoft.com/en-us/azure/reliability/migrate-app-service https://learn.microsoft.com/en-us/azure/architecture/reference-architectures/enterprise-integration/ase-high-availability-deployment"/>
    <s v=""/>
    <s v=""/>
    <s v="88cb90c2-3b99-814b-9820-821a63f600dd"/>
  </r>
  <r>
    <x v="0"/>
    <n v="1"/>
    <s v="Azure Service"/>
    <s v="APRL"/>
    <s v="Microsoft.Web"/>
    <s v="serverFarms"/>
    <x v="0"/>
    <s v="Use Standard or Premium tier"/>
    <x v="0"/>
    <s v="Choose Standard/Premium Azure App Service Plan for robust apps with advanced scaling, high availability, better performance, and multiple slots, ensuring resilience and continuous operation._x000a_"/>
    <s v="https://learn.microsoft.com/en-us/azure/architecture/checklist/resiliency-per-service#app-service"/>
    <s v=""/>
    <s v=""/>
    <s v="b2113023-a553-2e41-9789-597e2fb54c31"/>
  </r>
  <r>
    <x v="1"/>
    <n v="0"/>
    <s v="Azure Service"/>
    <s v="APRL"/>
    <s v="Microsoft.Web"/>
    <s v="serverFarms"/>
    <x v="2"/>
    <s v="Avoid scaling up or down"/>
    <x v="1"/>
    <s v="Avoid frequent scaling up/down of Azure App Service instances to prevent service disruptions. Choose the right tier and size for the workload and scale out for traffic changes, as scaling adjustments can trigger application restarts._x000a_"/>
    <s v="https://learn.microsoft.com/en-us/azure/architecture/checklist/resiliency-per-service#app-service"/>
    <s v=""/>
    <s v=""/>
    <s v="07243659-4643-d44c-a1c6-07ac21635072"/>
  </r>
  <r>
    <x v="1"/>
    <n v="0"/>
    <s v="Azure Service"/>
    <s v="APRL"/>
    <s v="Microsoft.Web"/>
    <s v="serverFarms"/>
    <x v="3"/>
    <s v="Create separate App Service plans for production and test"/>
    <x v="0"/>
    <s v="It is strongly recommended to create separate App Service plans for production and test environments to avoid using slots within your production deployment for testing purposes._x000a_"/>
    <s v="https://learn.microsoft.com/en-us/azure/architecture/checklist/resiliency-per-service#app-service"/>
    <s v=""/>
    <s v=""/>
    <s v="dbe3fd66-fb2a-9d46-b162-1791e21da236"/>
  </r>
  <r>
    <x v="1"/>
    <n v="0"/>
    <s v="Azure Service"/>
    <s v="APRL"/>
    <s v="Microsoft.Web"/>
    <s v="serverFarms"/>
    <x v="2"/>
    <s v="Enable Autoscale/Automatic scaling to ensure adequate resources are available to service requests"/>
    <x v="1"/>
    <s v="Enabling Autoscale/Automatic Scaling for your Azure App Service ensures sufficient resources for incoming requests. Autoscaling is rule-based, whereas Automatic Scaling, a newer feature, automatically adjusts resources based on HTTP traffic._x000a_"/>
    <s v="https://learn.microsoft.com/en-us/azure/app-service/manage-automatic-scaling?tabs=azure-portal https://learn.microsoft.com/en-us/azure/azure-monitor/autoscale/autoscale-get-started"/>
    <s v=""/>
    <s v=""/>
    <s v="6320abf6-f917-1843-b2ae-4779c35985ae"/>
  </r>
  <r>
    <x v="1"/>
    <n v="0"/>
    <s v="Azure Service"/>
    <s v="APRL"/>
    <s v="Microsoft.Web"/>
    <s v="sites"/>
    <x v="6"/>
    <s v="Enable diagnostics logging"/>
    <x v="2"/>
    <s v="Enabling diagnostics logging for your Azure App Service is crucial for monitoring and diagnostics, including both application logging and web server logging._x000a_"/>
    <s v="https://learn.microsoft.com/azure/app-service/troubleshoot-diagnostic-logs"/>
    <s v=""/>
    <s v=""/>
    <s v="493f6079-3bb6-4a56-96ba-ab3248474cb1"/>
  </r>
  <r>
    <x v="1"/>
    <n v="0"/>
    <s v="Azure Service"/>
    <s v="APRL"/>
    <s v="Microsoft.Web"/>
    <s v="sites"/>
    <x v="6"/>
    <s v="Monitor Performance"/>
    <x v="1"/>
    <s v="Use Application Insights to monitor app performance and load behavior, offering real-time insights, issue diagnosis, and root-cause analysis. It supports ASP.NET, ASP.NET Core, Java, and Node.js on Azure App Service, now with built-in monitoring._x000a_"/>
    <s v="https://learn.microsoft.com/azure/application-insights/app-insights-overview https://learn.microsoft.com/azure/azure-monitor/app/azure-web-apps"/>
    <s v=""/>
    <s v=""/>
    <s v="a7e8bb3d-8ceb-442d-b26f-007cd63f9ffc"/>
  </r>
  <r>
    <x v="1"/>
    <n v="0"/>
    <s v="Azure Service"/>
    <s v="APRL"/>
    <s v="Microsoft.Web"/>
    <s v="sites"/>
    <x v="2"/>
    <s v="Separate web apps from web APIs"/>
    <x v="2"/>
    <s v="If your solution includes both a web front end and a web API, decomposing them into separate App Service apps facilitates solution decomposition by workload, allowing for independent scaling. Initially, you can deploy both in the same plan and separate them for independent scaling when necessary._x000a_"/>
    <s v="https://learn.microsoft.com/azure/architecture/checklist/resiliency-per-service#app-service"/>
    <s v=""/>
    <s v=""/>
    <s v="78a5c033-ff51-4332-8a71-83464c34494b"/>
  </r>
  <r>
    <x v="1"/>
    <n v="0"/>
    <s v="Azure Service"/>
    <s v="APRL"/>
    <s v="Microsoft.Web"/>
    <s v="sites"/>
    <x v="2"/>
    <s v="Create a separate storage account for logs"/>
    <x v="1"/>
    <s v="Creating a separate storage account for logs and not using the same one for application data prevents logging activities from reducing application performance by ensuring that the resources dedicated to handling application data are not burdened by logging processes._x000a_"/>
    <s v="https://learn.microsoft.com/azure/architecture/checklist/resiliency-per-service#app-service"/>
    <s v=""/>
    <s v=""/>
    <s v="3f9ddb59-0bb3-4acb-9c9b-99aa1776f0ab"/>
  </r>
  <r>
    <x v="1"/>
    <n v="0"/>
    <s v="Azure Service"/>
    <s v="APRL"/>
    <s v="Microsoft.Web"/>
    <s v="sites"/>
    <x v="3"/>
    <s v="Deploy to a staging slot"/>
    <x v="1"/>
    <s v="Create a deployment slot for staging to deploy updates, verify them, and ensure all instances are warmed up before production swap, reducing bad update chances. An LKG slot allows easy rollback to a previous good deployment if issues arise later, enhancing reliability._x000a_"/>
    <s v="https://learn.microsoft.com/azure/app-service-web/web-sites-staged-publishing"/>
    <s v=""/>
    <s v=""/>
    <s v="a1d91661-32d4-430b-b3b6-5adeb0975df7"/>
  </r>
  <r>
    <x v="1"/>
    <n v="0"/>
    <s v="Azure Service"/>
    <s v="APRL"/>
    <s v="Microsoft.Web"/>
    <s v="sites"/>
    <x v="5"/>
    <s v="Store configuration as app settings"/>
    <x v="1"/>
    <s v="Use app settings for configuration and define them in Resource Manager templates or via PowerShell to facilitate part of an automated deployment/update process for improved reliability._x000a_"/>
    <s v="https://learn.microsoft.com/azure/app-service-web/web-sites-configure"/>
    <s v=""/>
    <s v=""/>
    <s v="0b80b67c-afbe-4988-ad58-a85a146b681e"/>
  </r>
  <r>
    <x v="1"/>
    <n v="0"/>
    <s v="Well Architected"/>
    <s v="APRL"/>
    <s v="WellArchitected"/>
    <s v="Define"/>
    <x v="0"/>
    <s v="Define and share Availability Targets with all teams for workload consistency"/>
    <x v="0"/>
    <s v="Ensure the Availability Targets (SLA, SLO, SLI) are well defined, tested, monitored and communicated across teams working on the Workload._x000a__x000a_A Service Level Agreement (SLA) is an availability target that represents a commitment around performance and availability of the application. Understanding the SLA of individual components within the system is essential to define reliability targets. Knowing the SLA of dependencies will also provide a justification for additional spend when making the dependencies highly available and with proper support contracts. Availability targets for any dependencies leveraged by the application should be understood and ideally align with application targets should also be considered._x000a__x000a_Understanding your availability expectations is vital to reviewing overall operations for the application._x000a__x000a_For example, if you are striving to achieve an application Service Level Objective (SLO) of 99.999%, the level of inherent operational action required by the application is going to be far greater than if an SLO of 99.9% was the goal._x000a_"/>
    <s v="https://learn.microsoft.com/azure/well-architected/resiliency/business-metrics#workload-availability-targets https://learn.microsoft.com/azure/well-architected/resiliency/design-requirements"/>
    <s v=""/>
    <s v=""/>
    <s v="0c8a12dd-52fb-cf40-bb4a-b60f99409bab"/>
  </r>
  <r>
    <x v="1"/>
    <n v="0"/>
    <s v="Well Architected"/>
    <s v="APRL"/>
    <s v="WellArchitected"/>
    <s v="Define"/>
    <x v="1"/>
    <s v="Ensure the Recovery Targets are well defined and communicated across teams working on the Workload"/>
    <x v="0"/>
    <s v="Ensure the Recovery Targets are well defined and communicated across teams working on the Workload._x000a_Two important metrics to consider are the recovery time objective and recovery point objective, as they pertain to disaster recovery._x000a__x000a_- Recovery time objective (RTO) is the maximum acceptable time that an application can be unavailable after an incident. If your RTO is 90 minutes, you must be able to restore the application to a running state within 90 minutes from the start of a disaster. If you have a very low RTO, you might keep a second regional deployment continually running an active/passive configuration on standby, to protect against a regional outage. In some cases, you might deploy an active/active configuration to achieve even lower RTO._x000a_- Recovery point objective (RPO) is the maximum duration of data loss that is acceptable during a disaster. For example, if you store data in a single database, with no replication to other databases, and perform hourly backups, you could lose up to an hour of data._x000a_RTO and RPO are non-functional requirements of a system and should be dictated by business requirements. To derive these values, it's a good idea to conduct a risk assessment, and clearly understanding the cost of downtime or data loss._x000a__x000a_Monitoring and measuring application availability is vital to qualifying overall application health and progress towards defined targets. Make sure you measure and monitor key targets such as:_x000a__x000a_- Mean Time Between Failures (MTBF) — The average time between failures of a particular component._x000a_- Mean Time to Recover (MTTR) — The average time it takes to restore a component after a failure._x000a_"/>
    <s v="https://learn.microsoft.com/azure/well-architected/resiliency/design-requirements"/>
    <s v=""/>
    <s v=""/>
    <s v="a43ab756-5b33-2345-8743-3daee911a1ae"/>
  </r>
  <r>
    <x v="1"/>
    <n v="0"/>
    <s v="Well Architected"/>
    <s v="APRL"/>
    <s v="WellArchitected"/>
    <s v="Deploy"/>
    <x v="7"/>
    <s v="Avoid manual configuration to enforce consistency with Infrastructure as code"/>
    <x v="1"/>
    <s v="Infrastructure as code (IaC) uses DevOps methodology and versioning with a descriptive model to define and deploy infrastructure, such as networks, virtual machines, load balancers, and connection topologies. Just as the same source code always generates the same binary, an IaC model generates the same environment every time it deploys._x000a__x000a_IaC is a key DevOps practice and a component of continuous delivery. With IaC, DevOps teams can work together with a unified set of practices and tools to deliver applications and their supporting infrastructure rapidly and reliably at scale._x000a__x000a_Key Points:_x000a_- Avoid manual configuration to enforce consistency_x000a_- Deliver stable test environments rapidly at scale_x000a_- Use declarative definition files_x000a_"/>
    <s v="https://learn.microsoft.com/devops/deliver/what-is-infrastructure-as-code#avoid-manual-configuration-to-enforce-consistency"/>
    <s v=""/>
    <s v=""/>
    <s v="6bf9e5d5-fe57-c647-8daa-4903770e1302"/>
  </r>
  <r>
    <x v="1"/>
    <n v="0"/>
    <s v="Well Architected"/>
    <s v="APRL"/>
    <s v="WellArchitected"/>
    <s v="Deploy"/>
    <x v="7"/>
    <s v="Validated all changes in development environments before applying them to production"/>
    <x v="1"/>
    <s v="Continuously delivering value has become a mandatory requirement for organizations. To deliver value to your end users, you must release continually and without errors._x000a__x000a_Continuous delivery (CD) is the process of automating build, test, configuration, and deployment from a build to a production environment._x000a__x000a_A release pipeline can create multiple testing or staging environments to automate infrastructure creation and deploy new builds. Successive environments support progressively longer-running integration, load, and user acceptance testing activities._x000a_"/>
    <s v="https://learn.microsoft.com/devops/operate/safe-deployment-practices"/>
    <s v=""/>
    <s v=""/>
    <s v="e42e646c-7d67-dd4b-96dc-16a3439fa030"/>
  </r>
  <r>
    <x v="1"/>
    <n v="0"/>
    <s v="Well Architected"/>
    <s v="APRL"/>
    <s v="WellArchitected"/>
    <s v="Deploy"/>
    <x v="7"/>
    <s v="Ensure the deployment method used is aligned to reliability strategy"/>
    <x v="1"/>
    <s v="Another aspect of reliability is the deployment method used to update or roll back your workload. You should ensure that the deployment method used is aligned to your reliability strategy and supports the availability and performance requirements of your workload. For example, you may choose to use blue-green deployments, canary deployments, or rolling deployments depending on the level of risk and impact you want to mitigate. You should also consider the trade-offs between speed and safety when deploying changes, and use appropriate testing and validation methods to ensure the quality of your code and configuration. Additionally, you should have a clear and documented process for handling deployment failures and communicate any changes or issues to your stakeholders and customers._x000a_"/>
    <s v="https://learn.microsoft.com/azure/well-architected/mission-critical/mission-critical-deployment-testing https://learn.microsoft.com/devops/operate/safe-deployment-practices"/>
    <s v=""/>
    <s v=""/>
    <s v="e067b48e-7f91-40d9-bed9-bccac945417a"/>
  </r>
  <r>
    <x v="1"/>
    <n v="0"/>
    <s v="Well Architected"/>
    <s v="APRL"/>
    <s v="WellArchitected"/>
    <s v="Deploy"/>
    <x v="7"/>
    <s v="Implement a full suite of tests during deployment"/>
    <x v="1"/>
    <s v="Testing your cloud solution at different stages of deployment can help you improve the quality and reliability of your solution and reduce the risk of costly and damaging incidents in production. By adopting a &quot;shift left&quot; approach, you can perform unit testing, smoke testing, load testing, and chaos testing to verify the functionality, integration, performance, scalability, resilience, and fault tolerance of your solution. These tests can help you identify and fix any issues or bugs before they affect your customers or users._x000a_"/>
    <s v="https://learn.microsoft.com/azure/well-architected/mission-critical/mission-critical-deployment-testing"/>
    <s v=""/>
    <s v=""/>
    <s v="e435d7c1-afd7-4350-9130-b410482df2b9"/>
  </r>
  <r>
    <x v="1"/>
    <n v="0"/>
    <s v="Well Architected"/>
    <s v="APRL"/>
    <s v="WellArchitected"/>
    <s v="Deploy"/>
    <x v="7"/>
    <s v="Ensure that failure scenarios are tested regularly"/>
    <x v="1"/>
    <s v="Failure scenarios are situations where your cloud solution may not perform as expected or meet your service level objectives (SLOs) due to internal or external factors. For example, failure scenarios can include hardware failures, network outages, security breaches, configuration errors, unexpected spikes in demand, or dependencies on third-party services. Testing these scenarios regularly can help you assess the impact of failures on your solution and prepare contingency plans to mitigate them. You can use tools and techniques such as fault injection, disaster recovery drills, game days, and chaos engineering to simulate and test failure scenarios in a controlled environment._x000a_"/>
    <s v="https://learn.microsoft.com/azure/well-architected/mission-critical/mission-critical-deployment-testing"/>
    <s v=""/>
    <s v=""/>
    <s v="59f2b6c5-a7ba-422a-aa52-eb1380e9a22b"/>
  </r>
  <r>
    <x v="1"/>
    <n v="0"/>
    <s v="Well Architected"/>
    <s v="APRL"/>
    <s v="WellArchitected"/>
    <s v="Deploy"/>
    <x v="7"/>
    <s v="Regularly test regional failovers"/>
    <x v="1"/>
    <s v="A regional failover is a process of switching to a secondary region in case of a major disruption or outage in the primary region of your cloud solution. Regional failovers can help you maintain availability and performance of your solution across different geographic areas. However, regional failovers are not trivial and require careful planning and testing. You should regularly test regional failovers to verify that your backup region can handle the load and functionality of your solution, that your data is consistent and secure across regions, and that your failover and failback procedures are working as expected. Testing regional failovers can also help you identify and resolve potential issues or gaps in your failover strategy before they affect your users or customers._x000a_"/>
    <s v="https://learn.microsoft.com/azure/well-architected/mission-critical/mission-critical-deployment-testing"/>
    <s v=""/>
    <s v=""/>
    <s v="770dbc38-bd28-4669-83a5-81f1a49b682b"/>
  </r>
  <r>
    <x v="1"/>
    <n v="0"/>
    <s v="Well Architected"/>
    <s v="APRL"/>
    <s v="WellArchitected"/>
    <s v="Deploy"/>
    <x v="7"/>
    <s v="Ensure failover automation is available during outages"/>
    <x v="1"/>
    <s v="One of the key aspects of a reliable failover strategy is automation. Automation can reduce the human error, latency, and complexity involved in switching to a secondary region during an outage. However, automation itself can be vulnerable to failures or disruptions, especially if it depends on components or services that are affected by the outage. Therefore, you should ensure that your failover automation is available and resilient during outages, and that it can be triggered without manual intervention. You should also monitor and test your failover automation regularly to ensure that it performs as expected under different scenarios and conditions. As an example, if you are using regional failover as a mitigation for a potential regional outage, the automation used to orchestrate the failover to the backup region should not be hosted in the region that suffers the outage. Consider hosting your automation in a region that does not contain the production environment of your workload._x000a_"/>
    <s v="https://learn.microsoft.com/azure/well-architected/mission-critical/mission-critical-deployment-testing"/>
    <s v=""/>
    <s v=""/>
    <s v="0b0893f6-7c47-4580-83b2-ff6711ac8406"/>
  </r>
  <r>
    <x v="1"/>
    <n v="0"/>
    <s v="Well Architected"/>
    <s v="APRL"/>
    <s v="WellArchitected"/>
    <s v="Design"/>
    <x v="0"/>
    <s v="Consider deploying your application across multiple zones"/>
    <x v="0"/>
    <s v="Design your application architecture to use availability zones within a region. Availability zones can be used to optimize application availability within a region by providing datacenter-level fault tolerance. However, the application architecture must not share dependencies between zones to use them effectively._x000a__x000a_Consider if component proximity is required for application performance reasons. If all or part of the application is highly sensitive to latency, components might need to be co-located which can limit the applicability of multi-region and multi-zone strategies._x000a_"/>
    <s v="https://learn.microsoft.com/azure/reliability/availability-zones-overview#availability-zones"/>
    <s v=""/>
    <s v=""/>
    <s v="063d7237-5f68-5d42-b3d1-43144b3630b5"/>
  </r>
  <r>
    <x v="1"/>
    <n v="0"/>
    <s v="Well Architected"/>
    <s v="APRL"/>
    <s v="WellArchitected"/>
    <s v="Design"/>
    <x v="1"/>
    <s v="Consider deploying your application across multiple regions"/>
    <x v="0"/>
    <s v="If your application is deployed to a single region, and the region becomes unavailable, your application will also be unavailable. This might be unacceptable under the terms of your application's SLA._x000a__x000a_If so, consider deploying your application and its services across multiple regions. A multiregional deployment can use an active-active or active-passive configuration._x000a__x000a_An active-active configuration distributes requests across multiple active regions. An active-passive configuration keeps warm instances in the secondary region, but doesn't send traffic there unless the primary region fails._x000a_"/>
    <s v="https://learn.microsoft.com/azure/well-architected/resiliency/app-design https://learn.microsoft.com/azure/reliability/cross-region-replication-azure"/>
    <s v=""/>
    <s v=""/>
    <s v="8a497b6d-d065-0d43-a7d9-e3f8eebfe0f4"/>
  </r>
  <r>
    <x v="1"/>
    <n v="0"/>
    <s v="Well Architected"/>
    <s v="APRL"/>
    <s v="WellArchitected"/>
    <s v="Design"/>
    <x v="0"/>
    <s v="Ensure that all fault-points and fault-modes are understood and operationalized"/>
    <x v="0"/>
    <s v="Ensure that all fault-points and fault-modes are understood and operationalized._x000a__x000a_Failure mode analysis (FMA) is a process for building resiliency into a system, by identifying possible failure points in the system. The FMA should be part of the architecture and design phases, so that you can build failure recovery into the system from the beginning._x000a__x000a_Identify all fault-points and fault-modes. Fault-points describe the elements within an application architecture which can fail, while fault-modes capture the various ways by which a fault-point may fail. To ensure an application is resilient to end-to-end failures, it is essential that all fault-points and fault-modes are understood and operationalized._x000a_"/>
    <s v="https://learn.microsoft.com/azure/architecture/resiliency/failure-mode-analysis"/>
    <s v=""/>
    <s v=""/>
    <s v="99ebe682-6306-6446-bfc7-cf6610ebfa02"/>
  </r>
  <r>
    <x v="1"/>
    <n v="0"/>
    <s v="Well Architected"/>
    <s v="APRL"/>
    <s v="WellArchitected"/>
    <s v="Design"/>
    <x v="2"/>
    <s v="Use PaaS Azure services instead of IaaS"/>
    <x v="1"/>
    <s v="PaaS provides a framework for developing and running apps. As with IaaS, the PaaS provider hosts and maintains the platform's servers, networks, storage, and other computing resources. But PaaS also includes tools, services, and systems that support the web application lifecycle._x000a__x000a_Developers use the platform to build apps without having to manage backups, security solutions, upgrades, and other administrative tasks._x000a_"/>
    <s v="https://learn.microsoft.com/azure/architecture/guide/design-principles/managed-services"/>
    <s v=""/>
    <s v=""/>
    <s v="097651d8-6e62-314a-9299-a0234ffd190e"/>
  </r>
  <r>
    <x v="1"/>
    <n v="0"/>
    <s v="Well Architected"/>
    <s v="APRL"/>
    <s v="WellArchitected"/>
    <s v="Design"/>
    <x v="2"/>
    <s v="Design the application to scale out"/>
    <x v="0"/>
    <s v="Azure provides elastic scalability and you should design to scale out. However, applications must leverage a scale-unit approach to navigate service and subscription limits to ensure that individual components and the application as a whole can scale horizontally. Don't forget about scale in, which is important to reduce cost._x000a__x000a_For example, scale in and out for App Service is done via rules. Often customers write scale out rules and never write scale in rules, which leaves the App Service more expensive._x000a_"/>
    <s v="https://learn.microsoft.com/azure/architecture/guide/design-principles/scale-out"/>
    <s v=""/>
    <s v=""/>
    <s v="7f4c76d7-f9d4-d643-ab73-4d8f27fd7ed9"/>
  </r>
  <r>
    <x v="1"/>
    <n v="0"/>
    <s v="Well Architected"/>
    <s v="APRL"/>
    <s v="WellArchitected"/>
    <s v="Design"/>
    <x v="3"/>
    <s v="Create a landing zone for the workload following the Microsoft Cloud Adoption Framework"/>
    <x v="2"/>
    <s v="From a workload perspective, a landing zone refers to a prepared platform into which the application gets deployed. A landing zone implementation can have compute, data sources, access controls, and networking components already provisioned. With the required plumbing ready in place; the workload needs to plug into it. When considering the overall security, a landing zone offers centralized security capabilities that adds a threat mitigation layer for the workload._x000a__x000a_Implementations can vary but here are some common strategies that enhance the security posture._x000a_- Isolation through segmentation. You can isolate assets at several layers from Azure enrollment down to a subscription that has the resources for the workload._x000a_- Consistent adoption of organizational policies, enforce creation and deletion of services and their configuration through Azure Policy._x000a_- Configurations that align with principles of Zero Trust. For instance an implementation might have network connectivity to on-premises data centers._x000a_"/>
    <s v="https://learn.microsoft.com/azure/well-architected/security/design-governance-landing-zone"/>
    <s v=""/>
    <s v=""/>
    <s v="6132a11a-3ea0-e64c-877b-f01ca1de79d4"/>
  </r>
  <r>
    <x v="1"/>
    <n v="0"/>
    <s v="Well Architected"/>
    <s v="APRL"/>
    <s v="WellArchitected"/>
    <s v="Design"/>
    <x v="1"/>
    <s v="Design a BCDR strategy that will help to meet the business requirements"/>
    <x v="0"/>
    <s v="Disaster recovery is the process of restoring application functionality after a catastrophic loss. In cloud environments, we acknowledge up front that failures happen. Instead of trying to prevent failures altogether, the goal is to minimize the effects of a single failing component._x000a__x000a_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_x000a__x000a_It might be acceptable for some applications to be temporarily unavailable, or partially available with reduced functionality or delayed processing. For other applications, any reduced functionality is unacceptable._x000a__x000a_Key points:_x000a_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_x000a_"/>
    <s v="https://learn.microsoft.com/azure/well-architected/resiliency/backup-and-recovery"/>
    <s v=""/>
    <s v=""/>
    <s v="b09061cb-d536-1347-9957-390c2d0cfa3d"/>
  </r>
  <r>
    <x v="1"/>
    <n v="0"/>
    <s v="Well Architected"/>
    <s v="APRL"/>
    <s v="WellArchitected"/>
    <s v="Design"/>
    <x v="4"/>
    <s v="Provide security assurance through identity management"/>
    <x v="1"/>
    <s v="Provide security assurance through identity management: the process of authenticating and authorizing security principals. Use identity management services to authenticate and grant permission to users, partners, customers, applications, services, and other entities. Identity management is typically a centralized function not controlled by the workload team as a part of the workload's architecture._x000a__x000a_- Define clear lines of responsibility and separation of duties for each function. Restrict access based on a need-to-know basis and least privilege security principles._x000a_- Assign permissions to users, groups, and applications at a certain scope through Azure RBAC. Use built-in roles when possible._x000a_- Prevent deletion or modification of a resource, resource group, or subscription through management locks._x000a_- Use managed identities to access resources in Azure._x000a_"/>
    <s v="https://learn.microsoft.com/azure/well-architected/security/design-identity"/>
    <s v=""/>
    <s v=""/>
    <s v="835e616d-78e6-7f4c-a48b-6f80382a48cf"/>
  </r>
  <r>
    <x v="1"/>
    <n v="0"/>
    <s v="Well Architected"/>
    <s v="APRL"/>
    <s v="WellArchitected"/>
    <s v="Design"/>
    <x v="4"/>
    <s v="Addressing security risks minimizes downtime and data loss from exposures"/>
    <x v="0"/>
    <s v="Security is one of the most important aspects of any architecture. It provides the following assurances against deliberate attacks and abuse of your valuable data and systems: Confidentiality ,Integrity, and Availability._x000a_The security of complex systems depends on understanding the business context, social context, and technical context. As you design your system, cover these areas:_x000a__x000a_- Ensure that the identity provider (AAD/ADFS/AD/Other) is highly available and aligns with application availability and recovery targets._x000a_- All external application endpoints are secured._x000a_- Communication to Azure PaaS services secured using Virtual Network Service Endpoints or Private Link._x000a_- Keys and secrets are backed-up to geo-redundant storage, and are still available in a failover case._x000a_- Ensure that the process for key rotation is automated and tested._x000a_- Emergency access break glass accounts have been tested and secured for recovering from Identity provider failure scenarios._x000a_"/>
    <s v="https://learn.microsoft.com/azure/well-architected/security/security-principles"/>
    <s v=""/>
    <s v=""/>
    <s v="c5d8f87e-45ef-1644-a4aa-95ec08b88109"/>
  </r>
  <r>
    <x v="1"/>
    <n v="0"/>
    <s v="Well Architected"/>
    <s v="APRL"/>
    <s v="WellArchitected"/>
    <s v="Develop"/>
    <x v="2"/>
    <s v="Use appropriate patterns for managing outgoing connections"/>
    <x v="1"/>
    <s v="Outgoing connections are the requests that your cloud solution makes to external services or resources, such as databases, APIs, or third-party providers. Managing these connections properly is crucial for ensuring the reliability and performance of your solution. You should use appropriate patterns for opening, closing, reusing, and pooling outgoing connections, depending on the type and frequency of the requests. For example, you can use the circuit breaker pattern to prevent your solution from making repeated requests to a failing service, or you can use connection pooling to reuse existing connections and reduce the overhead of creating new ones. Additionally, you can use patterns like dependency injection or factory patterns to manage connection objects in code, and make sure to close connections you no longer use to prevent port exhaustion._x000a_"/>
    <s v="https://learn.microsoft.com/dotnet/core/extensions/dependency-injection-usage https://learn.microsoft.com/dotnet/architecture/microservices/implement-resilient-applications/use-httpclientfactory-to-implement-resilient-http-requests"/>
    <s v=""/>
    <s v=""/>
    <s v="7ffd4456-d121-4cdb-a776-29762e1bff8d"/>
  </r>
  <r>
    <x v="1"/>
    <n v="0"/>
    <s v="Well Architected"/>
    <s v="APRL"/>
    <s v="WellArchitected"/>
    <s v="Develop"/>
    <x v="0"/>
    <s v="Expect outgoing connections to fail"/>
    <x v="1"/>
    <s v="One of the main challenges of cloud computing is that you have to deal with uncertainty and unpredictability of network communication. Outgoing connections can fail for various reasons, such as network congestion, timeouts, service outages, or configuration errors. You should expect these failures to occur and design your solution to handle them gracefully. For example, you can use patterns like retry, fallback, or timeout to recover from transient failures, or use patterns like bulkhead or queue-based load leveling to isolate and manage the impact of failures on your system. By expecting and handling outgoing connection failures, you can improve the resilience and availability of your cloud solution._x000a_"/>
    <s v="https://learn.microsoft.com/azure/architecture/patterns/retry"/>
    <s v=""/>
    <s v=""/>
    <s v="4d03e777-bc01-4a35-b23c-92cfd4f218be"/>
  </r>
  <r>
    <x v="1"/>
    <n v="0"/>
    <s v="Well Architected"/>
    <s v="APRL"/>
    <s v="WellArchitected"/>
    <s v="Develop"/>
    <x v="2"/>
    <s v="Ensure the infrastructure can support the number of outgoing connections"/>
    <x v="0"/>
    <s v="Outgoing connections go through various components on the network path to their destination. These components include gateways, proxies, firewalls, or other appliances as well as Azure NAT gateways or other means of scaling outgoing connections. Make sure that these components can scale to at least the expected outgoing traffic volume._x000a_"/>
    <s v="https://azure.microsoft.com/blog/ensure-zone-resilient-outbound-connectivity-with-nat-gateway/"/>
    <s v=""/>
    <s v=""/>
    <s v="f1993b50-61a0-4206-8215-c43e3fd61500"/>
  </r>
  <r>
    <x v="1"/>
    <n v="0"/>
    <s v="Well Architected"/>
    <s v="APRL"/>
    <s v="WellArchitected"/>
    <s v="Develop"/>
    <x v="0"/>
    <s v="Implement Coding Patterns to handle partial failures"/>
    <x v="1"/>
    <s v="Partial failures are inevitable in distributed systems, where some components may fail or become unavailable while others continue to function. Therefore, cloud solutions should implement patterns to handle partial failures gracefully and avoid disrupting the entire system. Some of these patterns include retrying failed operations with exponential backoff, using timeouts to limit the impact of slow or unresponsive services, and fallback logic to provide alternative responses when the primary service is not available. As an example, dynamic content loaded into a webpage should revert to default values if the content is unavailable or should be hidden altogether. This presents a more favorable user experience than displaying error messages._x000a_"/>
    <s v="https://learn.microsoft.com/azure/well-architected/reliability/self-preservation#application-design-guidance-and-patterns-1"/>
    <s v=""/>
    <s v=""/>
    <s v="d70e7d1f-b956-40da-b8f2-19378ab61b63"/>
  </r>
  <r>
    <x v="1"/>
    <n v="0"/>
    <s v="Well Architected"/>
    <s v="APRL"/>
    <s v="WellArchitected"/>
    <s v="Develop"/>
    <x v="0"/>
    <s v="Implement circuit breakers to prevent cascading failures"/>
    <x v="0"/>
    <s v="Circuit breakers are a design pattern that can help prevent cascading failures in distributed systems. The idea is to monitor the health of each service and stop sending requests to it if it becomes unhealthy or unresponsive. This way, the failure of one service does not affect the rest of the system, and the service can recover faster by avoiding overload. Circuit breakers can also trigger fallback logic, such as using cached data or default values, when the primary service is unavailable. This improves the reliability and resilience of the system and provides a better user experience._x000a_"/>
    <s v="https://learn.microsoft.com/azure/architecture/patterns/circuit-breaker"/>
    <s v=""/>
    <s v=""/>
    <s v="c220efa2-c3c4-4b99-960c-4ae753c2e103"/>
  </r>
  <r>
    <x v="1"/>
    <n v="0"/>
    <s v="Well Architected"/>
    <s v="APRL"/>
    <s v="WellArchitected"/>
    <s v="Monitor"/>
    <x v="6"/>
    <s v="Make sure your application's health is being monitored"/>
    <x v="1"/>
    <s v="Monitoring and diagnostics are crucial for availability and resiliency. If something fails, you need to know that it failed, when it failed, and why._x000a__x000a_Monitoring isn't the same as failure detection. For example, your application might detect a transient error and retry, avoiding downtime. It should also log the retry operation so that you can monitor the error rate to get an overall picture of application health._x000a__x000a_Key points:_x000a_- Define alerts that are actionable and effectively prioritized._x000a_- Create alerts that poll for services nearing their limits and quotas._x000a_- Use application instrumentation to detect and resolve performance anomalies._x000a_- Track the progress of long-running processes._x000a_- Troubleshoot issues to gain an overall view of application health._x000a_- Document how to analyze, diagnose, and respond to signals being monitored_x000a_"/>
    <s v="https://learn.microsoft.com/azure/well-architected/resiliency/monitoring"/>
    <s v=""/>
    <s v=""/>
    <s v="46fb4540-ecac-6e49-bc10-34c7792eb35d"/>
  </r>
  <r>
    <x v="1"/>
    <n v="0"/>
    <s v="Well Architected"/>
    <s v="APRL"/>
    <s v="WellArchitected"/>
    <s v="Monitor"/>
    <x v="6"/>
    <s v="Define a health model based on performance, availability, and recovery targets"/>
    <x v="2"/>
    <s v="The health model should be able to surface the health of critical system flows or key subsystems to ensure that appropriate operational prioritization is applied._x000a__x000a_For example, the health model should be able to represent the current state of the user sign-in transaction flow. The health model shouldn't treat all failures the same. The health model should distinguish between transient and non transient faults. It should clearly distinguish between expected-transient but recoverable failures and a true disaster state._x000a__x000a_Key points:_x000a_- Know how to tell if an application is healthy or unhealthy._x000a_- Understand the effects of logs in diagnostic data._x000a_- Ensure the consistent use of diagnostic settings across the application._x000a_- Use critical system flows in your health model._x000a_"/>
    <s v="https://learn.microsoft.com/azure/well-architected/resiliency/monitor-model https://learn.microsoft.com/en-us/azure/well-architected/cross-cutting-guides/health-modeling"/>
    <s v=""/>
    <s v=""/>
    <s v="5dd7a9a3-fb79-004d-bc89-c9ef79890900"/>
  </r>
  <r>
    <x v="1"/>
    <n v="0"/>
    <s v="Well Architected"/>
    <s v="APRL"/>
    <s v="WellArchitected"/>
    <s v="Monitor"/>
    <x v="6"/>
    <s v="Create Dashboards and Alerts for Azure Platform resources"/>
    <x v="2"/>
    <s v="In this stage, telemetry data is presented so that an operator can quickly notice problems or trends._x000a__x000a_Examples include Workbook, Dashboards or email alerts. With Azure Workbooks and/or dashboards, you can build a single pane of glass view of monitoring graphs originating from Application Insights, Log Analytics, Azure Monitor metrics and service health. With Azure Monitor alerts, you can create alerts on service health and resource health._x000a_"/>
    <s v="https://learn.microsoft.com/azure/azure-monitor/visualize/workbooks-templates"/>
    <s v=""/>
    <s v=""/>
    <s v="1691bfea-c9fd-0948-969a-03e5abcab299"/>
  </r>
  <r>
    <x v="1"/>
    <n v="0"/>
    <s v="Well Architected"/>
    <s v="APRL"/>
    <s v="WellArchitected"/>
    <s v="Monitor"/>
    <x v="6"/>
    <s v="Ensure that the right people in your organization will be notified about any future service issues"/>
    <x v="1"/>
    <s v="Azure offers a suite of experiences to keep you informed about the health of your cloud resources._x000a__x000a_The Service Health portal tracks four types of health events that may impact your resources:_x000a_- Service issues - Problems in the Azure services that affect you right now (Outages)_x000a_- Planned maintenance - Upcoming maintenance that can affect the availability of your services in the future._x000a_- Health advisories - Changes in Azure services that require your attention. Examples include deprecation of Azure features or upgrade requirements (e.g upgrade to a supported PHP framework)._x000a_- Security advisories - Security related notifications or violations that may affect the availability of your Azure services._x000a_"/>
    <s v="https://learn.microsoft.com/azure/service-health/alerts-activity-log-service-notifications-portal#create-a-service-health-alert-using-the-azure-portal"/>
    <s v=""/>
    <s v=""/>
    <s v="1422b388-5d23-5641-ba1c-139a59fb7b4c"/>
  </r>
  <r>
    <x v="1"/>
    <n v="0"/>
    <s v="Well Architected"/>
    <s v="APRL"/>
    <s v="WellArchitected"/>
    <s v="Monitor"/>
    <x v="3"/>
    <s v="Utilize built-in Resilience policies"/>
    <x v="1"/>
    <s v="Utilize Azure's built-in Resilience policies to audit and enforce resilient configurations of Azure services. Azure Policy helps to enforce organizational standards and to assess compliance at-scale._x000a_"/>
    <s v="https://github.com/Azure/azure-policy/tree/master/built-in-policies/policyDefinitions/Resilience https://learn.microsoft.com/azure/governance/policy/how-to/get-compliance-data"/>
    <s v=""/>
    <s v=""/>
    <s v="2af4f8c2-bafc-4808-88df-0af009a019b5"/>
  </r>
  <r>
    <x v="1"/>
    <n v="0"/>
    <s v="Well Architected"/>
    <s v="APRL"/>
    <s v="WellArchitected"/>
    <s v="Monitor"/>
    <x v="6"/>
    <s v="Define metrics to track reliability in relation to business requirements"/>
    <x v="2"/>
    <s v="To measure and improve the reliability of your cloud solution, you need to define metrics that reflect how well your solution meets your business requirements. For example, you can use availability, latency, throughput, error rate, and durability as metrics to quantify the performance and reliability of your solution. These metrics can help you track the progress of your reliability goals, such as SLAs and SLOs, and identify areas for improvement. You should also align your metrics with your customer expectations and feedback, and use them to prioritize your reliability efforts._x000a_"/>
    <s v="https://learn.microsoft.com/azure/well-architected/reliability/metrics"/>
    <s v=""/>
    <s v=""/>
    <s v="3e2f722e-7d94-4efa-96f1-78bd3e256a41"/>
  </r>
  <r>
    <x v="1"/>
    <n v="0"/>
    <s v="Well Architected"/>
    <s v="APRL"/>
    <s v="WellArchitected"/>
    <s v="Respond"/>
    <x v="1"/>
    <s v="Implement proactive Incident Response"/>
    <x v="0"/>
    <s v="Prevention of all problems is a laudable, but impossible goal. Things will go wrong, so we need a plan to limit the impact on our end users and return operations to normal as quickly as possible._x000a__x000a_The key is to respond with urgency, rather than react. A reaction tends to be more impulsive and based in the present moment, without consideration of long-term effects. A response is well-thought-out, organized, and information based._x000a__x000a_Your incident response approach determines your effectiveness at:_x000a_- Understanding what's going on (diagnosing the problem)_x000a_- Triaging (determining the urgency) and prioritizing the problem_x000a_- Engaging the right resources to mitigate the issue(s)_x000a_- Communicating with stakeholders about the problem._x000a_- After the problem has been remediated, you can then learn from the incident through a post-incident review process. That's an important subject which has a whole separate module worth of discussion._x000a_"/>
    <s v="https://learn.microsoft.com/training/modules/improve-reliability-incidents/2-importance https://learn.microsoft.com/training/modules/improve-reliability-incidents/5-tracking"/>
    <s v=""/>
    <s v=""/>
    <s v="daf605e4-d3fd-fc42-819a-e3ec084ffda6"/>
  </r>
  <r>
    <x v="1"/>
    <n v="0"/>
    <s v="Well Architected"/>
    <s v="APRL"/>
    <s v="WellArchitected"/>
    <s v="Test"/>
    <x v="0"/>
    <s v="Test your applications for availability and resiliency"/>
    <x v="0"/>
    <s v="Applications should be tested to ensure availability and resiliency. Availability describes the amount of time that an application runs in a healthy state without significant downtime. Resiliency describes how quickly an application recovers from failure._x000a__x000a_Being able to measure availability and resiliency can answer questions like:_x000a_- How much downtime is acceptable? How much does potential downtime cost your business?_x000a_- What are your availability requirements?_x000a_- How much do you invest in making your application highly available?_x000a_- What is the risk versus the cost?_x000a_- Testing plays a critical role in making sure your applications can meet these requirements._x000a__x000a_Key points:_x000a_- Test regularly to validate existing thresholds, targets, and assumptions._x000a_- Automate testing as much as possible._x000a_- Perform testing on both key Test environments and the production environment._x000a_- Verify how the end-to-end workload performs under intermittent failure conditions._x000a_- Test the application against critical functional and nonfunctional requirements for performance._x000a_- Conduct load testing with expected peak volumes to Test scalability and performance under load._x000a_- Perform chaos testing by injecting faults._x000a_"/>
    <s v="https://learn.microsoft.com/azure/well-architected/resiliency/testing"/>
    <s v=""/>
    <s v=""/>
    <s v="28a8ce6f-1b47-c243-bafb-208f4422fe7a"/>
  </r>
  <r>
    <x v="1"/>
    <n v="0"/>
    <s v="Well Architected"/>
    <s v="APRL"/>
    <s v="WellArchitected"/>
    <s v="Test"/>
    <x v="0"/>
    <s v="Consider building logic into your workload to handle errors"/>
    <x v="0"/>
    <s v="In a distributed system, ensuring that your application can recover from errors is critical. You can test your applications to prevent errors and failure, but you need to prepare for a wide range of issues. Testing doesn't always catch everything, so you should understand how to handle errors and prevent potential failure._x000a__x000a_Many things in a distributed system, such as underlying cloud infrastructure and third-party runtime dependencies, are outside your span of control and your means to test. You can be sure something will fail eventually, so you need to be prepared._x000a__x000a_Key points:_x000a_- Implement retry logic to handle transient application failures and transient failures with internal or external dependencies._x000a_- Uncover issues or failures in your application's retry logic._x000a_- Configure request timeouts to manage intercomponent calls._x000a_- Configure and test health probes for your load balancers and traffic managers._x000a_- Segregate read operations from update operations across application data stores._x000a_"/>
    <s v="https://learn.microsoft.com/azure/well-architected/resiliency/app-design-error-handling"/>
    <s v=""/>
    <s v=""/>
    <s v="155dda00-c264-1b45-8ac0-d6f68178844f"/>
  </r>
  <r>
    <x v="1"/>
    <n v="0"/>
    <s v="Well Architected"/>
    <s v="APRL"/>
    <s v="WellArchitected"/>
    <s v="Test"/>
    <x v="1"/>
    <s v="Perform disaster recovery tests regularly"/>
    <x v="0"/>
    <s v="Disaster recovery is the process of restoring application functionality after a catastrophic loss._x000a__x000a_In cloud environments, we acknowledge up front that failures happen. Instead of trying to prevent failures altogether, the goal is to minimize the effects of a single failing component._x000a__x000a_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_x000a__x000a_Key points: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_x000a_"/>
    <s v="https://learn.microsoft.com/azure/well-architected/resiliency/backup-and-recovery"/>
    <s v=""/>
    <s v=""/>
    <s v="1b612a06-28dc-e64e-9057-17467e57764a"/>
  </r>
  <r>
    <x v="1"/>
    <n v="0"/>
    <s v="Well Architected"/>
    <s v="APRL"/>
    <s v="WellArchitected"/>
    <s v="Test"/>
    <x v="0"/>
    <s v="Use chaos engineering to test Azure applications"/>
    <x v="1"/>
    <s v="Ideally, you should apply chaos principles continuously. There's constant change in the environments in which software and hardware run, so monitoring the changes is key. By constantly applying stress or faults on components, you can help expose issues early, before small problems are compounded by many other factors._x000a__x000a_Apply chaos engineering principles when you:_x000a_- Deploy new code._x000a_- Add dependencies._x000a_- Observe changes in usage patterns._x000a_- Mitigate problems._x000a_"/>
    <s v="https://learn.microsoft.com/en-us/azure/well-architected/reliability/testing-strategy#fault-injection-and-chaos-engineering-guidance"/>
    <s v=""/>
    <s v=""/>
    <s v="e10f11a5-9c5b-6c4c-a684-4d9f4063127a"/>
  </r>
  <r>
    <x v="1"/>
    <n v="0"/>
    <s v="Well Architected"/>
    <s v="APRL"/>
    <s v="WellArchitected"/>
    <s v="Test"/>
    <x v="0"/>
    <s v="Test application fault resiliency"/>
    <x v="0"/>
    <s v="High availability is a fundamental part of the SQL Database platform that works transparently for your database application. However, we recognize that you may want to test how the automatic failover operations initiated during planned or unplanned events would impact an application before you deploy it to production. You can manually trigger a failover by calling a special API to restart a database, or an elastic pool._x000a__x000a_In the case of a zone-redundant serverless or provisioned General Purpose database or elastic pool, the API call would result in redirecting client connections to the new primary in an Availability Zone different from the Availability Zone of the old primary. So in addition to testing how failover impacts existing database sessions, you can also verify if it changes the end-to-end performance due to changes in network latency._x000a__x000a_Because the restart operation is intrusive and a large number of them could stress the platform, only one failover call is allowed every 15 minutes for each database or elastic pool._x000a_"/>
    <s v="https://learn.microsoft.com/en-us/azure/azure-sql/database/high-availability-sla?view=azuresql&amp;tabs=azure-powershell#testing-application-fault-resiliency"/>
    <s v=""/>
    <s v=""/>
    <s v="c8ba80d4-20d9-456f-a2bd-8e6d488d8ff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n v="5"/>
    <x v="0"/>
    <s v="APRL"/>
    <s v="Microsoft.Compute"/>
    <x v="0"/>
    <s v="High Availability"/>
    <s v="Run production workloads on two or more VMs using VMSS Flex"/>
    <x v="0"/>
    <s v="Production VM workloads should be deployed on multiple VMs and grouped in a VMSS Flex instance to intelligently distribute across the platform, minimizing the impact of platform faults and updates._x000a_"/>
    <s v="https://learn.microsoft.com/azure/virtual-machine-scale-sets/virtual-machine-scale-sets-orchestration-modes#what-has-changed-with-flexible-orchestration-mode https://learn.microsoft.com/azure/virtual-machine-scale-sets/virtual-machine-scale-sets-attach-detach-vm?branch=main&amp;tabs=portal-1%2Cportal-2%2Cportal-3"/>
    <s v=""/>
    <s v=""/>
    <s v="273f6b30-68e0-4241-85ea-acf15ffb60bf"/>
  </r>
  <r>
    <x v="0"/>
    <n v="5"/>
    <x v="0"/>
    <s v="APRL"/>
    <s v="Microsoft.Compute"/>
    <x v="0"/>
    <s v="High Availability"/>
    <s v="Deploy VMs across Availability Zones"/>
    <x v="0"/>
    <s v="Azure Availability Zones, within each Azure region, are tolerant to local failures, protecting applications and data against unlikely Datacenter failures by being physically separate._x000a_"/>
    <s v="https://learn.microsoft.com/azure/virtual-machines/create-portal-availability-zone?tabs=standard"/>
    <s v=""/>
    <s v=""/>
    <s v="2bd0be95-a825-6f47-a8c6-3db1fb5eb387"/>
  </r>
  <r>
    <x v="0"/>
    <n v="4"/>
    <x v="0"/>
    <s v="APRL"/>
    <s v="Microsoft.Compute"/>
    <x v="0"/>
    <s v="High Availability"/>
    <s v="Migrate VMs using availability sets to VMSS Flex"/>
    <x v="0"/>
    <s v="Availability sets will soon be retired. Migrate workloads from VMs to VMSS Flex for deployment across zones or within the same zone across different fault domains (FDs) and update domains (UDs) for better reliability._x000a_"/>
    <s v="https://learn.microsoft.com/azure/architecture/checklist/resiliency-per-service#virtual-machines"/>
    <s v=""/>
    <s v=""/>
    <s v="a8d25876-7951-b646-b4e8-880c9031596b"/>
  </r>
  <r>
    <x v="0"/>
    <n v="3"/>
    <x v="0"/>
    <s v="APRL"/>
    <s v="Microsoft.Compute"/>
    <x v="0"/>
    <s v="Disaster Recovery"/>
    <s v="Replicate VMs using Azure Site Recovery"/>
    <x v="1"/>
    <s v="Replicating Azure VMs via Site Recovery entails continuous, asynchronous disk replication to a target region. Recovery points are generated every few minutes, ensuring a Recovery Point Objective (RPO) in minutes._x000a_"/>
    <s v="https://learn.microsoft.com/azure/architecture/checklist/resiliency-per-service#virtual-machines https://learn.microsoft.com/azure/site-recovery/site-recovery-test-failover-to-azure"/>
    <s v=""/>
    <s v=""/>
    <s v="cfe22a65-b1db-fd41-9e8e-d573922709ae"/>
  </r>
  <r>
    <x v="1"/>
    <n v="0"/>
    <x v="0"/>
    <s v="APRL"/>
    <s v="Microsoft.Compute"/>
    <x v="0"/>
    <s v="High Availability"/>
    <s v="Use Managed Disks for VM disks"/>
    <x v="0"/>
    <s v="Azure is retiring unmanaged disks on September 30, 2025. Users should plan the migration to avoid disruptions and maintain service reliability._x000a_"/>
    <s v="https://learn.microsoft.com/azure/virtual-machines/unmanaged-disks-deprecation https://learn.microsoft.com/azure/virtual-machines/windows/convert-unmanaged-to-managed-disks https://learn.microsoft.com/azure/virtual-machines/linux/convert-unmanaged-to-managed-disks"/>
    <s v=""/>
    <s v=""/>
    <s v="122d11d7-b91f-8747-a562-f56b79bcfbdc"/>
  </r>
  <r>
    <x v="0"/>
    <n v="3"/>
    <x v="0"/>
    <s v="APRL"/>
    <s v="Microsoft.Compute"/>
    <x v="0"/>
    <s v="Scalability"/>
    <s v="Host database data on a data disk"/>
    <x v="2"/>
    <s v="A data disk is a managed disk attached to a virtual machine for storing database or other essential data. These disks are SCSI drives labeled as per choice._x000a_"/>
    <s v="https://learn.microsoft.com/azure/virtual-machines/managed-disks-overview#data-disk https://learn.microsoft.com/azure/virtual-machines/disks-types"/>
    <s v=""/>
    <s v=""/>
    <s v="4ea2878f-0d69-8d4a-b715-afc10d1e538e"/>
  </r>
  <r>
    <x v="0"/>
    <n v="1"/>
    <x v="0"/>
    <s v="APRL"/>
    <s v="Microsoft.Compute"/>
    <x v="0"/>
    <s v="Disaster Recovery"/>
    <s v="Backup VMs with Azure Backup service"/>
    <x v="1"/>
    <s v="Enable backups for your virtual machines with Azure Backup to secure and quickly recover your data. This service offers simple, secure, and cost-effective solutions for backing up and recovering data from the Microsoft Azure cloud._x000a_"/>
    <s v="https://learn.microsoft.com/azure/backup/backup-overview"/>
    <s v=""/>
    <s v=""/>
    <s v="1981f704-97b9-b645-9c57-33f8ded9261a"/>
  </r>
  <r>
    <x v="1"/>
    <n v="0"/>
    <x v="0"/>
    <s v="APRL"/>
    <s v="Microsoft.Compute"/>
    <x v="0"/>
    <s v="Scalability"/>
    <s v="Production VMs should be using SSD disks"/>
    <x v="0"/>
    <s v="Premium SSD disks support I/O-intensive apps with high performance, low latency, ideal for production. Standard SSDs offer cost-effective solutions for less critical workloads with consistent performance._x000a_"/>
    <s v="https://learn.microsoft.com/azure/virtual-machines/disks-types#premium-ssd"/>
    <s v=""/>
    <s v=""/>
    <s v="d3f3ee41-b9aa-d34d-b442-5d46d20232b2"/>
  </r>
  <r>
    <x v="1"/>
    <n v="0"/>
    <x v="0"/>
    <s v="APRL"/>
    <s v="Microsoft.Compute"/>
    <x v="0"/>
    <s v="Governance"/>
    <s v="Review VMs in stopped state"/>
    <x v="2"/>
    <s v="Azure Virtual Machines (VM) instances have various states, like provisioning and power states. A non-running VM may indicate issues or it being unnecessary, suggesting removal could help cut costs._x000a_"/>
    <s v="https://learn.microsoft.com/azure/virtual-machines/states-billing?context=%2Ftroubleshoot%2Fazure%2Fvirtual-machines%2Fcontext%2Fcontext#power-states-and-billing"/>
    <s v=""/>
    <s v=""/>
    <s v="98b334c0-8578-6046-9e43-b6e8fce6318e"/>
  </r>
  <r>
    <x v="0"/>
    <n v="5"/>
    <x v="0"/>
    <s v="APRL"/>
    <s v="Microsoft.Compute"/>
    <x v="0"/>
    <s v="Scalability"/>
    <s v="Enable Accelerated Networking (AccelNet)"/>
    <x v="1"/>
    <s v="Accelerated networking enables SR-IOV to a VM, greatly improving its networking performance by bypassing the host from the data path, which reduces latency, jitter, and CPU utilization for demanding network workloads on supported VM types._x000a_"/>
    <s v="https://learn.microsoft.com/azure/virtual-network/accelerated-networking-overview"/>
    <s v=""/>
    <s v=""/>
    <s v="dfedbeb1-1519-fc47-86a5-52f96cf07105"/>
  </r>
  <r>
    <x v="1"/>
    <n v="0"/>
    <x v="0"/>
    <s v="APRL"/>
    <s v="Microsoft.Compute"/>
    <x v="0"/>
    <s v="Governance"/>
    <s v="When AccelNet is enabled, you must manually update the GuestOS NIC driver"/>
    <x v="2"/>
    <s v="When Accelerated Networking is enabled, the default Azure VNet interface in GuestOS is swapped for a Mellanox, and its driver comes from a 3rd party. Marketplace images have the latest Mellanox drivers, but post-deployment, updating the driver is the user's responsibility._x000a_"/>
    <s v="https://learn.microsoft.com/azure/virtual-network/accelerated-networking-overview"/>
    <s v=""/>
    <s v=""/>
    <s v="73d1bb04-7d3e-0d47-bc0d-63afe773b5fe"/>
  </r>
  <r>
    <x v="1"/>
    <n v="0"/>
    <x v="0"/>
    <s v="APRL"/>
    <s v="Microsoft.Compute"/>
    <x v="0"/>
    <s v="Security"/>
    <s v="VMs should not have a Public IP directly associated"/>
    <x v="1"/>
    <s v="For outbound internet connectivity of Virtual Machines, using NAT Gateway or Azure Firewall is recommended to enhance security and service resilience, thanks to their higher availability and SNAT ports._x000a_"/>
    <s v="https://learn.microsoft.com/azure/load-balancer/load-balancer-outbound-connections"/>
    <s v=""/>
    <s v=""/>
    <s v="1f629a30-c9d0-d241-82ee-6f2eb9d42cb4"/>
  </r>
  <r>
    <x v="1"/>
    <n v="0"/>
    <x v="0"/>
    <s v="APRL"/>
    <s v="Microsoft.Compute"/>
    <x v="0"/>
    <s v="Security"/>
    <s v="VM network interfaces and associated subnets both have a Network Security Group (NSG) associated"/>
    <x v="2"/>
    <s v="Unless you have a specific reason, it's advised to associate a network security group to a subnet or a network interface, but not both, to avoid unexpected communication issues and troubleshooting due to potential rule conflicts between the two associations._x000a_"/>
    <s v="https://learn.microsoft.com/azure/virtual-network/network-security-group-how-it-works#intra-subnet-traffic"/>
    <s v=""/>
    <s v=""/>
    <s v="82b3cf6b-9ae2-2e44-b193-10793213f676"/>
  </r>
  <r>
    <x v="1"/>
    <n v="0"/>
    <x v="0"/>
    <s v="APRL"/>
    <s v="Microsoft.Compute"/>
    <x v="0"/>
    <s v="Security"/>
    <s v="IP Forwarding should only be enabled for Network Virtual Appliances"/>
    <x v="1"/>
    <s v="IP forwarding allows a virtual machine network interface to receive and send network traffic not destined for or originating from its assigned IP addresses._x000a_"/>
    <s v="https://learn.microsoft.com/azure/virtual-network/virtual-network-network-interface?tabs=network-interface-portal#enable-or-disable-ip-forwarding"/>
    <s v=""/>
    <s v=""/>
    <s v="41a22a5e-5e08-9647-92d0-2ffe9ef1bdad"/>
  </r>
  <r>
    <x v="1"/>
    <n v="0"/>
    <x v="0"/>
    <s v="APRL"/>
    <s v="Microsoft.Compute"/>
    <x v="0"/>
    <s v="Other Best Practices"/>
    <s v="Customer DNS Servers should be configured in the Virtual Network level"/>
    <x v="2"/>
    <s v="Configure the DNS Server at the Virtual Network level to prevent any inconsistency across the environment._x000a_"/>
    <s v="https://learn.microsoft.com/azure/virtual-network/virtual-networks-name-resolution-for-vms-and-role-instances"/>
    <s v=""/>
    <s v=""/>
    <s v="1cf8fe21-9593-1e4e-966b-779a294c0d30"/>
  </r>
  <r>
    <x v="1"/>
    <n v="0"/>
    <x v="0"/>
    <s v="APRL"/>
    <s v="Microsoft.Compute"/>
    <x v="0"/>
    <s v="Other Best Practices"/>
    <s v="Shared disks should only be enabled in clustered servers"/>
    <x v="1"/>
    <s v="Azure shared disks let you attach a disk to multiple VMs at once for deploying or migrating clustered applications, suitable only when a disk is shared among VM cluster members._x000a_"/>
    <s v="https://learn.microsoft.com/azure/virtual-machines/disks-shared https://learn.microsoft.com/azure/virtual-machines/disks-shared-enable?tabs=azure-portal"/>
    <s v=""/>
    <s v=""/>
    <s v="3263a64a-c256-de48-9818-afd3cbc55c2a"/>
  </r>
  <r>
    <x v="0"/>
    <n v="7"/>
    <x v="0"/>
    <s v="APRL"/>
    <s v="Microsoft.Compute"/>
    <x v="0"/>
    <s v="Security"/>
    <s v="Network access to the VM disk should be set to Disable public access and enable private access"/>
    <x v="2"/>
    <s v="Recommended changing to &quot;Disable public access and enable private access&quot; and creating a Private Endpoint to improve security by restricting direct public access and ensuring connections are made privately, enhancing data protection and minimizing potential external threats._x000a_"/>
    <s v="https://learn.microsoft.com/azure/virtual-machines/disks-enable-private-links-for-import-export-portal"/>
    <s v=""/>
    <s v=""/>
    <s v="70b1d2be-e6c4-b54e-9959-b1b690f9e485"/>
  </r>
  <r>
    <x v="0"/>
    <n v="84"/>
    <x v="0"/>
    <s v="APRL"/>
    <s v="Microsoft.Compute"/>
    <x v="0"/>
    <s v="Governance"/>
    <s v="Ensure that your VMs are compliant with Azure Policies"/>
    <x v="2"/>
    <s v="Keeping your virtual machine (VM) secure is crucial for the applications you run. This involves using various Azure services and features to ensure secure access to your VMs and the secure storage of your data, aiming for overall security of your VM and applications._x000a_"/>
    <s v="https://learn.microsoft.com/azure/cloud-adoption-framework/ready/landing-zone/design-principles#policy-driven-governance https://learn.microsoft.com/azure/virtual-machines/security-policy"/>
    <s v=""/>
    <s v=""/>
    <s v="c42343ae-2712-2843-a285-3437eb0b28a1"/>
  </r>
  <r>
    <x v="1"/>
    <n v="0"/>
    <x v="0"/>
    <s v="APRL"/>
    <s v="Microsoft.Compute"/>
    <x v="0"/>
    <s v="Security"/>
    <s v="Enable advanced encryption options for your managed disks"/>
    <x v="1"/>
    <s v="Consider enabling Azure Disk Encryption (ADE) for encrypting Azure VM disks using DM-Crypt (Linux) or BitLocker (Windows). Additionally, consider Encryption at host and Confidential disk encryption for enhanced data security._x000a_"/>
    <s v="https://learn.microsoft.com/azure/virtual-machines/disk-encryption-overview"/>
    <s v=""/>
    <s v=""/>
    <s v="f0a97179-133a-6e4f-8a49-8a44da73ffce"/>
  </r>
  <r>
    <x v="0"/>
    <n v="10"/>
    <x v="0"/>
    <s v="APRL"/>
    <s v="Microsoft.Compute"/>
    <x v="0"/>
    <s v="Monitoring and Alerting"/>
    <s v="Enable VM Insights"/>
    <x v="2"/>
    <s v="VM Insights monitors VM and scale set performance, health, running processes, and dependencies. It enhances the predictability of application performance and availability by pinpointing performance bottlenecks and network issues, and it clarifies if problems are related to other dependencies._x000a_"/>
    <s v="https://learn.microsoft.com/azure/azure-monitor/vm/vminsights-overview https://learn.microsoft.com/azure/azure-monitor/vm/vminsights-troubleshoot#did-the-extension-install-properly"/>
    <s v=""/>
    <s v=""/>
    <s v="b72214bb-e879-5f4b-b9cd-642db84f36f4"/>
  </r>
  <r>
    <x v="0"/>
    <n v="5"/>
    <x v="0"/>
    <s v="APRL"/>
    <s v="Microsoft.Compute"/>
    <x v="0"/>
    <s v="Monitoring and Alerting"/>
    <s v="Configure diagnostic settings for all Azure Virtual Machines"/>
    <x v="2"/>
    <s v="Azure Monitor Metrics automatically receives platform metrics, but platform logs, which offer detailed diagnostics and auditing for resources and their Azure platform, need to be manually routed for collection._x000a_"/>
    <s v="https://learn.microsoft.com/azure/azure-monitor/essentials/diagnostic-settings?tabs=portal"/>
    <s v=""/>
    <s v=""/>
    <s v="4a9d8973-6dba-0042-b3aa-07924877ebd5"/>
  </r>
  <r>
    <x v="1"/>
    <n v="0"/>
    <x v="0"/>
    <s v="APRL"/>
    <s v="Microsoft.Compute"/>
    <x v="0"/>
    <s v="High Availability"/>
    <s v="Use maintenance configurations for the VMs"/>
    <x v="0"/>
    <s v="The maintenance configuration settings let users schedule and manage updates, making sure the updates or interruptions on the VM are performed within a planned timeframe._x000a_"/>
    <s v="https://learn.microsoft.com/azure/virtual-machines/maintenance-configurations"/>
    <s v=""/>
    <s v=""/>
    <s v="52ab9e5c-eec0-3148-8bd7-b6dd9e1be870"/>
  </r>
  <r>
    <x v="1"/>
    <n v="0"/>
    <x v="0"/>
    <s v="APRL"/>
    <s v="Microsoft.Compute"/>
    <x v="0"/>
    <s v="Scalability"/>
    <s v="Don't use A or B-Series VMs for production needing constant full CPU performance"/>
    <x v="0"/>
    <s v="A-series VMs are tailored for entry-level workloads like development and testing, including use cases such as development and test servers, low traffic web servers, and small to medium databases._x000a_"/>
    <s v="https://learn.microsoft.com/en-us/azure/virtual-machines/sizes-b-series-burstable"/>
    <s v=""/>
    <s v=""/>
    <s v="3201dba8-d1da-4826-98a4-104066545170"/>
  </r>
  <r>
    <x v="1"/>
    <n v="0"/>
    <x v="0"/>
    <s v="APRL"/>
    <s v="Microsoft.Compute"/>
    <x v="0"/>
    <s v="Scalability"/>
    <s v="Mission Critical Workloads should consider using Premium or Ultra Disks"/>
    <x v="0"/>
    <s v="Compared to Standard HDD and SSD, Premium SSD, SSDv2, and Ultra SSDs offer improved performance, configurability, and higher single-instance Virtual Machine uptime SLAs. The lowest SLA of all disks on a Virtual Machine applies, so it is best to use Premium or Ultra Disks for the highest uptime SLA._x000a_"/>
    <s v="https://learn.microsoft.com/en-us/azure/virtual-machines/disks-types#disk-type-comparison"/>
    <s v=""/>
    <s v=""/>
    <s v="df0ff862-814d-45a3-95e4-4fad5a244ba6"/>
  </r>
  <r>
    <x v="1"/>
    <n v="0"/>
    <x v="0"/>
    <s v="APRL"/>
    <s v="Microsoft.Compute"/>
    <x v="0"/>
    <s v="High Availability"/>
    <s v="Use Azure Boost VMs for Maintenance sensitive workload"/>
    <x v="1"/>
    <s v="If the workload is Maintenance sensitive, consider Azure Boost compatible VMs. Azure Boost is designed to lessen the impact on customers when Azure maintenance activities occur on the host, and the current list of compatible VM sizes are documented in the first link below._x000a_"/>
    <s v="https://learn.microsoft.com/azure/azure-boost/overview https://aka.ms/AzureBoostGABlog"/>
    <s v=""/>
    <s v=""/>
    <s v="9ab499d8-8844-424d-a2d4-8f53690eb8f8"/>
  </r>
  <r>
    <x v="1"/>
    <n v="0"/>
    <x v="0"/>
    <s v="APRL"/>
    <s v="Microsoft.Compute"/>
    <x v="0"/>
    <s v="High Availability"/>
    <s v="Enable Scheduled Events for Maintenance sensitive workload VMs"/>
    <x v="1"/>
    <s v="If your workload is Maintenance sensitive, enable Scheduled Events. This Azure Metadata Service lets your app prepare for virtual machine maintenance by providing information on upcoming events like reboots, reducing disruptions._x000a_"/>
    <s v="https://learn.microsoft.com/azure/virtual-machines/windows/scheduled-event-service https://learn.microsoft.com/azure/virtual-machines/linux/scheduled-events https://learn.microsoft.com/azure/virtual-machines/windows/scheduled-events"/>
    <s v=""/>
    <s v=""/>
    <s v="2de8fa5e-14f4-4c4c-857f-1520f87a629f"/>
  </r>
  <r>
    <x v="0"/>
    <n v="7"/>
    <x v="0"/>
    <s v="APRL"/>
    <s v="Microsoft.Compute"/>
    <x v="0"/>
    <s v="High Availability"/>
    <s v="Use ZRS Disks or Protect LRS Disks from Availability Zone Failure"/>
    <x v="1"/>
    <s v="Azure disks offers a zone-redundant storage (ZRS) option for workloads that need to be resilient to an entire zone being down. Due to the cross-zone data replication, ZRS disks have higher write latency when compared to the locally-redundant option (LRS), so make sure to benchmark your disks._x000a_"/>
    <s v="https://aka.ms/zrsdisksdoc"/>
    <s v=""/>
    <s v=""/>
    <s v="fa0cf4f5-0b21-47b7-89a9-ee936f193ce1"/>
  </r>
  <r>
    <x v="0"/>
    <n v="1"/>
    <x v="0"/>
    <s v="APRL"/>
    <s v="Microsoft.Compute"/>
    <x v="1"/>
    <s v="Scalability"/>
    <s v="Deploy VMSS with Flex orchestration mode instead of Uniform"/>
    <x v="1"/>
    <s v="Deploying even single instance VMs into a scale set with Flexible orchestration mode future-proofs applications for scaling and availability. This mode guarantees high availability (up to 1000 VMs) by distributing VMs across fault domains in a region or within an Availability Zone._x000a_"/>
    <s v="https://learn.microsoft.com/azure/virtual-machine-scale-sets/virtual-machine-scale-sets-design-overview#when-to-use-scale-sets-instead-of-virtual-machines https://learn.microsoft.com/azure/well-architected/services/compute/virtual-machines/virtual-machines-review"/>
    <s v=""/>
    <s v=""/>
    <s v="e7495e1c-0c75-0946-b266-b429b5c7f3bf"/>
  </r>
  <r>
    <x v="1"/>
    <n v="0"/>
    <x v="0"/>
    <s v="APRL"/>
    <s v="Microsoft.Compute"/>
    <x v="1"/>
    <s v="Monitoring and Alerting"/>
    <s v="Enable VMSS application health monitoring"/>
    <x v="1"/>
    <s v="Monitoring application health in Azure Virtual Machine Scale Sets is crucial for deployment management. It supports rolling upgrades such as automatic OS-image upgrades and VM guest patching, leveraging health monitoring for upgrading._x000a_"/>
    <s v="https://learn.microsoft.com/azure/virtual-machine-scale-sets/virtual-machine-scale-sets-health-extension?tabs=rest-api"/>
    <s v=""/>
    <s v=""/>
    <s v="94794d2a-eff0-2345-9b67-6f9349d0a627"/>
  </r>
  <r>
    <x v="1"/>
    <n v="0"/>
    <x v="0"/>
    <s v="APRL"/>
    <s v="Microsoft.Compute"/>
    <x v="1"/>
    <s v="Automation"/>
    <s v="Enable Automatic Repair policy"/>
    <x v="0"/>
    <s v="Enabling automatic instance repairs in Azure Virtual Machine Scale Sets enhances application availability through a continuous health check and maintenance process._x000a_"/>
    <s v="https://learn.microsoft.com/azure/virtual-machine-scale-sets/virtual-machine-scale-sets-automatic-instance-repairs#requirements-for-using-automatic-instance-repairs"/>
    <s v=""/>
    <s v=""/>
    <s v="820f4743-1f94-e946-ae0b-45efafd87962"/>
  </r>
  <r>
    <x v="1"/>
    <n v="0"/>
    <x v="0"/>
    <s v="APRL"/>
    <s v="Microsoft.Compute"/>
    <x v="1"/>
    <s v="Scalability"/>
    <s v="Configure VMSS Autoscale to custom and configure the scaling metrics"/>
    <x v="0"/>
    <s v="Use custom autoscale for VMSS based on metrics and schedules to improve performance and cost effectiveness, adjusting instances as demand changes._x000a_"/>
    <s v="https://learn.microsoft.com/azure/azure-monitor/autoscale/autoscale-get-started?WT.mc_id=Portal-Microsoft_Azure_Monitoring https://learn.microsoft.com/azure/azure-monitor/autoscale/autoscale-overview"/>
    <s v=""/>
    <s v=""/>
    <s v="ee66ff65-9aa3-2345-93c1-25827cf79f44"/>
  </r>
  <r>
    <x v="0"/>
    <n v="1"/>
    <x v="0"/>
    <s v="APRL"/>
    <s v="Microsoft.Compute"/>
    <x v="1"/>
    <s v="Scalability"/>
    <s v="Enable Predictive autoscale and configure at least for Forecast Only"/>
    <x v="2"/>
    <s v="Predictive autoscale utilizes machine learning to efficiently manage and scale Azure Virtual Machine Scale Sets by forecasting CPU load through historical usage analysis, ensuring timely scale-out to meet demand._x000a_"/>
    <s v="https://learn.microsoft.com/azure/azure-monitor/autoscale/autoscale-predictive"/>
    <s v=""/>
    <s v=""/>
    <s v="3f85a51c-e286-9f44-b4dc-51d00768696c"/>
  </r>
  <r>
    <x v="1"/>
    <n v="0"/>
    <x v="0"/>
    <s v="APRL"/>
    <s v="Microsoft.Compute"/>
    <x v="1"/>
    <s v="High Availability"/>
    <s v="Disable Force strictly even balance across zones to avoid scale in and out fail attempts"/>
    <x v="0"/>
    <s v="Microsoft advises disabling strictly even VM instance distribution across Availability Zones in VMSS to improve scalability and flexibility, noting that uneven distribution may better serve application load demands despite the potential trade-off in resilience._x000a_"/>
    <s v="https://learn.microsoft.com/azure/virtual-machine-scale-sets/virtual-machine-scale-sets-scale-in-policy"/>
    <s v=""/>
    <s v=""/>
    <s v="b5a63aa0-c58e-244f-b8a6-cbba0560a6db"/>
  </r>
  <r>
    <x v="0"/>
    <n v="1"/>
    <x v="0"/>
    <s v="APRL"/>
    <s v="Microsoft.Compute"/>
    <x v="1"/>
    <s v="High Availability"/>
    <s v="Deploy VMSS across availability zones with VMSS Flex"/>
    <x v="0"/>
    <s v="When creating VMSS, implement availability zones as a protection measure for your applications and data against the rare event of datacenter failure._x000a_"/>
    <s v="https://learn.microsoft.com/azure/virtual-machine-scale-sets/virtual-machine-scale-sets-use-availability-zones https://learn.microsoft.com/azure/virtual-machine-scale-sets/virtual-machine-scale-sets-use-availability-zones?tabs=cli-1%2Cportal-2#update-scale-set-to-add-availability-zones"/>
    <s v=""/>
    <s v=""/>
    <s v="1422c567-782c-7148-ac7c-5fc14cf45adc"/>
  </r>
  <r>
    <x v="1"/>
    <n v="0"/>
    <x v="0"/>
    <s v="APRL"/>
    <s v="Microsoft.Compute"/>
    <x v="1"/>
    <s v="Automation"/>
    <s v="Set Patch orchestration options to Azure-orchestrated"/>
    <x v="2"/>
    <s v="Enabling automatic VM guest patching eases update management by safely, automatically patching virtual machines to maintain security compliance, while limiting blast radius of VMs. Note, the KQL will not return sets using Uniform orchestration._x000a_"/>
    <s v="https://learn.microsoft.com/azure/virtual-machines/automatic-vm-guest-patching https://learn.microsoft.com/en-us/azure/virtual-machine-scale-sets/virtual-machine-scale-sets-automatic-upgrade"/>
    <s v=""/>
    <s v=""/>
    <s v="e4ffd7b0-ba24-c84e-9352-ba4819f908c0"/>
  </r>
  <r>
    <x v="1"/>
    <n v="0"/>
    <x v="0"/>
    <s v="APRL"/>
    <s v="Microsoft.Compute"/>
    <x v="1"/>
    <s v="Governance"/>
    <s v="Upgrade VMSS Image versions scheduled to be deprecated or already retired"/>
    <x v="0"/>
    <s v="Ensure current versions of images are in use to avoid disruption after image deprecation. Please review the publisher, offer, sku information of the VM to ensure you are running on a supported image. Enable Auto Guest Patching or Image Upgrades, to get notifications about image deprecation._x000a_"/>
    <s v="https://learn.microsoft.com/en-us/azure/virtual-machines/deprecated-images"/>
    <s v=""/>
    <s v=""/>
    <s v="83d61669-7bd6-9642-a305-175db8adcdf4"/>
  </r>
  <r>
    <x v="1"/>
    <n v="0"/>
    <x v="0"/>
    <s v="APRL"/>
    <s v="Microsoft.Compute"/>
    <x v="1"/>
    <s v="Scalability"/>
    <s v="Production VMSS instances should be using SSD disks"/>
    <x v="0"/>
    <s v="Using SSD disks for Production workloads is advised as HDDs could negatively impact resources, being suitable only for non-critical resources or those needing infrequent access._x000a_"/>
    <s v="https://learn.microsoft.com/en-us/azure/virtual-machines/disks-types#disk-type-comparison"/>
    <s v=""/>
    <s v=""/>
    <s v="1074f391-22bf-42f5-9c95-68af5ad89bf6"/>
  </r>
  <r>
    <x v="1"/>
    <n v="0"/>
    <x v="0"/>
    <s v="APRL"/>
    <s v="Microsoft.Compute"/>
    <x v="0"/>
    <s v="Disaster Recovery"/>
    <s v="Use Azure Site Recovery or backups to protect VMs supporting personal desktops"/>
    <x v="1"/>
    <s v="Implement Azure Site Recovery (ASR) or Azure Backup for personal host pools to enable seamless failover and failback. This replicates VMs supporting personal desktops to a secondary Azure region, ensuring recovery from a known state in case of a disaster or outage._x000a_"/>
    <s v="https://learn.microsoft.com/en-us/azure/site-recovery/site-recovery-overview"/>
    <s v=""/>
    <s v=""/>
    <s v="38721758-2cc2-4d6b-b7b7-8b47dadbf7df"/>
  </r>
  <r>
    <x v="0"/>
    <n v="1"/>
    <x v="0"/>
    <s v="APRL"/>
    <s v="Microsoft.Network"/>
    <x v="2"/>
    <s v="Scalability"/>
    <s v="Set a minimum instance count of 2"/>
    <x v="0"/>
    <s v="Azure Application Gateways v2 are deployed highly available with multiple instances by default._x000a_"/>
    <s v="https://learn.microsoft.com/azure/application-gateway/application-gateway-autoscaling-zone-redundant#autoscaling-and-high-availability"/>
    <s v=""/>
    <s v=""/>
    <s v="823b0cff-05c0-2e4e-a1e7-9965e1cfa16f"/>
  </r>
  <r>
    <x v="0"/>
    <n v="2"/>
    <x v="0"/>
    <s v="APRL"/>
    <s v="Microsoft.Network"/>
    <x v="2"/>
    <s v="Security"/>
    <s v="Secure all incoming connections with SSL"/>
    <x v="0"/>
    <s v="Secure all incoming connections using HTTPS for production services with end-to-end SSL/TLS or SSL/TLS termination at the Application Gateway to protect against attacks and ensure data remains private and encrypted between the web server and browsers._x000a_"/>
    <s v="https://learn.microsoft.com/azure/well-architected/services/networking/azure-application-gateway#security https://learn.microsoft.com/azure/application-gateway/ssl-overview https://learn.microsoft.com/azure/application-gateway/application-gateway-ssl-policy-overview https://learn.microsoft.com/azure/application-gateway/key-vault-certs https://learn.microsoft.com/azure/application-gateway/ssl-certificate-management"/>
    <s v=""/>
    <s v=""/>
    <s v="233a7008-71e9-e745-923e-1a1c7a0b92f3"/>
  </r>
  <r>
    <x v="1"/>
    <n v="0"/>
    <x v="0"/>
    <s v="APRL"/>
    <s v="Microsoft.Network"/>
    <x v="2"/>
    <s v="Security"/>
    <s v="Enable Web Application Firewall policies"/>
    <x v="0"/>
    <s v="Use Application Gateway with Web Application Firewall (WAF) in an application virtual network to safeguard inbound HTTP/S internet traffic. WAF offers centralized defense against potential exploits through OWASP core rule sets-based rules._x000a_"/>
    <s v="https://learn.microsoft.com/azure/well-architected/services/networking/azure-application-gateway https://learn.microsoft.com/azure/application-gateway/features#web-application-firewall"/>
    <s v=""/>
    <s v=""/>
    <s v="8d9223c4-730d-ca47-af88-a9a024c37270"/>
  </r>
  <r>
    <x v="1"/>
    <n v="0"/>
    <x v="0"/>
    <s v="APRL"/>
    <s v="Microsoft.Network"/>
    <x v="2"/>
    <s v="Scalability"/>
    <s v="Use Application GW V2 instead of V1"/>
    <x v="0"/>
    <s v="Use Application Gateway v2 for built-in features like autoscaling, static VIPs, Azure KeyVault integration for better traffic management and performance, unless v1 is necessary._x000a_"/>
    <s v="https://learn.microsoft.com/azure/application-gateway/overview-v2 https://learn.microsoft.com/azure/application-gateway/overview-v2#feature-comparison-between-v1-sku-and-v2-sku https://azure.microsoft.com/updates/application-gateway-v1-will-be-retired-on-28-april-2026-transition-to-application-gateway-v2/"/>
    <s v=""/>
    <s v=""/>
    <s v="7893f0b3-8622-1d47-beed-4b50a19f7895"/>
  </r>
  <r>
    <x v="1"/>
    <n v="0"/>
    <x v="0"/>
    <s v="APRL"/>
    <s v="Microsoft.Network"/>
    <x v="2"/>
    <s v="Monitoring and Alerting"/>
    <s v="Monitor and Log the configurations and traffic"/>
    <x v="0"/>
    <s v="Enable logging in storage accounts, Log Analytics, and monitoring services for auditing and insights. If using NSGs, enable NSG flow logs to be stored, providing in-depth traffic analysis into Azure Cloud._x000a_"/>
    <s v="https://learn.microsoft.com/azure/application-gateway/application-gateway-metrics https://learn.microsoft.com/azure/application-gateway/application-gateway-diagnostics"/>
    <s v=""/>
    <s v=""/>
    <s v="5d035919-898d-a047-8d5d-454e199692e5"/>
  </r>
  <r>
    <x v="0"/>
    <n v="1"/>
    <x v="0"/>
    <s v="APRL"/>
    <s v="Microsoft.Network"/>
    <x v="2"/>
    <s v="Monitoring and Alerting"/>
    <s v="Use Health Probes to detect backend availability"/>
    <x v="0"/>
    <s v="Using custom health probes enhances understanding of backend availability and facilitates monitoring of backend services for any impact._x000a_"/>
    <s v="https://learn.microsoft.com/azure/application-gateway/application-gateway-probe-overview https://learn.microsoft.com/azure/well-architected/services/networking/azure-application-gateway"/>
    <s v=""/>
    <s v=""/>
    <s v="847a8d88-21c4-bc48-a94e-562206edd767"/>
  </r>
  <r>
    <x v="0"/>
    <n v="1"/>
    <x v="0"/>
    <s v="APRL"/>
    <s v="Microsoft.Network"/>
    <x v="2"/>
    <s v="High Availability"/>
    <s v="Deploy Application Gateway in a zone-redundant configuration"/>
    <x v="0"/>
    <s v="Deploying Application Gateway in a zone-aware configuration ensures continued customer access to services even if a specific zone goes down, as services in other zones remain available._x000a_"/>
    <s v="https://learn.microsoft.com/azure/well-architected/services/networking/azure-application-gateway#reliability https://learn.microsoft.com/azure/application-gateway/overview-v2"/>
    <s v=""/>
    <s v=""/>
    <s v="c9c00f2a-3888-714b-a72b-b4c9e8fcffb2"/>
  </r>
  <r>
    <x v="0"/>
    <n v="1"/>
    <x v="0"/>
    <s v="APRL"/>
    <s v="Microsoft.Network"/>
    <x v="2"/>
    <s v="High Availability"/>
    <s v="Plan for backend maintenance by using connection draining"/>
    <x v="1"/>
    <s v="Using connection draining for backend maintenance ensures graceful removal of backend pool members during updates or health issues. It's enabled via Backend Setting and applies to all members during rule creation._x000a_"/>
    <s v="https://learn.microsoft.com/azure/application-gateway/features#connection-draining https://learn.microsoft.com/azure/application-gateway/configuration-http-settings#connection-draining"/>
    <s v=""/>
    <s v=""/>
    <s v="10f02bc6-e2e7-004d-a2c2-f9bf9f16b915"/>
  </r>
  <r>
    <x v="1"/>
    <n v="0"/>
    <x v="0"/>
    <s v="APRL"/>
    <s v="Microsoft.Network"/>
    <x v="2"/>
    <s v="Other Best Practices"/>
    <s v="Ensure Application Gateway Subnet is using a /24 subnet mask"/>
    <x v="0"/>
    <s v="Application Gateway v2 (Standard_v2 or WAF_v2 SKU) can support up to 125 instances. A /24 subnet isn't mandatory for deployment but is advised to provide enough space for autoscaling and maintenance upgrades._x000a_"/>
    <s v="https://learn.microsoft.com/en-us/azure/application-gateway/configuration-infrastructure#size-of-the-subnet"/>
    <s v=""/>
    <s v=""/>
    <s v="8364fd0a-7c0e-e240-9d95-4bf965aec243"/>
  </r>
  <r>
    <x v="0"/>
    <n v="2"/>
    <x v="0"/>
    <s v="APRL"/>
    <s v="Microsoft.Network"/>
    <x v="3"/>
    <s v="High Availability"/>
    <s v="Use Standard Load Balancer SKU"/>
    <x v="0"/>
    <s v="Selecting Standard SKU Load Balancer enhances reliability through availability zones and zone resiliency, ensuring deployments withstand zone and region failures. Unlike Basic, it supports global load balancing and offers an SLA._x000a_"/>
    <s v="https://learn.microsoft.com/azure/architecture/framework/services/networking/azure-load-balancer/reliability https://learn.microsoft.com/azure/architecture/checklist/resiliency-per-service#azure-load-balancer"/>
    <s v=""/>
    <s v=""/>
    <s v="38c3bca1-97a1-eb42-8cd3-838b243f35ba"/>
  </r>
  <r>
    <x v="1"/>
    <n v="0"/>
    <x v="0"/>
    <s v="APRL"/>
    <s v="Microsoft.Network"/>
    <x v="3"/>
    <s v="High Availability"/>
    <s v="Ensure the Backend Pool contains at least two instances"/>
    <x v="0"/>
    <s v="Deploying Azure Load Balancers with at least two instances in the backend prevents a single point of failure and supports scalability. Pairing with Virtual Machine Scale Sets is advised for optimal scale building._x000a_"/>
    <s v="https://learn.microsoft.com/azure/architecture/checklist/resiliency-per-service#azure-load-balancer"/>
    <s v=""/>
    <s v=""/>
    <s v="6d82d042-6d61-ad49-86f0-6a5455398081"/>
  </r>
  <r>
    <x v="1"/>
    <n v="0"/>
    <x v="0"/>
    <s v="APRL"/>
    <s v="Microsoft.Network"/>
    <x v="3"/>
    <s v="High Availability"/>
    <s v="Use NAT Gateway instead of Outbound Rules for Production Workloads"/>
    <x v="1"/>
    <s v="Outbound rules for Standard Public Load Balancer involve manual port allocation for backend pools, limiting scalability and risk of SNAT port exhaustion. NAT Gateway is recommended for its dynamic scaling and secure internet connectivity._x000a_"/>
    <s v="https://learn.microsoft.com/azure/architecture/checklist/resiliency-per-service#azure-load-balancer"/>
    <s v=""/>
    <s v=""/>
    <s v="8d319a05-677b-944f-b9b4-ca0fb42e883c"/>
  </r>
  <r>
    <x v="1"/>
    <n v="0"/>
    <x v="0"/>
    <s v="APRL"/>
    <s v="Microsoft.Network"/>
    <x v="3"/>
    <s v="High Availability"/>
    <s v="Ensure Standard Load Balancer is zone-redundant"/>
    <x v="0"/>
    <s v="In regions with Availability Zones, assigning a zone-redundant frontend IP to a Standard Load Balancer ensures continuous traffic distribution even if one availability zone fails, provided other healthy zones and backend instances are available to receive the traffic._x000a_"/>
    <s v="https://learn.microsoft.com/en-us/azure/load-balancer/load-balancer-standard-availability-zones#zone-redundant"/>
    <s v=""/>
    <s v=""/>
    <s v="621dbc78-3745-4d32-8eac-9e65b27b7512"/>
  </r>
  <r>
    <x v="1"/>
    <n v="0"/>
    <x v="0"/>
    <s v="APRL"/>
    <s v="Microsoft.Network"/>
    <x v="4"/>
    <s v="High Availability"/>
    <s v="Use Standard SKU and Zone-Redundant IPs when applicable"/>
    <x v="0"/>
    <s v="Public IP addresses in Azure can be of standard SKU, available as non-zonal, zonal, or zone-redundant. Zone-redundant IPs are accessible across all zones, resisting any single zone failure, thereby providing higher resilience._x000a_"/>
    <s v="https://learn.microsoft.com/azure/virtual-network/ip-services/public-ip-addresses#availability-zone https://learn.microsoft.com/en-us/azure/virtual-network/ip-services/public-ip-basic-upgrade-guidance#steps-to-complete-the-upgrade"/>
    <s v=""/>
    <s v=""/>
    <s v="c63b81fb-7afc-894c-a840-91bb8a8dcfaf"/>
  </r>
  <r>
    <x v="1"/>
    <n v="0"/>
    <x v="0"/>
    <s v="APRL"/>
    <s v="Microsoft.Network"/>
    <x v="4"/>
    <s v="High Availability"/>
    <s v="Use NAT gateway for outbound connectivity to avoid SNAT Exhaustion"/>
    <x v="1"/>
    <s v="Prevent connectivity failures due to SNAT port exhaustion by employing NAT gateway for outbound traffic from virtual networks, ensuring dynamic scaling and secure internet connections._x000a_"/>
    <s v="https://learn.microsoft.com/azure/advisor/advisor-reference-reliability-recommendations#use-nat-gateway-for-outbound-connectivity https://learn.microsoft.com/azure/architecture/framework/services/compute/azure-app-service/reliability#tcp-and-snat-ports"/>
    <s v=""/>
    <s v=""/>
    <s v="1adba190-5c4c-e646-8527-dd1b2a6d8b15"/>
  </r>
  <r>
    <x v="1"/>
    <n v="0"/>
    <x v="0"/>
    <s v="APRL"/>
    <s v="Microsoft.Network"/>
    <x v="4"/>
    <s v="High Availability"/>
    <s v="Upgrade Basic SKU public IP addresses to Standard SKU"/>
    <x v="1"/>
    <s v="Basic SKU public IP addresses will be retired on September 30, 2025. Users are advised to upgrade to Standard SKU public IP addresses before this date to avoid service disruptions._x000a_"/>
    <s v="https://learn.microsoft.com/en-us/azure/virtual-network/ip-services/public-ip-basic-upgrade-guidance https://azure.microsoft.com/en-us/updates/upgrade-to-standard-sku-public-ip-addresses-in-azure-by-30-september-2025-basic-sku-will-be-retired/"/>
    <s v=""/>
    <s v=""/>
    <s v="5cea1501-6fe4-4ec4-ac8f-f72320eb18d3"/>
  </r>
  <r>
    <x v="0"/>
    <n v="6"/>
    <x v="0"/>
    <s v="APRL"/>
    <s v="Microsoft.Storage"/>
    <x v="5"/>
    <s v="High Availability"/>
    <s v="Ensure that storage accounts are zone or region redundant"/>
    <x v="0"/>
    <s v="Redundancy ensures storage accounts meet availability and durability targets amidst failures, weighing lower costs against higher availability. Locally redundant storage offers the least durability at the lowest cost._x000a_"/>
    <s v="https://learn.microsoft.com/azure/storage/common/storage-redundancy https://learn.microsoft.com/azure/storage/common/redundancy-migration"/>
    <s v=""/>
    <s v=""/>
    <s v="e6c7e1cc-2f47-264d-aa50-1da421314472"/>
  </r>
  <r>
    <x v="1"/>
    <n v="0"/>
    <x v="0"/>
    <s v="APRL"/>
    <s v="Microsoft.Storage"/>
    <x v="5"/>
    <s v="Service Upgrade and Retirement"/>
    <s v="Do not use classic storage accounts"/>
    <x v="0"/>
    <s v="Classic storage accounts will be fully retired on August 31, 2024. If you have classic storage accounts, start planning your migration now._x000a_"/>
    <s v="https://azure.microsoft.com/updates/classic-azure-storage-accounts-will-be-retired-on-31-august-2024/ https://learn.microsoft.com/azure/storage/common/classic-account-migration-overview"/>
    <s v=""/>
    <s v=""/>
    <s v="63ad027e-611c-294b-acc5-8e3234db9a40"/>
  </r>
  <r>
    <x v="1"/>
    <n v="0"/>
    <x v="0"/>
    <s v="APRL"/>
    <s v="Microsoft.Storage"/>
    <x v="5"/>
    <s v="Scalability"/>
    <s v="Ensure Performance tier is set as per workload"/>
    <x v="1"/>
    <s v="Consider using the appropriate storage performance tier for workload scenarios. Each workload scenario requires appropriate performance tiers, and selecting the appropriate tiers based on storage usage is crucial._x000a_"/>
    <s v="https://learn.microsoft.com/azure/storage/common/storage-account-overview#types-of-storage-accounts https://learn.microsoft.com/azure/storage/common/scalability-targets-standard-account https://learn.microsoft.com/azure/storage/blobs/storage-performance-checklist https://learn.microsoft.com/azure/storage/blobs/scalability-targets https://learn.microsoft.com/azure/storage/blobs/storage-blob-block-blob-premium"/>
    <s v=""/>
    <s v=""/>
    <s v="5587ef77-7a05-a74d-9c6e-449547a12f27"/>
  </r>
  <r>
    <x v="1"/>
    <n v="0"/>
    <x v="0"/>
    <s v="APRL"/>
    <s v="Microsoft.Storage"/>
    <x v="5"/>
    <s v="Disaster Recovery"/>
    <s v="Enable soft delete for recovery of data"/>
    <x v="1"/>
    <s v="The soft delete option enables data recovery if mistakenly deleted, while the Lock feature prevents the accidental deletion of the storage account itself, ensuring additional security and data integrity measures._x000a_"/>
    <s v="https://learn.microsoft.com//azure/storage/blobs/soft-delete-blob-enable?tabs=azure-portal "/>
    <s v=""/>
    <s v=""/>
    <s v="03263c57-c869-3841-9e0a-3dbb9ef3e28d"/>
  </r>
  <r>
    <x v="1"/>
    <n v="0"/>
    <x v="0"/>
    <s v="APRL"/>
    <s v="Microsoft.Storage"/>
    <x v="5"/>
    <s v="Disaster Recovery"/>
    <s v="Enable versioning for accidental modification and keep the number of versions below 1000"/>
    <x v="2"/>
    <s v="Consider enabling versioning for Azure Storage Accounts to recover from accidental modifications or deletions and manage blob operation latency. Microsoft advises maintaining fewer than 1000 versions per blob to optimize performance. Lifecycle management can help delete old versions automatically._x000a_"/>
    <s v="https://learn.microsoft.com/azure/storage/blobs/versioning-overview "/>
    <s v=""/>
    <s v=""/>
    <s v="8ebda7c0-e0e1-ed45-af59-2d7ea9a1c05d"/>
  </r>
  <r>
    <x v="1"/>
    <n v="0"/>
    <x v="0"/>
    <s v="APRL"/>
    <s v="Microsoft.Storage"/>
    <x v="5"/>
    <s v="Disaster Recovery"/>
    <s v="Enable point-in-time restore for GPv2 accounts to safeguard against data loss"/>
    <x v="2"/>
    <s v="Consider enabling point-in-time restore for standard general purpose v2 accounts with flat namespace to protect against accidental deletion or corruption by restoring block blob data to an earlier state._x000a_"/>
    <s v="https://learn.microsoft.com/azure/storage/blobs/point-in-time-restore-overview https://learn.microsoft.com/azure/storage/blobs/point-in-time-restore-manage?tabs=portal"/>
    <s v=""/>
    <s v=""/>
    <s v="1b965cb9-7629-214e-b682-6bf6e450a100"/>
  </r>
  <r>
    <x v="1"/>
    <n v="0"/>
    <x v="0"/>
    <s v="APRL"/>
    <s v="Microsoft.Storage"/>
    <x v="5"/>
    <s v="Monitoring and Alerting"/>
    <s v="Monitor all blob storage accounts"/>
    <x v="2"/>
    <s v="For critical applications and business processes relying on Azure, monitoring and alerts are crucial. Resource logs are only stored after creating a diagnostic setting to route logs to specified locations, requiring selection of log categories to collect._x000a_"/>
    <s v="https://learn.microsoft.com/azure/storage/blobs/monitor-blob-storage https://learn.microsoft.com/azure/storage/blobs/blob-storage-monitoring-scenarios"/>
    <s v=""/>
    <s v=""/>
    <s v="96cb8331-6b06-8242-8ce8-4e2f665dc679"/>
  </r>
  <r>
    <x v="0"/>
    <n v="5"/>
    <x v="0"/>
    <s v="APRL"/>
    <s v="Microsoft.Storage"/>
    <x v="5"/>
    <s v="Scalability"/>
    <s v="Consider upgrading legacy storage accounts to v2 storage accounts"/>
    <x v="2"/>
    <s v="General-purpose v2 accounts are recommended for most storage scenarios offering the latest features or the lowest per-gigabyte pricing. Legacy accounts like Standard general-purpose v1 and Blob Storage aren't advised by Microsoft but may fit specific scenarios._x000a_"/>
    <s v="https://learn.microsoft.com/azure/storage/common/storage-account-overview#legacy-storage-account-types https://learn.microsoft.com/azure/storage/common/storage-account-upgrade"/>
    <s v=""/>
    <s v=""/>
    <s v="2ad78dec-5a4d-4a30-8fd1-8584335ad781"/>
  </r>
  <r>
    <x v="0"/>
    <n v="6"/>
    <x v="0"/>
    <s v="APRL"/>
    <s v="Microsoft.Storage"/>
    <x v="5"/>
    <s v="Security"/>
    <s v="Enable Azure Private Link service for FSLogix storage account"/>
    <x v="1"/>
    <s v="Azure Private Link Service enables you to access Azure Storage Account and Azure hosted customer/partner services over a Private Endpoint in your virtual network. An Azure Private Endpoint is a network interface that connects you privately and securely to a service powered by Azure Private Link. The private endpoint uses a private IP address from your VNet, effectively bringing the service into your VNet. All traffic to the service can be routed through the private endpoint, so no gateways, NAT devices, ExpressRoute or VPN connections, or public IP addresses are needed. Traffic between your virtual network and the service traverses over the Microsoft backbone network, eliminating exposure from the public Internet. You can connect to an instance of an Azure resource, giving you the highest level of granularity in access control._x000a_Azure Private Link Service offers secure access to Azure Storage and services via a Private Endpoint in your VNet. No public IPs needed, ensuring privacy. Granular access control provided._x000a_"/>
    <s v="https://learn.microsoft.com/en-us/azure/architecture/example-scenario/wvd/windows-virtual-desktop#azure-virtual-desktop-limitations https://learn.microsoft.com/en-us/azure/well-architected/azure-virtual-desktop/networking#private-endpoints-private-link"/>
    <s v=""/>
    <s v=""/>
    <s v="dc55be60-6f8c-461e-a9d5-a3c7686ed94e"/>
  </r>
  <r>
    <x v="1"/>
    <n v="0"/>
    <x v="0"/>
    <s v="APRL"/>
    <s v="Microsoft.Web"/>
    <x v="6"/>
    <s v="High Availability"/>
    <s v="Migrate App Service to availability Zone Support"/>
    <x v="0"/>
    <s v="Azure's feature of deploying App Service plans across availability zones enhances resiliency and reliability by ensuring operation during datacenter failures, providing redundancy without needing different regions, thus minimizing downtime and maintaining uninterrupted services._x000a_"/>
    <s v="https://learn.microsoft.com/en-us/azure/reliability/migrate-app-service https://learn.microsoft.com/en-us/azure/architecture/reference-architectures/enterprise-integration/ase-high-availability-deployment"/>
    <s v=""/>
    <s v=""/>
    <s v="88cb90c2-3b99-814b-9820-821a63f600dd"/>
  </r>
  <r>
    <x v="0"/>
    <n v="1"/>
    <x v="0"/>
    <s v="APRL"/>
    <s v="Microsoft.Web"/>
    <x v="6"/>
    <s v="High Availability"/>
    <s v="Use Standard or Premium tier"/>
    <x v="0"/>
    <s v="Choose Standard/Premium Azure App Service Plan for robust apps with advanced scaling, high availability, better performance, and multiple slots, ensuring resilience and continuous operation._x000a_"/>
    <s v="https://learn.microsoft.com/en-us/azure/architecture/checklist/resiliency-per-service#app-service"/>
    <s v=""/>
    <s v=""/>
    <s v="b2113023-a553-2e41-9789-597e2fb54c31"/>
  </r>
  <r>
    <x v="1"/>
    <n v="0"/>
    <x v="0"/>
    <s v="APRL"/>
    <s v="Microsoft.Web"/>
    <x v="6"/>
    <s v="Scalability"/>
    <s v="Avoid scaling up or down"/>
    <x v="1"/>
    <s v="Avoid frequent scaling up/down of Azure App Service instances to prevent service disruptions. Choose the right tier and size for the workload and scale out for traffic changes, as scaling adjustments can trigger application restarts._x000a_"/>
    <s v="https://learn.microsoft.com/en-us/azure/architecture/checklist/resiliency-per-service#app-service"/>
    <s v=""/>
    <s v=""/>
    <s v="07243659-4643-d44c-a1c6-07ac21635072"/>
  </r>
  <r>
    <x v="1"/>
    <n v="0"/>
    <x v="0"/>
    <s v="APRL"/>
    <s v="Microsoft.Web"/>
    <x v="6"/>
    <s v="Governance"/>
    <s v="Create separate App Service plans for production and test"/>
    <x v="0"/>
    <s v="It is strongly recommended to create separate App Service plans for production and test environments to avoid using slots within your production deployment for testing purposes._x000a_"/>
    <s v="https://learn.microsoft.com/en-us/azure/architecture/checklist/resiliency-per-service#app-service"/>
    <s v=""/>
    <s v=""/>
    <s v="dbe3fd66-fb2a-9d46-b162-1791e21da236"/>
  </r>
  <r>
    <x v="1"/>
    <n v="0"/>
    <x v="0"/>
    <s v="APRL"/>
    <s v="Microsoft.Web"/>
    <x v="6"/>
    <s v="Scalability"/>
    <s v="Enable Autoscale/Automatic scaling to ensure adequate resources are available to service requests"/>
    <x v="1"/>
    <s v="Enabling Autoscale/Automatic Scaling for your Azure App Service ensures sufficient resources for incoming requests. Autoscaling is rule-based, whereas Automatic Scaling, a newer feature, automatically adjusts resources based on HTTP traffic._x000a_"/>
    <s v="https://learn.microsoft.com/en-us/azure/app-service/manage-automatic-scaling?tabs=azure-portal https://learn.microsoft.com/en-us/azure/azure-monitor/autoscale/autoscale-get-started"/>
    <s v=""/>
    <s v=""/>
    <s v="6320abf6-f917-1843-b2ae-4779c35985ae"/>
  </r>
  <r>
    <x v="1"/>
    <n v="0"/>
    <x v="0"/>
    <s v="APRL"/>
    <s v="Microsoft.Web"/>
    <x v="7"/>
    <s v="Monitoring and Alerting"/>
    <s v="Enable diagnostics logging"/>
    <x v="2"/>
    <s v="Enabling diagnostics logging for your Azure App Service is crucial for monitoring and diagnostics, including both application logging and web server logging._x000a_"/>
    <s v="https://learn.microsoft.com/azure/app-service/troubleshoot-diagnostic-logs"/>
    <s v=""/>
    <s v=""/>
    <s v="493f6079-3bb6-4a56-96ba-ab3248474cb1"/>
  </r>
  <r>
    <x v="1"/>
    <n v="0"/>
    <x v="0"/>
    <s v="APRL"/>
    <s v="Microsoft.Web"/>
    <x v="7"/>
    <s v="Monitoring and Alerting"/>
    <s v="Monitor Performance"/>
    <x v="1"/>
    <s v="Use Application Insights to monitor app performance and load behavior, offering real-time insights, issue diagnosis, and root-cause analysis. It supports ASP.NET, ASP.NET Core, Java, and Node.js on Azure App Service, now with built-in monitoring._x000a_"/>
    <s v="https://learn.microsoft.com/azure/application-insights/app-insights-overview https://learn.microsoft.com/azure/azure-monitor/app/azure-web-apps"/>
    <s v=""/>
    <s v=""/>
    <s v="a7e8bb3d-8ceb-442d-b26f-007cd63f9ffc"/>
  </r>
  <r>
    <x v="1"/>
    <n v="0"/>
    <x v="0"/>
    <s v="APRL"/>
    <s v="Microsoft.Web"/>
    <x v="7"/>
    <s v="Scalability"/>
    <s v="Separate web apps from web APIs"/>
    <x v="2"/>
    <s v="If your solution includes both a web front end and a web API, decomposing them into separate App Service apps facilitates solution decomposition by workload, allowing for independent scaling. Initially, you can deploy both in the same plan and separate them for independent scaling when necessary._x000a_"/>
    <s v="https://learn.microsoft.com/azure/architecture/checklist/resiliency-per-service#app-service"/>
    <s v=""/>
    <s v=""/>
    <s v="78a5c033-ff51-4332-8a71-83464c34494b"/>
  </r>
  <r>
    <x v="1"/>
    <n v="0"/>
    <x v="0"/>
    <s v="APRL"/>
    <s v="Microsoft.Web"/>
    <x v="7"/>
    <s v="Scalability"/>
    <s v="Create a separate storage account for logs"/>
    <x v="1"/>
    <s v="Creating a separate storage account for logs and not using the same one for application data prevents logging activities from reducing application performance by ensuring that the resources dedicated to handling application data are not burdened by logging processes._x000a_"/>
    <s v="https://learn.microsoft.com/azure/architecture/checklist/resiliency-per-service#app-service"/>
    <s v=""/>
    <s v=""/>
    <s v="3f9ddb59-0bb3-4acb-9c9b-99aa1776f0ab"/>
  </r>
  <r>
    <x v="1"/>
    <n v="0"/>
    <x v="0"/>
    <s v="APRL"/>
    <s v="Microsoft.Web"/>
    <x v="7"/>
    <s v="Governance"/>
    <s v="Deploy to a staging slot"/>
    <x v="1"/>
    <s v="Create a deployment slot for staging to deploy updates, verify them, and ensure all instances are warmed up before production swap, reducing bad update chances. An LKG slot allows easy rollback to a previous good deployment if issues arise later, enhancing reliability._x000a_"/>
    <s v="https://learn.microsoft.com/azure/app-service-web/web-sites-staged-publishing"/>
    <s v=""/>
    <s v=""/>
    <s v="a1d91661-32d4-430b-b3b6-5adeb0975df7"/>
  </r>
  <r>
    <x v="1"/>
    <n v="0"/>
    <x v="0"/>
    <s v="APRL"/>
    <s v="Microsoft.Web"/>
    <x v="7"/>
    <s v="Other Best Practices"/>
    <s v="Store configuration as app settings"/>
    <x v="1"/>
    <s v="Use app settings for configuration and define them in Resource Manager templates or via PowerShell to facilitate part of an automated deployment/update process for improved reliability._x000a_"/>
    <s v="https://learn.microsoft.com/azure/app-service-web/web-sites-configure"/>
    <s v=""/>
    <s v=""/>
    <s v="0b80b67c-afbe-4988-ad58-a85a146b681e"/>
  </r>
  <r>
    <x v="1"/>
    <n v="0"/>
    <x v="1"/>
    <s v="APRL"/>
    <s v="WellArchitected"/>
    <x v="8"/>
    <s v="High Availability"/>
    <s v="Define and share Availability Targets with all teams for workload consistency"/>
    <x v="0"/>
    <s v="Ensure the Availability Targets (SLA, SLO, SLI) are well defined, tested, monitored and communicated across teams working on the Workload._x000a__x000a_A Service Level Agreement (SLA) is an availability target that represents a commitment around performance and availability of the application. Understanding the SLA of individual components within the system is essential to define reliability targets. Knowing the SLA of dependencies will also provide a justification for additional spend when making the dependencies highly available and with proper support contracts. Availability targets for any dependencies leveraged by the application should be understood and ideally align with application targets should also be considered._x000a__x000a_Understanding your availability expectations is vital to reviewing overall operations for the application._x000a__x000a_For example, if you are striving to achieve an application Service Level Objective (SLO) of 99.999%, the level of inherent operational action required by the application is going to be far greater than if an SLO of 99.9% was the goal._x000a_"/>
    <s v="https://learn.microsoft.com/azure/well-architected/resiliency/business-metrics#workload-availability-targets https://learn.microsoft.com/azure/well-architected/resiliency/design-requirements"/>
    <s v=""/>
    <s v=""/>
    <s v="0c8a12dd-52fb-cf40-bb4a-b60f99409bab"/>
  </r>
  <r>
    <x v="1"/>
    <n v="0"/>
    <x v="1"/>
    <s v="APRL"/>
    <s v="WellArchitected"/>
    <x v="8"/>
    <s v="Disaster Recovery"/>
    <s v="Ensure the Recovery Targets are well defined and communicated across teams working on the Workload"/>
    <x v="0"/>
    <s v="Ensure the Recovery Targets are well defined and communicated across teams working on the Workload._x000a_Two important metrics to consider are the recovery time objective and recovery point objective, as they pertain to disaster recovery._x000a__x000a_- Recovery time objective (RTO) is the maximum acceptable time that an application can be unavailable after an incident. If your RTO is 90 minutes, you must be able to restore the application to a running state within 90 minutes from the start of a disaster. If you have a very low RTO, you might keep a second regional deployment continually running an active/passive configuration on standby, to protect against a regional outage. In some cases, you might deploy an active/active configuration to achieve even lower RTO._x000a_- Recovery point objective (RPO) is the maximum duration of data loss that is acceptable during a disaster. For example, if you store data in a single database, with no replication to other databases, and perform hourly backups, you could lose up to an hour of data._x000a_RTO and RPO are non-functional requirements of a system and should be dictated by business requirements. To derive these values, it's a good idea to conduct a risk assessment, and clearly understanding the cost of downtime or data loss._x000a__x000a_Monitoring and measuring application availability is vital to qualifying overall application health and progress towards defined targets. Make sure you measure and monitor key targets such as:_x000a__x000a_- Mean Time Between Failures (MTBF) — The average time between failures of a particular component._x000a_- Mean Time to Recover (MTTR) — The average time it takes to restore a component after a failure._x000a_"/>
    <s v="https://learn.microsoft.com/azure/well-architected/resiliency/design-requirements"/>
    <s v=""/>
    <s v=""/>
    <s v="a43ab756-5b33-2345-8743-3daee911a1ae"/>
  </r>
  <r>
    <x v="1"/>
    <n v="0"/>
    <x v="1"/>
    <s v="APRL"/>
    <s v="WellArchitected"/>
    <x v="9"/>
    <s v="Automation"/>
    <s v="Avoid manual configuration to enforce consistency with Infrastructure as code"/>
    <x v="1"/>
    <s v="Infrastructure as code (IaC) uses DevOps methodology and versioning with a descriptive model to define and deploy infrastructure, such as networks, virtual machines, load balancers, and connection topologies. Just as the same source code always generates the same binary, an IaC model generates the same environment every time it deploys._x000a__x000a_IaC is a key DevOps practice and a component of continuous delivery. With IaC, DevOps teams can work together with a unified set of practices and tools to deliver applications and their supporting infrastructure rapidly and reliably at scale._x000a__x000a_Key Points:_x000a_- Avoid manual configuration to enforce consistency_x000a_- Deliver stable test environments rapidly at scale_x000a_- Use declarative definition files_x000a_"/>
    <s v="https://learn.microsoft.com/devops/deliver/what-is-infrastructure-as-code#avoid-manual-configuration-to-enforce-consistency"/>
    <s v=""/>
    <s v=""/>
    <s v="6bf9e5d5-fe57-c647-8daa-4903770e1302"/>
  </r>
  <r>
    <x v="1"/>
    <n v="0"/>
    <x v="1"/>
    <s v="APRL"/>
    <s v="WellArchitected"/>
    <x v="9"/>
    <s v="Automation"/>
    <s v="Validated all changes in development environments before applying them to production"/>
    <x v="1"/>
    <s v="Continuously delivering value has become a mandatory requirement for organizations. To deliver value to your end users, you must release continually and without errors._x000a__x000a_Continuous delivery (CD) is the process of automating build, test, configuration, and deployment from a build to a production environment._x000a__x000a_A release pipeline can create multiple testing or staging environments to automate infrastructure creation and deploy new builds. Successive environments support progressively longer-running integration, load, and user acceptance testing activities._x000a_"/>
    <s v="https://learn.microsoft.com/devops/operate/safe-deployment-practices"/>
    <s v=""/>
    <s v=""/>
    <s v="e42e646c-7d67-dd4b-96dc-16a3439fa030"/>
  </r>
  <r>
    <x v="1"/>
    <n v="0"/>
    <x v="1"/>
    <s v="APRL"/>
    <s v="WellArchitected"/>
    <x v="9"/>
    <s v="Automation"/>
    <s v="Ensure the deployment method used is aligned to reliability strategy"/>
    <x v="1"/>
    <s v="Another aspect of reliability is the deployment method used to update or roll back your workload. You should ensure that the deployment method used is aligned to your reliability strategy and supports the availability and performance requirements of your workload. For example, you may choose to use blue-green deployments, canary deployments, or rolling deployments depending on the level of risk and impact you want to mitigate. You should also consider the trade-offs between speed and safety when deploying changes, and use appropriate testing and validation methods to ensure the quality of your code and configuration. Additionally, you should have a clear and documented process for handling deployment failures and communicate any changes or issues to your stakeholders and customers._x000a_"/>
    <s v="https://learn.microsoft.com/azure/well-architected/mission-critical/mission-critical-deployment-testing https://learn.microsoft.com/devops/operate/safe-deployment-practices"/>
    <s v=""/>
    <s v=""/>
    <s v="e067b48e-7f91-40d9-bed9-bccac945417a"/>
  </r>
  <r>
    <x v="1"/>
    <n v="0"/>
    <x v="1"/>
    <s v="APRL"/>
    <s v="WellArchitected"/>
    <x v="9"/>
    <s v="Automation"/>
    <s v="Implement a full suite of tests during deployment"/>
    <x v="1"/>
    <s v="Testing your cloud solution at different stages of deployment can help you improve the quality and reliability of your solution and reduce the risk of costly and damaging incidents in production. By adopting a &quot;shift left&quot; approach, you can perform unit testing, smoke testing, load testing, and chaos testing to verify the functionality, integration, performance, scalability, resilience, and fault tolerance of your solution. These tests can help you identify and fix any issues or bugs before they affect your customers or users._x000a_"/>
    <s v="https://learn.microsoft.com/azure/well-architected/mission-critical/mission-critical-deployment-testing"/>
    <s v=""/>
    <s v=""/>
    <s v="e435d7c1-afd7-4350-9130-b410482df2b9"/>
  </r>
  <r>
    <x v="1"/>
    <n v="0"/>
    <x v="1"/>
    <s v="APRL"/>
    <s v="WellArchitected"/>
    <x v="9"/>
    <s v="Automation"/>
    <s v="Ensure that failure scenarios are tested regularly"/>
    <x v="1"/>
    <s v="Failure scenarios are situations where your cloud solution may not perform as expected or meet your service level objectives (SLOs) due to internal or external factors. For example, failure scenarios can include hardware failures, network outages, security breaches, configuration errors, unexpected spikes in demand, or dependencies on third-party services. Testing these scenarios regularly can help you assess the impact of failures on your solution and prepare contingency plans to mitigate them. You can use tools and techniques such as fault injection, disaster recovery drills, game days, and chaos engineering to simulate and test failure scenarios in a controlled environment._x000a_"/>
    <s v="https://learn.microsoft.com/azure/well-architected/mission-critical/mission-critical-deployment-testing"/>
    <s v=""/>
    <s v=""/>
    <s v="59f2b6c5-a7ba-422a-aa52-eb1380e9a22b"/>
  </r>
  <r>
    <x v="1"/>
    <n v="0"/>
    <x v="1"/>
    <s v="APRL"/>
    <s v="WellArchitected"/>
    <x v="9"/>
    <s v="Automation"/>
    <s v="Regularly test regional failovers"/>
    <x v="1"/>
    <s v="A regional failover is a process of switching to a secondary region in case of a major disruption or outage in the primary region of your cloud solution. Regional failovers can help you maintain availability and performance of your solution across different geographic areas. However, regional failovers are not trivial and require careful planning and testing. You should regularly test regional failovers to verify that your backup region can handle the load and functionality of your solution, that your data is consistent and secure across regions, and that your failover and failback procedures are working as expected. Testing regional failovers can also help you identify and resolve potential issues or gaps in your failover strategy before they affect your users or customers._x000a_"/>
    <s v="https://learn.microsoft.com/azure/well-architected/mission-critical/mission-critical-deployment-testing"/>
    <s v=""/>
    <s v=""/>
    <s v="770dbc38-bd28-4669-83a5-81f1a49b682b"/>
  </r>
  <r>
    <x v="1"/>
    <n v="0"/>
    <x v="1"/>
    <s v="APRL"/>
    <s v="WellArchitected"/>
    <x v="9"/>
    <s v="Automation"/>
    <s v="Ensure failover automation is available during outages"/>
    <x v="1"/>
    <s v="One of the key aspects of a reliable failover strategy is automation. Automation can reduce the human error, latency, and complexity involved in switching to a secondary region during an outage. However, automation itself can be vulnerable to failures or disruptions, especially if it depends on components or services that are affected by the outage. Therefore, you should ensure that your failover automation is available and resilient during outages, and that it can be triggered without manual intervention. You should also monitor and test your failover automation regularly to ensure that it performs as expected under different scenarios and conditions. As an example, if you are using regional failover as a mitigation for a potential regional outage, the automation used to orchestrate the failover to the backup region should not be hosted in the region that suffers the outage. Consider hosting your automation in a region that does not contain the production environment of your workload._x000a_"/>
    <s v="https://learn.microsoft.com/azure/well-architected/mission-critical/mission-critical-deployment-testing"/>
    <s v=""/>
    <s v=""/>
    <s v="0b0893f6-7c47-4580-83b2-ff6711ac8406"/>
  </r>
  <r>
    <x v="1"/>
    <n v="0"/>
    <x v="1"/>
    <s v="APRL"/>
    <s v="WellArchitected"/>
    <x v="10"/>
    <s v="High Availability"/>
    <s v="Consider deploying your application across multiple zones"/>
    <x v="0"/>
    <s v="Design your application architecture to use availability zones within a region. Availability zones can be used to optimize application availability within a region by providing datacenter-level fault tolerance. However, the application architecture must not share dependencies between zones to use them effectively._x000a__x000a_Consider if component proximity is required for application performance reasons. If all or part of the application is highly sensitive to latency, components might need to be co-located which can limit the applicability of multi-region and multi-zone strategies._x000a_"/>
    <s v="https://learn.microsoft.com/azure/reliability/availability-zones-overview#availability-zones"/>
    <s v=""/>
    <s v=""/>
    <s v="063d7237-5f68-5d42-b3d1-43144b3630b5"/>
  </r>
  <r>
    <x v="1"/>
    <n v="0"/>
    <x v="1"/>
    <s v="APRL"/>
    <s v="WellArchitected"/>
    <x v="10"/>
    <s v="Disaster Recovery"/>
    <s v="Consider deploying your application across multiple regions"/>
    <x v="0"/>
    <s v="If your application is deployed to a single region, and the region becomes unavailable, your application will also be unavailable. This might be unacceptable under the terms of your application's SLA._x000a__x000a_If so, consider deploying your application and its services across multiple regions. A multiregional deployment can use an active-active or active-passive configuration._x000a__x000a_An active-active configuration distributes requests across multiple active regions. An active-passive configuration keeps warm instances in the secondary region, but doesn't send traffic there unless the primary region fails._x000a_"/>
    <s v="https://learn.microsoft.com/azure/well-architected/resiliency/app-design https://learn.microsoft.com/azure/reliability/cross-region-replication-azure"/>
    <s v=""/>
    <s v=""/>
    <s v="8a497b6d-d065-0d43-a7d9-e3f8eebfe0f4"/>
  </r>
  <r>
    <x v="1"/>
    <n v="0"/>
    <x v="1"/>
    <s v="APRL"/>
    <s v="WellArchitected"/>
    <x v="10"/>
    <s v="High Availability"/>
    <s v="Ensure that all fault-points and fault-modes are understood and operationalized"/>
    <x v="0"/>
    <s v="Ensure that all fault-points and fault-modes are understood and operationalized._x000a__x000a_Failure mode analysis (FMA) is a process for building resiliency into a system, by identifying possible failure points in the system. The FMA should be part of the architecture and design phases, so that you can build failure recovery into the system from the beginning._x000a__x000a_Identify all fault-points and fault-modes. Fault-points describe the elements within an application architecture which can fail, while fault-modes capture the various ways by which a fault-point may fail. To ensure an application is resilient to end-to-end failures, it is essential that all fault-points and fault-modes are understood and operationalized._x000a_"/>
    <s v="https://learn.microsoft.com/azure/architecture/resiliency/failure-mode-analysis"/>
    <s v=""/>
    <s v=""/>
    <s v="99ebe682-6306-6446-bfc7-cf6610ebfa02"/>
  </r>
  <r>
    <x v="1"/>
    <n v="0"/>
    <x v="1"/>
    <s v="APRL"/>
    <s v="WellArchitected"/>
    <x v="10"/>
    <s v="Scalability"/>
    <s v="Use PaaS Azure services instead of IaaS"/>
    <x v="1"/>
    <s v="PaaS provides a framework for developing and running apps. As with IaaS, the PaaS provider hosts and maintains the platform's servers, networks, storage, and other computing resources. But PaaS also includes tools, services, and systems that support the web application lifecycle._x000a__x000a_Developers use the platform to build apps without having to manage backups, security solutions, upgrades, and other administrative tasks._x000a_"/>
    <s v="https://learn.microsoft.com/azure/architecture/guide/design-principles/managed-services"/>
    <s v=""/>
    <s v=""/>
    <s v="097651d8-6e62-314a-9299-a0234ffd190e"/>
  </r>
  <r>
    <x v="1"/>
    <n v="0"/>
    <x v="1"/>
    <s v="APRL"/>
    <s v="WellArchitected"/>
    <x v="10"/>
    <s v="Scalability"/>
    <s v="Design the application to scale out"/>
    <x v="0"/>
    <s v="Azure provides elastic scalability and you should design to scale out. However, applications must leverage a scale-unit approach to navigate service and subscription limits to ensure that individual components and the application as a whole can scale horizontally. Don't forget about scale in, which is important to reduce cost._x000a__x000a_For example, scale in and out for App Service is done via rules. Often customers write scale out rules and never write scale in rules, which leaves the App Service more expensive._x000a_"/>
    <s v="https://learn.microsoft.com/azure/architecture/guide/design-principles/scale-out"/>
    <s v=""/>
    <s v=""/>
    <s v="7f4c76d7-f9d4-d643-ab73-4d8f27fd7ed9"/>
  </r>
  <r>
    <x v="1"/>
    <n v="0"/>
    <x v="1"/>
    <s v="APRL"/>
    <s v="WellArchitected"/>
    <x v="10"/>
    <s v="Governance"/>
    <s v="Create a landing zone for the workload following the Microsoft Cloud Adoption Framework"/>
    <x v="2"/>
    <s v="From a workload perspective, a landing zone refers to a prepared platform into which the application gets deployed. A landing zone implementation can have compute, data sources, access controls, and networking components already provisioned. With the required plumbing ready in place; the workload needs to plug into it. When considering the overall security, a landing zone offers centralized security capabilities that adds a threat mitigation layer for the workload._x000a__x000a_Implementations can vary but here are some common strategies that enhance the security posture._x000a_- Isolation through segmentation. You can isolate assets at several layers from Azure enrollment down to a subscription that has the resources for the workload._x000a_- Consistent adoption of organizational policies, enforce creation and deletion of services and their configuration through Azure Policy._x000a_- Configurations that align with principles of Zero Trust. For instance an implementation might have network connectivity to on-premises data centers._x000a_"/>
    <s v="https://learn.microsoft.com/azure/well-architected/security/design-governance-landing-zone"/>
    <s v=""/>
    <s v=""/>
    <s v="6132a11a-3ea0-e64c-877b-f01ca1de79d4"/>
  </r>
  <r>
    <x v="1"/>
    <n v="0"/>
    <x v="1"/>
    <s v="APRL"/>
    <s v="WellArchitected"/>
    <x v="10"/>
    <s v="Disaster Recovery"/>
    <s v="Design a BCDR strategy that will help to meet the business requirements"/>
    <x v="0"/>
    <s v="Disaster recovery is the process of restoring application functionality after a catastrophic loss. In cloud environments, we acknowledge up front that failures happen. Instead of trying to prevent failures altogether, the goal is to minimize the effects of a single failing component._x000a__x000a_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_x000a__x000a_It might be acceptable for some applications to be temporarily unavailable, or partially available with reduced functionality or delayed processing. For other applications, any reduced functionality is unacceptable._x000a__x000a_Key points:_x000a_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_x000a_"/>
    <s v="https://learn.microsoft.com/azure/well-architected/resiliency/backup-and-recovery"/>
    <s v=""/>
    <s v=""/>
    <s v="b09061cb-d536-1347-9957-390c2d0cfa3d"/>
  </r>
  <r>
    <x v="1"/>
    <n v="0"/>
    <x v="1"/>
    <s v="APRL"/>
    <s v="WellArchitected"/>
    <x v="10"/>
    <s v="Security"/>
    <s v="Provide security assurance through identity management"/>
    <x v="1"/>
    <s v="Provide security assurance through identity management: the process of authenticating and authorizing security principals. Use identity management services to authenticate and grant permission to users, partners, customers, applications, services, and other entities. Identity management is typically a centralized function not controlled by the workload team as a part of the workload's architecture._x000a__x000a_- Define clear lines of responsibility and separation of duties for each function. Restrict access based on a need-to-know basis and least privilege security principles._x000a_- Assign permissions to users, groups, and applications at a certain scope through Azure RBAC. Use built-in roles when possible._x000a_- Prevent deletion or modification of a resource, resource group, or subscription through management locks._x000a_- Use managed identities to access resources in Azure._x000a_"/>
    <s v="https://learn.microsoft.com/azure/well-architected/security/design-identity"/>
    <s v=""/>
    <s v=""/>
    <s v="835e616d-78e6-7f4c-a48b-6f80382a48cf"/>
  </r>
  <r>
    <x v="1"/>
    <n v="0"/>
    <x v="1"/>
    <s v="APRL"/>
    <s v="WellArchitected"/>
    <x v="10"/>
    <s v="Security"/>
    <s v="Addressing security risks minimizes downtime and data loss from exposures"/>
    <x v="0"/>
    <s v="Security is one of the most important aspects of any architecture. It provides the following assurances against deliberate attacks and abuse of your valuable data and systems: Confidentiality ,Integrity, and Availability._x000a_The security of complex systems depends on understanding the business context, social context, and technical context. As you design your system, cover these areas:_x000a__x000a_- Ensure that the identity provider (AAD/ADFS/AD/Other) is highly available and aligns with application availability and recovery targets._x000a_- All external application endpoints are secured._x000a_- Communication to Azure PaaS services secured using Virtual Network Service Endpoints or Private Link._x000a_- Keys and secrets are backed-up to geo-redundant storage, and are still available in a failover case._x000a_- Ensure that the process for key rotation is automated and tested._x000a_- Emergency access break glass accounts have been tested and secured for recovering from Identity provider failure scenarios._x000a_"/>
    <s v="https://learn.microsoft.com/azure/well-architected/security/security-principles"/>
    <s v=""/>
    <s v=""/>
    <s v="c5d8f87e-45ef-1644-a4aa-95ec08b88109"/>
  </r>
  <r>
    <x v="1"/>
    <n v="0"/>
    <x v="1"/>
    <s v="APRL"/>
    <s v="WellArchitected"/>
    <x v="11"/>
    <s v="Scalability"/>
    <s v="Use appropriate patterns for managing outgoing connections"/>
    <x v="1"/>
    <s v="Outgoing connections are the requests that your cloud solution makes to external services or resources, such as databases, APIs, or third-party providers. Managing these connections properly is crucial for ensuring the reliability and performance of your solution. You should use appropriate patterns for opening, closing, reusing, and pooling outgoing connections, depending on the type and frequency of the requests. For example, you can use the circuit breaker pattern to prevent your solution from making repeated requests to a failing service, or you can use connection pooling to reuse existing connections and reduce the overhead of creating new ones. Additionally, you can use patterns like dependency injection or factory patterns to manage connection objects in code, and make sure to close connections you no longer use to prevent port exhaustion._x000a_"/>
    <s v="https://learn.microsoft.com/dotnet/core/extensions/dependency-injection-usage https://learn.microsoft.com/dotnet/architecture/microservices/implement-resilient-applications/use-httpclientfactory-to-implement-resilient-http-requests"/>
    <s v=""/>
    <s v=""/>
    <s v="7ffd4456-d121-4cdb-a776-29762e1bff8d"/>
  </r>
  <r>
    <x v="1"/>
    <n v="0"/>
    <x v="1"/>
    <s v="APRL"/>
    <s v="WellArchitected"/>
    <x v="11"/>
    <s v="High Availability"/>
    <s v="Expect outgoing connections to fail"/>
    <x v="1"/>
    <s v="One of the main challenges of cloud computing is that you have to deal with uncertainty and unpredictability of network communication. Outgoing connections can fail for various reasons, such as network congestion, timeouts, service outages, or configuration errors. You should expect these failures to occur and design your solution to handle them gracefully. For example, you can use patterns like retry, fallback, or timeout to recover from transient failures, or use patterns like bulkhead or queue-based load leveling to isolate and manage the impact of failures on your system. By expecting and handling outgoing connection failures, you can improve the resilience and availability of your cloud solution._x000a_"/>
    <s v="https://learn.microsoft.com/azure/architecture/patterns/retry"/>
    <s v=""/>
    <s v=""/>
    <s v="4d03e777-bc01-4a35-b23c-92cfd4f218be"/>
  </r>
  <r>
    <x v="1"/>
    <n v="0"/>
    <x v="1"/>
    <s v="APRL"/>
    <s v="WellArchitected"/>
    <x v="11"/>
    <s v="Scalability"/>
    <s v="Ensure the infrastructure can support the number of outgoing connections"/>
    <x v="0"/>
    <s v="Outgoing connections go through various components on the network path to their destination. These components include gateways, proxies, firewalls, or other appliances as well as Azure NAT gateways or other means of scaling outgoing connections. Make sure that these components can scale to at least the expected outgoing traffic volume._x000a_"/>
    <s v="https://azure.microsoft.com/blog/ensure-zone-resilient-outbound-connectivity-with-nat-gateway/"/>
    <s v=""/>
    <s v=""/>
    <s v="f1993b50-61a0-4206-8215-c43e3fd61500"/>
  </r>
  <r>
    <x v="1"/>
    <n v="0"/>
    <x v="1"/>
    <s v="APRL"/>
    <s v="WellArchitected"/>
    <x v="11"/>
    <s v="High Availability"/>
    <s v="Implement Coding Patterns to handle partial failures"/>
    <x v="1"/>
    <s v="Partial failures are inevitable in distributed systems, where some components may fail or become unavailable while others continue to function. Therefore, cloud solutions should implement patterns to handle partial failures gracefully and avoid disrupting the entire system. Some of these patterns include retrying failed operations with exponential backoff, using timeouts to limit the impact of slow or unresponsive services, and fallback logic to provide alternative responses when the primary service is not available. As an example, dynamic content loaded into a webpage should revert to default values if the content is unavailable or should be hidden altogether. This presents a more favorable user experience than displaying error messages._x000a_"/>
    <s v="https://learn.microsoft.com/azure/well-architected/reliability/self-preservation#application-design-guidance-and-patterns-1"/>
    <s v=""/>
    <s v=""/>
    <s v="d70e7d1f-b956-40da-b8f2-19378ab61b63"/>
  </r>
  <r>
    <x v="1"/>
    <n v="0"/>
    <x v="1"/>
    <s v="APRL"/>
    <s v="WellArchitected"/>
    <x v="11"/>
    <s v="High Availability"/>
    <s v="Implement circuit breakers to prevent cascading failures"/>
    <x v="0"/>
    <s v="Circuit breakers are a design pattern that can help prevent cascading failures in distributed systems. The idea is to monitor the health of each service and stop sending requests to it if it becomes unhealthy or unresponsive. This way, the failure of one service does not affect the rest of the system, and the service can recover faster by avoiding overload. Circuit breakers can also trigger fallback logic, such as using cached data or default values, when the primary service is unavailable. This improves the reliability and resilience of the system and provides a better user experience._x000a_"/>
    <s v="https://learn.microsoft.com/azure/architecture/patterns/circuit-breaker"/>
    <s v=""/>
    <s v=""/>
    <s v="c220efa2-c3c4-4b99-960c-4ae753c2e103"/>
  </r>
  <r>
    <x v="1"/>
    <n v="0"/>
    <x v="1"/>
    <s v="APRL"/>
    <s v="WellArchitected"/>
    <x v="12"/>
    <s v="Monitoring and Alerting"/>
    <s v="Make sure your application's health is being monitored"/>
    <x v="1"/>
    <s v="Monitoring and diagnostics are crucial for availability and resiliency. If something fails, you need to know that it failed, when it failed, and why._x000a__x000a_Monitoring isn't the same as failure detection. For example, your application might detect a transient error and retry, avoiding downtime. It should also log the retry operation so that you can monitor the error rate to get an overall picture of application health._x000a__x000a_Key points:_x000a_- Define alerts that are actionable and effectively prioritized._x000a_- Create alerts that poll for services nearing their limits and quotas._x000a_- Use application instrumentation to detect and resolve performance anomalies._x000a_- Track the progress of long-running processes._x000a_- Troubleshoot issues to gain an overall view of application health._x000a_- Document how to analyze, diagnose, and respond to signals being monitored_x000a_"/>
    <s v="https://learn.microsoft.com/azure/well-architected/resiliency/monitoring"/>
    <s v=""/>
    <s v=""/>
    <s v="46fb4540-ecac-6e49-bc10-34c7792eb35d"/>
  </r>
  <r>
    <x v="1"/>
    <n v="0"/>
    <x v="1"/>
    <s v="APRL"/>
    <s v="WellArchitected"/>
    <x v="12"/>
    <s v="Monitoring and Alerting"/>
    <s v="Define a health model based on performance, availability, and recovery targets"/>
    <x v="2"/>
    <s v="The health model should be able to surface the health of critical system flows or key subsystems to ensure that appropriate operational prioritization is applied._x000a__x000a_For example, the health model should be able to represent the current state of the user sign-in transaction flow. The health model shouldn't treat all failures the same. The health model should distinguish between transient and non transient faults. It should clearly distinguish between expected-transient but recoverable failures and a true disaster state._x000a__x000a_Key points:_x000a_- Know how to tell if an application is healthy or unhealthy._x000a_- Understand the effects of logs in diagnostic data._x000a_- Ensure the consistent use of diagnostic settings across the application._x000a_- Use critical system flows in your health model._x000a_"/>
    <s v="https://learn.microsoft.com/azure/well-architected/resiliency/monitor-model https://learn.microsoft.com/en-us/azure/well-architected/cross-cutting-guides/health-modeling"/>
    <s v=""/>
    <s v=""/>
    <s v="5dd7a9a3-fb79-004d-bc89-c9ef79890900"/>
  </r>
  <r>
    <x v="1"/>
    <n v="0"/>
    <x v="1"/>
    <s v="APRL"/>
    <s v="WellArchitected"/>
    <x v="12"/>
    <s v="Monitoring and Alerting"/>
    <s v="Create Dashboards and Alerts for Azure Platform resources"/>
    <x v="2"/>
    <s v="In this stage, telemetry data is presented so that an operator can quickly notice problems or trends._x000a__x000a_Examples include Workbook, Dashboards or email alerts. With Azure Workbooks and/or dashboards, you can build a single pane of glass view of monitoring graphs originating from Application Insights, Log Analytics, Azure Monitor metrics and service health. With Azure Monitor alerts, you can create alerts on service health and resource health._x000a_"/>
    <s v="https://learn.microsoft.com/azure/azure-monitor/visualize/workbooks-templates"/>
    <s v=""/>
    <s v=""/>
    <s v="1691bfea-c9fd-0948-969a-03e5abcab299"/>
  </r>
  <r>
    <x v="1"/>
    <n v="0"/>
    <x v="1"/>
    <s v="APRL"/>
    <s v="WellArchitected"/>
    <x v="12"/>
    <s v="Monitoring and Alerting"/>
    <s v="Ensure that the right people in your organization will be notified about any future service issues"/>
    <x v="1"/>
    <s v="Azure offers a suite of experiences to keep you informed about the health of your cloud resources._x000a__x000a_The Service Health portal tracks four types of health events that may impact your resources:_x000a_- Service issues - Problems in the Azure services that affect you right now (Outages)_x000a_- Planned maintenance - Upcoming maintenance that can affect the availability of your services in the future._x000a_- Health advisories - Changes in Azure services that require your attention. Examples include deprecation of Azure features or upgrade requirements (e.g upgrade to a supported PHP framework)._x000a_- Security advisories - Security related notifications or violations that may affect the availability of your Azure services._x000a_"/>
    <s v="https://learn.microsoft.com/azure/service-health/alerts-activity-log-service-notifications-portal#create-a-service-health-alert-using-the-azure-portal"/>
    <s v=""/>
    <s v=""/>
    <s v="1422b388-5d23-5641-ba1c-139a59fb7b4c"/>
  </r>
  <r>
    <x v="1"/>
    <n v="0"/>
    <x v="1"/>
    <s v="APRL"/>
    <s v="WellArchitected"/>
    <x v="12"/>
    <s v="Governance"/>
    <s v="Utilize built-in Resilience policies"/>
    <x v="1"/>
    <s v="Utilize Azure's built-in Resilience policies to audit and enforce resilient configurations of Azure services. Azure Policy helps to enforce organizational standards and to assess compliance at-scale._x000a_"/>
    <s v="https://github.com/Azure/azure-policy/tree/master/built-in-policies/policyDefinitions/Resilience https://learn.microsoft.com/azure/governance/policy/how-to/get-compliance-data"/>
    <s v=""/>
    <s v=""/>
    <s v="2af4f8c2-bafc-4808-88df-0af009a019b5"/>
  </r>
  <r>
    <x v="1"/>
    <n v="0"/>
    <x v="1"/>
    <s v="APRL"/>
    <s v="WellArchitected"/>
    <x v="12"/>
    <s v="Monitoring and Alerting"/>
    <s v="Define metrics to track reliability in relation to business requirements"/>
    <x v="2"/>
    <s v="To measure and improve the reliability of your cloud solution, you need to define metrics that reflect how well your solution meets your business requirements. For example, you can use availability, latency, throughput, error rate, and durability as metrics to quantify the performance and reliability of your solution. These metrics can help you track the progress of your reliability goals, such as SLAs and SLOs, and identify areas for improvement. You should also align your metrics with your customer expectations and feedback, and use them to prioritize your reliability efforts._x000a_"/>
    <s v="https://learn.microsoft.com/azure/well-architected/reliability/metrics"/>
    <s v=""/>
    <s v=""/>
    <s v="3e2f722e-7d94-4efa-96f1-78bd3e256a41"/>
  </r>
  <r>
    <x v="1"/>
    <n v="0"/>
    <x v="1"/>
    <s v="APRL"/>
    <s v="WellArchitected"/>
    <x v="13"/>
    <s v="Disaster Recovery"/>
    <s v="Implement proactive Incident Response"/>
    <x v="0"/>
    <s v="Prevention of all problems is a laudable, but impossible goal. Things will go wrong, so we need a plan to limit the impact on our end users and return operations to normal as quickly as possible._x000a__x000a_The key is to respond with urgency, rather than react. A reaction tends to be more impulsive and based in the present moment, without consideration of long-term effects. A response is well-thought-out, organized, and information based._x000a__x000a_Your incident response approach determines your effectiveness at:_x000a_- Understanding what's going on (diagnosing the problem)_x000a_- Triaging (determining the urgency) and prioritizing the problem_x000a_- Engaging the right resources to mitigate the issue(s)_x000a_- Communicating with stakeholders about the problem._x000a_- After the problem has been remediated, you can then learn from the incident through a post-incident review process. That's an important subject which has a whole separate module worth of discussion._x000a_"/>
    <s v="https://learn.microsoft.com/training/modules/improve-reliability-incidents/2-importance https://learn.microsoft.com/training/modules/improve-reliability-incidents/5-tracking"/>
    <s v=""/>
    <s v=""/>
    <s v="daf605e4-d3fd-fc42-819a-e3ec084ffda6"/>
  </r>
  <r>
    <x v="1"/>
    <n v="0"/>
    <x v="1"/>
    <s v="APRL"/>
    <s v="WellArchitected"/>
    <x v="14"/>
    <s v="High Availability"/>
    <s v="Test your applications for availability and resiliency"/>
    <x v="0"/>
    <s v="Applications should be tested to ensure availability and resiliency. Availability describes the amount of time that an application runs in a healthy state without significant downtime. Resiliency describes how quickly an application recovers from failure._x000a__x000a_Being able to measure availability and resiliency can answer questions like:_x000a_- How much downtime is acceptable? How much does potential downtime cost your business?_x000a_- What are your availability requirements?_x000a_- How much do you invest in making your application highly available?_x000a_- What is the risk versus the cost?_x000a_- Testing plays a critical role in making sure your applications can meet these requirements._x000a__x000a_Key points:_x000a_- Test regularly to validate existing thresholds, targets, and assumptions._x000a_- Automate testing as much as possible._x000a_- Perform testing on both key Test environments and the production environment._x000a_- Verify how the end-to-end workload performs under intermittent failure conditions._x000a_- Test the application against critical functional and nonfunctional requirements for performance._x000a_- Conduct load testing with expected peak volumes to Test scalability and performance under load._x000a_- Perform chaos testing by injecting faults._x000a_"/>
    <s v="https://learn.microsoft.com/azure/well-architected/resiliency/testing"/>
    <s v=""/>
    <s v=""/>
    <s v="28a8ce6f-1b47-c243-bafb-208f4422fe7a"/>
  </r>
  <r>
    <x v="1"/>
    <n v="0"/>
    <x v="1"/>
    <s v="APRL"/>
    <s v="WellArchitected"/>
    <x v="14"/>
    <s v="High Availability"/>
    <s v="Consider building logic into your workload to handle errors"/>
    <x v="0"/>
    <s v="In a distributed system, ensuring that your application can recover from errors is critical. You can test your applications to prevent errors and failure, but you need to prepare for a wide range of issues. Testing doesn't always catch everything, so you should understand how to handle errors and prevent potential failure._x000a__x000a_Many things in a distributed system, such as underlying cloud infrastructure and third-party runtime dependencies, are outside your span of control and your means to test. You can be sure something will fail eventually, so you need to be prepared._x000a__x000a_Key points:_x000a_- Implement retry logic to handle transient application failures and transient failures with internal or external dependencies._x000a_- Uncover issues or failures in your application's retry logic._x000a_- Configure request timeouts to manage intercomponent calls._x000a_- Configure and test health probes for your load balancers and traffic managers._x000a_- Segregate read operations from update operations across application data stores._x000a_"/>
    <s v="https://learn.microsoft.com/azure/well-architected/resiliency/app-design-error-handling"/>
    <s v=""/>
    <s v=""/>
    <s v="155dda00-c264-1b45-8ac0-d6f68178844f"/>
  </r>
  <r>
    <x v="1"/>
    <n v="0"/>
    <x v="1"/>
    <s v="APRL"/>
    <s v="WellArchitected"/>
    <x v="14"/>
    <s v="Disaster Recovery"/>
    <s v="Perform disaster recovery tests regularly"/>
    <x v="0"/>
    <s v="Disaster recovery is the process of restoring application functionality after a catastrophic loss._x000a__x000a_In cloud environments, we acknowledge up front that failures happen. Instead of trying to prevent failures altogether, the goal is to minimize the effects of a single failing component._x000a__x000a_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_x000a__x000a_Key points: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_x000a_"/>
    <s v="https://learn.microsoft.com/azure/well-architected/resiliency/backup-and-recovery"/>
    <s v=""/>
    <s v=""/>
    <s v="1b612a06-28dc-e64e-9057-17467e57764a"/>
  </r>
  <r>
    <x v="1"/>
    <n v="0"/>
    <x v="1"/>
    <s v="APRL"/>
    <s v="WellArchitected"/>
    <x v="14"/>
    <s v="High Availability"/>
    <s v="Use chaos engineering to test Azure applications"/>
    <x v="1"/>
    <s v="Ideally, you should apply chaos principles continuously. There's constant change in the environments in which software and hardware run, so monitoring the changes is key. By constantly applying stress or faults on components, you can help expose issues early, before small problems are compounded by many other factors._x000a__x000a_Apply chaos engineering principles when you:_x000a_- Deploy new code._x000a_- Add dependencies._x000a_- Observe changes in usage patterns._x000a_- Mitigate problems._x000a_"/>
    <s v="https://learn.microsoft.com/en-us/azure/well-architected/reliability/testing-strategy#fault-injection-and-chaos-engineering-guidance"/>
    <s v=""/>
    <s v=""/>
    <s v="e10f11a5-9c5b-6c4c-a684-4d9f4063127a"/>
  </r>
  <r>
    <x v="1"/>
    <n v="0"/>
    <x v="1"/>
    <s v="APRL"/>
    <s v="WellArchitected"/>
    <x v="14"/>
    <s v="High Availability"/>
    <s v="Test application fault resiliency"/>
    <x v="0"/>
    <s v="High availability is a fundamental part of the SQL Database platform that works transparently for your database application. However, we recognize that you may want to test how the automatic failover operations initiated during planned or unplanned events would impact an application before you deploy it to production. You can manually trigger a failover by calling a special API to restart a database, or an elastic pool._x000a__x000a_In the case of a zone-redundant serverless or provisioned General Purpose database or elastic pool, the API call would result in redirecting client connections to the new primary in an Availability Zone different from the Availability Zone of the old primary. So in addition to testing how failover impacts existing database sessions, you can also verify if it changes the end-to-end performance due to changes in network latency._x000a__x000a_Because the restart operation is intrusive and a large number of them could stress the platform, only one failover call is allowed every 15 minutes for each database or elastic pool._x000a_"/>
    <s v="https://learn.microsoft.com/en-us/azure/azure-sql/database/high-availability-sla?view=azuresql&amp;tabs=azure-powershell#testing-application-fault-resiliency"/>
    <s v=""/>
    <s v=""/>
    <s v="c8ba80d4-20d9-456f-a2bd-8e6d488d8ff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1" cacheId="7"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chartFormat="11">
  <location ref="H3:L11" firstHeaderRow="1" firstDataRow="2" firstDataCol="1" rowPageCount="1" colPageCount="1"/>
  <pivotFields count="14">
    <pivotField axis="axisPage" showAll="0">
      <items count="3">
        <item x="0"/>
        <item x="1"/>
        <item t="default"/>
      </items>
    </pivotField>
    <pivotField showAll="0"/>
    <pivotField showAll="0"/>
    <pivotField showAll="0"/>
    <pivotField showAll="0"/>
    <pivotField showAll="0"/>
    <pivotField axis="axisRow" dataField="1" showAll="0">
      <items count="10">
        <item x="0"/>
        <item x="1"/>
        <item x="2"/>
        <item x="3"/>
        <item x="4"/>
        <item x="5"/>
        <item x="6"/>
        <item x="7"/>
        <item x="8"/>
        <item t="default"/>
      </items>
    </pivotField>
    <pivotField showAll="0"/>
    <pivotField axis="axisCol" showAll="0">
      <items count="4">
        <item x="0"/>
        <item x="1"/>
        <item x="2"/>
        <item t="default"/>
      </items>
    </pivotField>
    <pivotField showAll="0"/>
    <pivotField showAll="0"/>
    <pivotField showAll="0"/>
    <pivotField showAll="0"/>
    <pivotField showAll="0"/>
  </pivotFields>
  <rowFields count="1">
    <field x="6"/>
  </rowFields>
  <rowItems count="7">
    <i>
      <x/>
    </i>
    <i>
      <x v="1"/>
    </i>
    <i>
      <x v="2"/>
    </i>
    <i>
      <x v="3"/>
    </i>
    <i>
      <x v="4"/>
    </i>
    <i>
      <x v="6"/>
    </i>
    <i t="grand">
      <x/>
    </i>
  </rowItems>
  <colFields count="1">
    <field x="8"/>
  </colFields>
  <colItems count="4">
    <i>
      <x/>
    </i>
    <i>
      <x v="1"/>
    </i>
    <i>
      <x v="2"/>
    </i>
    <i t="grand">
      <x/>
    </i>
  </colItems>
  <pageFields count="1">
    <pageField fld="0" item="0" hier="-1"/>
  </pageFields>
  <dataFields count="1">
    <dataField name="Count of Resiliency Category" fld="6" subtotal="count" baseField="0" baseItem="0"/>
  </dataFields>
  <chartFormats count="12">
    <chartFormat chart="1" format="4" series="1">
      <pivotArea type="data" outline="0" fieldPosition="0">
        <references count="2">
          <reference field="4294967294" count="1" selected="0">
            <x v="0"/>
          </reference>
          <reference field="8" count="1" selected="0">
            <x v="0"/>
          </reference>
        </references>
      </pivotArea>
    </chartFormat>
    <chartFormat chart="1" format="5" series="1">
      <pivotArea type="data" outline="0" fieldPosition="0">
        <references count="2">
          <reference field="4294967294" count="1" selected="0">
            <x v="0"/>
          </reference>
          <reference field="8" count="1" selected="0">
            <x v="1"/>
          </reference>
        </references>
      </pivotArea>
    </chartFormat>
    <chartFormat chart="1" format="6" series="1">
      <pivotArea type="data" outline="0" fieldPosition="0">
        <references count="2">
          <reference field="4294967294" count="1" selected="0">
            <x v="0"/>
          </reference>
          <reference field="8" count="1" selected="0">
            <x v="2"/>
          </reference>
        </references>
      </pivotArea>
    </chartFormat>
    <chartFormat chart="0" format="4" series="1">
      <pivotArea type="data" outline="0" fieldPosition="0">
        <references count="2">
          <reference field="4294967294" count="1" selected="0">
            <x v="0"/>
          </reference>
          <reference field="8" count="1" selected="0">
            <x v="0"/>
          </reference>
        </references>
      </pivotArea>
    </chartFormat>
    <chartFormat chart="0" format="5" series="1">
      <pivotArea type="data" outline="0" fieldPosition="0">
        <references count="2">
          <reference field="4294967294" count="1" selected="0">
            <x v="0"/>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7" format="7" series="1">
      <pivotArea type="data" outline="0" fieldPosition="0">
        <references count="2">
          <reference field="4294967294" count="1" selected="0">
            <x v="0"/>
          </reference>
          <reference field="8" count="1" selected="0">
            <x v="0"/>
          </reference>
        </references>
      </pivotArea>
    </chartFormat>
    <chartFormat chart="7" format="8" series="1">
      <pivotArea type="data" outline="0" fieldPosition="0">
        <references count="2">
          <reference field="4294967294" count="1" selected="0">
            <x v="0"/>
          </reference>
          <reference field="8" count="1" selected="0">
            <x v="1"/>
          </reference>
        </references>
      </pivotArea>
    </chartFormat>
    <chartFormat chart="7" format="9" series="1">
      <pivotArea type="data" outline="0" fieldPosition="0">
        <references count="2">
          <reference field="4294967294" count="1" selected="0">
            <x v="0"/>
          </reference>
          <reference field="8" count="1" selected="0">
            <x v="2"/>
          </reference>
        </references>
      </pivotArea>
    </chartFormat>
    <chartFormat chart="8" format="10" series="1">
      <pivotArea type="data" outline="0" fieldPosition="0">
        <references count="2">
          <reference field="4294967294" count="1" selected="0">
            <x v="0"/>
          </reference>
          <reference field="8" count="1" selected="0">
            <x v="0"/>
          </reference>
        </references>
      </pivotArea>
    </chartFormat>
    <chartFormat chart="8" format="11" series="1">
      <pivotArea type="data" outline="0" fieldPosition="0">
        <references count="2">
          <reference field="4294967294" count="1" selected="0">
            <x v="0"/>
          </reference>
          <reference field="8" count="1" selected="0">
            <x v="1"/>
          </reference>
        </references>
      </pivotArea>
    </chartFormat>
    <chartFormat chart="8" format="12" series="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0" cacheId="14"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chartFormat="6">
  <location ref="A3:E12" firstHeaderRow="1" firstDataRow="2" firstDataCol="1" rowPageCount="1" colPageCount="1"/>
  <pivotFields count="14">
    <pivotField axis="axisPage" showAll="0">
      <items count="3">
        <item x="0"/>
        <item x="1"/>
        <item t="default"/>
      </items>
    </pivotField>
    <pivotField showAll="0"/>
    <pivotField axis="axisRow" showAll="0">
      <items count="3">
        <item x="0"/>
        <item x="1"/>
        <item t="default"/>
      </items>
    </pivotField>
    <pivotField showAll="0"/>
    <pivotField dataField="1" showAll="0"/>
    <pivotField axis="axisRow" showAll="0">
      <items count="16">
        <item x="0"/>
        <item x="1"/>
        <item x="2"/>
        <item x="3"/>
        <item x="4"/>
        <item x="5"/>
        <item x="6"/>
        <item x="7"/>
        <item x="8"/>
        <item x="9"/>
        <item x="10"/>
        <item x="11"/>
        <item x="12"/>
        <item x="13"/>
        <item x="14"/>
        <item t="default"/>
      </items>
    </pivotField>
    <pivotField showAll="0"/>
    <pivotField showAll="0"/>
    <pivotField axis="axisCol" showAll="0">
      <items count="4">
        <item x="0"/>
        <item x="1"/>
        <item x="2"/>
        <item t="default"/>
      </items>
    </pivotField>
    <pivotField showAll="0"/>
    <pivotField showAll="0"/>
    <pivotField showAll="0"/>
    <pivotField showAll="0"/>
    <pivotField showAll="0"/>
  </pivotFields>
  <rowFields count="2">
    <field x="2"/>
    <field x="5"/>
  </rowFields>
  <rowItems count="8">
    <i>
      <x/>
    </i>
    <i r="1">
      <x/>
    </i>
    <i r="1">
      <x v="1"/>
    </i>
    <i r="1">
      <x v="2"/>
    </i>
    <i r="1">
      <x v="3"/>
    </i>
    <i r="1">
      <x v="5"/>
    </i>
    <i r="1">
      <x v="6"/>
    </i>
    <i t="grand">
      <x/>
    </i>
  </rowItems>
  <colFields count="1">
    <field x="8"/>
  </colFields>
  <colItems count="4">
    <i>
      <x/>
    </i>
    <i>
      <x v="1"/>
    </i>
    <i>
      <x v="2"/>
    </i>
    <i t="grand">
      <x/>
    </i>
  </colItems>
  <pageFields count="1">
    <pageField fld="0" item="0" hier="-1"/>
  </pageFields>
  <dataFields count="1">
    <dataField name="Count of Azure Service Category / Well-Architected Area" fld="4" subtotal="count" baseField="0" baseItem="0"/>
  </dataFields>
  <chartFormats count="3">
    <chartFormat chart="1" format="4" series="1">
      <pivotArea type="data" outline="0" fieldPosition="0">
        <references count="2">
          <reference field="4294967294" count="1" selected="0">
            <x v="0"/>
          </reference>
          <reference field="8" count="1" selected="0">
            <x v="0"/>
          </reference>
        </references>
      </pivotArea>
    </chartFormat>
    <chartFormat chart="1" format="5" series="1">
      <pivotArea type="data" outline="0" fieldPosition="0">
        <references count="2">
          <reference field="4294967294" count="1" selected="0">
            <x v="0"/>
          </reference>
          <reference field="8" count="1" selected="0">
            <x v="1"/>
          </reference>
        </references>
      </pivotArea>
    </chartFormat>
    <chartFormat chart="1" format="6" series="1">
      <pivotArea type="data" outline="0" fieldPosition="0">
        <references count="2">
          <reference field="4294967294" count="1" selected="0">
            <x v="0"/>
          </reference>
          <reference field="8" count="1" selected="0">
            <x v="2"/>
          </reference>
        </references>
      </pivotArea>
    </chartFormat>
  </chartFormats>
  <pivotTableStyleInfo name="PivotStyleMedium8"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 displayName="Table1" ref="A1:N110">
  <autoFilter ref="A1:N110" xr:uid="{00000000-0009-0000-0100-000004000000}"/>
  <tableColumns count="14">
    <tableColumn id="1" xr3:uid="{00000000-0010-0000-0000-000001000000}" name="Implemented?Yes/No"/>
    <tableColumn id="2" xr3:uid="{00000000-0010-0000-0000-000002000000}" name="Number of Impacted Resources?"/>
    <tableColumn id="3" xr3:uid="{00000000-0010-0000-0000-000003000000}" name="Azure Service / Well-Architected"/>
    <tableColumn id="4" xr3:uid="{00000000-0010-0000-0000-000004000000}" name="Recommendation Source"/>
    <tableColumn id="5" xr3:uid="{00000000-0010-0000-0000-000005000000}" name="Azure Service Category / Well-Architected Area"/>
    <tableColumn id="6" xr3:uid="{00000000-0010-0000-0000-000006000000}" name="Azure Service / Well-Architected Topic"/>
    <tableColumn id="7" xr3:uid="{00000000-0010-0000-0000-000007000000}" name="Resiliency Category"/>
    <tableColumn id="8" xr3:uid="{00000000-0010-0000-0000-000008000000}" name="Recommendation Title"/>
    <tableColumn id="9" xr3:uid="{00000000-0010-0000-0000-000009000000}" name="Impact"/>
    <tableColumn id="10" xr3:uid="{00000000-0010-0000-0000-00000A000000}" name="Best Practices Guidance"/>
    <tableColumn id="11" xr3:uid="{00000000-0010-0000-0000-00000B000000}" name="Read More"/>
    <tableColumn id="12" xr3:uid="{00000000-0010-0000-0000-00000C000000}" name="Add associated Outage TrackingID and/or Support Request # and/or Service Retirement TrackingID"/>
    <tableColumn id="13" xr3:uid="{00000000-0010-0000-0000-00000D000000}" name="Observation / Annotation"/>
    <tableColumn id="14" xr3:uid="{00000000-0010-0000-0000-00000E000000}" name="Recommendation Id"/>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 displayName="Table2" ref="A1:N184">
  <autoFilter ref="A1:N184" xr:uid="{00000000-0009-0000-0100-000001000000}"/>
  <tableColumns count="14">
    <tableColumn id="1" xr3:uid="{00000000-0010-0000-0100-000001000000}" name="How was the resource/recommendation validated or what actions need to be taken?"/>
    <tableColumn id="2" xr3:uid="{00000000-0010-0000-0100-000002000000}" name="resourceType"/>
    <tableColumn id="3" xr3:uid="{00000000-0010-0000-0100-000003000000}" name="recommendationTitle"/>
    <tableColumn id="4" xr3:uid="{00000000-0010-0000-0100-000004000000}" name="recommendationId"/>
    <tableColumn id="5" xr3:uid="{00000000-0010-0000-0100-000005000000}" name="name"/>
    <tableColumn id="6" xr3:uid="{00000000-0010-0000-0100-000006000000}" name="id"/>
    <tableColumn id="8" xr3:uid="{00000000-0010-0000-0100-000008000000}" name="param1"/>
    <tableColumn id="9" xr3:uid="{00000000-0010-0000-0100-000009000000}" name="param2"/>
    <tableColumn id="10" xr3:uid="{00000000-0010-0000-0100-00000A000000}" name="param3"/>
    <tableColumn id="11" xr3:uid="{00000000-0010-0000-0100-00000B000000}" name="param4"/>
    <tableColumn id="12" xr3:uid="{00000000-0010-0000-0100-00000C000000}" name="param5"/>
    <tableColumn id="13" xr3:uid="{00000000-0010-0000-0100-00000D000000}" name="supportTicketId"/>
    <tableColumn id="14" xr3:uid="{00000000-0010-0000-0100-00000E000000}" name="source"/>
    <tableColumn id="15" xr3:uid="{00000000-0010-0000-0100-00000F000000}" name="checkName"/>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Types" displayName="TableTypes" ref="A1:G18">
  <autoFilter ref="A1:G18" xr:uid="{00000000-0009-0000-0100-000002000000}"/>
  <tableColumns count="7">
    <tableColumn id="1" xr3:uid="{00000000-0010-0000-0200-000001000000}" name="Subscription"/>
    <tableColumn id="2" xr3:uid="{00000000-0010-0000-0200-000002000000}" name="Resource Type"/>
    <tableColumn id="3" xr3:uid="{00000000-0010-0000-0200-000003000000}" name="Number of Resources"/>
    <tableColumn id="4" xr3:uid="{00000000-0010-0000-0200-000004000000}" name="Available in APRL?"/>
    <tableColumn id="5" xr3:uid="{00000000-0010-0000-0200-000005000000}" name="Custom1"/>
    <tableColumn id="6" xr3:uid="{00000000-0010-0000-0200-000006000000}" name="Custom2"/>
    <tableColumn id="7" xr3:uid="{00000000-0010-0000-0200-000007000000}" name="Custom3"/>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Retires" displayName="TableRetires" ref="A1:J13">
  <autoFilter ref="A1:J13" xr:uid="{00000000-0009-0000-0100-000003000000}"/>
  <tableColumns count="10">
    <tableColumn id="1" xr3:uid="{00000000-0010-0000-0300-000001000000}" name="Subscription"/>
    <tableColumn id="2" xr3:uid="{00000000-0010-0000-0300-000002000000}" name="Tracking ID"/>
    <tableColumn id="3" xr3:uid="{00000000-0010-0000-0300-000003000000}" name="Status"/>
    <tableColumn id="4" xr3:uid="{00000000-0010-0000-0300-000004000000}" name="Last Update Time"/>
    <tableColumn id="5" xr3:uid="{00000000-0010-0000-0300-000005000000}" name="End Time"/>
    <tableColumn id="6" xr3:uid="{00000000-0010-0000-0300-000006000000}" name="Impacted Service"/>
    <tableColumn id="7" xr3:uid="{00000000-0010-0000-0300-000007000000}" name="Title"/>
    <tableColumn id="8" xr3:uid="{00000000-0010-0000-0300-000008000000}" name="Summary"/>
    <tableColumn id="9" xr3:uid="{00000000-0010-0000-0300-000009000000}" name="Details"/>
    <tableColumn id="10" xr3:uid="{00000000-0010-0000-0300-00000A000000}" name="Required Actio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earn.microsoft.com/azure/application-gateway/application-gateway-autoscaling-zone-redundant" TargetMode="External"/><Relationship Id="rId21" Type="http://schemas.openxmlformats.org/officeDocument/2006/relationships/hyperlink" Target="https://learn.microsoft.com/azure/azure-monitor/autoscale/autoscale-predictive" TargetMode="External"/><Relationship Id="rId42" Type="http://schemas.openxmlformats.org/officeDocument/2006/relationships/hyperlink" Target="https://learn.microsoft.com/devops/deliver/what-is-infrastructure-as-code" TargetMode="External"/><Relationship Id="rId47" Type="http://schemas.openxmlformats.org/officeDocument/2006/relationships/hyperlink" Target="https://learn.microsoft.com/azure/well-architected/mission-critical/mission-critical-deployment-testing" TargetMode="External"/><Relationship Id="rId63" Type="http://schemas.openxmlformats.org/officeDocument/2006/relationships/hyperlink" Target="https://learn.microsoft.com/azure/well-architected/reliability/metrics" TargetMode="External"/><Relationship Id="rId68" Type="http://schemas.openxmlformats.org/officeDocument/2006/relationships/hyperlink" Target="https://learn.microsoft.com/en-us/azure/azure-sql/database/high-availability-sla?view=azuresql&amp;tabs=azure-powershell" TargetMode="External"/><Relationship Id="rId7" Type="http://schemas.openxmlformats.org/officeDocument/2006/relationships/hyperlink" Target="https://learn.microsoft.com/azure/virtual-network/accelerated-networking-overview" TargetMode="External"/><Relationship Id="rId2" Type="http://schemas.openxmlformats.org/officeDocument/2006/relationships/hyperlink" Target="https://learn.microsoft.com/azure/architecture/checklist/resiliency-per-service" TargetMode="External"/><Relationship Id="rId16" Type="http://schemas.openxmlformats.org/officeDocument/2006/relationships/hyperlink" Target="https://learn.microsoft.com/en-us/azure/virtual-machines/sizes-b-series-burstable" TargetMode="External"/><Relationship Id="rId29" Type="http://schemas.openxmlformats.org/officeDocument/2006/relationships/hyperlink" Target="https://learn.microsoft.com/azure/architecture/checklist/resiliency-per-service" TargetMode="External"/><Relationship Id="rId11" Type="http://schemas.openxmlformats.org/officeDocument/2006/relationships/hyperlink" Target="https://learn.microsoft.com/azure/virtual-network/virtual-networks-name-resolution-for-vms-and-role-instances" TargetMode="External"/><Relationship Id="rId24" Type="http://schemas.openxmlformats.org/officeDocument/2006/relationships/hyperlink" Target="https://learn.microsoft.com/en-us/azure/virtual-machines/disks-types" TargetMode="External"/><Relationship Id="rId32" Type="http://schemas.openxmlformats.org/officeDocument/2006/relationships/hyperlink" Target="https://learn.microsoft.com/azure/storage/blobs/versioning-overview" TargetMode="External"/><Relationship Id="rId37" Type="http://schemas.openxmlformats.org/officeDocument/2006/relationships/hyperlink" Target="https://learn.microsoft.com/azure/architecture/checklist/resiliency-per-service" TargetMode="External"/><Relationship Id="rId40" Type="http://schemas.openxmlformats.org/officeDocument/2006/relationships/hyperlink" Target="https://learn.microsoft.com/azure/app-service-web/web-sites-configure" TargetMode="External"/><Relationship Id="rId45" Type="http://schemas.openxmlformats.org/officeDocument/2006/relationships/hyperlink" Target="https://learn.microsoft.com/azure/well-architected/mission-critical/mission-critical-deployment-testing" TargetMode="External"/><Relationship Id="rId53" Type="http://schemas.openxmlformats.org/officeDocument/2006/relationships/hyperlink" Target="https://learn.microsoft.com/azure/well-architected/resiliency/backup-and-recovery" TargetMode="External"/><Relationship Id="rId58" Type="http://schemas.openxmlformats.org/officeDocument/2006/relationships/hyperlink" Target="https://learn.microsoft.com/azure/well-architected/reliability/self-preservation" TargetMode="External"/><Relationship Id="rId66" Type="http://schemas.openxmlformats.org/officeDocument/2006/relationships/hyperlink" Target="https://learn.microsoft.com/azure/well-architected/resiliency/backup-and-recovery" TargetMode="External"/><Relationship Id="rId5" Type="http://schemas.openxmlformats.org/officeDocument/2006/relationships/hyperlink" Target="https://learn.microsoft.com/azure/virtual-machines/states-billing?context=%2Ftroubleshoot%2Fazure%2Fvirtual-machines%2Fcontext%2Fcontext" TargetMode="External"/><Relationship Id="rId61" Type="http://schemas.openxmlformats.org/officeDocument/2006/relationships/hyperlink" Target="https://learn.microsoft.com/azure/azure-monitor/visualize/workbooks-templates" TargetMode="External"/><Relationship Id="rId19" Type="http://schemas.openxmlformats.org/officeDocument/2006/relationships/hyperlink" Target="https://learn.microsoft.com/azure/virtual-machine-scale-sets/virtual-machine-scale-sets-health-extension?tabs=rest-api" TargetMode="External"/><Relationship Id="rId14" Type="http://schemas.openxmlformats.org/officeDocument/2006/relationships/hyperlink" Target="https://learn.microsoft.com/azure/azure-monitor/essentials/diagnostic-settings?tabs=portal" TargetMode="External"/><Relationship Id="rId22" Type="http://schemas.openxmlformats.org/officeDocument/2006/relationships/hyperlink" Target="https://learn.microsoft.com/azure/virtual-machine-scale-sets/virtual-machine-scale-sets-scale-in-policy" TargetMode="External"/><Relationship Id="rId27" Type="http://schemas.openxmlformats.org/officeDocument/2006/relationships/hyperlink" Target="https://learn.microsoft.com/en-us/azure/application-gateway/configuration-infrastructure" TargetMode="External"/><Relationship Id="rId30" Type="http://schemas.openxmlformats.org/officeDocument/2006/relationships/hyperlink" Target="https://learn.microsoft.com/en-us/azure/load-balancer/load-balancer-standard-availability-zones" TargetMode="External"/><Relationship Id="rId35" Type="http://schemas.openxmlformats.org/officeDocument/2006/relationships/hyperlink" Target="https://learn.microsoft.com/en-us/azure/architecture/checklist/resiliency-per-service" TargetMode="External"/><Relationship Id="rId43" Type="http://schemas.openxmlformats.org/officeDocument/2006/relationships/hyperlink" Target="https://learn.microsoft.com/devops/operate/safe-deployment-practices" TargetMode="External"/><Relationship Id="rId48" Type="http://schemas.openxmlformats.org/officeDocument/2006/relationships/hyperlink" Target="https://learn.microsoft.com/azure/reliability/availability-zones-overview" TargetMode="External"/><Relationship Id="rId56" Type="http://schemas.openxmlformats.org/officeDocument/2006/relationships/hyperlink" Target="https://learn.microsoft.com/azure/architecture/patterns/retry" TargetMode="External"/><Relationship Id="rId64" Type="http://schemas.openxmlformats.org/officeDocument/2006/relationships/hyperlink" Target="https://learn.microsoft.com/azure/well-architected/resiliency/testing" TargetMode="External"/><Relationship Id="rId69" Type="http://schemas.openxmlformats.org/officeDocument/2006/relationships/table" Target="../tables/table1.xml"/><Relationship Id="rId8" Type="http://schemas.openxmlformats.org/officeDocument/2006/relationships/hyperlink" Target="https://learn.microsoft.com/azure/load-balancer/load-balancer-outbound-connections" TargetMode="External"/><Relationship Id="rId51" Type="http://schemas.openxmlformats.org/officeDocument/2006/relationships/hyperlink" Target="https://learn.microsoft.com/azure/architecture/guide/design-principles/scale-out" TargetMode="External"/><Relationship Id="rId3" Type="http://schemas.openxmlformats.org/officeDocument/2006/relationships/hyperlink" Target="https://learn.microsoft.com/azure/backup/backup-overview" TargetMode="External"/><Relationship Id="rId12" Type="http://schemas.openxmlformats.org/officeDocument/2006/relationships/hyperlink" Target="https://learn.microsoft.com/azure/virtual-machines/disks-enable-private-links-for-import-export-portal" TargetMode="External"/><Relationship Id="rId17" Type="http://schemas.openxmlformats.org/officeDocument/2006/relationships/hyperlink" Target="https://learn.microsoft.com/en-us/azure/virtual-machines/disks-types" TargetMode="External"/><Relationship Id="rId25" Type="http://schemas.openxmlformats.org/officeDocument/2006/relationships/hyperlink" Target="https://learn.microsoft.com/en-us/azure/site-recovery/site-recovery-overview" TargetMode="External"/><Relationship Id="rId33" Type="http://schemas.openxmlformats.org/officeDocument/2006/relationships/hyperlink" Target="https://learn.microsoft.com/en-us/azure/architecture/checklist/resiliency-per-service" TargetMode="External"/><Relationship Id="rId38" Type="http://schemas.openxmlformats.org/officeDocument/2006/relationships/hyperlink" Target="https://learn.microsoft.com/azure/architecture/checklist/resiliency-per-service" TargetMode="External"/><Relationship Id="rId46" Type="http://schemas.openxmlformats.org/officeDocument/2006/relationships/hyperlink" Target="https://learn.microsoft.com/azure/well-architected/mission-critical/mission-critical-deployment-testing" TargetMode="External"/><Relationship Id="rId59" Type="http://schemas.openxmlformats.org/officeDocument/2006/relationships/hyperlink" Target="https://learn.microsoft.com/azure/architecture/patterns/circuit-breaker" TargetMode="External"/><Relationship Id="rId67" Type="http://schemas.openxmlformats.org/officeDocument/2006/relationships/hyperlink" Target="https://learn.microsoft.com/en-us/azure/well-architected/reliability/testing-strategy" TargetMode="External"/><Relationship Id="rId20" Type="http://schemas.openxmlformats.org/officeDocument/2006/relationships/hyperlink" Target="https://learn.microsoft.com/azure/virtual-machine-scale-sets/virtual-machine-scale-sets-automatic-instance-repairs" TargetMode="External"/><Relationship Id="rId41" Type="http://schemas.openxmlformats.org/officeDocument/2006/relationships/hyperlink" Target="https://learn.microsoft.com/azure/well-architected/resiliency/design-requirements" TargetMode="External"/><Relationship Id="rId54" Type="http://schemas.openxmlformats.org/officeDocument/2006/relationships/hyperlink" Target="https://learn.microsoft.com/azure/well-architected/security/design-identity" TargetMode="External"/><Relationship Id="rId62" Type="http://schemas.openxmlformats.org/officeDocument/2006/relationships/hyperlink" Target="https://learn.microsoft.com/azure/service-health/alerts-activity-log-service-notifications-portal" TargetMode="External"/><Relationship Id="rId1" Type="http://schemas.openxmlformats.org/officeDocument/2006/relationships/hyperlink" Target="https://learn.microsoft.com/azure/virtual-machines/create-portal-availability-zone?tabs=standard" TargetMode="External"/><Relationship Id="rId6" Type="http://schemas.openxmlformats.org/officeDocument/2006/relationships/hyperlink" Target="https://learn.microsoft.com/azure/virtual-network/accelerated-networking-overview" TargetMode="External"/><Relationship Id="rId15" Type="http://schemas.openxmlformats.org/officeDocument/2006/relationships/hyperlink" Target="https://learn.microsoft.com/azure/virtual-machines/maintenance-configurations" TargetMode="External"/><Relationship Id="rId23" Type="http://schemas.openxmlformats.org/officeDocument/2006/relationships/hyperlink" Target="https://learn.microsoft.com/en-us/azure/virtual-machines/deprecated-images" TargetMode="External"/><Relationship Id="rId28" Type="http://schemas.openxmlformats.org/officeDocument/2006/relationships/hyperlink" Target="https://learn.microsoft.com/azure/architecture/checklist/resiliency-per-service" TargetMode="External"/><Relationship Id="rId36" Type="http://schemas.openxmlformats.org/officeDocument/2006/relationships/hyperlink" Target="https://learn.microsoft.com/azure/app-service/troubleshoot-diagnostic-logs" TargetMode="External"/><Relationship Id="rId49" Type="http://schemas.openxmlformats.org/officeDocument/2006/relationships/hyperlink" Target="https://learn.microsoft.com/azure/architecture/resiliency/failure-mode-analysis" TargetMode="External"/><Relationship Id="rId57" Type="http://schemas.openxmlformats.org/officeDocument/2006/relationships/hyperlink" Target="https://azure.microsoft.com/blog/ensure-zone-resilient-outbound-connectivity-with-nat-gateway/" TargetMode="External"/><Relationship Id="rId10" Type="http://schemas.openxmlformats.org/officeDocument/2006/relationships/hyperlink" Target="https://learn.microsoft.com/azure/virtual-network/virtual-network-network-interface?tabs=network-interface-portal" TargetMode="External"/><Relationship Id="rId31" Type="http://schemas.openxmlformats.org/officeDocument/2006/relationships/hyperlink" Target="https://learn.microsoft.com/azure/storage/blobs/soft-delete-blob-enable?tabs=azure-portal" TargetMode="External"/><Relationship Id="rId44" Type="http://schemas.openxmlformats.org/officeDocument/2006/relationships/hyperlink" Target="https://learn.microsoft.com/azure/well-architected/mission-critical/mission-critical-deployment-testing" TargetMode="External"/><Relationship Id="rId52" Type="http://schemas.openxmlformats.org/officeDocument/2006/relationships/hyperlink" Target="https://learn.microsoft.com/azure/well-architected/security/design-governance-landing-zone" TargetMode="External"/><Relationship Id="rId60" Type="http://schemas.openxmlformats.org/officeDocument/2006/relationships/hyperlink" Target="https://learn.microsoft.com/azure/well-architected/resiliency/monitoring" TargetMode="External"/><Relationship Id="rId65" Type="http://schemas.openxmlformats.org/officeDocument/2006/relationships/hyperlink" Target="https://learn.microsoft.com/azure/well-architected/resiliency/app-design-error-handling" TargetMode="External"/><Relationship Id="rId4" Type="http://schemas.openxmlformats.org/officeDocument/2006/relationships/hyperlink" Target="https://learn.microsoft.com/azure/virtual-machines/disks-types" TargetMode="External"/><Relationship Id="rId9" Type="http://schemas.openxmlformats.org/officeDocument/2006/relationships/hyperlink" Target="https://learn.microsoft.com/azure/virtual-network/network-security-group-how-it-works" TargetMode="External"/><Relationship Id="rId13" Type="http://schemas.openxmlformats.org/officeDocument/2006/relationships/hyperlink" Target="https://learn.microsoft.com/azure/virtual-machines/disk-encryption-overview" TargetMode="External"/><Relationship Id="rId18" Type="http://schemas.openxmlformats.org/officeDocument/2006/relationships/hyperlink" Target="https://aka.ms/zrsdisksdoc" TargetMode="External"/><Relationship Id="rId39" Type="http://schemas.openxmlformats.org/officeDocument/2006/relationships/hyperlink" Target="https://learn.microsoft.com/azure/app-service-web/web-sites-staged-publishing" TargetMode="External"/><Relationship Id="rId34" Type="http://schemas.openxmlformats.org/officeDocument/2006/relationships/hyperlink" Target="https://learn.microsoft.com/en-us/azure/architecture/checklist/resiliency-per-service" TargetMode="External"/><Relationship Id="rId50" Type="http://schemas.openxmlformats.org/officeDocument/2006/relationships/hyperlink" Target="https://learn.microsoft.com/azure/architecture/guide/design-principles/managed-services" TargetMode="External"/><Relationship Id="rId55" Type="http://schemas.openxmlformats.org/officeDocument/2006/relationships/hyperlink" Target="https://learn.microsoft.com/azure/well-architected/security/security-principle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definitionname:" TargetMode="External"/><Relationship Id="rId21" Type="http://schemas.openxmlformats.org/officeDocument/2006/relationships/hyperlink" Target="isperformanceenabled:" TargetMode="External"/><Relationship Id="rId42" Type="http://schemas.openxmlformats.org/officeDocument/2006/relationships/hyperlink" Target="definitionname:" TargetMode="External"/><Relationship Id="rId63" Type="http://schemas.openxmlformats.org/officeDocument/2006/relationships/hyperlink" Target="definitionname:" TargetMode="External"/><Relationship Id="rId84" Type="http://schemas.openxmlformats.org/officeDocument/2006/relationships/hyperlink" Target="definitionname:" TargetMode="External"/><Relationship Id="rId138" Type="http://schemas.openxmlformats.org/officeDocument/2006/relationships/hyperlink" Target="assignmentname:" TargetMode="External"/><Relationship Id="rId159" Type="http://schemas.openxmlformats.org/officeDocument/2006/relationships/hyperlink" Target="definitionname:" TargetMode="External"/><Relationship Id="rId107" Type="http://schemas.openxmlformats.org/officeDocument/2006/relationships/hyperlink" Target="definitionname:" TargetMode="External"/><Relationship Id="rId11" Type="http://schemas.openxmlformats.org/officeDocument/2006/relationships/hyperlink" Target="datacollectionruleid:/subscriptions/00000000-0000-0000-0000-000000000000/resourcegroups/ch1-opsrg-pri/providers/microsoft.insights/datacollectionrules/microsoft-vminsights-health" TargetMode="External"/><Relationship Id="rId32" Type="http://schemas.openxmlformats.org/officeDocument/2006/relationships/hyperlink" Target="assignmentname:" TargetMode="External"/><Relationship Id="rId53" Type="http://schemas.openxmlformats.org/officeDocument/2006/relationships/hyperlink" Target="definitionname:" TargetMode="External"/><Relationship Id="rId74" Type="http://schemas.openxmlformats.org/officeDocument/2006/relationships/hyperlink" Target="definitionname:" TargetMode="External"/><Relationship Id="rId128" Type="http://schemas.openxmlformats.org/officeDocument/2006/relationships/hyperlink" Target="assignmentname:" TargetMode="External"/><Relationship Id="rId149" Type="http://schemas.openxmlformats.org/officeDocument/2006/relationships/hyperlink" Target="assignmentname:" TargetMode="External"/><Relationship Id="rId5" Type="http://schemas.openxmlformats.org/officeDocument/2006/relationships/hyperlink" Target="datacollectionruleid://subscriptions/00000000-0000-0000-0000-000000000000/resourcegroups/ch1-opsrg-pri/providers/microsoft.insights/datacollectionrules/microsoft-vminsights-health" TargetMode="External"/><Relationship Id="rId95" Type="http://schemas.openxmlformats.org/officeDocument/2006/relationships/hyperlink" Target="definitionname:" TargetMode="External"/><Relationship Id="rId160" Type="http://schemas.openxmlformats.org/officeDocument/2006/relationships/hyperlink" Target="definitionname:" TargetMode="External"/><Relationship Id="rId22" Type="http://schemas.openxmlformats.org/officeDocument/2006/relationships/hyperlink" Target="monitoringextension:AzureMonitorWindowsAgent" TargetMode="External"/><Relationship Id="rId43" Type="http://schemas.openxmlformats.org/officeDocument/2006/relationships/hyperlink" Target="definitionname:" TargetMode="External"/><Relationship Id="rId64" Type="http://schemas.openxmlformats.org/officeDocument/2006/relationships/hyperlink" Target="definitionname:" TargetMode="External"/><Relationship Id="rId118" Type="http://schemas.openxmlformats.org/officeDocument/2006/relationships/hyperlink" Target="assignmentname:" TargetMode="External"/><Relationship Id="rId139" Type="http://schemas.openxmlformats.org/officeDocument/2006/relationships/hyperlink" Target="definitionname:" TargetMode="External"/><Relationship Id="rId85" Type="http://schemas.openxmlformats.org/officeDocument/2006/relationships/hyperlink" Target="definitionname:" TargetMode="External"/><Relationship Id="rId150" Type="http://schemas.openxmlformats.org/officeDocument/2006/relationships/hyperlink" Target="definitionname:" TargetMode="External"/><Relationship Id="rId12" Type="http://schemas.openxmlformats.org/officeDocument/2006/relationships/hyperlink" Target="isperformanceenabled:" TargetMode="External"/><Relationship Id="rId17" Type="http://schemas.openxmlformats.org/officeDocument/2006/relationships/hyperlink" Target="datacollectionruleid:/subscriptions/00000000-0000-0000-0000-000000000000/resourcegroups/ch1-opsrg-pri/providers/microsoft.insights/datacollectionrules/microsoft-vminsights-health" TargetMode="External"/><Relationship Id="rId33" Type="http://schemas.openxmlformats.org/officeDocument/2006/relationships/hyperlink" Target="definitionname:" TargetMode="External"/><Relationship Id="rId38" Type="http://schemas.openxmlformats.org/officeDocument/2006/relationships/hyperlink" Target="assignmentname:" TargetMode="External"/><Relationship Id="rId59" Type="http://schemas.openxmlformats.org/officeDocument/2006/relationships/hyperlink" Target="definitionname:" TargetMode="External"/><Relationship Id="rId103" Type="http://schemas.openxmlformats.org/officeDocument/2006/relationships/hyperlink" Target="definitionname:" TargetMode="External"/><Relationship Id="rId108" Type="http://schemas.openxmlformats.org/officeDocument/2006/relationships/hyperlink" Target="assignmentname:" TargetMode="External"/><Relationship Id="rId124" Type="http://schemas.openxmlformats.org/officeDocument/2006/relationships/hyperlink" Target="assignmentname:" TargetMode="External"/><Relationship Id="rId129" Type="http://schemas.openxmlformats.org/officeDocument/2006/relationships/hyperlink" Target="definitionname:" TargetMode="External"/><Relationship Id="rId54" Type="http://schemas.openxmlformats.org/officeDocument/2006/relationships/hyperlink" Target="assignmentname:" TargetMode="External"/><Relationship Id="rId70" Type="http://schemas.openxmlformats.org/officeDocument/2006/relationships/hyperlink" Target="assignmentname:" TargetMode="External"/><Relationship Id="rId75" Type="http://schemas.openxmlformats.org/officeDocument/2006/relationships/hyperlink" Target="definitionname:" TargetMode="External"/><Relationship Id="rId91" Type="http://schemas.openxmlformats.org/officeDocument/2006/relationships/hyperlink" Target="assignmentname:" TargetMode="External"/><Relationship Id="rId96" Type="http://schemas.openxmlformats.org/officeDocument/2006/relationships/hyperlink" Target="definitionname:" TargetMode="External"/><Relationship Id="rId140" Type="http://schemas.openxmlformats.org/officeDocument/2006/relationships/hyperlink" Target="assignmentname:" TargetMode="External"/><Relationship Id="rId145" Type="http://schemas.openxmlformats.org/officeDocument/2006/relationships/hyperlink" Target="assignmentname:" TargetMode="External"/><Relationship Id="rId161" Type="http://schemas.openxmlformats.org/officeDocument/2006/relationships/hyperlink" Target="assignmentname:" TargetMode="External"/><Relationship Id="rId1" Type="http://schemas.openxmlformats.org/officeDocument/2006/relationships/hyperlink" Target="monitoringextension:AzureMonitorWindowsAgent" TargetMode="External"/><Relationship Id="rId6" Type="http://schemas.openxmlformats.org/officeDocument/2006/relationships/hyperlink" Target="isperformanceenabled:" TargetMode="External"/><Relationship Id="rId23" Type="http://schemas.openxmlformats.org/officeDocument/2006/relationships/hyperlink" Target="datacollectionruleid:" TargetMode="External"/><Relationship Id="rId28" Type="http://schemas.openxmlformats.org/officeDocument/2006/relationships/hyperlink" Target="monitoringextension:AzureMonitorLinuxAgent" TargetMode="External"/><Relationship Id="rId49" Type="http://schemas.openxmlformats.org/officeDocument/2006/relationships/hyperlink" Target="definitionname:" TargetMode="External"/><Relationship Id="rId114" Type="http://schemas.openxmlformats.org/officeDocument/2006/relationships/hyperlink" Target="definitionname:" TargetMode="External"/><Relationship Id="rId119" Type="http://schemas.openxmlformats.org/officeDocument/2006/relationships/hyperlink" Target="definitionname:" TargetMode="External"/><Relationship Id="rId44" Type="http://schemas.openxmlformats.org/officeDocument/2006/relationships/hyperlink" Target="definitionname:" TargetMode="External"/><Relationship Id="rId60" Type="http://schemas.openxmlformats.org/officeDocument/2006/relationships/hyperlink" Target="assignmentname:" TargetMode="External"/><Relationship Id="rId65" Type="http://schemas.openxmlformats.org/officeDocument/2006/relationships/hyperlink" Target="definitionname:" TargetMode="External"/><Relationship Id="rId81" Type="http://schemas.openxmlformats.org/officeDocument/2006/relationships/hyperlink" Target="definitionname:" TargetMode="External"/><Relationship Id="rId86" Type="http://schemas.openxmlformats.org/officeDocument/2006/relationships/hyperlink" Target="assignmentname:" TargetMode="External"/><Relationship Id="rId130" Type="http://schemas.openxmlformats.org/officeDocument/2006/relationships/hyperlink" Target="assignmentname:" TargetMode="External"/><Relationship Id="rId135" Type="http://schemas.openxmlformats.org/officeDocument/2006/relationships/hyperlink" Target="definitionname:" TargetMode="External"/><Relationship Id="rId151" Type="http://schemas.openxmlformats.org/officeDocument/2006/relationships/hyperlink" Target="assignmentname:" TargetMode="External"/><Relationship Id="rId156" Type="http://schemas.openxmlformats.org/officeDocument/2006/relationships/hyperlink" Target="definitionname:" TargetMode="External"/><Relationship Id="rId13" Type="http://schemas.openxmlformats.org/officeDocument/2006/relationships/hyperlink" Target="monitoringextension:AzureMonitorWindowsAgent" TargetMode="External"/><Relationship Id="rId18" Type="http://schemas.openxmlformats.org/officeDocument/2006/relationships/hyperlink" Target="isperformanceenabled:" TargetMode="External"/><Relationship Id="rId39" Type="http://schemas.openxmlformats.org/officeDocument/2006/relationships/hyperlink" Target="definitionname:" TargetMode="External"/><Relationship Id="rId109" Type="http://schemas.openxmlformats.org/officeDocument/2006/relationships/hyperlink" Target="definitionname:" TargetMode="External"/><Relationship Id="rId34" Type="http://schemas.openxmlformats.org/officeDocument/2006/relationships/hyperlink" Target="assignmentname:" TargetMode="External"/><Relationship Id="rId50" Type="http://schemas.openxmlformats.org/officeDocument/2006/relationships/hyperlink" Target="definitionname:" TargetMode="External"/><Relationship Id="rId55" Type="http://schemas.openxmlformats.org/officeDocument/2006/relationships/hyperlink" Target="definitionname:" TargetMode="External"/><Relationship Id="rId76" Type="http://schemas.openxmlformats.org/officeDocument/2006/relationships/hyperlink" Target="assignmentname:" TargetMode="External"/><Relationship Id="rId97" Type="http://schemas.openxmlformats.org/officeDocument/2006/relationships/hyperlink" Target="assignmentname:" TargetMode="External"/><Relationship Id="rId104" Type="http://schemas.openxmlformats.org/officeDocument/2006/relationships/hyperlink" Target="assignmentname:" TargetMode="External"/><Relationship Id="rId120" Type="http://schemas.openxmlformats.org/officeDocument/2006/relationships/hyperlink" Target="definitionname:" TargetMode="External"/><Relationship Id="rId125" Type="http://schemas.openxmlformats.org/officeDocument/2006/relationships/hyperlink" Target="definitionname:" TargetMode="External"/><Relationship Id="rId141" Type="http://schemas.openxmlformats.org/officeDocument/2006/relationships/hyperlink" Target="definitionname:" TargetMode="External"/><Relationship Id="rId146" Type="http://schemas.openxmlformats.org/officeDocument/2006/relationships/hyperlink" Target="definitionname:" TargetMode="External"/><Relationship Id="rId7" Type="http://schemas.openxmlformats.org/officeDocument/2006/relationships/hyperlink" Target="monitoringextension:AzureMonitorWindowsAgent" TargetMode="External"/><Relationship Id="rId71" Type="http://schemas.openxmlformats.org/officeDocument/2006/relationships/hyperlink" Target="definitionname:" TargetMode="External"/><Relationship Id="rId92" Type="http://schemas.openxmlformats.org/officeDocument/2006/relationships/hyperlink" Target="definitionname:" TargetMode="External"/><Relationship Id="rId162" Type="http://schemas.openxmlformats.org/officeDocument/2006/relationships/table" Target="../tables/table2.xml"/><Relationship Id="rId2" Type="http://schemas.openxmlformats.org/officeDocument/2006/relationships/hyperlink" Target="datacollectionruleid:" TargetMode="External"/><Relationship Id="rId29" Type="http://schemas.openxmlformats.org/officeDocument/2006/relationships/hyperlink" Target="datacollectionruleid:/subscriptions/00000000-0000-0000-0000-000000000000/resourcegroups/ch1-opsrg-pri/providers/microsoft.insights/datacollectionrules/microsoft-vminsights-health" TargetMode="External"/><Relationship Id="rId24" Type="http://schemas.openxmlformats.org/officeDocument/2006/relationships/hyperlink" Target="isperformanceenabled:" TargetMode="External"/><Relationship Id="rId40" Type="http://schemas.openxmlformats.org/officeDocument/2006/relationships/hyperlink" Target="assignmentname:" TargetMode="External"/><Relationship Id="rId45" Type="http://schemas.openxmlformats.org/officeDocument/2006/relationships/hyperlink" Target="definitionname:" TargetMode="External"/><Relationship Id="rId66" Type="http://schemas.openxmlformats.org/officeDocument/2006/relationships/hyperlink" Target="assignmentname:" TargetMode="External"/><Relationship Id="rId87" Type="http://schemas.openxmlformats.org/officeDocument/2006/relationships/hyperlink" Target="definitionname:" TargetMode="External"/><Relationship Id="rId110" Type="http://schemas.openxmlformats.org/officeDocument/2006/relationships/hyperlink" Target="definitionname:" TargetMode="External"/><Relationship Id="rId115" Type="http://schemas.openxmlformats.org/officeDocument/2006/relationships/hyperlink" Target="definitionname:" TargetMode="External"/><Relationship Id="rId131" Type="http://schemas.openxmlformats.org/officeDocument/2006/relationships/hyperlink" Target="definitionname:" TargetMode="External"/><Relationship Id="rId136" Type="http://schemas.openxmlformats.org/officeDocument/2006/relationships/hyperlink" Target="definitionname:" TargetMode="External"/><Relationship Id="rId157" Type="http://schemas.openxmlformats.org/officeDocument/2006/relationships/hyperlink" Target="definitionname:" TargetMode="External"/><Relationship Id="rId61" Type="http://schemas.openxmlformats.org/officeDocument/2006/relationships/hyperlink" Target="definitionname:" TargetMode="External"/><Relationship Id="rId82" Type="http://schemas.openxmlformats.org/officeDocument/2006/relationships/hyperlink" Target="assignmentname:" TargetMode="External"/><Relationship Id="rId152" Type="http://schemas.openxmlformats.org/officeDocument/2006/relationships/hyperlink" Target="definitionname:" TargetMode="External"/><Relationship Id="rId19" Type="http://schemas.openxmlformats.org/officeDocument/2006/relationships/hyperlink" Target="monitoringextension:AzureMonitorWindowsAgent" TargetMode="External"/><Relationship Id="rId14" Type="http://schemas.openxmlformats.org/officeDocument/2006/relationships/hyperlink" Target="datacollectionruleid:" TargetMode="External"/><Relationship Id="rId30" Type="http://schemas.openxmlformats.org/officeDocument/2006/relationships/hyperlink" Target="isperformanceenabled:" TargetMode="External"/><Relationship Id="rId35" Type="http://schemas.openxmlformats.org/officeDocument/2006/relationships/hyperlink" Target="definitionname:" TargetMode="External"/><Relationship Id="rId56" Type="http://schemas.openxmlformats.org/officeDocument/2006/relationships/hyperlink" Target="assignmentname:" TargetMode="External"/><Relationship Id="rId77" Type="http://schemas.openxmlformats.org/officeDocument/2006/relationships/hyperlink" Target="definitionname:" TargetMode="External"/><Relationship Id="rId100" Type="http://schemas.openxmlformats.org/officeDocument/2006/relationships/hyperlink" Target="definitionname:" TargetMode="External"/><Relationship Id="rId105" Type="http://schemas.openxmlformats.org/officeDocument/2006/relationships/hyperlink" Target="definitionname:" TargetMode="External"/><Relationship Id="rId126" Type="http://schemas.openxmlformats.org/officeDocument/2006/relationships/hyperlink" Target="assignmentname:" TargetMode="External"/><Relationship Id="rId147" Type="http://schemas.openxmlformats.org/officeDocument/2006/relationships/hyperlink" Target="assignmentname:" TargetMode="External"/><Relationship Id="rId8" Type="http://schemas.openxmlformats.org/officeDocument/2006/relationships/hyperlink" Target="datacollectionruleid:" TargetMode="External"/><Relationship Id="rId51" Type="http://schemas.openxmlformats.org/officeDocument/2006/relationships/hyperlink" Target="definitionname:" TargetMode="External"/><Relationship Id="rId72" Type="http://schemas.openxmlformats.org/officeDocument/2006/relationships/hyperlink" Target="definitionname:" TargetMode="External"/><Relationship Id="rId93" Type="http://schemas.openxmlformats.org/officeDocument/2006/relationships/hyperlink" Target="assignmentname:" TargetMode="External"/><Relationship Id="rId98" Type="http://schemas.openxmlformats.org/officeDocument/2006/relationships/hyperlink" Target="definitionname:" TargetMode="External"/><Relationship Id="rId121" Type="http://schemas.openxmlformats.org/officeDocument/2006/relationships/hyperlink" Target="definitionname:" TargetMode="External"/><Relationship Id="rId142" Type="http://schemas.openxmlformats.org/officeDocument/2006/relationships/hyperlink" Target="assignmentname:" TargetMode="External"/><Relationship Id="rId3" Type="http://schemas.openxmlformats.org/officeDocument/2006/relationships/hyperlink" Target="isperformanceenabled:" TargetMode="External"/><Relationship Id="rId25" Type="http://schemas.openxmlformats.org/officeDocument/2006/relationships/hyperlink" Target="monitoringextension:AzureMonitorLinuxAgent" TargetMode="External"/><Relationship Id="rId46" Type="http://schemas.openxmlformats.org/officeDocument/2006/relationships/hyperlink" Target="assignmentname:" TargetMode="External"/><Relationship Id="rId67" Type="http://schemas.openxmlformats.org/officeDocument/2006/relationships/hyperlink" Target="definitionname:" TargetMode="External"/><Relationship Id="rId116" Type="http://schemas.openxmlformats.org/officeDocument/2006/relationships/hyperlink" Target="assignmentname:" TargetMode="External"/><Relationship Id="rId137" Type="http://schemas.openxmlformats.org/officeDocument/2006/relationships/hyperlink" Target="definitionname:" TargetMode="External"/><Relationship Id="rId158" Type="http://schemas.openxmlformats.org/officeDocument/2006/relationships/hyperlink" Target="assignmentname:" TargetMode="External"/><Relationship Id="rId20" Type="http://schemas.openxmlformats.org/officeDocument/2006/relationships/hyperlink" Target="datacollectionruleid:/subscriptions/00000000-0000-0000-0000-000000000000/resourcegroups/ch1-opsrg-pri/providers/microsoft.insights/datacollectionrules/microsoft-vminsights-health" TargetMode="External"/><Relationship Id="rId41" Type="http://schemas.openxmlformats.org/officeDocument/2006/relationships/hyperlink" Target="definitionname:" TargetMode="External"/><Relationship Id="rId62" Type="http://schemas.openxmlformats.org/officeDocument/2006/relationships/hyperlink" Target="assignmentname:" TargetMode="External"/><Relationship Id="rId83" Type="http://schemas.openxmlformats.org/officeDocument/2006/relationships/hyperlink" Target="definitionname:" TargetMode="External"/><Relationship Id="rId88" Type="http://schemas.openxmlformats.org/officeDocument/2006/relationships/hyperlink" Target="assignmentname:" TargetMode="External"/><Relationship Id="rId111" Type="http://schemas.openxmlformats.org/officeDocument/2006/relationships/hyperlink" Target="definitionname:" TargetMode="External"/><Relationship Id="rId132" Type="http://schemas.openxmlformats.org/officeDocument/2006/relationships/hyperlink" Target="definitionname:" TargetMode="External"/><Relationship Id="rId153" Type="http://schemas.openxmlformats.org/officeDocument/2006/relationships/hyperlink" Target="definitionname:" TargetMode="External"/><Relationship Id="rId15" Type="http://schemas.openxmlformats.org/officeDocument/2006/relationships/hyperlink" Target="isperformanceenabled:" TargetMode="External"/><Relationship Id="rId36" Type="http://schemas.openxmlformats.org/officeDocument/2006/relationships/hyperlink" Target="definitionname:" TargetMode="External"/><Relationship Id="rId57" Type="http://schemas.openxmlformats.org/officeDocument/2006/relationships/hyperlink" Target="definitionname:" TargetMode="External"/><Relationship Id="rId106" Type="http://schemas.openxmlformats.org/officeDocument/2006/relationships/hyperlink" Target="assignmentname:" TargetMode="External"/><Relationship Id="rId127" Type="http://schemas.openxmlformats.org/officeDocument/2006/relationships/hyperlink" Target="definitionname:" TargetMode="External"/><Relationship Id="rId10" Type="http://schemas.openxmlformats.org/officeDocument/2006/relationships/hyperlink" Target="monitoringextension:AzureMonitorWindowsAgent" TargetMode="External"/><Relationship Id="rId31" Type="http://schemas.openxmlformats.org/officeDocument/2006/relationships/hyperlink" Target="definitionname:" TargetMode="External"/><Relationship Id="rId52" Type="http://schemas.openxmlformats.org/officeDocument/2006/relationships/hyperlink" Target="assignmentname:" TargetMode="External"/><Relationship Id="rId73" Type="http://schemas.openxmlformats.org/officeDocument/2006/relationships/hyperlink" Target="assignmentname:" TargetMode="External"/><Relationship Id="rId78" Type="http://schemas.openxmlformats.org/officeDocument/2006/relationships/hyperlink" Target="assignmentname:" TargetMode="External"/><Relationship Id="rId94" Type="http://schemas.openxmlformats.org/officeDocument/2006/relationships/hyperlink" Target="definitionname:" TargetMode="External"/><Relationship Id="rId99" Type="http://schemas.openxmlformats.org/officeDocument/2006/relationships/hyperlink" Target="assignmentname:" TargetMode="External"/><Relationship Id="rId101" Type="http://schemas.openxmlformats.org/officeDocument/2006/relationships/hyperlink" Target="definitionname:" TargetMode="External"/><Relationship Id="rId122" Type="http://schemas.openxmlformats.org/officeDocument/2006/relationships/hyperlink" Target="assignmentname:" TargetMode="External"/><Relationship Id="rId143" Type="http://schemas.openxmlformats.org/officeDocument/2006/relationships/hyperlink" Target="definitionname:" TargetMode="External"/><Relationship Id="rId148" Type="http://schemas.openxmlformats.org/officeDocument/2006/relationships/hyperlink" Target="definitionname:" TargetMode="External"/><Relationship Id="rId4" Type="http://schemas.openxmlformats.org/officeDocument/2006/relationships/hyperlink" Target="monitoringextension:AzureMonitorWindowsAgent" TargetMode="External"/><Relationship Id="rId9" Type="http://schemas.openxmlformats.org/officeDocument/2006/relationships/hyperlink" Target="isperformanceenabled:" TargetMode="External"/><Relationship Id="rId26" Type="http://schemas.openxmlformats.org/officeDocument/2006/relationships/hyperlink" Target="datacollectionruleid:" TargetMode="External"/><Relationship Id="rId47" Type="http://schemas.openxmlformats.org/officeDocument/2006/relationships/hyperlink" Target="definitionname:" TargetMode="External"/><Relationship Id="rId68" Type="http://schemas.openxmlformats.org/officeDocument/2006/relationships/hyperlink" Target="definitionname:" TargetMode="External"/><Relationship Id="rId89" Type="http://schemas.openxmlformats.org/officeDocument/2006/relationships/hyperlink" Target="definitionname:" TargetMode="External"/><Relationship Id="rId112" Type="http://schemas.openxmlformats.org/officeDocument/2006/relationships/hyperlink" Target="definitionname:" TargetMode="External"/><Relationship Id="rId133" Type="http://schemas.openxmlformats.org/officeDocument/2006/relationships/hyperlink" Target="assignmentname:" TargetMode="External"/><Relationship Id="rId154" Type="http://schemas.openxmlformats.org/officeDocument/2006/relationships/hyperlink" Target="definitionname:" TargetMode="External"/><Relationship Id="rId16" Type="http://schemas.openxmlformats.org/officeDocument/2006/relationships/hyperlink" Target="monitoringextension:AzureMonitorWindowsAgent" TargetMode="External"/><Relationship Id="rId37" Type="http://schemas.openxmlformats.org/officeDocument/2006/relationships/hyperlink" Target="definitionname:" TargetMode="External"/><Relationship Id="rId58" Type="http://schemas.openxmlformats.org/officeDocument/2006/relationships/hyperlink" Target="assignmentname:" TargetMode="External"/><Relationship Id="rId79" Type="http://schemas.openxmlformats.org/officeDocument/2006/relationships/hyperlink" Target="definitionname:" TargetMode="External"/><Relationship Id="rId102" Type="http://schemas.openxmlformats.org/officeDocument/2006/relationships/hyperlink" Target="definitionname:" TargetMode="External"/><Relationship Id="rId123" Type="http://schemas.openxmlformats.org/officeDocument/2006/relationships/hyperlink" Target="definitionname:" TargetMode="External"/><Relationship Id="rId144" Type="http://schemas.openxmlformats.org/officeDocument/2006/relationships/hyperlink" Target="definitionname:" TargetMode="External"/><Relationship Id="rId90" Type="http://schemas.openxmlformats.org/officeDocument/2006/relationships/hyperlink" Target="definitionname:" TargetMode="External"/><Relationship Id="rId27" Type="http://schemas.openxmlformats.org/officeDocument/2006/relationships/hyperlink" Target="isperformanceenabled:" TargetMode="External"/><Relationship Id="rId48" Type="http://schemas.openxmlformats.org/officeDocument/2006/relationships/hyperlink" Target="assignmentname:" TargetMode="External"/><Relationship Id="rId69" Type="http://schemas.openxmlformats.org/officeDocument/2006/relationships/hyperlink" Target="definitionname:" TargetMode="External"/><Relationship Id="rId113" Type="http://schemas.openxmlformats.org/officeDocument/2006/relationships/hyperlink" Target="assignmentname:" TargetMode="External"/><Relationship Id="rId134" Type="http://schemas.openxmlformats.org/officeDocument/2006/relationships/hyperlink" Target="definitionname:" TargetMode="External"/><Relationship Id="rId80" Type="http://schemas.openxmlformats.org/officeDocument/2006/relationships/hyperlink" Target="assignmentname:" TargetMode="External"/><Relationship Id="rId155" Type="http://schemas.openxmlformats.org/officeDocument/2006/relationships/hyperlink" Target="assignmentnam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0"/>
  <sheetViews>
    <sheetView tabSelected="1" workbookViewId="0">
      <selection activeCell="E5" sqref="E5"/>
    </sheetView>
  </sheetViews>
  <sheetFormatPr defaultRowHeight="14.25" x14ac:dyDescent="0.45"/>
  <cols>
    <col min="1" max="2" width="14" style="10" customWidth="1"/>
    <col min="3" max="3" width="18" style="10" customWidth="1"/>
    <col min="4" max="4" width="20" style="10" customWidth="1"/>
    <col min="5" max="6" width="35" style="10" customWidth="1"/>
    <col min="7" max="7" width="20" style="10" customWidth="1"/>
    <col min="8" max="8" width="55" style="10" customWidth="1"/>
    <col min="9" max="9" width="10" style="10" customWidth="1"/>
    <col min="10" max="10" width="90" style="10" customWidth="1"/>
    <col min="11" max="11" width="45" style="10" customWidth="1"/>
    <col min="12" max="13" width="35" style="10" customWidth="1"/>
    <col min="14" max="14" width="45" style="10" customWidth="1"/>
  </cols>
  <sheetData>
    <row r="1" spans="1:14" ht="42.75" x14ac:dyDescent="0.45">
      <c r="A1" s="9" t="s">
        <v>324</v>
      </c>
      <c r="B1" s="9" t="s">
        <v>325</v>
      </c>
      <c r="C1" s="9" t="s">
        <v>326</v>
      </c>
      <c r="D1" s="9" t="s">
        <v>327</v>
      </c>
      <c r="E1" s="9" t="s">
        <v>328</v>
      </c>
      <c r="F1" s="9" t="s">
        <v>329</v>
      </c>
      <c r="G1" s="9" t="s">
        <v>330</v>
      </c>
      <c r="H1" s="9" t="s">
        <v>331</v>
      </c>
      <c r="I1" s="9" t="s">
        <v>332</v>
      </c>
      <c r="J1" s="9" t="s">
        <v>333</v>
      </c>
      <c r="K1" s="9" t="s">
        <v>334</v>
      </c>
      <c r="L1" s="9" t="s">
        <v>335</v>
      </c>
      <c r="M1" s="9" t="s">
        <v>336</v>
      </c>
      <c r="N1" s="9" t="s">
        <v>337</v>
      </c>
    </row>
    <row r="2" spans="1:14" ht="99.75" x14ac:dyDescent="0.45">
      <c r="A2" s="10" t="str">
        <f>IF((COUNTIF(ImpactedResources!D:D,"273f6b30-68e0-4241-85ea-acf15ffb60bf")=0),"Yes","No")</f>
        <v>No</v>
      </c>
      <c r="B2" s="10">
        <f>COUNTIF(ImpactedResources!D:D,"273f6b30-68e0-4241-85ea-acf15ffb60bf")</f>
        <v>5</v>
      </c>
      <c r="C2" s="10" t="s">
        <v>338</v>
      </c>
      <c r="D2" s="10" t="s">
        <v>23</v>
      </c>
      <c r="E2" s="10" t="s">
        <v>339</v>
      </c>
      <c r="F2" s="10" t="s">
        <v>340</v>
      </c>
      <c r="G2" s="10" t="s">
        <v>341</v>
      </c>
      <c r="H2" s="10" t="s">
        <v>32</v>
      </c>
      <c r="I2" s="10" t="s">
        <v>342</v>
      </c>
      <c r="J2" s="10" t="s">
        <v>343</v>
      </c>
      <c r="K2" s="10" t="s">
        <v>344</v>
      </c>
      <c r="L2" s="10" t="s">
        <v>22</v>
      </c>
      <c r="M2" s="10" t="s">
        <v>22</v>
      </c>
      <c r="N2" s="10" t="s">
        <v>33</v>
      </c>
    </row>
    <row r="3" spans="1:14" ht="42.75" x14ac:dyDescent="0.45">
      <c r="A3" s="10" t="str">
        <f>IF((COUNTIF(ImpactedResources!D:D,"2bd0be95-a825-6f47-a8c6-3db1fb5eb387")=0),"Yes","No")</f>
        <v>No</v>
      </c>
      <c r="B3" s="10">
        <f>COUNTIF(ImpactedResources!D:D,"2bd0be95-a825-6f47-a8c6-3db1fb5eb387")</f>
        <v>5</v>
      </c>
      <c r="C3" s="10" t="s">
        <v>338</v>
      </c>
      <c r="D3" s="10" t="s">
        <v>23</v>
      </c>
      <c r="E3" s="10" t="s">
        <v>339</v>
      </c>
      <c r="F3" s="10" t="s">
        <v>340</v>
      </c>
      <c r="G3" s="10" t="s">
        <v>341</v>
      </c>
      <c r="H3" s="10" t="s">
        <v>92</v>
      </c>
      <c r="I3" s="10" t="s">
        <v>342</v>
      </c>
      <c r="J3" s="10" t="s">
        <v>345</v>
      </c>
      <c r="K3" s="11" t="s">
        <v>346</v>
      </c>
      <c r="L3" s="10" t="s">
        <v>22</v>
      </c>
      <c r="M3" s="10" t="s">
        <v>22</v>
      </c>
      <c r="N3" s="10" t="s">
        <v>93</v>
      </c>
    </row>
    <row r="4" spans="1:14" ht="42.75" x14ac:dyDescent="0.45">
      <c r="A4" s="10" t="str">
        <f>IF((COUNTIF(ImpactedResources!D:D,"a8d25876-7951-b646-b4e8-880c9031596b")=0),"Yes","No")</f>
        <v>No</v>
      </c>
      <c r="B4" s="10">
        <f>COUNTIF(ImpactedResources!D:D,"a8d25876-7951-b646-b4e8-880c9031596b")</f>
        <v>4</v>
      </c>
      <c r="C4" s="10" t="s">
        <v>338</v>
      </c>
      <c r="D4" s="10" t="s">
        <v>23</v>
      </c>
      <c r="E4" s="10" t="s">
        <v>339</v>
      </c>
      <c r="F4" s="10" t="s">
        <v>340</v>
      </c>
      <c r="G4" s="10" t="s">
        <v>341</v>
      </c>
      <c r="H4" s="10" t="s">
        <v>179</v>
      </c>
      <c r="I4" s="10" t="s">
        <v>342</v>
      </c>
      <c r="J4" s="10" t="s">
        <v>347</v>
      </c>
      <c r="K4" s="11" t="s">
        <v>348</v>
      </c>
      <c r="L4" s="10" t="s">
        <v>22</v>
      </c>
      <c r="M4" s="10" t="s">
        <v>22</v>
      </c>
      <c r="N4" s="10" t="s">
        <v>180</v>
      </c>
    </row>
    <row r="5" spans="1:14" ht="57" x14ac:dyDescent="0.45">
      <c r="A5" s="10" t="str">
        <f>IF((COUNTIF(ImpactedResources!D:D,"cfe22a65-b1db-fd41-9e8e-d573922709ae")=0),"Yes","No")</f>
        <v>No</v>
      </c>
      <c r="B5" s="10">
        <f>COUNTIF(ImpactedResources!D:D,"cfe22a65-b1db-fd41-9e8e-d573922709ae")</f>
        <v>3</v>
      </c>
      <c r="C5" s="10" t="s">
        <v>338</v>
      </c>
      <c r="D5" s="10" t="s">
        <v>23</v>
      </c>
      <c r="E5" s="10" t="s">
        <v>339</v>
      </c>
      <c r="F5" s="10" t="s">
        <v>340</v>
      </c>
      <c r="G5" s="10" t="s">
        <v>349</v>
      </c>
      <c r="H5" s="10" t="s">
        <v>101</v>
      </c>
      <c r="I5" s="10" t="s">
        <v>350</v>
      </c>
      <c r="J5" s="10" t="s">
        <v>351</v>
      </c>
      <c r="K5" s="10" t="s">
        <v>352</v>
      </c>
      <c r="L5" s="10" t="s">
        <v>22</v>
      </c>
      <c r="M5" s="10" t="s">
        <v>22</v>
      </c>
      <c r="N5" s="10" t="s">
        <v>102</v>
      </c>
    </row>
    <row r="6" spans="1:14" ht="85.5" x14ac:dyDescent="0.45">
      <c r="A6" s="10" t="str">
        <f>IF((COUNTIF(ImpactedResources!D:D,"122d11d7-b91f-8747-a562-f56b79bcfbdc")=0),"Yes","No")</f>
        <v>Yes</v>
      </c>
      <c r="B6" s="10">
        <f>COUNTIF(ImpactedResources!D:D,"122d11d7-b91f-8747-a562-f56b79bcfbdc")</f>
        <v>0</v>
      </c>
      <c r="C6" s="10" t="s">
        <v>338</v>
      </c>
      <c r="D6" s="10" t="s">
        <v>23</v>
      </c>
      <c r="E6" s="10" t="s">
        <v>339</v>
      </c>
      <c r="F6" s="10" t="s">
        <v>340</v>
      </c>
      <c r="G6" s="10" t="s">
        <v>341</v>
      </c>
      <c r="H6" s="10" t="s">
        <v>353</v>
      </c>
      <c r="I6" s="10" t="s">
        <v>342</v>
      </c>
      <c r="J6" s="10" t="s">
        <v>354</v>
      </c>
      <c r="K6" s="10" t="s">
        <v>355</v>
      </c>
      <c r="L6" s="10" t="s">
        <v>22</v>
      </c>
      <c r="M6" s="10" t="s">
        <v>22</v>
      </c>
      <c r="N6" s="10" t="s">
        <v>356</v>
      </c>
    </row>
    <row r="7" spans="1:14" ht="57" x14ac:dyDescent="0.45">
      <c r="A7" s="10" t="str">
        <f>IF((COUNTIF(ImpactedResources!D:D,"4ea2878f-0d69-8d4a-b715-afc10d1e538e")=0),"Yes","No")</f>
        <v>No</v>
      </c>
      <c r="B7" s="10">
        <f>COUNTIF(ImpactedResources!D:D,"4ea2878f-0d69-8d4a-b715-afc10d1e538e")</f>
        <v>3</v>
      </c>
      <c r="C7" s="10" t="s">
        <v>338</v>
      </c>
      <c r="D7" s="10" t="s">
        <v>23</v>
      </c>
      <c r="E7" s="10" t="s">
        <v>339</v>
      </c>
      <c r="F7" s="10" t="s">
        <v>340</v>
      </c>
      <c r="G7" s="10" t="s">
        <v>357</v>
      </c>
      <c r="H7" s="10" t="s">
        <v>193</v>
      </c>
      <c r="I7" s="10" t="s">
        <v>358</v>
      </c>
      <c r="J7" s="10" t="s">
        <v>359</v>
      </c>
      <c r="K7" s="10" t="s">
        <v>360</v>
      </c>
      <c r="L7" s="10" t="s">
        <v>22</v>
      </c>
      <c r="M7" s="10" t="s">
        <v>22</v>
      </c>
      <c r="N7" s="10" t="s">
        <v>194</v>
      </c>
    </row>
    <row r="8" spans="1:14" ht="57" x14ac:dyDescent="0.45">
      <c r="A8" s="10" t="str">
        <f>IF((COUNTIF(ImpactedResources!D:D,"1981f704-97b9-b645-9c57-33f8ded9261a")=0),"Yes","No")</f>
        <v>No</v>
      </c>
      <c r="B8" s="10">
        <f>COUNTIF(ImpactedResources!D:D,"1981f704-97b9-b645-9c57-33f8ded9261a")</f>
        <v>1</v>
      </c>
      <c r="C8" s="10" t="s">
        <v>338</v>
      </c>
      <c r="D8" s="10" t="s">
        <v>23</v>
      </c>
      <c r="E8" s="10" t="s">
        <v>339</v>
      </c>
      <c r="F8" s="10" t="s">
        <v>340</v>
      </c>
      <c r="G8" s="10" t="s">
        <v>349</v>
      </c>
      <c r="H8" s="10" t="s">
        <v>82</v>
      </c>
      <c r="I8" s="10" t="s">
        <v>350</v>
      </c>
      <c r="J8" s="10" t="s">
        <v>361</v>
      </c>
      <c r="K8" s="11" t="s">
        <v>362</v>
      </c>
      <c r="L8" s="10" t="s">
        <v>22</v>
      </c>
      <c r="M8" s="10" t="s">
        <v>22</v>
      </c>
      <c r="N8" s="10" t="s">
        <v>83</v>
      </c>
    </row>
    <row r="9" spans="1:14" ht="42.75" x14ac:dyDescent="0.45">
      <c r="A9" s="10" t="str">
        <f>IF((COUNTIF(ImpactedResources!D:D,"d3f3ee41-b9aa-d34d-b442-5d46d20232b2")=0),"Yes","No")</f>
        <v>Yes</v>
      </c>
      <c r="B9" s="10">
        <f>COUNTIF(ImpactedResources!D:D,"d3f3ee41-b9aa-d34d-b442-5d46d20232b2")</f>
        <v>0</v>
      </c>
      <c r="C9" s="10" t="s">
        <v>338</v>
      </c>
      <c r="D9" s="10" t="s">
        <v>23</v>
      </c>
      <c r="E9" s="10" t="s">
        <v>339</v>
      </c>
      <c r="F9" s="10" t="s">
        <v>340</v>
      </c>
      <c r="G9" s="10" t="s">
        <v>357</v>
      </c>
      <c r="H9" s="10" t="s">
        <v>363</v>
      </c>
      <c r="I9" s="10" t="s">
        <v>342</v>
      </c>
      <c r="J9" s="10" t="s">
        <v>364</v>
      </c>
      <c r="K9" s="11" t="s">
        <v>365</v>
      </c>
      <c r="L9" s="10" t="s">
        <v>22</v>
      </c>
      <c r="M9" s="10" t="s">
        <v>22</v>
      </c>
      <c r="N9" s="10" t="s">
        <v>366</v>
      </c>
    </row>
    <row r="10" spans="1:14" ht="71.25" x14ac:dyDescent="0.45">
      <c r="A10" s="10" t="str">
        <f>IF((COUNTIF(ImpactedResources!D:D,"98b334c0-8578-6046-9e43-b6e8fce6318e")=0),"Yes","No")</f>
        <v>Yes</v>
      </c>
      <c r="B10" s="10">
        <f>COUNTIF(ImpactedResources!D:D,"98b334c0-8578-6046-9e43-b6e8fce6318e")</f>
        <v>0</v>
      </c>
      <c r="C10" s="10" t="s">
        <v>338</v>
      </c>
      <c r="D10" s="10" t="s">
        <v>23</v>
      </c>
      <c r="E10" s="10" t="s">
        <v>339</v>
      </c>
      <c r="F10" s="10" t="s">
        <v>340</v>
      </c>
      <c r="G10" s="10" t="s">
        <v>367</v>
      </c>
      <c r="H10" s="10" t="s">
        <v>368</v>
      </c>
      <c r="I10" s="10" t="s">
        <v>358</v>
      </c>
      <c r="J10" s="10" t="s">
        <v>369</v>
      </c>
      <c r="K10" s="11" t="s">
        <v>370</v>
      </c>
      <c r="L10" s="10" t="s">
        <v>22</v>
      </c>
      <c r="M10" s="10" t="s">
        <v>22</v>
      </c>
      <c r="N10" s="10" t="s">
        <v>371</v>
      </c>
    </row>
    <row r="11" spans="1:14" ht="57" x14ac:dyDescent="0.45">
      <c r="A11" s="10" t="str">
        <f>IF((COUNTIF(ImpactedResources!D:D,"dfedbeb1-1519-fc47-86a5-52f96cf07105")=0),"Yes","No")</f>
        <v>No</v>
      </c>
      <c r="B11" s="10">
        <f>COUNTIF(ImpactedResources!D:D,"dfedbeb1-1519-fc47-86a5-52f96cf07105")</f>
        <v>5</v>
      </c>
      <c r="C11" s="10" t="s">
        <v>338</v>
      </c>
      <c r="D11" s="10" t="s">
        <v>23</v>
      </c>
      <c r="E11" s="10" t="s">
        <v>339</v>
      </c>
      <c r="F11" s="10" t="s">
        <v>340</v>
      </c>
      <c r="G11" s="10" t="s">
        <v>357</v>
      </c>
      <c r="H11" s="10" t="s">
        <v>107</v>
      </c>
      <c r="I11" s="10" t="s">
        <v>350</v>
      </c>
      <c r="J11" s="10" t="s">
        <v>372</v>
      </c>
      <c r="K11" s="11" t="s">
        <v>373</v>
      </c>
      <c r="L11" s="10" t="s">
        <v>22</v>
      </c>
      <c r="M11" s="10" t="s">
        <v>22</v>
      </c>
      <c r="N11" s="10" t="s">
        <v>108</v>
      </c>
    </row>
    <row r="12" spans="1:14" ht="57" x14ac:dyDescent="0.45">
      <c r="A12" s="10" t="str">
        <f>IF((COUNTIF(ImpactedResources!D:D,"73d1bb04-7d3e-0d47-bc0d-63afe773b5fe")=0),"Yes","No")</f>
        <v>Yes</v>
      </c>
      <c r="B12" s="10">
        <f>COUNTIF(ImpactedResources!D:D,"73d1bb04-7d3e-0d47-bc0d-63afe773b5fe")</f>
        <v>0</v>
      </c>
      <c r="C12" s="10" t="s">
        <v>338</v>
      </c>
      <c r="D12" s="10" t="s">
        <v>23</v>
      </c>
      <c r="E12" s="10" t="s">
        <v>339</v>
      </c>
      <c r="F12" s="10" t="s">
        <v>340</v>
      </c>
      <c r="G12" s="10" t="s">
        <v>367</v>
      </c>
      <c r="H12" s="10" t="s">
        <v>374</v>
      </c>
      <c r="I12" s="10" t="s">
        <v>358</v>
      </c>
      <c r="J12" s="10" t="s">
        <v>375</v>
      </c>
      <c r="K12" s="11" t="s">
        <v>373</v>
      </c>
      <c r="L12" s="10" t="s">
        <v>22</v>
      </c>
      <c r="M12" s="10" t="s">
        <v>22</v>
      </c>
      <c r="N12" s="10" t="s">
        <v>376</v>
      </c>
    </row>
    <row r="13" spans="1:14" ht="42.75" x14ac:dyDescent="0.45">
      <c r="A13" s="10" t="str">
        <f>IF((COUNTIF(ImpactedResources!D:D,"1f629a30-c9d0-d241-82ee-6f2eb9d42cb4")=0),"Yes","No")</f>
        <v>Yes</v>
      </c>
      <c r="B13" s="10">
        <f>COUNTIF(ImpactedResources!D:D,"1f629a30-c9d0-d241-82ee-6f2eb9d42cb4")</f>
        <v>0</v>
      </c>
      <c r="C13" s="10" t="s">
        <v>338</v>
      </c>
      <c r="D13" s="10" t="s">
        <v>23</v>
      </c>
      <c r="E13" s="10" t="s">
        <v>339</v>
      </c>
      <c r="F13" s="10" t="s">
        <v>340</v>
      </c>
      <c r="G13" s="10" t="s">
        <v>377</v>
      </c>
      <c r="H13" s="10" t="s">
        <v>378</v>
      </c>
      <c r="I13" s="10" t="s">
        <v>350</v>
      </c>
      <c r="J13" s="10" t="s">
        <v>379</v>
      </c>
      <c r="K13" s="11" t="s">
        <v>380</v>
      </c>
      <c r="L13" s="10" t="s">
        <v>22</v>
      </c>
      <c r="M13" s="10" t="s">
        <v>22</v>
      </c>
      <c r="N13" s="10" t="s">
        <v>381</v>
      </c>
    </row>
    <row r="14" spans="1:14" ht="57" x14ac:dyDescent="0.45">
      <c r="A14" s="10" t="str">
        <f>IF((COUNTIF(ImpactedResources!D:D,"82b3cf6b-9ae2-2e44-b193-10793213f676")=0),"Yes","No")</f>
        <v>Yes</v>
      </c>
      <c r="B14" s="10">
        <f>COUNTIF(ImpactedResources!D:D,"82b3cf6b-9ae2-2e44-b193-10793213f676")</f>
        <v>0</v>
      </c>
      <c r="C14" s="10" t="s">
        <v>338</v>
      </c>
      <c r="D14" s="10" t="s">
        <v>23</v>
      </c>
      <c r="E14" s="10" t="s">
        <v>339</v>
      </c>
      <c r="F14" s="10" t="s">
        <v>340</v>
      </c>
      <c r="G14" s="10" t="s">
        <v>377</v>
      </c>
      <c r="H14" s="10" t="s">
        <v>382</v>
      </c>
      <c r="I14" s="10" t="s">
        <v>358</v>
      </c>
      <c r="J14" s="10" t="s">
        <v>383</v>
      </c>
      <c r="K14" s="11" t="s">
        <v>384</v>
      </c>
      <c r="L14" s="10" t="s">
        <v>22</v>
      </c>
      <c r="M14" s="10" t="s">
        <v>22</v>
      </c>
      <c r="N14" s="10" t="s">
        <v>385</v>
      </c>
    </row>
    <row r="15" spans="1:14" ht="57" x14ac:dyDescent="0.45">
      <c r="A15" s="10" t="str">
        <f>IF((COUNTIF(ImpactedResources!D:D,"41a22a5e-5e08-9647-92d0-2ffe9ef1bdad")=0),"Yes","No")</f>
        <v>Yes</v>
      </c>
      <c r="B15" s="10">
        <f>COUNTIF(ImpactedResources!D:D,"41a22a5e-5e08-9647-92d0-2ffe9ef1bdad")</f>
        <v>0</v>
      </c>
      <c r="C15" s="10" t="s">
        <v>338</v>
      </c>
      <c r="D15" s="10" t="s">
        <v>23</v>
      </c>
      <c r="E15" s="10" t="s">
        <v>339</v>
      </c>
      <c r="F15" s="10" t="s">
        <v>340</v>
      </c>
      <c r="G15" s="10" t="s">
        <v>377</v>
      </c>
      <c r="H15" s="10" t="s">
        <v>386</v>
      </c>
      <c r="I15" s="10" t="s">
        <v>350</v>
      </c>
      <c r="J15" s="10" t="s">
        <v>387</v>
      </c>
      <c r="K15" s="11" t="s">
        <v>388</v>
      </c>
      <c r="L15" s="10" t="s">
        <v>22</v>
      </c>
      <c r="M15" s="10" t="s">
        <v>22</v>
      </c>
      <c r="N15" s="10" t="s">
        <v>389</v>
      </c>
    </row>
    <row r="16" spans="1:14" ht="42.75" x14ac:dyDescent="0.45">
      <c r="A16" s="10" t="str">
        <f>IF((COUNTIF(ImpactedResources!D:D,"1cf8fe21-9593-1e4e-966b-779a294c0d30")=0),"Yes","No")</f>
        <v>Yes</v>
      </c>
      <c r="B16" s="10">
        <f>COUNTIF(ImpactedResources!D:D,"1cf8fe21-9593-1e4e-966b-779a294c0d30")</f>
        <v>0</v>
      </c>
      <c r="C16" s="10" t="s">
        <v>338</v>
      </c>
      <c r="D16" s="10" t="s">
        <v>23</v>
      </c>
      <c r="E16" s="10" t="s">
        <v>339</v>
      </c>
      <c r="F16" s="10" t="s">
        <v>340</v>
      </c>
      <c r="G16" s="10" t="s">
        <v>390</v>
      </c>
      <c r="H16" s="10" t="s">
        <v>391</v>
      </c>
      <c r="I16" s="10" t="s">
        <v>358</v>
      </c>
      <c r="J16" s="10" t="s">
        <v>392</v>
      </c>
      <c r="K16" s="11" t="s">
        <v>393</v>
      </c>
      <c r="L16" s="10" t="s">
        <v>22</v>
      </c>
      <c r="M16" s="10" t="s">
        <v>22</v>
      </c>
      <c r="N16" s="10" t="s">
        <v>394</v>
      </c>
    </row>
    <row r="17" spans="1:14" ht="57" x14ac:dyDescent="0.45">
      <c r="A17" s="10" t="str">
        <f>IF((COUNTIF(ImpactedResources!D:D,"3263a64a-c256-de48-9818-afd3cbc55c2a")=0),"Yes","No")</f>
        <v>Yes</v>
      </c>
      <c r="B17" s="10">
        <f>COUNTIF(ImpactedResources!D:D,"3263a64a-c256-de48-9818-afd3cbc55c2a")</f>
        <v>0</v>
      </c>
      <c r="C17" s="10" t="s">
        <v>338</v>
      </c>
      <c r="D17" s="10" t="s">
        <v>23</v>
      </c>
      <c r="E17" s="10" t="s">
        <v>339</v>
      </c>
      <c r="F17" s="10" t="s">
        <v>340</v>
      </c>
      <c r="G17" s="10" t="s">
        <v>390</v>
      </c>
      <c r="H17" s="10" t="s">
        <v>395</v>
      </c>
      <c r="I17" s="10" t="s">
        <v>350</v>
      </c>
      <c r="J17" s="10" t="s">
        <v>396</v>
      </c>
      <c r="K17" s="10" t="s">
        <v>397</v>
      </c>
      <c r="L17" s="10" t="s">
        <v>22</v>
      </c>
      <c r="M17" s="10" t="s">
        <v>22</v>
      </c>
      <c r="N17" s="10" t="s">
        <v>398</v>
      </c>
    </row>
    <row r="18" spans="1:14" ht="57" x14ac:dyDescent="0.45">
      <c r="A18" s="10" t="str">
        <f>IF((COUNTIF(ImpactedResources!D:D,"70b1d2be-e6c4-b54e-9959-b1b690f9e485")=0),"Yes","No")</f>
        <v>No</v>
      </c>
      <c r="B18" s="10">
        <f>COUNTIF(ImpactedResources!D:D,"70b1d2be-e6c4-b54e-9959-b1b690f9e485")</f>
        <v>7</v>
      </c>
      <c r="C18" s="10" t="s">
        <v>338</v>
      </c>
      <c r="D18" s="10" t="s">
        <v>23</v>
      </c>
      <c r="E18" s="10" t="s">
        <v>339</v>
      </c>
      <c r="F18" s="10" t="s">
        <v>340</v>
      </c>
      <c r="G18" s="10" t="s">
        <v>377</v>
      </c>
      <c r="H18" s="10" t="s">
        <v>186</v>
      </c>
      <c r="I18" s="10" t="s">
        <v>358</v>
      </c>
      <c r="J18" s="10" t="s">
        <v>399</v>
      </c>
      <c r="K18" s="11" t="s">
        <v>400</v>
      </c>
      <c r="L18" s="10" t="s">
        <v>22</v>
      </c>
      <c r="M18" s="10" t="s">
        <v>22</v>
      </c>
      <c r="N18" s="10" t="s">
        <v>187</v>
      </c>
    </row>
    <row r="19" spans="1:14" ht="71.25" x14ac:dyDescent="0.45">
      <c r="A19" s="10" t="str">
        <f>IF((COUNTIF(ImpactedResources!D:D,"c42343ae-2712-2843-a285-3437eb0b28a1")=0),"Yes","No")</f>
        <v>No</v>
      </c>
      <c r="B19" s="10">
        <f>COUNTIF(ImpactedResources!D:D,"c42343ae-2712-2843-a285-3437eb0b28a1")</f>
        <v>84</v>
      </c>
      <c r="C19" s="10" t="s">
        <v>338</v>
      </c>
      <c r="D19" s="10" t="s">
        <v>23</v>
      </c>
      <c r="E19" s="10" t="s">
        <v>339</v>
      </c>
      <c r="F19" s="10" t="s">
        <v>340</v>
      </c>
      <c r="G19" s="10" t="s">
        <v>367</v>
      </c>
      <c r="H19" s="10" t="s">
        <v>130</v>
      </c>
      <c r="I19" s="10" t="s">
        <v>358</v>
      </c>
      <c r="J19" s="10" t="s">
        <v>401</v>
      </c>
      <c r="K19" s="10" t="s">
        <v>402</v>
      </c>
      <c r="L19" s="10" t="s">
        <v>22</v>
      </c>
      <c r="M19" s="10" t="s">
        <v>22</v>
      </c>
      <c r="N19" s="10" t="s">
        <v>131</v>
      </c>
    </row>
    <row r="20" spans="1:14" ht="57" x14ac:dyDescent="0.45">
      <c r="A20" s="10" t="str">
        <f>IF((COUNTIF(ImpactedResources!D:D,"f0a97179-133a-6e4f-8a49-8a44da73ffce")=0),"Yes","No")</f>
        <v>Yes</v>
      </c>
      <c r="B20" s="10">
        <f>COUNTIF(ImpactedResources!D:D,"f0a97179-133a-6e4f-8a49-8a44da73ffce")</f>
        <v>0</v>
      </c>
      <c r="C20" s="10" t="s">
        <v>338</v>
      </c>
      <c r="D20" s="10" t="s">
        <v>23</v>
      </c>
      <c r="E20" s="10" t="s">
        <v>339</v>
      </c>
      <c r="F20" s="10" t="s">
        <v>340</v>
      </c>
      <c r="G20" s="10" t="s">
        <v>377</v>
      </c>
      <c r="H20" s="10" t="s">
        <v>403</v>
      </c>
      <c r="I20" s="10" t="s">
        <v>350</v>
      </c>
      <c r="J20" s="10" t="s">
        <v>404</v>
      </c>
      <c r="K20" s="11" t="s">
        <v>405</v>
      </c>
      <c r="L20" s="10" t="s">
        <v>22</v>
      </c>
      <c r="M20" s="10" t="s">
        <v>22</v>
      </c>
      <c r="N20" s="10" t="s">
        <v>406</v>
      </c>
    </row>
    <row r="21" spans="1:14" ht="71.25" x14ac:dyDescent="0.45">
      <c r="A21" s="10" t="str">
        <f>IF((COUNTIF(ImpactedResources!D:D,"b72214bb-e879-5f4b-b9cd-642db84f36f4")=0),"Yes","No")</f>
        <v>No</v>
      </c>
      <c r="B21" s="10">
        <f>COUNTIF(ImpactedResources!D:D,"b72214bb-e879-5f4b-b9cd-642db84f36f4")</f>
        <v>10</v>
      </c>
      <c r="C21" s="10" t="s">
        <v>338</v>
      </c>
      <c r="D21" s="10" t="s">
        <v>23</v>
      </c>
      <c r="E21" s="10" t="s">
        <v>339</v>
      </c>
      <c r="F21" s="10" t="s">
        <v>340</v>
      </c>
      <c r="G21" s="10" t="s">
        <v>407</v>
      </c>
      <c r="H21" s="10" t="s">
        <v>50</v>
      </c>
      <c r="I21" s="10" t="s">
        <v>358</v>
      </c>
      <c r="J21" s="10" t="s">
        <v>408</v>
      </c>
      <c r="K21" s="10" t="s">
        <v>409</v>
      </c>
      <c r="L21" s="10" t="s">
        <v>22</v>
      </c>
      <c r="M21" s="10" t="s">
        <v>22</v>
      </c>
      <c r="N21" s="10" t="s">
        <v>51</v>
      </c>
    </row>
    <row r="22" spans="1:14" ht="42.75" x14ac:dyDescent="0.45">
      <c r="A22" s="10" t="str">
        <f>IF((COUNTIF(ImpactedResources!D:D,"4a9d8973-6dba-0042-b3aa-07924877ebd5")=0),"Yes","No")</f>
        <v>No</v>
      </c>
      <c r="B22" s="10">
        <f>COUNTIF(ImpactedResources!D:D,"4a9d8973-6dba-0042-b3aa-07924877ebd5")</f>
        <v>5</v>
      </c>
      <c r="C22" s="10" t="s">
        <v>338</v>
      </c>
      <c r="D22" s="10" t="s">
        <v>23</v>
      </c>
      <c r="E22" s="10" t="s">
        <v>339</v>
      </c>
      <c r="F22" s="10" t="s">
        <v>340</v>
      </c>
      <c r="G22" s="10" t="s">
        <v>407</v>
      </c>
      <c r="H22" s="10" t="s">
        <v>119</v>
      </c>
      <c r="I22" s="10" t="s">
        <v>358</v>
      </c>
      <c r="J22" s="10" t="s">
        <v>410</v>
      </c>
      <c r="K22" s="11" t="s">
        <v>411</v>
      </c>
      <c r="L22" s="10" t="s">
        <v>22</v>
      </c>
      <c r="M22" s="10" t="s">
        <v>22</v>
      </c>
      <c r="N22" s="10" t="s">
        <v>120</v>
      </c>
    </row>
    <row r="23" spans="1:14" ht="42.75" x14ac:dyDescent="0.45">
      <c r="A23" s="10" t="str">
        <f>IF((COUNTIF(ImpactedResources!D:D,"52ab9e5c-eec0-3148-8bd7-b6dd9e1be870")=0),"Yes","No")</f>
        <v>Yes</v>
      </c>
      <c r="B23" s="10">
        <f>COUNTIF(ImpactedResources!D:D,"52ab9e5c-eec0-3148-8bd7-b6dd9e1be870")</f>
        <v>0</v>
      </c>
      <c r="C23" s="10" t="s">
        <v>338</v>
      </c>
      <c r="D23" s="10" t="s">
        <v>23</v>
      </c>
      <c r="E23" s="10" t="s">
        <v>339</v>
      </c>
      <c r="F23" s="10" t="s">
        <v>340</v>
      </c>
      <c r="G23" s="10" t="s">
        <v>341</v>
      </c>
      <c r="H23" s="10" t="s">
        <v>412</v>
      </c>
      <c r="I23" s="10" t="s">
        <v>342</v>
      </c>
      <c r="J23" s="10" t="s">
        <v>413</v>
      </c>
      <c r="K23" s="11" t="s">
        <v>414</v>
      </c>
      <c r="L23" s="10" t="s">
        <v>22</v>
      </c>
      <c r="M23" s="10" t="s">
        <v>22</v>
      </c>
      <c r="N23" s="10" t="s">
        <v>415</v>
      </c>
    </row>
    <row r="24" spans="1:14" ht="42.75" x14ac:dyDescent="0.45">
      <c r="A24" s="10" t="str">
        <f>IF((COUNTIF(ImpactedResources!D:D,"3201dba8-d1da-4826-98a4-104066545170")=0),"Yes","No")</f>
        <v>Yes</v>
      </c>
      <c r="B24" s="10">
        <f>COUNTIF(ImpactedResources!D:D,"3201dba8-d1da-4826-98a4-104066545170")</f>
        <v>0</v>
      </c>
      <c r="C24" s="10" t="s">
        <v>338</v>
      </c>
      <c r="D24" s="10" t="s">
        <v>23</v>
      </c>
      <c r="E24" s="10" t="s">
        <v>339</v>
      </c>
      <c r="F24" s="10" t="s">
        <v>340</v>
      </c>
      <c r="G24" s="10" t="s">
        <v>357</v>
      </c>
      <c r="H24" s="10" t="s">
        <v>416</v>
      </c>
      <c r="I24" s="10" t="s">
        <v>342</v>
      </c>
      <c r="J24" s="10" t="s">
        <v>417</v>
      </c>
      <c r="K24" s="11" t="s">
        <v>418</v>
      </c>
      <c r="L24" s="10" t="s">
        <v>22</v>
      </c>
      <c r="M24" s="10" t="s">
        <v>22</v>
      </c>
      <c r="N24" s="10" t="s">
        <v>419</v>
      </c>
    </row>
    <row r="25" spans="1:14" ht="57" x14ac:dyDescent="0.45">
      <c r="A25" s="10" t="str">
        <f>IF((COUNTIF(ImpactedResources!D:D,"df0ff862-814d-45a3-95e4-4fad5a244ba6")=0),"Yes","No")</f>
        <v>Yes</v>
      </c>
      <c r="B25" s="10">
        <f>COUNTIF(ImpactedResources!D:D,"df0ff862-814d-45a3-95e4-4fad5a244ba6")</f>
        <v>0</v>
      </c>
      <c r="C25" s="10" t="s">
        <v>338</v>
      </c>
      <c r="D25" s="10" t="s">
        <v>23</v>
      </c>
      <c r="E25" s="10" t="s">
        <v>339</v>
      </c>
      <c r="F25" s="10" t="s">
        <v>340</v>
      </c>
      <c r="G25" s="10" t="s">
        <v>357</v>
      </c>
      <c r="H25" s="10" t="s">
        <v>420</v>
      </c>
      <c r="I25" s="10" t="s">
        <v>342</v>
      </c>
      <c r="J25" s="10" t="s">
        <v>421</v>
      </c>
      <c r="K25" s="11" t="s">
        <v>422</v>
      </c>
      <c r="L25" s="10" t="s">
        <v>22</v>
      </c>
      <c r="M25" s="10" t="s">
        <v>22</v>
      </c>
      <c r="N25" s="10" t="s">
        <v>423</v>
      </c>
    </row>
    <row r="26" spans="1:14" ht="57" x14ac:dyDescent="0.45">
      <c r="A26" s="10" t="str">
        <f>IF((COUNTIF(ImpactedResources!D:D,"9ab499d8-8844-424d-a2d4-8f53690eb8f8")=0),"Yes","No")</f>
        <v>Yes</v>
      </c>
      <c r="B26" s="10">
        <f>COUNTIF(ImpactedResources!D:D,"9ab499d8-8844-424d-a2d4-8f53690eb8f8")</f>
        <v>0</v>
      </c>
      <c r="C26" s="10" t="s">
        <v>338</v>
      </c>
      <c r="D26" s="10" t="s">
        <v>23</v>
      </c>
      <c r="E26" s="10" t="s">
        <v>339</v>
      </c>
      <c r="F26" s="10" t="s">
        <v>340</v>
      </c>
      <c r="G26" s="10" t="s">
        <v>341</v>
      </c>
      <c r="H26" s="10" t="s">
        <v>424</v>
      </c>
      <c r="I26" s="10" t="s">
        <v>350</v>
      </c>
      <c r="J26" s="10" t="s">
        <v>425</v>
      </c>
      <c r="K26" s="10" t="s">
        <v>426</v>
      </c>
      <c r="L26" s="10" t="s">
        <v>22</v>
      </c>
      <c r="M26" s="10" t="s">
        <v>22</v>
      </c>
      <c r="N26" s="10" t="s">
        <v>427</v>
      </c>
    </row>
    <row r="27" spans="1:14" ht="85.5" x14ac:dyDescent="0.45">
      <c r="A27" s="10" t="str">
        <f>IF((COUNTIF(ImpactedResources!D:D,"2de8fa5e-14f4-4c4c-857f-1520f87a629f")=0),"Yes","No")</f>
        <v>Yes</v>
      </c>
      <c r="B27" s="10">
        <f>COUNTIF(ImpactedResources!D:D,"2de8fa5e-14f4-4c4c-857f-1520f87a629f")</f>
        <v>0</v>
      </c>
      <c r="C27" s="10" t="s">
        <v>338</v>
      </c>
      <c r="D27" s="10" t="s">
        <v>23</v>
      </c>
      <c r="E27" s="10" t="s">
        <v>339</v>
      </c>
      <c r="F27" s="10" t="s">
        <v>340</v>
      </c>
      <c r="G27" s="10" t="s">
        <v>341</v>
      </c>
      <c r="H27" s="10" t="s">
        <v>428</v>
      </c>
      <c r="I27" s="10" t="s">
        <v>350</v>
      </c>
      <c r="J27" s="10" t="s">
        <v>429</v>
      </c>
      <c r="K27" s="10" t="s">
        <v>430</v>
      </c>
      <c r="L27" s="10" t="s">
        <v>22</v>
      </c>
      <c r="M27" s="10" t="s">
        <v>22</v>
      </c>
      <c r="N27" s="10" t="s">
        <v>431</v>
      </c>
    </row>
    <row r="28" spans="1:14" ht="57" x14ac:dyDescent="0.45">
      <c r="A28" s="10" t="str">
        <f>IF((COUNTIF(ImpactedResources!D:D,"fa0cf4f5-0b21-47b7-89a9-ee936f193ce1")=0),"Yes","No")</f>
        <v>No</v>
      </c>
      <c r="B28" s="10">
        <f>COUNTIF(ImpactedResources!D:D,"fa0cf4f5-0b21-47b7-89a9-ee936f193ce1")</f>
        <v>7</v>
      </c>
      <c r="C28" s="10" t="s">
        <v>338</v>
      </c>
      <c r="D28" s="10" t="s">
        <v>23</v>
      </c>
      <c r="E28" s="10" t="s">
        <v>339</v>
      </c>
      <c r="F28" s="10" t="s">
        <v>340</v>
      </c>
      <c r="G28" s="10" t="s">
        <v>341</v>
      </c>
      <c r="H28" s="10" t="s">
        <v>162</v>
      </c>
      <c r="I28" s="10" t="s">
        <v>350</v>
      </c>
      <c r="J28" s="10" t="s">
        <v>432</v>
      </c>
      <c r="K28" s="11" t="s">
        <v>433</v>
      </c>
      <c r="L28" s="10" t="s">
        <v>22</v>
      </c>
      <c r="M28" s="10" t="s">
        <v>22</v>
      </c>
      <c r="N28" s="10" t="s">
        <v>163</v>
      </c>
    </row>
    <row r="29" spans="1:14" ht="85.5" x14ac:dyDescent="0.45">
      <c r="A29" s="10" t="str">
        <f>IF((COUNTIF(ImpactedResources!D:D,"e7495e1c-0c75-0946-b266-b429b5c7f3bf")=0),"Yes","No")</f>
        <v>No</v>
      </c>
      <c r="B29" s="10">
        <f>COUNTIF(ImpactedResources!D:D,"e7495e1c-0c75-0946-b266-b429b5c7f3bf")</f>
        <v>1</v>
      </c>
      <c r="C29" s="10" t="s">
        <v>338</v>
      </c>
      <c r="D29" s="10" t="s">
        <v>23</v>
      </c>
      <c r="E29" s="10" t="s">
        <v>339</v>
      </c>
      <c r="F29" s="10" t="s">
        <v>434</v>
      </c>
      <c r="G29" s="10" t="s">
        <v>357</v>
      </c>
      <c r="H29" s="10" t="s">
        <v>98</v>
      </c>
      <c r="I29" s="10" t="s">
        <v>350</v>
      </c>
      <c r="J29" s="10" t="s">
        <v>435</v>
      </c>
      <c r="K29" s="10" t="s">
        <v>436</v>
      </c>
      <c r="L29" s="10" t="s">
        <v>22</v>
      </c>
      <c r="M29" s="10" t="s">
        <v>22</v>
      </c>
      <c r="N29" s="10" t="s">
        <v>99</v>
      </c>
    </row>
    <row r="30" spans="1:14" ht="57" x14ac:dyDescent="0.45">
      <c r="A30" s="10" t="str">
        <f>IF((COUNTIF(ImpactedResources!D:D,"94794d2a-eff0-2345-9b67-6f9349d0a627")=0),"Yes","No")</f>
        <v>Yes</v>
      </c>
      <c r="B30" s="10">
        <f>COUNTIF(ImpactedResources!D:D,"94794d2a-eff0-2345-9b67-6f9349d0a627")</f>
        <v>0</v>
      </c>
      <c r="C30" s="10" t="s">
        <v>338</v>
      </c>
      <c r="D30" s="10" t="s">
        <v>23</v>
      </c>
      <c r="E30" s="10" t="s">
        <v>339</v>
      </c>
      <c r="F30" s="10" t="s">
        <v>434</v>
      </c>
      <c r="G30" s="10" t="s">
        <v>407</v>
      </c>
      <c r="H30" s="10" t="s">
        <v>437</v>
      </c>
      <c r="I30" s="10" t="s">
        <v>350</v>
      </c>
      <c r="J30" s="10" t="s">
        <v>438</v>
      </c>
      <c r="K30" s="11" t="s">
        <v>439</v>
      </c>
      <c r="L30" s="10" t="s">
        <v>22</v>
      </c>
      <c r="M30" s="10" t="s">
        <v>22</v>
      </c>
      <c r="N30" s="10" t="s">
        <v>440</v>
      </c>
    </row>
    <row r="31" spans="1:14" ht="57" x14ac:dyDescent="0.45">
      <c r="A31" s="10" t="str">
        <f>IF((COUNTIF(ImpactedResources!D:D,"820f4743-1f94-e946-ae0b-45efafd87962")=0),"Yes","No")</f>
        <v>Yes</v>
      </c>
      <c r="B31" s="10">
        <f>COUNTIF(ImpactedResources!D:D,"820f4743-1f94-e946-ae0b-45efafd87962")</f>
        <v>0</v>
      </c>
      <c r="C31" s="10" t="s">
        <v>338</v>
      </c>
      <c r="D31" s="10" t="s">
        <v>23</v>
      </c>
      <c r="E31" s="10" t="s">
        <v>339</v>
      </c>
      <c r="F31" s="10" t="s">
        <v>434</v>
      </c>
      <c r="G31" s="10" t="s">
        <v>441</v>
      </c>
      <c r="H31" s="10" t="s">
        <v>442</v>
      </c>
      <c r="I31" s="10" t="s">
        <v>342</v>
      </c>
      <c r="J31" s="10" t="s">
        <v>443</v>
      </c>
      <c r="K31" s="11" t="s">
        <v>444</v>
      </c>
      <c r="L31" s="10" t="s">
        <v>22</v>
      </c>
      <c r="M31" s="10" t="s">
        <v>22</v>
      </c>
      <c r="N31" s="10" t="s">
        <v>445</v>
      </c>
    </row>
    <row r="32" spans="1:14" ht="71.25" x14ac:dyDescent="0.45">
      <c r="A32" s="10" t="str">
        <f>IF((COUNTIF(ImpactedResources!D:D,"ee66ff65-9aa3-2345-93c1-25827cf79f44")=0),"Yes","No")</f>
        <v>Yes</v>
      </c>
      <c r="B32" s="10">
        <f>COUNTIF(ImpactedResources!D:D,"ee66ff65-9aa3-2345-93c1-25827cf79f44")</f>
        <v>0</v>
      </c>
      <c r="C32" s="10" t="s">
        <v>338</v>
      </c>
      <c r="D32" s="10" t="s">
        <v>23</v>
      </c>
      <c r="E32" s="10" t="s">
        <v>339</v>
      </c>
      <c r="F32" s="10" t="s">
        <v>434</v>
      </c>
      <c r="G32" s="10" t="s">
        <v>357</v>
      </c>
      <c r="H32" s="10" t="s">
        <v>446</v>
      </c>
      <c r="I32" s="10" t="s">
        <v>342</v>
      </c>
      <c r="J32" s="10" t="s">
        <v>447</v>
      </c>
      <c r="K32" s="10" t="s">
        <v>448</v>
      </c>
      <c r="L32" s="10" t="s">
        <v>22</v>
      </c>
      <c r="M32" s="10" t="s">
        <v>22</v>
      </c>
      <c r="N32" s="10" t="s">
        <v>449</v>
      </c>
    </row>
    <row r="33" spans="1:14" ht="42.75" x14ac:dyDescent="0.45">
      <c r="A33" s="10" t="str">
        <f>IF((COUNTIF(ImpactedResources!D:D,"3f85a51c-e286-9f44-b4dc-51d00768696c")=0),"Yes","No")</f>
        <v>No</v>
      </c>
      <c r="B33" s="10">
        <f>COUNTIF(ImpactedResources!D:D,"3f85a51c-e286-9f44-b4dc-51d00768696c")</f>
        <v>1</v>
      </c>
      <c r="C33" s="10" t="s">
        <v>338</v>
      </c>
      <c r="D33" s="10" t="s">
        <v>23</v>
      </c>
      <c r="E33" s="10" t="s">
        <v>339</v>
      </c>
      <c r="F33" s="10" t="s">
        <v>434</v>
      </c>
      <c r="G33" s="10" t="s">
        <v>357</v>
      </c>
      <c r="H33" s="10" t="s">
        <v>45</v>
      </c>
      <c r="I33" s="10" t="s">
        <v>358</v>
      </c>
      <c r="J33" s="10" t="s">
        <v>450</v>
      </c>
      <c r="K33" s="11" t="s">
        <v>451</v>
      </c>
      <c r="L33" s="10" t="s">
        <v>22</v>
      </c>
      <c r="M33" s="10" t="s">
        <v>22</v>
      </c>
      <c r="N33" s="10" t="s">
        <v>46</v>
      </c>
    </row>
    <row r="34" spans="1:14" ht="57" x14ac:dyDescent="0.45">
      <c r="A34" s="10" t="str">
        <f>IF((COUNTIF(ImpactedResources!D:D,"b5a63aa0-c58e-244f-b8a6-cbba0560a6db")=0),"Yes","No")</f>
        <v>Yes</v>
      </c>
      <c r="B34" s="10">
        <f>COUNTIF(ImpactedResources!D:D,"b5a63aa0-c58e-244f-b8a6-cbba0560a6db")</f>
        <v>0</v>
      </c>
      <c r="C34" s="10" t="s">
        <v>338</v>
      </c>
      <c r="D34" s="10" t="s">
        <v>23</v>
      </c>
      <c r="E34" s="10" t="s">
        <v>339</v>
      </c>
      <c r="F34" s="10" t="s">
        <v>434</v>
      </c>
      <c r="G34" s="10" t="s">
        <v>341</v>
      </c>
      <c r="H34" s="10" t="s">
        <v>452</v>
      </c>
      <c r="I34" s="10" t="s">
        <v>342</v>
      </c>
      <c r="J34" s="10" t="s">
        <v>453</v>
      </c>
      <c r="K34" s="11" t="s">
        <v>454</v>
      </c>
      <c r="L34" s="10" t="s">
        <v>22</v>
      </c>
      <c r="M34" s="10" t="s">
        <v>22</v>
      </c>
      <c r="N34" s="10" t="s">
        <v>455</v>
      </c>
    </row>
    <row r="35" spans="1:14" ht="85.5" x14ac:dyDescent="0.45">
      <c r="A35" s="10" t="str">
        <f>IF((COUNTIF(ImpactedResources!D:D,"1422c567-782c-7148-ac7c-5fc14cf45adc")=0),"Yes","No")</f>
        <v>No</v>
      </c>
      <c r="B35" s="10">
        <f>COUNTIF(ImpactedResources!D:D,"1422c567-782c-7148-ac7c-5fc14cf45adc")</f>
        <v>1</v>
      </c>
      <c r="C35" s="10" t="s">
        <v>338</v>
      </c>
      <c r="D35" s="10" t="s">
        <v>23</v>
      </c>
      <c r="E35" s="10" t="s">
        <v>339</v>
      </c>
      <c r="F35" s="10" t="s">
        <v>434</v>
      </c>
      <c r="G35" s="10" t="s">
        <v>341</v>
      </c>
      <c r="H35" s="10" t="s">
        <v>183</v>
      </c>
      <c r="I35" s="10" t="s">
        <v>342</v>
      </c>
      <c r="J35" s="10" t="s">
        <v>456</v>
      </c>
      <c r="K35" s="10" t="s">
        <v>457</v>
      </c>
      <c r="L35" s="10" t="s">
        <v>22</v>
      </c>
      <c r="M35" s="10" t="s">
        <v>22</v>
      </c>
      <c r="N35" s="10" t="s">
        <v>184</v>
      </c>
    </row>
    <row r="36" spans="1:14" ht="71.25" x14ac:dyDescent="0.45">
      <c r="A36" s="10" t="str">
        <f>IF((COUNTIF(ImpactedResources!D:D,"e4ffd7b0-ba24-c84e-9352-ba4819f908c0")=0),"Yes","No")</f>
        <v>Yes</v>
      </c>
      <c r="B36" s="10">
        <f>COUNTIF(ImpactedResources!D:D,"e4ffd7b0-ba24-c84e-9352-ba4819f908c0")</f>
        <v>0</v>
      </c>
      <c r="C36" s="10" t="s">
        <v>338</v>
      </c>
      <c r="D36" s="10" t="s">
        <v>23</v>
      </c>
      <c r="E36" s="10" t="s">
        <v>339</v>
      </c>
      <c r="F36" s="10" t="s">
        <v>434</v>
      </c>
      <c r="G36" s="10" t="s">
        <v>441</v>
      </c>
      <c r="H36" s="10" t="s">
        <v>458</v>
      </c>
      <c r="I36" s="10" t="s">
        <v>358</v>
      </c>
      <c r="J36" s="10" t="s">
        <v>459</v>
      </c>
      <c r="K36" s="10" t="s">
        <v>460</v>
      </c>
      <c r="L36" s="10" t="s">
        <v>22</v>
      </c>
      <c r="M36" s="10" t="s">
        <v>22</v>
      </c>
      <c r="N36" s="10" t="s">
        <v>461</v>
      </c>
    </row>
    <row r="37" spans="1:14" ht="57" x14ac:dyDescent="0.45">
      <c r="A37" s="10" t="str">
        <f>IF((COUNTIF(ImpactedResources!D:D,"83d61669-7bd6-9642-a305-175db8adcdf4")=0),"Yes","No")</f>
        <v>Yes</v>
      </c>
      <c r="B37" s="10">
        <f>COUNTIF(ImpactedResources!D:D,"83d61669-7bd6-9642-a305-175db8adcdf4")</f>
        <v>0</v>
      </c>
      <c r="C37" s="10" t="s">
        <v>338</v>
      </c>
      <c r="D37" s="10" t="s">
        <v>23</v>
      </c>
      <c r="E37" s="10" t="s">
        <v>339</v>
      </c>
      <c r="F37" s="10" t="s">
        <v>434</v>
      </c>
      <c r="G37" s="10" t="s">
        <v>367</v>
      </c>
      <c r="H37" s="10" t="s">
        <v>462</v>
      </c>
      <c r="I37" s="10" t="s">
        <v>342</v>
      </c>
      <c r="J37" s="10" t="s">
        <v>463</v>
      </c>
      <c r="K37" s="11" t="s">
        <v>464</v>
      </c>
      <c r="L37" s="10" t="s">
        <v>22</v>
      </c>
      <c r="M37" s="10" t="s">
        <v>22</v>
      </c>
      <c r="N37" s="10" t="s">
        <v>465</v>
      </c>
    </row>
    <row r="38" spans="1:14" ht="42.75" x14ac:dyDescent="0.45">
      <c r="A38" s="10" t="str">
        <f>IF((COUNTIF(ImpactedResources!D:D,"1074f391-22bf-42f5-9c95-68af5ad89bf6")=0),"Yes","No")</f>
        <v>Yes</v>
      </c>
      <c r="B38" s="10">
        <f>COUNTIF(ImpactedResources!D:D,"1074f391-22bf-42f5-9c95-68af5ad89bf6")</f>
        <v>0</v>
      </c>
      <c r="C38" s="10" t="s">
        <v>338</v>
      </c>
      <c r="D38" s="10" t="s">
        <v>23</v>
      </c>
      <c r="E38" s="10" t="s">
        <v>339</v>
      </c>
      <c r="F38" s="10" t="s">
        <v>434</v>
      </c>
      <c r="G38" s="10" t="s">
        <v>357</v>
      </c>
      <c r="H38" s="10" t="s">
        <v>466</v>
      </c>
      <c r="I38" s="10" t="s">
        <v>342</v>
      </c>
      <c r="J38" s="10" t="s">
        <v>467</v>
      </c>
      <c r="K38" s="11" t="s">
        <v>422</v>
      </c>
      <c r="L38" s="10" t="s">
        <v>22</v>
      </c>
      <c r="M38" s="10" t="s">
        <v>22</v>
      </c>
      <c r="N38" s="10" t="s">
        <v>468</v>
      </c>
    </row>
    <row r="39" spans="1:14" ht="57" x14ac:dyDescent="0.45">
      <c r="A39" s="10" t="str">
        <f>IF((COUNTIF(ImpactedResources!D:D,"38721758-2cc2-4d6b-b7b7-8b47dadbf7df")=0),"Yes","No")</f>
        <v>Yes</v>
      </c>
      <c r="B39" s="10">
        <f>COUNTIF(ImpactedResources!D:D,"38721758-2cc2-4d6b-b7b7-8b47dadbf7df")</f>
        <v>0</v>
      </c>
      <c r="C39" s="10" t="s">
        <v>338</v>
      </c>
      <c r="D39" s="10" t="s">
        <v>23</v>
      </c>
      <c r="E39" s="10" t="s">
        <v>339</v>
      </c>
      <c r="F39" s="10" t="s">
        <v>340</v>
      </c>
      <c r="G39" s="10" t="s">
        <v>349</v>
      </c>
      <c r="H39" s="10" t="s">
        <v>469</v>
      </c>
      <c r="I39" s="10" t="s">
        <v>350</v>
      </c>
      <c r="J39" s="10" t="s">
        <v>470</v>
      </c>
      <c r="K39" s="11" t="s">
        <v>471</v>
      </c>
      <c r="L39" s="10" t="s">
        <v>22</v>
      </c>
      <c r="M39" s="10" t="s">
        <v>22</v>
      </c>
      <c r="N39" s="10" t="s">
        <v>472</v>
      </c>
    </row>
    <row r="40" spans="1:14" ht="42.75" x14ac:dyDescent="0.45">
      <c r="A40" s="10" t="str">
        <f>IF((COUNTIF(ImpactedResources!D:D,"823b0cff-05c0-2e4e-a1e7-9965e1cfa16f")=0),"Yes","No")</f>
        <v>No</v>
      </c>
      <c r="B40" s="10">
        <f>COUNTIF(ImpactedResources!D:D,"823b0cff-05c0-2e4e-a1e7-9965e1cfa16f")</f>
        <v>1</v>
      </c>
      <c r="C40" s="10" t="s">
        <v>338</v>
      </c>
      <c r="D40" s="10" t="s">
        <v>23</v>
      </c>
      <c r="E40" s="10" t="s">
        <v>473</v>
      </c>
      <c r="F40" s="10" t="s">
        <v>474</v>
      </c>
      <c r="G40" s="10" t="s">
        <v>357</v>
      </c>
      <c r="H40" s="10" t="s">
        <v>116</v>
      </c>
      <c r="I40" s="10" t="s">
        <v>342</v>
      </c>
      <c r="J40" s="10" t="s">
        <v>475</v>
      </c>
      <c r="K40" s="11" t="s">
        <v>476</v>
      </c>
      <c r="L40" s="10" t="s">
        <v>22</v>
      </c>
      <c r="M40" s="10" t="s">
        <v>22</v>
      </c>
      <c r="N40" s="10" t="s">
        <v>117</v>
      </c>
    </row>
    <row r="41" spans="1:14" ht="156.75" x14ac:dyDescent="0.45">
      <c r="A41" s="10" t="str">
        <f>IF((COUNTIF(ImpactedResources!D:D,"233a7008-71e9-e745-923e-1a1c7a0b92f3")=0),"Yes","No")</f>
        <v>No</v>
      </c>
      <c r="B41" s="10">
        <f>COUNTIF(ImpactedResources!D:D,"233a7008-71e9-e745-923e-1a1c7a0b92f3")</f>
        <v>2</v>
      </c>
      <c r="C41" s="10" t="s">
        <v>338</v>
      </c>
      <c r="D41" s="10" t="s">
        <v>23</v>
      </c>
      <c r="E41" s="10" t="s">
        <v>473</v>
      </c>
      <c r="F41" s="10" t="s">
        <v>474</v>
      </c>
      <c r="G41" s="10" t="s">
        <v>377</v>
      </c>
      <c r="H41" s="10" t="s">
        <v>16</v>
      </c>
      <c r="I41" s="10" t="s">
        <v>342</v>
      </c>
      <c r="J41" s="10" t="s">
        <v>477</v>
      </c>
      <c r="K41" s="10" t="s">
        <v>478</v>
      </c>
      <c r="L41" s="10" t="s">
        <v>22</v>
      </c>
      <c r="M41" s="10" t="s">
        <v>22</v>
      </c>
      <c r="N41" s="10" t="s">
        <v>17</v>
      </c>
    </row>
    <row r="42" spans="1:14" ht="57" x14ac:dyDescent="0.45">
      <c r="A42" s="10" t="str">
        <f>IF((COUNTIF(ImpactedResources!D:D,"8d9223c4-730d-ca47-af88-a9a024c37270")=0),"Yes","No")</f>
        <v>Yes</v>
      </c>
      <c r="B42" s="10">
        <f>COUNTIF(ImpactedResources!D:D,"8d9223c4-730d-ca47-af88-a9a024c37270")</f>
        <v>0</v>
      </c>
      <c r="C42" s="10" t="s">
        <v>338</v>
      </c>
      <c r="D42" s="10" t="s">
        <v>23</v>
      </c>
      <c r="E42" s="10" t="s">
        <v>473</v>
      </c>
      <c r="F42" s="10" t="s">
        <v>474</v>
      </c>
      <c r="G42" s="10" t="s">
        <v>377</v>
      </c>
      <c r="H42" s="10" t="s">
        <v>479</v>
      </c>
      <c r="I42" s="10" t="s">
        <v>342</v>
      </c>
      <c r="J42" s="10" t="s">
        <v>480</v>
      </c>
      <c r="K42" s="10" t="s">
        <v>481</v>
      </c>
      <c r="L42" s="10" t="s">
        <v>22</v>
      </c>
      <c r="M42" s="10" t="s">
        <v>22</v>
      </c>
      <c r="N42" s="10" t="s">
        <v>482</v>
      </c>
    </row>
    <row r="43" spans="1:14" ht="114" x14ac:dyDescent="0.45">
      <c r="A43" s="10" t="str">
        <f>IF((COUNTIF(ImpactedResources!D:D,"7893f0b3-8622-1d47-beed-4b50a19f7895")=0),"Yes","No")</f>
        <v>Yes</v>
      </c>
      <c r="B43" s="10">
        <f>COUNTIF(ImpactedResources!D:D,"7893f0b3-8622-1d47-beed-4b50a19f7895")</f>
        <v>0</v>
      </c>
      <c r="C43" s="10" t="s">
        <v>338</v>
      </c>
      <c r="D43" s="10" t="s">
        <v>23</v>
      </c>
      <c r="E43" s="10" t="s">
        <v>473</v>
      </c>
      <c r="F43" s="10" t="s">
        <v>474</v>
      </c>
      <c r="G43" s="10" t="s">
        <v>357</v>
      </c>
      <c r="H43" s="10" t="s">
        <v>483</v>
      </c>
      <c r="I43" s="10" t="s">
        <v>342</v>
      </c>
      <c r="J43" s="10" t="s">
        <v>484</v>
      </c>
      <c r="K43" s="10" t="s">
        <v>485</v>
      </c>
      <c r="L43" s="10" t="s">
        <v>22</v>
      </c>
      <c r="M43" s="10" t="s">
        <v>22</v>
      </c>
      <c r="N43" s="10" t="s">
        <v>486</v>
      </c>
    </row>
    <row r="44" spans="1:14" ht="57" x14ac:dyDescent="0.45">
      <c r="A44" s="10" t="str">
        <f>IF((COUNTIF(ImpactedResources!D:D,"5d035919-898d-a047-8d5d-454e199692e5")=0),"Yes","No")</f>
        <v>Yes</v>
      </c>
      <c r="B44" s="10">
        <f>COUNTIF(ImpactedResources!D:D,"5d035919-898d-a047-8d5d-454e199692e5")</f>
        <v>0</v>
      </c>
      <c r="C44" s="10" t="s">
        <v>338</v>
      </c>
      <c r="D44" s="10" t="s">
        <v>23</v>
      </c>
      <c r="E44" s="10" t="s">
        <v>473</v>
      </c>
      <c r="F44" s="10" t="s">
        <v>474</v>
      </c>
      <c r="G44" s="10" t="s">
        <v>407</v>
      </c>
      <c r="H44" s="10" t="s">
        <v>487</v>
      </c>
      <c r="I44" s="10" t="s">
        <v>342</v>
      </c>
      <c r="J44" s="10" t="s">
        <v>488</v>
      </c>
      <c r="K44" s="10" t="s">
        <v>489</v>
      </c>
      <c r="L44" s="10" t="s">
        <v>22</v>
      </c>
      <c r="M44" s="10" t="s">
        <v>22</v>
      </c>
      <c r="N44" s="10" t="s">
        <v>490</v>
      </c>
    </row>
    <row r="45" spans="1:14" ht="71.25" x14ac:dyDescent="0.45">
      <c r="A45" s="10" t="str">
        <f>IF((COUNTIF(ImpactedResources!D:D,"847a8d88-21c4-bc48-a94e-562206edd767")=0),"Yes","No")</f>
        <v>No</v>
      </c>
      <c r="B45" s="10">
        <f>COUNTIF(ImpactedResources!D:D,"847a8d88-21c4-bc48-a94e-562206edd767")</f>
        <v>1</v>
      </c>
      <c r="C45" s="10" t="s">
        <v>338</v>
      </c>
      <c r="D45" s="10" t="s">
        <v>23</v>
      </c>
      <c r="E45" s="10" t="s">
        <v>473</v>
      </c>
      <c r="F45" s="10" t="s">
        <v>474</v>
      </c>
      <c r="G45" s="10" t="s">
        <v>407</v>
      </c>
      <c r="H45" s="10" t="s">
        <v>95</v>
      </c>
      <c r="I45" s="10" t="s">
        <v>342</v>
      </c>
      <c r="J45" s="10" t="s">
        <v>491</v>
      </c>
      <c r="K45" s="10" t="s">
        <v>492</v>
      </c>
      <c r="L45" s="10" t="s">
        <v>22</v>
      </c>
      <c r="M45" s="10" t="s">
        <v>22</v>
      </c>
      <c r="N45" s="10" t="s">
        <v>96</v>
      </c>
    </row>
    <row r="46" spans="1:14" ht="71.25" x14ac:dyDescent="0.45">
      <c r="A46" s="10" t="str">
        <f>IF((COUNTIF(ImpactedResources!D:D,"c9c00f2a-3888-714b-a72b-b4c9e8fcffb2")=0),"Yes","No")</f>
        <v>No</v>
      </c>
      <c r="B46" s="10">
        <f>COUNTIF(ImpactedResources!D:D,"c9c00f2a-3888-714b-a72b-b4c9e8fcffb2")</f>
        <v>1</v>
      </c>
      <c r="C46" s="10" t="s">
        <v>338</v>
      </c>
      <c r="D46" s="10" t="s">
        <v>23</v>
      </c>
      <c r="E46" s="10" t="s">
        <v>473</v>
      </c>
      <c r="F46" s="10" t="s">
        <v>474</v>
      </c>
      <c r="G46" s="10" t="s">
        <v>341</v>
      </c>
      <c r="H46" s="10" t="s">
        <v>153</v>
      </c>
      <c r="I46" s="10" t="s">
        <v>342</v>
      </c>
      <c r="J46" s="10" t="s">
        <v>493</v>
      </c>
      <c r="K46" s="10" t="s">
        <v>494</v>
      </c>
      <c r="L46" s="10" t="s">
        <v>22</v>
      </c>
      <c r="M46" s="10" t="s">
        <v>22</v>
      </c>
      <c r="N46" s="10" t="s">
        <v>154</v>
      </c>
    </row>
    <row r="47" spans="1:14" ht="71.25" x14ac:dyDescent="0.45">
      <c r="A47" s="10" t="str">
        <f>IF((COUNTIF(ImpactedResources!D:D,"10f02bc6-e2e7-004d-a2c2-f9bf9f16b915")=0),"Yes","No")</f>
        <v>No</v>
      </c>
      <c r="B47" s="10">
        <f>COUNTIF(ImpactedResources!D:D,"10f02bc6-e2e7-004d-a2c2-f9bf9f16b915")</f>
        <v>1</v>
      </c>
      <c r="C47" s="10" t="s">
        <v>338</v>
      </c>
      <c r="D47" s="10" t="s">
        <v>23</v>
      </c>
      <c r="E47" s="10" t="s">
        <v>473</v>
      </c>
      <c r="F47" s="10" t="s">
        <v>474</v>
      </c>
      <c r="G47" s="10" t="s">
        <v>341</v>
      </c>
      <c r="H47" s="10" t="s">
        <v>78</v>
      </c>
      <c r="I47" s="10" t="s">
        <v>350</v>
      </c>
      <c r="J47" s="10" t="s">
        <v>495</v>
      </c>
      <c r="K47" s="10" t="s">
        <v>496</v>
      </c>
      <c r="L47" s="10" t="s">
        <v>22</v>
      </c>
      <c r="M47" s="10" t="s">
        <v>22</v>
      </c>
      <c r="N47" s="10" t="s">
        <v>79</v>
      </c>
    </row>
    <row r="48" spans="1:14" ht="42.75" x14ac:dyDescent="0.45">
      <c r="A48" s="10" t="str">
        <f>IF((COUNTIF(ImpactedResources!D:D,"8364fd0a-7c0e-e240-9d95-4bf965aec243")=0),"Yes","No")</f>
        <v>Yes</v>
      </c>
      <c r="B48" s="10">
        <f>COUNTIF(ImpactedResources!D:D,"8364fd0a-7c0e-e240-9d95-4bf965aec243")</f>
        <v>0</v>
      </c>
      <c r="C48" s="10" t="s">
        <v>338</v>
      </c>
      <c r="D48" s="10" t="s">
        <v>23</v>
      </c>
      <c r="E48" s="10" t="s">
        <v>473</v>
      </c>
      <c r="F48" s="10" t="s">
        <v>474</v>
      </c>
      <c r="G48" s="10" t="s">
        <v>390</v>
      </c>
      <c r="H48" s="10" t="s">
        <v>497</v>
      </c>
      <c r="I48" s="10" t="s">
        <v>342</v>
      </c>
      <c r="J48" s="10" t="s">
        <v>498</v>
      </c>
      <c r="K48" s="11" t="s">
        <v>499</v>
      </c>
      <c r="L48" s="10" t="s">
        <v>22</v>
      </c>
      <c r="M48" s="10" t="s">
        <v>22</v>
      </c>
      <c r="N48" s="10" t="s">
        <v>500</v>
      </c>
    </row>
    <row r="49" spans="1:14" ht="71.25" x14ac:dyDescent="0.45">
      <c r="A49" s="10" t="str">
        <f>IF((COUNTIF(ImpactedResources!D:D,"38c3bca1-97a1-eb42-8cd3-838b243f35ba")=0),"Yes","No")</f>
        <v>No</v>
      </c>
      <c r="B49" s="10">
        <f>COUNTIF(ImpactedResources!D:D,"38c3bca1-97a1-eb42-8cd3-838b243f35ba")</f>
        <v>2</v>
      </c>
      <c r="C49" s="10" t="s">
        <v>338</v>
      </c>
      <c r="D49" s="10" t="s">
        <v>23</v>
      </c>
      <c r="E49" s="10" t="s">
        <v>473</v>
      </c>
      <c r="F49" s="10" t="s">
        <v>501</v>
      </c>
      <c r="G49" s="10" t="s">
        <v>341</v>
      </c>
      <c r="H49" s="10" t="s">
        <v>85</v>
      </c>
      <c r="I49" s="10" t="s">
        <v>342</v>
      </c>
      <c r="J49" s="10" t="s">
        <v>502</v>
      </c>
      <c r="K49" s="10" t="s">
        <v>503</v>
      </c>
      <c r="L49" s="10" t="s">
        <v>22</v>
      </c>
      <c r="M49" s="10" t="s">
        <v>22</v>
      </c>
      <c r="N49" s="10" t="s">
        <v>86</v>
      </c>
    </row>
    <row r="50" spans="1:14" ht="42.75" x14ac:dyDescent="0.45">
      <c r="A50" s="10" t="str">
        <f>IF((COUNTIF(ImpactedResources!D:D,"6d82d042-6d61-ad49-86f0-6a5455398081")=0),"Yes","No")</f>
        <v>Yes</v>
      </c>
      <c r="B50" s="10">
        <f>COUNTIF(ImpactedResources!D:D,"6d82d042-6d61-ad49-86f0-6a5455398081")</f>
        <v>0</v>
      </c>
      <c r="C50" s="10" t="s">
        <v>338</v>
      </c>
      <c r="D50" s="10" t="s">
        <v>23</v>
      </c>
      <c r="E50" s="10" t="s">
        <v>473</v>
      </c>
      <c r="F50" s="10" t="s">
        <v>501</v>
      </c>
      <c r="G50" s="10" t="s">
        <v>341</v>
      </c>
      <c r="H50" s="10" t="s">
        <v>504</v>
      </c>
      <c r="I50" s="10" t="s">
        <v>342</v>
      </c>
      <c r="J50" s="10" t="s">
        <v>505</v>
      </c>
      <c r="K50" s="11" t="s">
        <v>506</v>
      </c>
      <c r="L50" s="10" t="s">
        <v>22</v>
      </c>
      <c r="M50" s="10" t="s">
        <v>22</v>
      </c>
      <c r="N50" s="10" t="s">
        <v>507</v>
      </c>
    </row>
    <row r="51" spans="1:14" ht="57" x14ac:dyDescent="0.45">
      <c r="A51" s="10" t="str">
        <f>IF((COUNTIF(ImpactedResources!D:D,"8d319a05-677b-944f-b9b4-ca0fb42e883c")=0),"Yes","No")</f>
        <v>Yes</v>
      </c>
      <c r="B51" s="10">
        <f>COUNTIF(ImpactedResources!D:D,"8d319a05-677b-944f-b9b4-ca0fb42e883c")</f>
        <v>0</v>
      </c>
      <c r="C51" s="10" t="s">
        <v>338</v>
      </c>
      <c r="D51" s="10" t="s">
        <v>23</v>
      </c>
      <c r="E51" s="10" t="s">
        <v>473</v>
      </c>
      <c r="F51" s="10" t="s">
        <v>501</v>
      </c>
      <c r="G51" s="10" t="s">
        <v>341</v>
      </c>
      <c r="H51" s="10" t="s">
        <v>508</v>
      </c>
      <c r="I51" s="10" t="s">
        <v>350</v>
      </c>
      <c r="J51" s="10" t="s">
        <v>509</v>
      </c>
      <c r="K51" s="11" t="s">
        <v>506</v>
      </c>
      <c r="L51" s="10" t="s">
        <v>22</v>
      </c>
      <c r="M51" s="10" t="s">
        <v>22</v>
      </c>
      <c r="N51" s="10" t="s">
        <v>510</v>
      </c>
    </row>
    <row r="52" spans="1:14" ht="57" x14ac:dyDescent="0.45">
      <c r="A52" s="10" t="str">
        <f>IF((COUNTIF(ImpactedResources!D:D,"621dbc78-3745-4d32-8eac-9e65b27b7512")=0),"Yes","No")</f>
        <v>Yes</v>
      </c>
      <c r="B52" s="10">
        <f>COUNTIF(ImpactedResources!D:D,"621dbc78-3745-4d32-8eac-9e65b27b7512")</f>
        <v>0</v>
      </c>
      <c r="C52" s="10" t="s">
        <v>338</v>
      </c>
      <c r="D52" s="10" t="s">
        <v>23</v>
      </c>
      <c r="E52" s="10" t="s">
        <v>473</v>
      </c>
      <c r="F52" s="10" t="s">
        <v>501</v>
      </c>
      <c r="G52" s="10" t="s">
        <v>341</v>
      </c>
      <c r="H52" s="10" t="s">
        <v>511</v>
      </c>
      <c r="I52" s="10" t="s">
        <v>342</v>
      </c>
      <c r="J52" s="10" t="s">
        <v>512</v>
      </c>
      <c r="K52" s="11" t="s">
        <v>513</v>
      </c>
      <c r="L52" s="10" t="s">
        <v>22</v>
      </c>
      <c r="M52" s="10" t="s">
        <v>22</v>
      </c>
      <c r="N52" s="10" t="s">
        <v>514</v>
      </c>
    </row>
    <row r="53" spans="1:14" ht="71.25" x14ac:dyDescent="0.45">
      <c r="A53" s="10" t="str">
        <f>IF((COUNTIF(ImpactedResources!D:D,"c63b81fb-7afc-894c-a840-91bb8a8dcfaf")=0),"Yes","No")</f>
        <v>Yes</v>
      </c>
      <c r="B53" s="10">
        <f>COUNTIF(ImpactedResources!D:D,"c63b81fb-7afc-894c-a840-91bb8a8dcfaf")</f>
        <v>0</v>
      </c>
      <c r="C53" s="10" t="s">
        <v>338</v>
      </c>
      <c r="D53" s="10" t="s">
        <v>23</v>
      </c>
      <c r="E53" s="10" t="s">
        <v>473</v>
      </c>
      <c r="F53" s="10" t="s">
        <v>515</v>
      </c>
      <c r="G53" s="10" t="s">
        <v>341</v>
      </c>
      <c r="H53" s="10" t="s">
        <v>516</v>
      </c>
      <c r="I53" s="10" t="s">
        <v>342</v>
      </c>
      <c r="J53" s="10" t="s">
        <v>517</v>
      </c>
      <c r="K53" s="10" t="s">
        <v>518</v>
      </c>
      <c r="L53" s="10" t="s">
        <v>22</v>
      </c>
      <c r="M53" s="10" t="s">
        <v>22</v>
      </c>
      <c r="N53" s="10" t="s">
        <v>519</v>
      </c>
    </row>
    <row r="54" spans="1:14" ht="85.5" x14ac:dyDescent="0.45">
      <c r="A54" s="10" t="str">
        <f>IF((COUNTIF(ImpactedResources!D:D,"1adba190-5c4c-e646-8527-dd1b2a6d8b15")=0),"Yes","No")</f>
        <v>Yes</v>
      </c>
      <c r="B54" s="10">
        <f>COUNTIF(ImpactedResources!D:D,"1adba190-5c4c-e646-8527-dd1b2a6d8b15")</f>
        <v>0</v>
      </c>
      <c r="C54" s="10" t="s">
        <v>338</v>
      </c>
      <c r="D54" s="10" t="s">
        <v>23</v>
      </c>
      <c r="E54" s="10" t="s">
        <v>473</v>
      </c>
      <c r="F54" s="10" t="s">
        <v>515</v>
      </c>
      <c r="G54" s="10" t="s">
        <v>341</v>
      </c>
      <c r="H54" s="10" t="s">
        <v>520</v>
      </c>
      <c r="I54" s="10" t="s">
        <v>350</v>
      </c>
      <c r="J54" s="10" t="s">
        <v>521</v>
      </c>
      <c r="K54" s="10" t="s">
        <v>522</v>
      </c>
      <c r="L54" s="10" t="s">
        <v>22</v>
      </c>
      <c r="M54" s="10" t="s">
        <v>22</v>
      </c>
      <c r="N54" s="10" t="s">
        <v>523</v>
      </c>
    </row>
    <row r="55" spans="1:14" ht="71.25" x14ac:dyDescent="0.45">
      <c r="A55" s="10" t="str">
        <f>IF((COUNTIF(ImpactedResources!D:D,"5cea1501-6fe4-4ec4-ac8f-f72320eb18d3")=0),"Yes","No")</f>
        <v>Yes</v>
      </c>
      <c r="B55" s="10">
        <f>COUNTIF(ImpactedResources!D:D,"5cea1501-6fe4-4ec4-ac8f-f72320eb18d3")</f>
        <v>0</v>
      </c>
      <c r="C55" s="10" t="s">
        <v>338</v>
      </c>
      <c r="D55" s="10" t="s">
        <v>23</v>
      </c>
      <c r="E55" s="10" t="s">
        <v>473</v>
      </c>
      <c r="F55" s="10" t="s">
        <v>515</v>
      </c>
      <c r="G55" s="10" t="s">
        <v>341</v>
      </c>
      <c r="H55" s="10" t="s">
        <v>524</v>
      </c>
      <c r="I55" s="10" t="s">
        <v>350</v>
      </c>
      <c r="J55" s="10" t="s">
        <v>525</v>
      </c>
      <c r="K55" s="10" t="s">
        <v>526</v>
      </c>
      <c r="L55" s="10" t="s">
        <v>22</v>
      </c>
      <c r="M55" s="10" t="s">
        <v>22</v>
      </c>
      <c r="N55" s="10" t="s">
        <v>527</v>
      </c>
    </row>
    <row r="56" spans="1:14" ht="57" x14ac:dyDescent="0.45">
      <c r="A56" s="10" t="str">
        <f>IF((COUNTIF(ImpactedResources!D:D,"e6c7e1cc-2f47-264d-aa50-1da421314472")=0),"Yes","No")</f>
        <v>No</v>
      </c>
      <c r="B56" s="10">
        <f>COUNTIF(ImpactedResources!D:D,"e6c7e1cc-2f47-264d-aa50-1da421314472")</f>
        <v>6</v>
      </c>
      <c r="C56" s="10" t="s">
        <v>338</v>
      </c>
      <c r="D56" s="10" t="s">
        <v>23</v>
      </c>
      <c r="E56" s="10" t="s">
        <v>528</v>
      </c>
      <c r="F56" s="10" t="s">
        <v>529</v>
      </c>
      <c r="G56" s="10" t="s">
        <v>341</v>
      </c>
      <c r="H56" s="10" t="s">
        <v>63</v>
      </c>
      <c r="I56" s="10" t="s">
        <v>342</v>
      </c>
      <c r="J56" s="10" t="s">
        <v>530</v>
      </c>
      <c r="K56" s="10" t="s">
        <v>531</v>
      </c>
      <c r="L56" s="10" t="s">
        <v>22</v>
      </c>
      <c r="M56" s="10" t="s">
        <v>22</v>
      </c>
      <c r="N56" s="10" t="s">
        <v>64</v>
      </c>
    </row>
    <row r="57" spans="1:14" ht="57" x14ac:dyDescent="0.45">
      <c r="A57" s="10" t="str">
        <f>IF((COUNTIF(ImpactedResources!D:D,"63ad027e-611c-294b-acc5-8e3234db9a40")=0),"Yes","No")</f>
        <v>Yes</v>
      </c>
      <c r="B57" s="10">
        <f>COUNTIF(ImpactedResources!D:D,"63ad027e-611c-294b-acc5-8e3234db9a40")</f>
        <v>0</v>
      </c>
      <c r="C57" s="10" t="s">
        <v>338</v>
      </c>
      <c r="D57" s="10" t="s">
        <v>23</v>
      </c>
      <c r="E57" s="10" t="s">
        <v>528</v>
      </c>
      <c r="F57" s="10" t="s">
        <v>529</v>
      </c>
      <c r="G57" s="10" t="s">
        <v>532</v>
      </c>
      <c r="H57" s="10" t="s">
        <v>533</v>
      </c>
      <c r="I57" s="10" t="s">
        <v>342</v>
      </c>
      <c r="J57" s="10" t="s">
        <v>534</v>
      </c>
      <c r="K57" s="10" t="s">
        <v>535</v>
      </c>
      <c r="L57" s="10" t="s">
        <v>22</v>
      </c>
      <c r="M57" s="10" t="s">
        <v>22</v>
      </c>
      <c r="N57" s="10" t="s">
        <v>536</v>
      </c>
    </row>
    <row r="58" spans="1:14" ht="142.5" x14ac:dyDescent="0.45">
      <c r="A58" s="10" t="str">
        <f>IF((COUNTIF(ImpactedResources!D:D,"5587ef77-7a05-a74d-9c6e-449547a12f27")=0),"Yes","No")</f>
        <v>Yes</v>
      </c>
      <c r="B58" s="10">
        <f>COUNTIF(ImpactedResources!D:D,"5587ef77-7a05-a74d-9c6e-449547a12f27")</f>
        <v>0</v>
      </c>
      <c r="C58" s="10" t="s">
        <v>338</v>
      </c>
      <c r="D58" s="10" t="s">
        <v>23</v>
      </c>
      <c r="E58" s="10" t="s">
        <v>528</v>
      </c>
      <c r="F58" s="10" t="s">
        <v>529</v>
      </c>
      <c r="G58" s="10" t="s">
        <v>357</v>
      </c>
      <c r="H58" s="10" t="s">
        <v>537</v>
      </c>
      <c r="I58" s="10" t="s">
        <v>350</v>
      </c>
      <c r="J58" s="10" t="s">
        <v>538</v>
      </c>
      <c r="K58" s="10" t="s">
        <v>539</v>
      </c>
      <c r="L58" s="10" t="s">
        <v>22</v>
      </c>
      <c r="M58" s="10" t="s">
        <v>22</v>
      </c>
      <c r="N58" s="10" t="s">
        <v>540</v>
      </c>
    </row>
    <row r="59" spans="1:14" ht="42.75" x14ac:dyDescent="0.45">
      <c r="A59" s="10" t="str">
        <f>IF((COUNTIF(ImpactedResources!D:D,"03263c57-c869-3841-9e0a-3dbb9ef3e28d")=0),"Yes","No")</f>
        <v>Yes</v>
      </c>
      <c r="B59" s="10">
        <f>COUNTIF(ImpactedResources!D:D,"03263c57-c869-3841-9e0a-3dbb9ef3e28d")</f>
        <v>0</v>
      </c>
      <c r="C59" s="10" t="s">
        <v>338</v>
      </c>
      <c r="D59" s="10" t="s">
        <v>23</v>
      </c>
      <c r="E59" s="10" t="s">
        <v>528</v>
      </c>
      <c r="F59" s="10" t="s">
        <v>529</v>
      </c>
      <c r="G59" s="10" t="s">
        <v>349</v>
      </c>
      <c r="H59" s="10" t="s">
        <v>541</v>
      </c>
      <c r="I59" s="10" t="s">
        <v>350</v>
      </c>
      <c r="J59" s="10" t="s">
        <v>542</v>
      </c>
      <c r="K59" s="11" t="s">
        <v>543</v>
      </c>
      <c r="L59" s="10" t="s">
        <v>22</v>
      </c>
      <c r="M59" s="10" t="s">
        <v>22</v>
      </c>
      <c r="N59" s="10" t="s">
        <v>544</v>
      </c>
    </row>
    <row r="60" spans="1:14" ht="57" x14ac:dyDescent="0.45">
      <c r="A60" s="10" t="str">
        <f>IF((COUNTIF(ImpactedResources!D:D,"8ebda7c0-e0e1-ed45-af59-2d7ea9a1c05d")=0),"Yes","No")</f>
        <v>Yes</v>
      </c>
      <c r="B60" s="10">
        <f>COUNTIF(ImpactedResources!D:D,"8ebda7c0-e0e1-ed45-af59-2d7ea9a1c05d")</f>
        <v>0</v>
      </c>
      <c r="C60" s="10" t="s">
        <v>338</v>
      </c>
      <c r="D60" s="10" t="s">
        <v>23</v>
      </c>
      <c r="E60" s="10" t="s">
        <v>528</v>
      </c>
      <c r="F60" s="10" t="s">
        <v>529</v>
      </c>
      <c r="G60" s="10" t="s">
        <v>349</v>
      </c>
      <c r="H60" s="10" t="s">
        <v>545</v>
      </c>
      <c r="I60" s="10" t="s">
        <v>358</v>
      </c>
      <c r="J60" s="10" t="s">
        <v>546</v>
      </c>
      <c r="K60" s="11" t="s">
        <v>547</v>
      </c>
      <c r="L60" s="10" t="s">
        <v>22</v>
      </c>
      <c r="M60" s="10" t="s">
        <v>22</v>
      </c>
      <c r="N60" s="10" t="s">
        <v>548</v>
      </c>
    </row>
    <row r="61" spans="1:14" ht="57" x14ac:dyDescent="0.45">
      <c r="A61" s="10" t="str">
        <f>IF((COUNTIF(ImpactedResources!D:D,"1b965cb9-7629-214e-b682-6bf6e450a100")=0),"Yes","No")</f>
        <v>Yes</v>
      </c>
      <c r="B61" s="10">
        <f>COUNTIF(ImpactedResources!D:D,"1b965cb9-7629-214e-b682-6bf6e450a100")</f>
        <v>0</v>
      </c>
      <c r="C61" s="10" t="s">
        <v>338</v>
      </c>
      <c r="D61" s="10" t="s">
        <v>23</v>
      </c>
      <c r="E61" s="10" t="s">
        <v>528</v>
      </c>
      <c r="F61" s="10" t="s">
        <v>529</v>
      </c>
      <c r="G61" s="10" t="s">
        <v>349</v>
      </c>
      <c r="H61" s="10" t="s">
        <v>549</v>
      </c>
      <c r="I61" s="10" t="s">
        <v>358</v>
      </c>
      <c r="J61" s="10" t="s">
        <v>550</v>
      </c>
      <c r="K61" s="10" t="s">
        <v>551</v>
      </c>
      <c r="L61" s="10" t="s">
        <v>22</v>
      </c>
      <c r="M61" s="10" t="s">
        <v>22</v>
      </c>
      <c r="N61" s="10" t="s">
        <v>552</v>
      </c>
    </row>
    <row r="62" spans="1:14" ht="57" x14ac:dyDescent="0.45">
      <c r="A62" s="10" t="str">
        <f>IF((COUNTIF(ImpactedResources!D:D,"96cb8331-6b06-8242-8ce8-4e2f665dc679")=0),"Yes","No")</f>
        <v>Yes</v>
      </c>
      <c r="B62" s="10">
        <f>COUNTIF(ImpactedResources!D:D,"96cb8331-6b06-8242-8ce8-4e2f665dc679")</f>
        <v>0</v>
      </c>
      <c r="C62" s="10" t="s">
        <v>338</v>
      </c>
      <c r="D62" s="10" t="s">
        <v>23</v>
      </c>
      <c r="E62" s="10" t="s">
        <v>528</v>
      </c>
      <c r="F62" s="10" t="s">
        <v>529</v>
      </c>
      <c r="G62" s="10" t="s">
        <v>407</v>
      </c>
      <c r="H62" s="10" t="s">
        <v>553</v>
      </c>
      <c r="I62" s="10" t="s">
        <v>358</v>
      </c>
      <c r="J62" s="10" t="s">
        <v>554</v>
      </c>
      <c r="K62" s="10" t="s">
        <v>555</v>
      </c>
      <c r="L62" s="10" t="s">
        <v>22</v>
      </c>
      <c r="M62" s="10" t="s">
        <v>22</v>
      </c>
      <c r="N62" s="10" t="s">
        <v>556</v>
      </c>
    </row>
    <row r="63" spans="1:14" ht="57" x14ac:dyDescent="0.45">
      <c r="A63" s="10" t="str">
        <f>IF((COUNTIF(ImpactedResources!D:D,"2ad78dec-5a4d-4a30-8fd1-8584335ad781")=0),"Yes","No")</f>
        <v>No</v>
      </c>
      <c r="B63" s="10">
        <f>COUNTIF(ImpactedResources!D:D,"2ad78dec-5a4d-4a30-8fd1-8584335ad781")</f>
        <v>5</v>
      </c>
      <c r="C63" s="10" t="s">
        <v>338</v>
      </c>
      <c r="D63" s="10" t="s">
        <v>23</v>
      </c>
      <c r="E63" s="10" t="s">
        <v>528</v>
      </c>
      <c r="F63" s="10" t="s">
        <v>529</v>
      </c>
      <c r="G63" s="10" t="s">
        <v>357</v>
      </c>
      <c r="H63" s="10" t="s">
        <v>157</v>
      </c>
      <c r="I63" s="10" t="s">
        <v>358</v>
      </c>
      <c r="J63" s="10" t="s">
        <v>557</v>
      </c>
      <c r="K63" s="10" t="s">
        <v>558</v>
      </c>
      <c r="L63" s="10" t="s">
        <v>22</v>
      </c>
      <c r="M63" s="10" t="s">
        <v>22</v>
      </c>
      <c r="N63" s="10" t="s">
        <v>158</v>
      </c>
    </row>
    <row r="64" spans="1:14" ht="156.75" x14ac:dyDescent="0.45">
      <c r="A64" s="10" t="str">
        <f>IF((COUNTIF(ImpactedResources!D:D,"dc55be60-6f8c-461e-a9d5-a3c7686ed94e")=0),"Yes","No")</f>
        <v>No</v>
      </c>
      <c r="B64" s="10">
        <f>COUNTIF(ImpactedResources!D:D,"dc55be60-6f8c-461e-a9d5-a3c7686ed94e")</f>
        <v>6</v>
      </c>
      <c r="C64" s="10" t="s">
        <v>338</v>
      </c>
      <c r="D64" s="10" t="s">
        <v>23</v>
      </c>
      <c r="E64" s="10" t="s">
        <v>528</v>
      </c>
      <c r="F64" s="10" t="s">
        <v>529</v>
      </c>
      <c r="G64" s="10" t="s">
        <v>377</v>
      </c>
      <c r="H64" s="10" t="s">
        <v>103</v>
      </c>
      <c r="I64" s="10" t="s">
        <v>350</v>
      </c>
      <c r="J64" s="10" t="s">
        <v>559</v>
      </c>
      <c r="K64" s="10" t="s">
        <v>560</v>
      </c>
      <c r="L64" s="10" t="s">
        <v>22</v>
      </c>
      <c r="M64" s="10" t="s">
        <v>22</v>
      </c>
      <c r="N64" s="10" t="s">
        <v>104</v>
      </c>
    </row>
    <row r="65" spans="1:14" ht="85.5" x14ac:dyDescent="0.45">
      <c r="A65" s="10" t="str">
        <f>IF((COUNTIF(ImpactedResources!D:D,"88cb90c2-3b99-814b-9820-821a63f600dd")=0),"Yes","No")</f>
        <v>Yes</v>
      </c>
      <c r="B65" s="10">
        <f>COUNTIF(ImpactedResources!D:D,"88cb90c2-3b99-814b-9820-821a63f600dd")</f>
        <v>0</v>
      </c>
      <c r="C65" s="10" t="s">
        <v>338</v>
      </c>
      <c r="D65" s="10" t="s">
        <v>23</v>
      </c>
      <c r="E65" s="10" t="s">
        <v>561</v>
      </c>
      <c r="F65" s="10" t="s">
        <v>562</v>
      </c>
      <c r="G65" s="10" t="s">
        <v>341</v>
      </c>
      <c r="H65" s="10" t="s">
        <v>563</v>
      </c>
      <c r="I65" s="10" t="s">
        <v>342</v>
      </c>
      <c r="J65" s="10" t="s">
        <v>564</v>
      </c>
      <c r="K65" s="10" t="s">
        <v>565</v>
      </c>
      <c r="L65" s="10" t="s">
        <v>22</v>
      </c>
      <c r="M65" s="10" t="s">
        <v>22</v>
      </c>
      <c r="N65" s="10" t="s">
        <v>566</v>
      </c>
    </row>
    <row r="66" spans="1:14" ht="42.75" x14ac:dyDescent="0.45">
      <c r="A66" s="10" t="str">
        <f>IF((COUNTIF(ImpactedResources!D:D,"b2113023-a553-2e41-9789-597e2fb54c31")=0),"Yes","No")</f>
        <v>No</v>
      </c>
      <c r="B66" s="10">
        <f>COUNTIF(ImpactedResources!D:D,"b2113023-a553-2e41-9789-597e2fb54c31")</f>
        <v>1</v>
      </c>
      <c r="C66" s="10" t="s">
        <v>338</v>
      </c>
      <c r="D66" s="10" t="s">
        <v>23</v>
      </c>
      <c r="E66" s="10" t="s">
        <v>561</v>
      </c>
      <c r="F66" s="10" t="s">
        <v>562</v>
      </c>
      <c r="G66" s="10" t="s">
        <v>341</v>
      </c>
      <c r="H66" s="10" t="s">
        <v>26</v>
      </c>
      <c r="I66" s="10" t="s">
        <v>342</v>
      </c>
      <c r="J66" s="10" t="s">
        <v>567</v>
      </c>
      <c r="K66" s="11" t="s">
        <v>568</v>
      </c>
      <c r="L66" s="10" t="s">
        <v>22</v>
      </c>
      <c r="M66" s="10" t="s">
        <v>22</v>
      </c>
      <c r="N66" s="10" t="s">
        <v>27</v>
      </c>
    </row>
    <row r="67" spans="1:14" ht="57" x14ac:dyDescent="0.45">
      <c r="A67" s="10" t="str">
        <f>IF((COUNTIF(ImpactedResources!D:D,"07243659-4643-d44c-a1c6-07ac21635072")=0),"Yes","No")</f>
        <v>Yes</v>
      </c>
      <c r="B67" s="10">
        <f>COUNTIF(ImpactedResources!D:D,"07243659-4643-d44c-a1c6-07ac21635072")</f>
        <v>0</v>
      </c>
      <c r="C67" s="10" t="s">
        <v>338</v>
      </c>
      <c r="D67" s="10" t="s">
        <v>23</v>
      </c>
      <c r="E67" s="10" t="s">
        <v>561</v>
      </c>
      <c r="F67" s="10" t="s">
        <v>562</v>
      </c>
      <c r="G67" s="10" t="s">
        <v>357</v>
      </c>
      <c r="H67" s="10" t="s">
        <v>569</v>
      </c>
      <c r="I67" s="10" t="s">
        <v>350</v>
      </c>
      <c r="J67" s="10" t="s">
        <v>570</v>
      </c>
      <c r="K67" s="11" t="s">
        <v>568</v>
      </c>
      <c r="L67" s="10" t="s">
        <v>22</v>
      </c>
      <c r="M67" s="10" t="s">
        <v>22</v>
      </c>
      <c r="N67" s="10" t="s">
        <v>571</v>
      </c>
    </row>
    <row r="68" spans="1:14" ht="42.75" x14ac:dyDescent="0.45">
      <c r="A68" s="10" t="str">
        <f>IF((COUNTIF(ImpactedResources!D:D,"dbe3fd66-fb2a-9d46-b162-1791e21da236")=0),"Yes","No")</f>
        <v>Yes</v>
      </c>
      <c r="B68" s="10">
        <f>COUNTIF(ImpactedResources!D:D,"dbe3fd66-fb2a-9d46-b162-1791e21da236")</f>
        <v>0</v>
      </c>
      <c r="C68" s="10" t="s">
        <v>338</v>
      </c>
      <c r="D68" s="10" t="s">
        <v>23</v>
      </c>
      <c r="E68" s="10" t="s">
        <v>561</v>
      </c>
      <c r="F68" s="10" t="s">
        <v>562</v>
      </c>
      <c r="G68" s="10" t="s">
        <v>367</v>
      </c>
      <c r="H68" s="10" t="s">
        <v>572</v>
      </c>
      <c r="I68" s="10" t="s">
        <v>342</v>
      </c>
      <c r="J68" s="10" t="s">
        <v>573</v>
      </c>
      <c r="K68" s="11" t="s">
        <v>568</v>
      </c>
      <c r="L68" s="10" t="s">
        <v>22</v>
      </c>
      <c r="M68" s="10" t="s">
        <v>22</v>
      </c>
      <c r="N68" s="10" t="s">
        <v>574</v>
      </c>
    </row>
    <row r="69" spans="1:14" ht="57" x14ac:dyDescent="0.45">
      <c r="A69" s="10" t="str">
        <f>IF((COUNTIF(ImpactedResources!D:D,"6320abf6-f917-1843-b2ae-4779c35985ae")=0),"Yes","No")</f>
        <v>Yes</v>
      </c>
      <c r="B69" s="10">
        <f>COUNTIF(ImpactedResources!D:D,"6320abf6-f917-1843-b2ae-4779c35985ae")</f>
        <v>0</v>
      </c>
      <c r="C69" s="10" t="s">
        <v>338</v>
      </c>
      <c r="D69" s="10" t="s">
        <v>23</v>
      </c>
      <c r="E69" s="10" t="s">
        <v>561</v>
      </c>
      <c r="F69" s="10" t="s">
        <v>562</v>
      </c>
      <c r="G69" s="10" t="s">
        <v>357</v>
      </c>
      <c r="H69" s="10" t="s">
        <v>575</v>
      </c>
      <c r="I69" s="10" t="s">
        <v>350</v>
      </c>
      <c r="J69" s="10" t="s">
        <v>576</v>
      </c>
      <c r="K69" s="10" t="s">
        <v>577</v>
      </c>
      <c r="L69" s="10" t="s">
        <v>22</v>
      </c>
      <c r="M69" s="10" t="s">
        <v>22</v>
      </c>
      <c r="N69" s="10" t="s">
        <v>578</v>
      </c>
    </row>
    <row r="70" spans="1:14" ht="42.75" x14ac:dyDescent="0.45">
      <c r="A70" s="10" t="str">
        <f>IF((COUNTIF(ImpactedResources!D:D,"493f6079-3bb6-4a56-96ba-ab3248474cb1")=0),"Yes","No")</f>
        <v>Yes</v>
      </c>
      <c r="B70" s="10">
        <f>COUNTIF(ImpactedResources!D:D,"493f6079-3bb6-4a56-96ba-ab3248474cb1")</f>
        <v>0</v>
      </c>
      <c r="C70" s="10" t="s">
        <v>338</v>
      </c>
      <c r="D70" s="10" t="s">
        <v>23</v>
      </c>
      <c r="E70" s="10" t="s">
        <v>561</v>
      </c>
      <c r="F70" s="10" t="s">
        <v>579</v>
      </c>
      <c r="G70" s="10" t="s">
        <v>407</v>
      </c>
      <c r="H70" s="10" t="s">
        <v>580</v>
      </c>
      <c r="I70" s="10" t="s">
        <v>358</v>
      </c>
      <c r="J70" s="10" t="s">
        <v>581</v>
      </c>
      <c r="K70" s="11" t="s">
        <v>582</v>
      </c>
      <c r="L70" s="10" t="s">
        <v>22</v>
      </c>
      <c r="M70" s="10" t="s">
        <v>22</v>
      </c>
      <c r="N70" s="10" t="s">
        <v>583</v>
      </c>
    </row>
    <row r="71" spans="1:14" ht="57" x14ac:dyDescent="0.45">
      <c r="A71" s="10" t="str">
        <f>IF((COUNTIF(ImpactedResources!D:D,"a7e8bb3d-8ceb-442d-b26f-007cd63f9ffc")=0),"Yes","No")</f>
        <v>Yes</v>
      </c>
      <c r="B71" s="10">
        <f>COUNTIF(ImpactedResources!D:D,"a7e8bb3d-8ceb-442d-b26f-007cd63f9ffc")</f>
        <v>0</v>
      </c>
      <c r="C71" s="10" t="s">
        <v>338</v>
      </c>
      <c r="D71" s="10" t="s">
        <v>23</v>
      </c>
      <c r="E71" s="10" t="s">
        <v>561</v>
      </c>
      <c r="F71" s="10" t="s">
        <v>579</v>
      </c>
      <c r="G71" s="10" t="s">
        <v>407</v>
      </c>
      <c r="H71" s="10" t="s">
        <v>584</v>
      </c>
      <c r="I71" s="10" t="s">
        <v>350</v>
      </c>
      <c r="J71" s="10" t="s">
        <v>585</v>
      </c>
      <c r="K71" s="10" t="s">
        <v>586</v>
      </c>
      <c r="L71" s="10" t="s">
        <v>22</v>
      </c>
      <c r="M71" s="10" t="s">
        <v>22</v>
      </c>
      <c r="N71" s="10" t="s">
        <v>587</v>
      </c>
    </row>
    <row r="72" spans="1:14" ht="57" x14ac:dyDescent="0.45">
      <c r="A72" s="10" t="str">
        <f>IF((COUNTIF(ImpactedResources!D:D,"78a5c033-ff51-4332-8a71-83464c34494b")=0),"Yes","No")</f>
        <v>Yes</v>
      </c>
      <c r="B72" s="10">
        <f>COUNTIF(ImpactedResources!D:D,"78a5c033-ff51-4332-8a71-83464c34494b")</f>
        <v>0</v>
      </c>
      <c r="C72" s="10" t="s">
        <v>338</v>
      </c>
      <c r="D72" s="10" t="s">
        <v>23</v>
      </c>
      <c r="E72" s="10" t="s">
        <v>561</v>
      </c>
      <c r="F72" s="10" t="s">
        <v>579</v>
      </c>
      <c r="G72" s="10" t="s">
        <v>357</v>
      </c>
      <c r="H72" s="10" t="s">
        <v>588</v>
      </c>
      <c r="I72" s="10" t="s">
        <v>358</v>
      </c>
      <c r="J72" s="10" t="s">
        <v>589</v>
      </c>
      <c r="K72" s="11" t="s">
        <v>590</v>
      </c>
      <c r="L72" s="10" t="s">
        <v>22</v>
      </c>
      <c r="M72" s="10" t="s">
        <v>22</v>
      </c>
      <c r="N72" s="10" t="s">
        <v>591</v>
      </c>
    </row>
    <row r="73" spans="1:14" ht="57" x14ac:dyDescent="0.45">
      <c r="A73" s="10" t="str">
        <f>IF((COUNTIF(ImpactedResources!D:D,"3f9ddb59-0bb3-4acb-9c9b-99aa1776f0ab")=0),"Yes","No")</f>
        <v>Yes</v>
      </c>
      <c r="B73" s="10">
        <f>COUNTIF(ImpactedResources!D:D,"3f9ddb59-0bb3-4acb-9c9b-99aa1776f0ab")</f>
        <v>0</v>
      </c>
      <c r="C73" s="10" t="s">
        <v>338</v>
      </c>
      <c r="D73" s="10" t="s">
        <v>23</v>
      </c>
      <c r="E73" s="10" t="s">
        <v>561</v>
      </c>
      <c r="F73" s="10" t="s">
        <v>579</v>
      </c>
      <c r="G73" s="10" t="s">
        <v>357</v>
      </c>
      <c r="H73" s="10" t="s">
        <v>592</v>
      </c>
      <c r="I73" s="10" t="s">
        <v>350</v>
      </c>
      <c r="J73" s="10" t="s">
        <v>593</v>
      </c>
      <c r="K73" s="11" t="s">
        <v>590</v>
      </c>
      <c r="L73" s="10" t="s">
        <v>22</v>
      </c>
      <c r="M73" s="10" t="s">
        <v>22</v>
      </c>
      <c r="N73" s="10" t="s">
        <v>594</v>
      </c>
    </row>
    <row r="74" spans="1:14" ht="57" x14ac:dyDescent="0.45">
      <c r="A74" s="10" t="str">
        <f>IF((COUNTIF(ImpactedResources!D:D,"a1d91661-32d4-430b-b3b6-5adeb0975df7")=0),"Yes","No")</f>
        <v>Yes</v>
      </c>
      <c r="B74" s="10">
        <f>COUNTIF(ImpactedResources!D:D,"a1d91661-32d4-430b-b3b6-5adeb0975df7")</f>
        <v>0</v>
      </c>
      <c r="C74" s="10" t="s">
        <v>338</v>
      </c>
      <c r="D74" s="10" t="s">
        <v>23</v>
      </c>
      <c r="E74" s="10" t="s">
        <v>561</v>
      </c>
      <c r="F74" s="10" t="s">
        <v>579</v>
      </c>
      <c r="G74" s="10" t="s">
        <v>367</v>
      </c>
      <c r="H74" s="10" t="s">
        <v>595</v>
      </c>
      <c r="I74" s="10" t="s">
        <v>350</v>
      </c>
      <c r="J74" s="10" t="s">
        <v>596</v>
      </c>
      <c r="K74" s="11" t="s">
        <v>597</v>
      </c>
      <c r="L74" s="10" t="s">
        <v>22</v>
      </c>
      <c r="M74" s="10" t="s">
        <v>22</v>
      </c>
      <c r="N74" s="10" t="s">
        <v>598</v>
      </c>
    </row>
    <row r="75" spans="1:14" ht="42.75" x14ac:dyDescent="0.45">
      <c r="A75" s="10" t="str">
        <f>IF((COUNTIF(ImpactedResources!D:D,"0b80b67c-afbe-4988-ad58-a85a146b681e")=0),"Yes","No")</f>
        <v>Yes</v>
      </c>
      <c r="B75" s="10">
        <f>COUNTIF(ImpactedResources!D:D,"0b80b67c-afbe-4988-ad58-a85a146b681e")</f>
        <v>0</v>
      </c>
      <c r="C75" s="10" t="s">
        <v>338</v>
      </c>
      <c r="D75" s="10" t="s">
        <v>23</v>
      </c>
      <c r="E75" s="10" t="s">
        <v>561</v>
      </c>
      <c r="F75" s="10" t="s">
        <v>579</v>
      </c>
      <c r="G75" s="10" t="s">
        <v>390</v>
      </c>
      <c r="H75" s="10" t="s">
        <v>599</v>
      </c>
      <c r="I75" s="10" t="s">
        <v>350</v>
      </c>
      <c r="J75" s="10" t="s">
        <v>600</v>
      </c>
      <c r="K75" s="11" t="s">
        <v>601</v>
      </c>
      <c r="L75" s="10" t="s">
        <v>22</v>
      </c>
      <c r="M75" s="10" t="s">
        <v>22</v>
      </c>
      <c r="N75" s="10" t="s">
        <v>602</v>
      </c>
    </row>
    <row r="76" spans="1:14" ht="228" x14ac:dyDescent="0.45">
      <c r="A76" s="10" t="str">
        <f>IF((COUNTIF(ImpactedResources!D:D,"0c8a12dd-52fb-cf40-bb4a-b60f99409bab")=0),"Yes","No")</f>
        <v>Yes</v>
      </c>
      <c r="B76" s="10">
        <f>COUNTIF(ImpactedResources!A:A,"0c8a12dd-52fb-cf40-bb4a-b60f99409bab")</f>
        <v>0</v>
      </c>
      <c r="C76" s="10" t="s">
        <v>603</v>
      </c>
      <c r="D76" s="10" t="s">
        <v>23</v>
      </c>
      <c r="E76" s="10" t="s">
        <v>604</v>
      </c>
      <c r="F76" s="10" t="s">
        <v>605</v>
      </c>
      <c r="G76" s="10" t="s">
        <v>341</v>
      </c>
      <c r="H76" s="10" t="s">
        <v>606</v>
      </c>
      <c r="I76" s="10" t="s">
        <v>342</v>
      </c>
      <c r="J76" s="10" t="s">
        <v>607</v>
      </c>
      <c r="K76" s="10" t="s">
        <v>608</v>
      </c>
      <c r="L76" s="10" t="s">
        <v>22</v>
      </c>
      <c r="M76" s="10" t="s">
        <v>22</v>
      </c>
      <c r="N76" s="10" t="s">
        <v>609</v>
      </c>
    </row>
    <row r="77" spans="1:14" ht="313.5" x14ac:dyDescent="0.45">
      <c r="A77" s="10" t="str">
        <f>IF((COUNTIF(ImpactedResources!D:D,"a43ab756-5b33-2345-8743-3daee911a1ae")=0),"Yes","No")</f>
        <v>Yes</v>
      </c>
      <c r="B77" s="10">
        <f>COUNTIF(ImpactedResources!A:A,"a43ab756-5b33-2345-8743-3daee911a1ae")</f>
        <v>0</v>
      </c>
      <c r="C77" s="10" t="s">
        <v>603</v>
      </c>
      <c r="D77" s="10" t="s">
        <v>23</v>
      </c>
      <c r="E77" s="10" t="s">
        <v>604</v>
      </c>
      <c r="F77" s="10" t="s">
        <v>605</v>
      </c>
      <c r="G77" s="10" t="s">
        <v>349</v>
      </c>
      <c r="H77" s="10" t="s">
        <v>610</v>
      </c>
      <c r="I77" s="10" t="s">
        <v>342</v>
      </c>
      <c r="J77" s="10" t="s">
        <v>611</v>
      </c>
      <c r="K77" s="11" t="s">
        <v>612</v>
      </c>
      <c r="L77" s="10" t="s">
        <v>22</v>
      </c>
      <c r="M77" s="10" t="s">
        <v>22</v>
      </c>
      <c r="N77" s="10" t="s">
        <v>613</v>
      </c>
    </row>
    <row r="78" spans="1:14" ht="199.5" x14ac:dyDescent="0.45">
      <c r="A78" s="10" t="str">
        <f>IF((COUNTIF(ImpactedResources!D:D,"6bf9e5d5-fe57-c647-8daa-4903770e1302")=0),"Yes","No")</f>
        <v>Yes</v>
      </c>
      <c r="B78" s="10">
        <f>COUNTIF(ImpactedResources!A:A,"6bf9e5d5-fe57-c647-8daa-4903770e1302")</f>
        <v>0</v>
      </c>
      <c r="C78" s="10" t="s">
        <v>603</v>
      </c>
      <c r="D78" s="10" t="s">
        <v>23</v>
      </c>
      <c r="E78" s="10" t="s">
        <v>604</v>
      </c>
      <c r="F78" s="10" t="s">
        <v>614</v>
      </c>
      <c r="G78" s="10" t="s">
        <v>441</v>
      </c>
      <c r="H78" s="10" t="s">
        <v>615</v>
      </c>
      <c r="I78" s="10" t="s">
        <v>350</v>
      </c>
      <c r="J78" s="10" t="s">
        <v>616</v>
      </c>
      <c r="K78" s="11" t="s">
        <v>617</v>
      </c>
      <c r="L78" s="10" t="s">
        <v>22</v>
      </c>
      <c r="M78" s="10" t="s">
        <v>22</v>
      </c>
      <c r="N78" s="10" t="s">
        <v>618</v>
      </c>
    </row>
    <row r="79" spans="1:14" ht="142.5" x14ac:dyDescent="0.45">
      <c r="A79" s="10" t="str">
        <f>IF((COUNTIF(ImpactedResources!D:D,"e42e646c-7d67-dd4b-96dc-16a3439fa030")=0),"Yes","No")</f>
        <v>Yes</v>
      </c>
      <c r="B79" s="10">
        <f>COUNTIF(ImpactedResources!A:A,"e42e646c-7d67-dd4b-96dc-16a3439fa030")</f>
        <v>0</v>
      </c>
      <c r="C79" s="10" t="s">
        <v>603</v>
      </c>
      <c r="D79" s="10" t="s">
        <v>23</v>
      </c>
      <c r="E79" s="10" t="s">
        <v>604</v>
      </c>
      <c r="F79" s="10" t="s">
        <v>614</v>
      </c>
      <c r="G79" s="10" t="s">
        <v>441</v>
      </c>
      <c r="H79" s="10" t="s">
        <v>619</v>
      </c>
      <c r="I79" s="10" t="s">
        <v>350</v>
      </c>
      <c r="J79" s="10" t="s">
        <v>620</v>
      </c>
      <c r="K79" s="11" t="s">
        <v>621</v>
      </c>
      <c r="L79" s="10" t="s">
        <v>22</v>
      </c>
      <c r="M79" s="10" t="s">
        <v>22</v>
      </c>
      <c r="N79" s="10" t="s">
        <v>622</v>
      </c>
    </row>
    <row r="80" spans="1:14" ht="128.25" x14ac:dyDescent="0.45">
      <c r="A80" s="10" t="str">
        <f>IF((COUNTIF(ImpactedResources!D:D,"e067b48e-7f91-40d9-bed9-bccac945417a")=0),"Yes","No")</f>
        <v>Yes</v>
      </c>
      <c r="B80" s="10">
        <f>COUNTIF(ImpactedResources!A:A,"e067b48e-7f91-40d9-bed9-bccac945417a")</f>
        <v>0</v>
      </c>
      <c r="C80" s="10" t="s">
        <v>603</v>
      </c>
      <c r="D80" s="10" t="s">
        <v>23</v>
      </c>
      <c r="E80" s="10" t="s">
        <v>604</v>
      </c>
      <c r="F80" s="10" t="s">
        <v>614</v>
      </c>
      <c r="G80" s="10" t="s">
        <v>441</v>
      </c>
      <c r="H80" s="10" t="s">
        <v>623</v>
      </c>
      <c r="I80" s="10" t="s">
        <v>350</v>
      </c>
      <c r="J80" s="10" t="s">
        <v>624</v>
      </c>
      <c r="K80" s="10" t="s">
        <v>625</v>
      </c>
      <c r="L80" s="10" t="s">
        <v>22</v>
      </c>
      <c r="M80" s="10" t="s">
        <v>22</v>
      </c>
      <c r="N80" s="10" t="s">
        <v>626</v>
      </c>
    </row>
    <row r="81" spans="1:14" ht="85.5" x14ac:dyDescent="0.45">
      <c r="A81" s="10" t="str">
        <f>IF((COUNTIF(ImpactedResources!D:D,"e435d7c1-afd7-4350-9130-b410482df2b9")=0),"Yes","No")</f>
        <v>Yes</v>
      </c>
      <c r="B81" s="10">
        <f>COUNTIF(ImpactedResources!A:A,"e435d7c1-afd7-4350-9130-b410482df2b9")</f>
        <v>0</v>
      </c>
      <c r="C81" s="10" t="s">
        <v>603</v>
      </c>
      <c r="D81" s="10" t="s">
        <v>23</v>
      </c>
      <c r="E81" s="10" t="s">
        <v>604</v>
      </c>
      <c r="F81" s="10" t="s">
        <v>614</v>
      </c>
      <c r="G81" s="10" t="s">
        <v>441</v>
      </c>
      <c r="H81" s="10" t="s">
        <v>627</v>
      </c>
      <c r="I81" s="10" t="s">
        <v>350</v>
      </c>
      <c r="J81" s="10" t="s">
        <v>628</v>
      </c>
      <c r="K81" s="11" t="s">
        <v>629</v>
      </c>
      <c r="L81" s="10" t="s">
        <v>22</v>
      </c>
      <c r="M81" s="10" t="s">
        <v>22</v>
      </c>
      <c r="N81" s="10" t="s">
        <v>630</v>
      </c>
    </row>
    <row r="82" spans="1:14" ht="114" x14ac:dyDescent="0.45">
      <c r="A82" s="10" t="str">
        <f>IF((COUNTIF(ImpactedResources!D:D,"59f2b6c5-a7ba-422a-aa52-eb1380e9a22b")=0),"Yes","No")</f>
        <v>Yes</v>
      </c>
      <c r="B82" s="10">
        <f>COUNTIF(ImpactedResources!A:A,"59f2b6c5-a7ba-422a-aa52-eb1380e9a22b")</f>
        <v>0</v>
      </c>
      <c r="C82" s="10" t="s">
        <v>603</v>
      </c>
      <c r="D82" s="10" t="s">
        <v>23</v>
      </c>
      <c r="E82" s="10" t="s">
        <v>604</v>
      </c>
      <c r="F82" s="10" t="s">
        <v>614</v>
      </c>
      <c r="G82" s="10" t="s">
        <v>441</v>
      </c>
      <c r="H82" s="10" t="s">
        <v>631</v>
      </c>
      <c r="I82" s="10" t="s">
        <v>350</v>
      </c>
      <c r="J82" s="10" t="s">
        <v>632</v>
      </c>
      <c r="K82" s="11" t="s">
        <v>629</v>
      </c>
      <c r="L82" s="10" t="s">
        <v>22</v>
      </c>
      <c r="M82" s="10" t="s">
        <v>22</v>
      </c>
      <c r="N82" s="10" t="s">
        <v>633</v>
      </c>
    </row>
    <row r="83" spans="1:14" ht="114" x14ac:dyDescent="0.45">
      <c r="A83" s="10" t="str">
        <f>IF((COUNTIF(ImpactedResources!D:D,"770dbc38-bd28-4669-83a5-81f1a49b682b")=0),"Yes","No")</f>
        <v>Yes</v>
      </c>
      <c r="B83" s="10">
        <f>COUNTIF(ImpactedResources!A:A,"770dbc38-bd28-4669-83a5-81f1a49b682b")</f>
        <v>0</v>
      </c>
      <c r="C83" s="10" t="s">
        <v>603</v>
      </c>
      <c r="D83" s="10" t="s">
        <v>23</v>
      </c>
      <c r="E83" s="10" t="s">
        <v>604</v>
      </c>
      <c r="F83" s="10" t="s">
        <v>614</v>
      </c>
      <c r="G83" s="10" t="s">
        <v>441</v>
      </c>
      <c r="H83" s="10" t="s">
        <v>634</v>
      </c>
      <c r="I83" s="10" t="s">
        <v>350</v>
      </c>
      <c r="J83" s="10" t="s">
        <v>635</v>
      </c>
      <c r="K83" s="11" t="s">
        <v>629</v>
      </c>
      <c r="L83" s="10" t="s">
        <v>22</v>
      </c>
      <c r="M83" s="10" t="s">
        <v>22</v>
      </c>
      <c r="N83" s="10" t="s">
        <v>636</v>
      </c>
    </row>
    <row r="84" spans="1:14" ht="156.75" x14ac:dyDescent="0.45">
      <c r="A84" s="10" t="str">
        <f>IF((COUNTIF(ImpactedResources!D:D,"0b0893f6-7c47-4580-83b2-ff6711ac8406")=0),"Yes","No")</f>
        <v>Yes</v>
      </c>
      <c r="B84" s="10">
        <f>COUNTIF(ImpactedResources!A:A,"0b0893f6-7c47-4580-83b2-ff6711ac8406")</f>
        <v>0</v>
      </c>
      <c r="C84" s="10" t="s">
        <v>603</v>
      </c>
      <c r="D84" s="10" t="s">
        <v>23</v>
      </c>
      <c r="E84" s="10" t="s">
        <v>604</v>
      </c>
      <c r="F84" s="10" t="s">
        <v>614</v>
      </c>
      <c r="G84" s="10" t="s">
        <v>441</v>
      </c>
      <c r="H84" s="10" t="s">
        <v>637</v>
      </c>
      <c r="I84" s="10" t="s">
        <v>350</v>
      </c>
      <c r="J84" s="10" t="s">
        <v>638</v>
      </c>
      <c r="K84" s="11" t="s">
        <v>629</v>
      </c>
      <c r="L84" s="10" t="s">
        <v>22</v>
      </c>
      <c r="M84" s="10" t="s">
        <v>22</v>
      </c>
      <c r="N84" s="10" t="s">
        <v>639</v>
      </c>
    </row>
    <row r="85" spans="1:14" ht="114" x14ac:dyDescent="0.45">
      <c r="A85" s="10" t="str">
        <f>IF((COUNTIF(ImpactedResources!D:D,"063d7237-5f68-5d42-b3d1-43144b3630b5")=0),"Yes","No")</f>
        <v>Yes</v>
      </c>
      <c r="B85" s="10">
        <f>COUNTIF(ImpactedResources!A:A,"063d7237-5f68-5d42-b3d1-43144b3630b5")</f>
        <v>0</v>
      </c>
      <c r="C85" s="10" t="s">
        <v>603</v>
      </c>
      <c r="D85" s="10" t="s">
        <v>23</v>
      </c>
      <c r="E85" s="10" t="s">
        <v>604</v>
      </c>
      <c r="F85" s="10" t="s">
        <v>640</v>
      </c>
      <c r="G85" s="10" t="s">
        <v>341</v>
      </c>
      <c r="H85" s="10" t="s">
        <v>641</v>
      </c>
      <c r="I85" s="10" t="s">
        <v>342</v>
      </c>
      <c r="J85" s="10" t="s">
        <v>642</v>
      </c>
      <c r="K85" s="11" t="s">
        <v>643</v>
      </c>
      <c r="L85" s="10" t="s">
        <v>22</v>
      </c>
      <c r="M85" s="10" t="s">
        <v>22</v>
      </c>
      <c r="N85" s="10" t="s">
        <v>644</v>
      </c>
    </row>
    <row r="86" spans="1:14" ht="142.5" x14ac:dyDescent="0.45">
      <c r="A86" s="10" t="str">
        <f>IF((COUNTIF(ImpactedResources!D:D,"8a497b6d-d065-0d43-a7d9-e3f8eebfe0f4")=0),"Yes","No")</f>
        <v>Yes</v>
      </c>
      <c r="B86" s="10">
        <f>COUNTIF(ImpactedResources!A:A,"8a497b6d-d065-0d43-a7d9-e3f8eebfe0f4")</f>
        <v>0</v>
      </c>
      <c r="C86" s="10" t="s">
        <v>603</v>
      </c>
      <c r="D86" s="10" t="s">
        <v>23</v>
      </c>
      <c r="E86" s="10" t="s">
        <v>604</v>
      </c>
      <c r="F86" s="10" t="s">
        <v>640</v>
      </c>
      <c r="G86" s="10" t="s">
        <v>349</v>
      </c>
      <c r="H86" s="10" t="s">
        <v>645</v>
      </c>
      <c r="I86" s="10" t="s">
        <v>342</v>
      </c>
      <c r="J86" s="10" t="s">
        <v>646</v>
      </c>
      <c r="K86" s="10" t="s">
        <v>647</v>
      </c>
      <c r="L86" s="10" t="s">
        <v>22</v>
      </c>
      <c r="M86" s="10" t="s">
        <v>22</v>
      </c>
      <c r="N86" s="10" t="s">
        <v>648</v>
      </c>
    </row>
    <row r="87" spans="1:14" ht="156.75" x14ac:dyDescent="0.45">
      <c r="A87" s="10" t="str">
        <f>IF((COUNTIF(ImpactedResources!D:D,"99ebe682-6306-6446-bfc7-cf6610ebfa02")=0),"Yes","No")</f>
        <v>Yes</v>
      </c>
      <c r="B87" s="10">
        <f>COUNTIF(ImpactedResources!A:A,"99ebe682-6306-6446-bfc7-cf6610ebfa02")</f>
        <v>0</v>
      </c>
      <c r="C87" s="10" t="s">
        <v>603</v>
      </c>
      <c r="D87" s="10" t="s">
        <v>23</v>
      </c>
      <c r="E87" s="10" t="s">
        <v>604</v>
      </c>
      <c r="F87" s="10" t="s">
        <v>640</v>
      </c>
      <c r="G87" s="10" t="s">
        <v>341</v>
      </c>
      <c r="H87" s="10" t="s">
        <v>649</v>
      </c>
      <c r="I87" s="10" t="s">
        <v>342</v>
      </c>
      <c r="J87" s="10" t="s">
        <v>650</v>
      </c>
      <c r="K87" s="11" t="s">
        <v>651</v>
      </c>
      <c r="L87" s="10" t="s">
        <v>22</v>
      </c>
      <c r="M87" s="10" t="s">
        <v>22</v>
      </c>
      <c r="N87" s="10" t="s">
        <v>652</v>
      </c>
    </row>
    <row r="88" spans="1:14" ht="99.75" x14ac:dyDescent="0.45">
      <c r="A88" s="10" t="str">
        <f>IF((COUNTIF(ImpactedResources!D:D,"097651d8-6e62-314a-9299-a0234ffd190e")=0),"Yes","No")</f>
        <v>Yes</v>
      </c>
      <c r="B88" s="10">
        <f>COUNTIF(ImpactedResources!A:A,"097651d8-6e62-314a-9299-a0234ffd190e")</f>
        <v>0</v>
      </c>
      <c r="C88" s="10" t="s">
        <v>603</v>
      </c>
      <c r="D88" s="10" t="s">
        <v>23</v>
      </c>
      <c r="E88" s="10" t="s">
        <v>604</v>
      </c>
      <c r="F88" s="10" t="s">
        <v>640</v>
      </c>
      <c r="G88" s="10" t="s">
        <v>357</v>
      </c>
      <c r="H88" s="10" t="s">
        <v>653</v>
      </c>
      <c r="I88" s="10" t="s">
        <v>350</v>
      </c>
      <c r="J88" s="10" t="s">
        <v>654</v>
      </c>
      <c r="K88" s="11" t="s">
        <v>655</v>
      </c>
      <c r="L88" s="10" t="s">
        <v>22</v>
      </c>
      <c r="M88" s="10" t="s">
        <v>22</v>
      </c>
      <c r="N88" s="10" t="s">
        <v>656</v>
      </c>
    </row>
    <row r="89" spans="1:14" ht="99.75" x14ac:dyDescent="0.45">
      <c r="A89" s="10" t="str">
        <f>IF((COUNTIF(ImpactedResources!D:D,"7f4c76d7-f9d4-d643-ab73-4d8f27fd7ed9")=0),"Yes","No")</f>
        <v>Yes</v>
      </c>
      <c r="B89" s="10">
        <f>COUNTIF(ImpactedResources!A:A,"7f4c76d7-f9d4-d643-ab73-4d8f27fd7ed9")</f>
        <v>0</v>
      </c>
      <c r="C89" s="10" t="s">
        <v>603</v>
      </c>
      <c r="D89" s="10" t="s">
        <v>23</v>
      </c>
      <c r="E89" s="10" t="s">
        <v>604</v>
      </c>
      <c r="F89" s="10" t="s">
        <v>640</v>
      </c>
      <c r="G89" s="10" t="s">
        <v>357</v>
      </c>
      <c r="H89" s="10" t="s">
        <v>657</v>
      </c>
      <c r="I89" s="10" t="s">
        <v>342</v>
      </c>
      <c r="J89" s="10" t="s">
        <v>658</v>
      </c>
      <c r="K89" s="11" t="s">
        <v>659</v>
      </c>
      <c r="L89" s="10" t="s">
        <v>22</v>
      </c>
      <c r="M89" s="10" t="s">
        <v>22</v>
      </c>
      <c r="N89" s="10" t="s">
        <v>660</v>
      </c>
    </row>
    <row r="90" spans="1:14" ht="199.5" x14ac:dyDescent="0.45">
      <c r="A90" s="10" t="str">
        <f>IF((COUNTIF(ImpactedResources!D:D,"6132a11a-3ea0-e64c-877b-f01ca1de79d4")=0),"Yes","No")</f>
        <v>Yes</v>
      </c>
      <c r="B90" s="10">
        <f>COUNTIF(ImpactedResources!A:A,"6132a11a-3ea0-e64c-877b-f01ca1de79d4")</f>
        <v>0</v>
      </c>
      <c r="C90" s="10" t="s">
        <v>603</v>
      </c>
      <c r="D90" s="10" t="s">
        <v>23</v>
      </c>
      <c r="E90" s="10" t="s">
        <v>604</v>
      </c>
      <c r="F90" s="10" t="s">
        <v>640</v>
      </c>
      <c r="G90" s="10" t="s">
        <v>367</v>
      </c>
      <c r="H90" s="10" t="s">
        <v>661</v>
      </c>
      <c r="I90" s="10" t="s">
        <v>358</v>
      </c>
      <c r="J90" s="10" t="s">
        <v>662</v>
      </c>
      <c r="K90" s="11" t="s">
        <v>663</v>
      </c>
      <c r="L90" s="10" t="s">
        <v>22</v>
      </c>
      <c r="M90" s="10" t="s">
        <v>22</v>
      </c>
      <c r="N90" s="10" t="s">
        <v>664</v>
      </c>
    </row>
    <row r="91" spans="1:14" ht="285" x14ac:dyDescent="0.45">
      <c r="A91" s="10" t="str">
        <f>IF((COUNTIF(ImpactedResources!D:D,"b09061cb-d536-1347-9957-390c2d0cfa3d")=0),"Yes","No")</f>
        <v>Yes</v>
      </c>
      <c r="B91" s="10">
        <f>COUNTIF(ImpactedResources!A:A,"b09061cb-d536-1347-9957-390c2d0cfa3d")</f>
        <v>0</v>
      </c>
      <c r="C91" s="10" t="s">
        <v>603</v>
      </c>
      <c r="D91" s="10" t="s">
        <v>23</v>
      </c>
      <c r="E91" s="10" t="s">
        <v>604</v>
      </c>
      <c r="F91" s="10" t="s">
        <v>640</v>
      </c>
      <c r="G91" s="10" t="s">
        <v>349</v>
      </c>
      <c r="H91" s="10" t="s">
        <v>665</v>
      </c>
      <c r="I91" s="10" t="s">
        <v>342</v>
      </c>
      <c r="J91" s="10" t="s">
        <v>666</v>
      </c>
      <c r="K91" s="11" t="s">
        <v>667</v>
      </c>
      <c r="L91" s="10" t="s">
        <v>22</v>
      </c>
      <c r="M91" s="10" t="s">
        <v>22</v>
      </c>
      <c r="N91" s="10" t="s">
        <v>668</v>
      </c>
    </row>
    <row r="92" spans="1:14" ht="171" x14ac:dyDescent="0.45">
      <c r="A92" s="10" t="str">
        <f>IF((COUNTIF(ImpactedResources!D:D,"835e616d-78e6-7f4c-a48b-6f80382a48cf")=0),"Yes","No")</f>
        <v>Yes</v>
      </c>
      <c r="B92" s="10">
        <f>COUNTIF(ImpactedResources!A:A,"835e616d-78e6-7f4c-a48b-6f80382a48cf")</f>
        <v>0</v>
      </c>
      <c r="C92" s="10" t="s">
        <v>603</v>
      </c>
      <c r="D92" s="10" t="s">
        <v>23</v>
      </c>
      <c r="E92" s="10" t="s">
        <v>604</v>
      </c>
      <c r="F92" s="10" t="s">
        <v>640</v>
      </c>
      <c r="G92" s="10" t="s">
        <v>377</v>
      </c>
      <c r="H92" s="10" t="s">
        <v>669</v>
      </c>
      <c r="I92" s="10" t="s">
        <v>350</v>
      </c>
      <c r="J92" s="10" t="s">
        <v>670</v>
      </c>
      <c r="K92" s="11" t="s">
        <v>671</v>
      </c>
      <c r="L92" s="10" t="s">
        <v>22</v>
      </c>
      <c r="M92" s="10" t="s">
        <v>22</v>
      </c>
      <c r="N92" s="10" t="s">
        <v>672</v>
      </c>
    </row>
    <row r="93" spans="1:14" ht="199.5" x14ac:dyDescent="0.45">
      <c r="A93" s="10" t="str">
        <f>IF((COUNTIF(ImpactedResources!D:D,"c5d8f87e-45ef-1644-a4aa-95ec08b88109")=0),"Yes","No")</f>
        <v>Yes</v>
      </c>
      <c r="B93" s="10">
        <f>COUNTIF(ImpactedResources!A:A,"c5d8f87e-45ef-1644-a4aa-95ec08b88109")</f>
        <v>0</v>
      </c>
      <c r="C93" s="10" t="s">
        <v>603</v>
      </c>
      <c r="D93" s="10" t="s">
        <v>23</v>
      </c>
      <c r="E93" s="10" t="s">
        <v>604</v>
      </c>
      <c r="F93" s="10" t="s">
        <v>640</v>
      </c>
      <c r="G93" s="10" t="s">
        <v>377</v>
      </c>
      <c r="H93" s="10" t="s">
        <v>673</v>
      </c>
      <c r="I93" s="10" t="s">
        <v>342</v>
      </c>
      <c r="J93" s="10" t="s">
        <v>674</v>
      </c>
      <c r="K93" s="11" t="s">
        <v>675</v>
      </c>
      <c r="L93" s="10" t="s">
        <v>22</v>
      </c>
      <c r="M93" s="10" t="s">
        <v>22</v>
      </c>
      <c r="N93" s="10" t="s">
        <v>676</v>
      </c>
    </row>
    <row r="94" spans="1:14" ht="128.25" x14ac:dyDescent="0.45">
      <c r="A94" s="10" t="str">
        <f>IF((COUNTIF(ImpactedResources!D:D,"7ffd4456-d121-4cdb-a776-29762e1bff8d")=0),"Yes","No")</f>
        <v>Yes</v>
      </c>
      <c r="B94" s="10">
        <f>COUNTIF(ImpactedResources!A:A,"7ffd4456-d121-4cdb-a776-29762e1bff8d")</f>
        <v>0</v>
      </c>
      <c r="C94" s="10" t="s">
        <v>603</v>
      </c>
      <c r="D94" s="10" t="s">
        <v>23</v>
      </c>
      <c r="E94" s="10" t="s">
        <v>604</v>
      </c>
      <c r="F94" s="10" t="s">
        <v>677</v>
      </c>
      <c r="G94" s="10" t="s">
        <v>357</v>
      </c>
      <c r="H94" s="10" t="s">
        <v>678</v>
      </c>
      <c r="I94" s="10" t="s">
        <v>350</v>
      </c>
      <c r="J94" s="10" t="s">
        <v>679</v>
      </c>
      <c r="K94" s="10" t="s">
        <v>680</v>
      </c>
      <c r="L94" s="10" t="s">
        <v>22</v>
      </c>
      <c r="M94" s="10" t="s">
        <v>22</v>
      </c>
      <c r="N94" s="10" t="s">
        <v>681</v>
      </c>
    </row>
    <row r="95" spans="1:14" ht="114" x14ac:dyDescent="0.45">
      <c r="A95" s="10" t="str">
        <f>IF((COUNTIF(ImpactedResources!D:D,"4d03e777-bc01-4a35-b23c-92cfd4f218be")=0),"Yes","No")</f>
        <v>Yes</v>
      </c>
      <c r="B95" s="10">
        <f>COUNTIF(ImpactedResources!A:A,"4d03e777-bc01-4a35-b23c-92cfd4f218be")</f>
        <v>0</v>
      </c>
      <c r="C95" s="10" t="s">
        <v>603</v>
      </c>
      <c r="D95" s="10" t="s">
        <v>23</v>
      </c>
      <c r="E95" s="10" t="s">
        <v>604</v>
      </c>
      <c r="F95" s="10" t="s">
        <v>677</v>
      </c>
      <c r="G95" s="10" t="s">
        <v>341</v>
      </c>
      <c r="H95" s="10" t="s">
        <v>682</v>
      </c>
      <c r="I95" s="10" t="s">
        <v>350</v>
      </c>
      <c r="J95" s="10" t="s">
        <v>683</v>
      </c>
      <c r="K95" s="11" t="s">
        <v>684</v>
      </c>
      <c r="L95" s="10" t="s">
        <v>22</v>
      </c>
      <c r="M95" s="10" t="s">
        <v>22</v>
      </c>
      <c r="N95" s="10" t="s">
        <v>685</v>
      </c>
    </row>
    <row r="96" spans="1:14" ht="71.25" x14ac:dyDescent="0.45">
      <c r="A96" s="10" t="str">
        <f>IF((COUNTIF(ImpactedResources!D:D,"f1993b50-61a0-4206-8215-c43e3fd61500")=0),"Yes","No")</f>
        <v>Yes</v>
      </c>
      <c r="B96" s="10">
        <f>COUNTIF(ImpactedResources!A:A,"f1993b50-61a0-4206-8215-c43e3fd61500")</f>
        <v>0</v>
      </c>
      <c r="C96" s="10" t="s">
        <v>603</v>
      </c>
      <c r="D96" s="10" t="s">
        <v>23</v>
      </c>
      <c r="E96" s="10" t="s">
        <v>604</v>
      </c>
      <c r="F96" s="10" t="s">
        <v>677</v>
      </c>
      <c r="G96" s="10" t="s">
        <v>357</v>
      </c>
      <c r="H96" s="10" t="s">
        <v>686</v>
      </c>
      <c r="I96" s="10" t="s">
        <v>342</v>
      </c>
      <c r="J96" s="10" t="s">
        <v>687</v>
      </c>
      <c r="K96" s="11" t="s">
        <v>688</v>
      </c>
      <c r="L96" s="10" t="s">
        <v>22</v>
      </c>
      <c r="M96" s="10" t="s">
        <v>22</v>
      </c>
      <c r="N96" s="10" t="s">
        <v>689</v>
      </c>
    </row>
    <row r="97" spans="1:14" ht="114" x14ac:dyDescent="0.45">
      <c r="A97" s="10" t="str">
        <f>IF((COUNTIF(ImpactedResources!D:D,"d70e7d1f-b956-40da-b8f2-19378ab61b63")=0),"Yes","No")</f>
        <v>Yes</v>
      </c>
      <c r="B97" s="10">
        <f>COUNTIF(ImpactedResources!A:A,"d70e7d1f-b956-40da-b8f2-19378ab61b63")</f>
        <v>0</v>
      </c>
      <c r="C97" s="10" t="s">
        <v>603</v>
      </c>
      <c r="D97" s="10" t="s">
        <v>23</v>
      </c>
      <c r="E97" s="10" t="s">
        <v>604</v>
      </c>
      <c r="F97" s="10" t="s">
        <v>677</v>
      </c>
      <c r="G97" s="10" t="s">
        <v>341</v>
      </c>
      <c r="H97" s="10" t="s">
        <v>690</v>
      </c>
      <c r="I97" s="10" t="s">
        <v>350</v>
      </c>
      <c r="J97" s="10" t="s">
        <v>691</v>
      </c>
      <c r="K97" s="11" t="s">
        <v>692</v>
      </c>
      <c r="L97" s="10" t="s">
        <v>22</v>
      </c>
      <c r="M97" s="10" t="s">
        <v>22</v>
      </c>
      <c r="N97" s="10" t="s">
        <v>693</v>
      </c>
    </row>
    <row r="98" spans="1:14" ht="99.75" x14ac:dyDescent="0.45">
      <c r="A98" s="10" t="str">
        <f>IF((COUNTIF(ImpactedResources!D:D,"c220efa2-c3c4-4b99-960c-4ae753c2e103")=0),"Yes","No")</f>
        <v>Yes</v>
      </c>
      <c r="B98" s="10">
        <f>COUNTIF(ImpactedResources!A:A,"c220efa2-c3c4-4b99-960c-4ae753c2e103")</f>
        <v>0</v>
      </c>
      <c r="C98" s="10" t="s">
        <v>603</v>
      </c>
      <c r="D98" s="10" t="s">
        <v>23</v>
      </c>
      <c r="E98" s="10" t="s">
        <v>604</v>
      </c>
      <c r="F98" s="10" t="s">
        <v>677</v>
      </c>
      <c r="G98" s="10" t="s">
        <v>341</v>
      </c>
      <c r="H98" s="10" t="s">
        <v>694</v>
      </c>
      <c r="I98" s="10" t="s">
        <v>342</v>
      </c>
      <c r="J98" s="10" t="s">
        <v>695</v>
      </c>
      <c r="K98" s="11" t="s">
        <v>696</v>
      </c>
      <c r="L98" s="10" t="s">
        <v>22</v>
      </c>
      <c r="M98" s="10" t="s">
        <v>22</v>
      </c>
      <c r="N98" s="10" t="s">
        <v>697</v>
      </c>
    </row>
    <row r="99" spans="1:14" ht="213.75" x14ac:dyDescent="0.45">
      <c r="A99" s="10" t="str">
        <f>IF((COUNTIF(ImpactedResources!D:D,"46fb4540-ecac-6e49-bc10-34c7792eb35d")=0),"Yes","No")</f>
        <v>Yes</v>
      </c>
      <c r="B99" s="10">
        <f>COUNTIF(ImpactedResources!A:A,"46fb4540-ecac-6e49-bc10-34c7792eb35d")</f>
        <v>0</v>
      </c>
      <c r="C99" s="10" t="s">
        <v>603</v>
      </c>
      <c r="D99" s="10" t="s">
        <v>23</v>
      </c>
      <c r="E99" s="10" t="s">
        <v>604</v>
      </c>
      <c r="F99" s="10" t="s">
        <v>698</v>
      </c>
      <c r="G99" s="10" t="s">
        <v>407</v>
      </c>
      <c r="H99" s="10" t="s">
        <v>699</v>
      </c>
      <c r="I99" s="10" t="s">
        <v>350</v>
      </c>
      <c r="J99" s="10" t="s">
        <v>700</v>
      </c>
      <c r="K99" s="11" t="s">
        <v>701</v>
      </c>
      <c r="L99" s="10" t="s">
        <v>22</v>
      </c>
      <c r="M99" s="10" t="s">
        <v>22</v>
      </c>
      <c r="N99" s="10" t="s">
        <v>702</v>
      </c>
    </row>
    <row r="100" spans="1:14" ht="199.5" x14ac:dyDescent="0.45">
      <c r="A100" s="10" t="str">
        <f>IF((COUNTIF(ImpactedResources!D:D,"5dd7a9a3-fb79-004d-bc89-c9ef79890900")=0),"Yes","No")</f>
        <v>Yes</v>
      </c>
      <c r="B100" s="10">
        <f>COUNTIF(ImpactedResources!A:A,"5dd7a9a3-fb79-004d-bc89-c9ef79890900")</f>
        <v>0</v>
      </c>
      <c r="C100" s="10" t="s">
        <v>603</v>
      </c>
      <c r="D100" s="10" t="s">
        <v>23</v>
      </c>
      <c r="E100" s="10" t="s">
        <v>604</v>
      </c>
      <c r="F100" s="10" t="s">
        <v>698</v>
      </c>
      <c r="G100" s="10" t="s">
        <v>407</v>
      </c>
      <c r="H100" s="10" t="s">
        <v>703</v>
      </c>
      <c r="I100" s="10" t="s">
        <v>358</v>
      </c>
      <c r="J100" s="10" t="s">
        <v>704</v>
      </c>
      <c r="K100" s="10" t="s">
        <v>705</v>
      </c>
      <c r="L100" s="10" t="s">
        <v>22</v>
      </c>
      <c r="M100" s="10" t="s">
        <v>22</v>
      </c>
      <c r="N100" s="10" t="s">
        <v>706</v>
      </c>
    </row>
    <row r="101" spans="1:14" ht="99.75" x14ac:dyDescent="0.45">
      <c r="A101" s="10" t="str">
        <f>IF((COUNTIF(ImpactedResources!D:D,"1691bfea-c9fd-0948-969a-03e5abcab299")=0),"Yes","No")</f>
        <v>Yes</v>
      </c>
      <c r="B101" s="10">
        <f>COUNTIF(ImpactedResources!A:A,"1691bfea-c9fd-0948-969a-03e5abcab299")</f>
        <v>0</v>
      </c>
      <c r="C101" s="10" t="s">
        <v>603</v>
      </c>
      <c r="D101" s="10" t="s">
        <v>23</v>
      </c>
      <c r="E101" s="10" t="s">
        <v>604</v>
      </c>
      <c r="F101" s="10" t="s">
        <v>698</v>
      </c>
      <c r="G101" s="10" t="s">
        <v>407</v>
      </c>
      <c r="H101" s="10" t="s">
        <v>707</v>
      </c>
      <c r="I101" s="10" t="s">
        <v>358</v>
      </c>
      <c r="J101" s="10" t="s">
        <v>708</v>
      </c>
      <c r="K101" s="11" t="s">
        <v>709</v>
      </c>
      <c r="L101" s="10" t="s">
        <v>22</v>
      </c>
      <c r="M101" s="10" t="s">
        <v>22</v>
      </c>
      <c r="N101" s="10" t="s">
        <v>710</v>
      </c>
    </row>
    <row r="102" spans="1:14" ht="142.5" x14ac:dyDescent="0.45">
      <c r="A102" s="10" t="str">
        <f>IF((COUNTIF(ImpactedResources!D:D,"1422b388-5d23-5641-ba1c-139a59fb7b4c")=0),"Yes","No")</f>
        <v>Yes</v>
      </c>
      <c r="B102" s="10">
        <f>COUNTIF(ImpactedResources!A:A,"1422b388-5d23-5641-ba1c-139a59fb7b4c")</f>
        <v>0</v>
      </c>
      <c r="C102" s="10" t="s">
        <v>603</v>
      </c>
      <c r="D102" s="10" t="s">
        <v>23</v>
      </c>
      <c r="E102" s="10" t="s">
        <v>604</v>
      </c>
      <c r="F102" s="10" t="s">
        <v>698</v>
      </c>
      <c r="G102" s="10" t="s">
        <v>407</v>
      </c>
      <c r="H102" s="10" t="s">
        <v>711</v>
      </c>
      <c r="I102" s="10" t="s">
        <v>350</v>
      </c>
      <c r="J102" s="10" t="s">
        <v>712</v>
      </c>
      <c r="K102" s="11" t="s">
        <v>713</v>
      </c>
      <c r="L102" s="10" t="s">
        <v>22</v>
      </c>
      <c r="M102" s="10" t="s">
        <v>22</v>
      </c>
      <c r="N102" s="10" t="s">
        <v>714</v>
      </c>
    </row>
    <row r="103" spans="1:14" ht="71.25" x14ac:dyDescent="0.45">
      <c r="A103" s="10" t="str">
        <f>IF((COUNTIF(ImpactedResources!D:D,"2af4f8c2-bafc-4808-88df-0af009a019b5")=0),"Yes","No")</f>
        <v>Yes</v>
      </c>
      <c r="B103" s="10">
        <f>COUNTIF(ImpactedResources!A:A,"2af4f8c2-bafc-4808-88df-0af009a019b5")</f>
        <v>0</v>
      </c>
      <c r="C103" s="10" t="s">
        <v>603</v>
      </c>
      <c r="D103" s="10" t="s">
        <v>23</v>
      </c>
      <c r="E103" s="10" t="s">
        <v>604</v>
      </c>
      <c r="F103" s="10" t="s">
        <v>698</v>
      </c>
      <c r="G103" s="10" t="s">
        <v>367</v>
      </c>
      <c r="H103" s="10" t="s">
        <v>715</v>
      </c>
      <c r="I103" s="10" t="s">
        <v>350</v>
      </c>
      <c r="J103" s="10" t="s">
        <v>716</v>
      </c>
      <c r="K103" s="10" t="s">
        <v>717</v>
      </c>
      <c r="L103" s="10" t="s">
        <v>22</v>
      </c>
      <c r="M103" s="10" t="s">
        <v>22</v>
      </c>
      <c r="N103" s="10" t="s">
        <v>718</v>
      </c>
    </row>
    <row r="104" spans="1:14" ht="99.75" x14ac:dyDescent="0.45">
      <c r="A104" s="10" t="str">
        <f>IF((COUNTIF(ImpactedResources!D:D,"3e2f722e-7d94-4efa-96f1-78bd3e256a41")=0),"Yes","No")</f>
        <v>Yes</v>
      </c>
      <c r="B104" s="10">
        <f>COUNTIF(ImpactedResources!A:A,"3e2f722e-7d94-4efa-96f1-78bd3e256a41")</f>
        <v>0</v>
      </c>
      <c r="C104" s="10" t="s">
        <v>603</v>
      </c>
      <c r="D104" s="10" t="s">
        <v>23</v>
      </c>
      <c r="E104" s="10" t="s">
        <v>604</v>
      </c>
      <c r="F104" s="10" t="s">
        <v>698</v>
      </c>
      <c r="G104" s="10" t="s">
        <v>407</v>
      </c>
      <c r="H104" s="10" t="s">
        <v>719</v>
      </c>
      <c r="I104" s="10" t="s">
        <v>358</v>
      </c>
      <c r="J104" s="10" t="s">
        <v>720</v>
      </c>
      <c r="K104" s="11" t="s">
        <v>721</v>
      </c>
      <c r="L104" s="10" t="s">
        <v>22</v>
      </c>
      <c r="M104" s="10" t="s">
        <v>22</v>
      </c>
      <c r="N104" s="10" t="s">
        <v>722</v>
      </c>
    </row>
    <row r="105" spans="1:14" ht="213.75" x14ac:dyDescent="0.45">
      <c r="A105" s="10" t="str">
        <f>IF((COUNTIF(ImpactedResources!D:D,"daf605e4-d3fd-fc42-819a-e3ec084ffda6")=0),"Yes","No")</f>
        <v>Yes</v>
      </c>
      <c r="B105" s="10">
        <f>COUNTIF(ImpactedResources!A:A,"daf605e4-d3fd-fc42-819a-e3ec084ffda6")</f>
        <v>0</v>
      </c>
      <c r="C105" s="10" t="s">
        <v>603</v>
      </c>
      <c r="D105" s="10" t="s">
        <v>23</v>
      </c>
      <c r="E105" s="10" t="s">
        <v>604</v>
      </c>
      <c r="F105" s="10" t="s">
        <v>723</v>
      </c>
      <c r="G105" s="10" t="s">
        <v>349</v>
      </c>
      <c r="H105" s="10" t="s">
        <v>724</v>
      </c>
      <c r="I105" s="10" t="s">
        <v>342</v>
      </c>
      <c r="J105" s="10" t="s">
        <v>725</v>
      </c>
      <c r="K105" s="10" t="s">
        <v>726</v>
      </c>
      <c r="L105" s="10" t="s">
        <v>22</v>
      </c>
      <c r="M105" s="10" t="s">
        <v>22</v>
      </c>
      <c r="N105" s="10" t="s">
        <v>727</v>
      </c>
    </row>
    <row r="106" spans="1:14" ht="285" x14ac:dyDescent="0.45">
      <c r="A106" s="10" t="str">
        <f>IF((COUNTIF(ImpactedResources!D:D,"28a8ce6f-1b47-c243-bafb-208f4422fe7a")=0),"Yes","No")</f>
        <v>Yes</v>
      </c>
      <c r="B106" s="10">
        <f>COUNTIF(ImpactedResources!A:A,"28a8ce6f-1b47-c243-bafb-208f4422fe7a")</f>
        <v>0</v>
      </c>
      <c r="C106" s="10" t="s">
        <v>603</v>
      </c>
      <c r="D106" s="10" t="s">
        <v>23</v>
      </c>
      <c r="E106" s="10" t="s">
        <v>604</v>
      </c>
      <c r="F106" s="10" t="s">
        <v>728</v>
      </c>
      <c r="G106" s="10" t="s">
        <v>341</v>
      </c>
      <c r="H106" s="10" t="s">
        <v>729</v>
      </c>
      <c r="I106" s="10" t="s">
        <v>342</v>
      </c>
      <c r="J106" s="10" t="s">
        <v>730</v>
      </c>
      <c r="K106" s="11" t="s">
        <v>731</v>
      </c>
      <c r="L106" s="10" t="s">
        <v>22</v>
      </c>
      <c r="M106" s="10" t="s">
        <v>22</v>
      </c>
      <c r="N106" s="10" t="s">
        <v>732</v>
      </c>
    </row>
    <row r="107" spans="1:14" ht="228" x14ac:dyDescent="0.45">
      <c r="A107" s="10" t="str">
        <f>IF((COUNTIF(ImpactedResources!D:D,"155dda00-c264-1b45-8ac0-d6f68178844f")=0),"Yes","No")</f>
        <v>Yes</v>
      </c>
      <c r="B107" s="10">
        <f>COUNTIF(ImpactedResources!A:A,"155dda00-c264-1b45-8ac0-d6f68178844f")</f>
        <v>0</v>
      </c>
      <c r="C107" s="10" t="s">
        <v>603</v>
      </c>
      <c r="D107" s="10" t="s">
        <v>23</v>
      </c>
      <c r="E107" s="10" t="s">
        <v>604</v>
      </c>
      <c r="F107" s="10" t="s">
        <v>728</v>
      </c>
      <c r="G107" s="10" t="s">
        <v>341</v>
      </c>
      <c r="H107" s="10" t="s">
        <v>733</v>
      </c>
      <c r="I107" s="10" t="s">
        <v>342</v>
      </c>
      <c r="J107" s="10" t="s">
        <v>734</v>
      </c>
      <c r="K107" s="11" t="s">
        <v>735</v>
      </c>
      <c r="L107" s="10" t="s">
        <v>22</v>
      </c>
      <c r="M107" s="10" t="s">
        <v>22</v>
      </c>
      <c r="N107" s="10" t="s">
        <v>736</v>
      </c>
    </row>
    <row r="108" spans="1:14" ht="270.75" x14ac:dyDescent="0.45">
      <c r="A108" s="10" t="str">
        <f>IF((COUNTIF(ImpactedResources!D:D,"1b612a06-28dc-e64e-9057-17467e57764a")=0),"Yes","No")</f>
        <v>Yes</v>
      </c>
      <c r="B108" s="10">
        <f>COUNTIF(ImpactedResources!A:A,"1b612a06-28dc-e64e-9057-17467e57764a")</f>
        <v>0</v>
      </c>
      <c r="C108" s="10" t="s">
        <v>603</v>
      </c>
      <c r="D108" s="10" t="s">
        <v>23</v>
      </c>
      <c r="E108" s="10" t="s">
        <v>604</v>
      </c>
      <c r="F108" s="10" t="s">
        <v>728</v>
      </c>
      <c r="G108" s="10" t="s">
        <v>349</v>
      </c>
      <c r="H108" s="10" t="s">
        <v>737</v>
      </c>
      <c r="I108" s="10" t="s">
        <v>342</v>
      </c>
      <c r="J108" s="10" t="s">
        <v>738</v>
      </c>
      <c r="K108" s="11" t="s">
        <v>667</v>
      </c>
      <c r="L108" s="10" t="s">
        <v>22</v>
      </c>
      <c r="M108" s="10" t="s">
        <v>22</v>
      </c>
      <c r="N108" s="10" t="s">
        <v>739</v>
      </c>
    </row>
    <row r="109" spans="1:14" ht="142.5" x14ac:dyDescent="0.45">
      <c r="A109" s="10" t="str">
        <f>IF((COUNTIF(ImpactedResources!D:D,"e10f11a5-9c5b-6c4c-a684-4d9f4063127a")=0),"Yes","No")</f>
        <v>Yes</v>
      </c>
      <c r="B109" s="10">
        <f>COUNTIF(ImpactedResources!A:A,"e10f11a5-9c5b-6c4c-a684-4d9f4063127a")</f>
        <v>0</v>
      </c>
      <c r="C109" s="10" t="s">
        <v>603</v>
      </c>
      <c r="D109" s="10" t="s">
        <v>23</v>
      </c>
      <c r="E109" s="10" t="s">
        <v>604</v>
      </c>
      <c r="F109" s="10" t="s">
        <v>728</v>
      </c>
      <c r="G109" s="10" t="s">
        <v>341</v>
      </c>
      <c r="H109" s="10" t="s">
        <v>740</v>
      </c>
      <c r="I109" s="10" t="s">
        <v>350</v>
      </c>
      <c r="J109" s="10" t="s">
        <v>741</v>
      </c>
      <c r="K109" s="11" t="s">
        <v>742</v>
      </c>
      <c r="L109" s="10" t="s">
        <v>22</v>
      </c>
      <c r="M109" s="10" t="s">
        <v>22</v>
      </c>
      <c r="N109" s="10" t="s">
        <v>743</v>
      </c>
    </row>
    <row r="110" spans="1:14" ht="185.25" x14ac:dyDescent="0.45">
      <c r="A110" s="10" t="str">
        <f>IF((COUNTIF(ImpactedResources!D:D,"c8ba80d4-20d9-456f-a2bd-8e6d488d8ff9")=0),"Yes","No")</f>
        <v>Yes</v>
      </c>
      <c r="B110" s="10">
        <f>COUNTIF(ImpactedResources!A:A,"c8ba80d4-20d9-456f-a2bd-8e6d488d8ff9")</f>
        <v>0</v>
      </c>
      <c r="C110" s="10" t="s">
        <v>603</v>
      </c>
      <c r="D110" s="10" t="s">
        <v>23</v>
      </c>
      <c r="E110" s="10" t="s">
        <v>604</v>
      </c>
      <c r="F110" s="10" t="s">
        <v>728</v>
      </c>
      <c r="G110" s="10" t="s">
        <v>341</v>
      </c>
      <c r="H110" s="10" t="s">
        <v>744</v>
      </c>
      <c r="I110" s="10" t="s">
        <v>342</v>
      </c>
      <c r="J110" s="10" t="s">
        <v>745</v>
      </c>
      <c r="K110" s="11" t="s">
        <v>746</v>
      </c>
      <c r="L110" s="10" t="s">
        <v>22</v>
      </c>
      <c r="M110" s="10" t="s">
        <v>22</v>
      </c>
      <c r="N110" s="10" t="s">
        <v>747</v>
      </c>
    </row>
  </sheetData>
  <hyperlinks>
    <hyperlink ref="K3" r:id="rId1" xr:uid="{00000000-0004-0000-0000-000000000000}"/>
    <hyperlink ref="K4" r:id="rId2" location="virtual-machines" xr:uid="{00000000-0004-0000-0000-000001000000}"/>
    <hyperlink ref="K8" r:id="rId3" xr:uid="{00000000-0004-0000-0000-000002000000}"/>
    <hyperlink ref="K9" r:id="rId4" location="premium-ssd" xr:uid="{00000000-0004-0000-0000-000003000000}"/>
    <hyperlink ref="K10" r:id="rId5" location="power-states-and-billing" xr:uid="{00000000-0004-0000-0000-000004000000}"/>
    <hyperlink ref="K11" r:id="rId6" xr:uid="{00000000-0004-0000-0000-000005000000}"/>
    <hyperlink ref="K12" r:id="rId7" xr:uid="{00000000-0004-0000-0000-000006000000}"/>
    <hyperlink ref="K13" r:id="rId8" xr:uid="{00000000-0004-0000-0000-000007000000}"/>
    <hyperlink ref="K14" r:id="rId9" location="intra-subnet-traffic" xr:uid="{00000000-0004-0000-0000-000008000000}"/>
    <hyperlink ref="K15" r:id="rId10" location="enable-or-disable-ip-forwarding" xr:uid="{00000000-0004-0000-0000-000009000000}"/>
    <hyperlink ref="K16" r:id="rId11" xr:uid="{00000000-0004-0000-0000-00000A000000}"/>
    <hyperlink ref="K18" r:id="rId12" xr:uid="{00000000-0004-0000-0000-00000B000000}"/>
    <hyperlink ref="K20" r:id="rId13" xr:uid="{00000000-0004-0000-0000-00000C000000}"/>
    <hyperlink ref="K22" r:id="rId14" xr:uid="{00000000-0004-0000-0000-00000D000000}"/>
    <hyperlink ref="K23" r:id="rId15" xr:uid="{00000000-0004-0000-0000-00000E000000}"/>
    <hyperlink ref="K24" r:id="rId16" xr:uid="{00000000-0004-0000-0000-00000F000000}"/>
    <hyperlink ref="K25" r:id="rId17" location="disk-type-comparison" xr:uid="{00000000-0004-0000-0000-000010000000}"/>
    <hyperlink ref="K28" r:id="rId18" xr:uid="{00000000-0004-0000-0000-000011000000}"/>
    <hyperlink ref="K30" r:id="rId19" xr:uid="{00000000-0004-0000-0000-000012000000}"/>
    <hyperlink ref="K31" r:id="rId20" location="requirements-for-using-automatic-instance-repairs" xr:uid="{00000000-0004-0000-0000-000013000000}"/>
    <hyperlink ref="K33" r:id="rId21" xr:uid="{00000000-0004-0000-0000-000014000000}"/>
    <hyperlink ref="K34" r:id="rId22" xr:uid="{00000000-0004-0000-0000-000015000000}"/>
    <hyperlink ref="K37" r:id="rId23" xr:uid="{00000000-0004-0000-0000-000016000000}"/>
    <hyperlink ref="K38" r:id="rId24" location="disk-type-comparison" xr:uid="{00000000-0004-0000-0000-000017000000}"/>
    <hyperlink ref="K39" r:id="rId25" xr:uid="{00000000-0004-0000-0000-000018000000}"/>
    <hyperlink ref="K40" r:id="rId26" location="autoscaling-and-high-availability" xr:uid="{00000000-0004-0000-0000-000019000000}"/>
    <hyperlink ref="K48" r:id="rId27" location="size-of-the-subnet" xr:uid="{00000000-0004-0000-0000-00001A000000}"/>
    <hyperlink ref="K50" r:id="rId28" location="azure-load-balancer" xr:uid="{00000000-0004-0000-0000-00001B000000}"/>
    <hyperlink ref="K51" r:id="rId29" location="azure-load-balancer" xr:uid="{00000000-0004-0000-0000-00001C000000}"/>
    <hyperlink ref="K52" r:id="rId30" location="zone-redundant" xr:uid="{00000000-0004-0000-0000-00001D000000}"/>
    <hyperlink ref="K59" r:id="rId31" xr:uid="{00000000-0004-0000-0000-00001E000000}"/>
    <hyperlink ref="K60" r:id="rId32" xr:uid="{00000000-0004-0000-0000-00001F000000}"/>
    <hyperlink ref="K66" r:id="rId33" location="app-service" xr:uid="{00000000-0004-0000-0000-000020000000}"/>
    <hyperlink ref="K67" r:id="rId34" location="app-service" xr:uid="{00000000-0004-0000-0000-000021000000}"/>
    <hyperlink ref="K68" r:id="rId35" location="app-service" xr:uid="{00000000-0004-0000-0000-000022000000}"/>
    <hyperlink ref="K70" r:id="rId36" xr:uid="{00000000-0004-0000-0000-000023000000}"/>
    <hyperlink ref="K72" r:id="rId37" location="app-service" xr:uid="{00000000-0004-0000-0000-000024000000}"/>
    <hyperlink ref="K73" r:id="rId38" location="app-service" xr:uid="{00000000-0004-0000-0000-000025000000}"/>
    <hyperlink ref="K74" r:id="rId39" xr:uid="{00000000-0004-0000-0000-000026000000}"/>
    <hyperlink ref="K75" r:id="rId40" xr:uid="{00000000-0004-0000-0000-000027000000}"/>
    <hyperlink ref="K77" r:id="rId41" xr:uid="{00000000-0004-0000-0000-000028000000}"/>
    <hyperlink ref="K78" r:id="rId42" location="avoid-manual-configuration-to-enforce-consistency" xr:uid="{00000000-0004-0000-0000-000029000000}"/>
    <hyperlink ref="K79" r:id="rId43" xr:uid="{00000000-0004-0000-0000-00002A000000}"/>
    <hyperlink ref="K81" r:id="rId44" xr:uid="{00000000-0004-0000-0000-00002B000000}"/>
    <hyperlink ref="K82" r:id="rId45" xr:uid="{00000000-0004-0000-0000-00002C000000}"/>
    <hyperlink ref="K83" r:id="rId46" xr:uid="{00000000-0004-0000-0000-00002D000000}"/>
    <hyperlink ref="K84" r:id="rId47" xr:uid="{00000000-0004-0000-0000-00002E000000}"/>
    <hyperlink ref="K85" r:id="rId48" location="availability-zones" xr:uid="{00000000-0004-0000-0000-00002F000000}"/>
    <hyperlink ref="K87" r:id="rId49" xr:uid="{00000000-0004-0000-0000-000030000000}"/>
    <hyperlink ref="K88" r:id="rId50" xr:uid="{00000000-0004-0000-0000-000031000000}"/>
    <hyperlink ref="K89" r:id="rId51" xr:uid="{00000000-0004-0000-0000-000032000000}"/>
    <hyperlink ref="K90" r:id="rId52" xr:uid="{00000000-0004-0000-0000-000033000000}"/>
    <hyperlink ref="K91" r:id="rId53" xr:uid="{00000000-0004-0000-0000-000034000000}"/>
    <hyperlink ref="K92" r:id="rId54" xr:uid="{00000000-0004-0000-0000-000035000000}"/>
    <hyperlink ref="K93" r:id="rId55" xr:uid="{00000000-0004-0000-0000-000036000000}"/>
    <hyperlink ref="K95" r:id="rId56" xr:uid="{00000000-0004-0000-0000-000037000000}"/>
    <hyperlink ref="K96" r:id="rId57" xr:uid="{00000000-0004-0000-0000-000038000000}"/>
    <hyperlink ref="K97" r:id="rId58" location="application-design-guidance-and-patterns-1" xr:uid="{00000000-0004-0000-0000-000039000000}"/>
    <hyperlink ref="K98" r:id="rId59" xr:uid="{00000000-0004-0000-0000-00003A000000}"/>
    <hyperlink ref="K99" r:id="rId60" xr:uid="{00000000-0004-0000-0000-00003B000000}"/>
    <hyperlink ref="K101" r:id="rId61" xr:uid="{00000000-0004-0000-0000-00003C000000}"/>
    <hyperlink ref="K102" r:id="rId62" location="create-a-service-health-alert-using-the-azure-portal" xr:uid="{00000000-0004-0000-0000-00003D000000}"/>
    <hyperlink ref="K104" r:id="rId63" xr:uid="{00000000-0004-0000-0000-00003E000000}"/>
    <hyperlink ref="K106" r:id="rId64" xr:uid="{00000000-0004-0000-0000-00003F000000}"/>
    <hyperlink ref="K107" r:id="rId65" xr:uid="{00000000-0004-0000-0000-000040000000}"/>
    <hyperlink ref="K108" r:id="rId66" xr:uid="{00000000-0004-0000-0000-000041000000}"/>
    <hyperlink ref="K109" r:id="rId67" location="fault-injection-and-chaos-engineering-guidance" xr:uid="{00000000-0004-0000-0000-000042000000}"/>
    <hyperlink ref="K110" r:id="rId68" location="testing-application-fault-resiliency" xr:uid="{00000000-0004-0000-0000-000043000000}"/>
  </hyperlinks>
  <pageMargins left="0.7" right="0.7" top="0.75" bottom="0.75" header="0.3" footer="0.3"/>
  <tableParts count="1">
    <tablePart r:id="rId6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84"/>
  <sheetViews>
    <sheetView workbookViewId="0">
      <selection activeCell="M14" sqref="M14"/>
    </sheetView>
  </sheetViews>
  <sheetFormatPr defaultRowHeight="14.25" x14ac:dyDescent="0.45"/>
  <cols>
    <col min="1" max="1" width="81.73046875" style="3" customWidth="1"/>
    <col min="2" max="2" width="43.1328125" style="3" customWidth="1"/>
    <col min="3" max="3" width="100" style="5" customWidth="1"/>
    <col min="4" max="4" width="39" style="3" customWidth="1"/>
    <col min="5" max="5" width="54.73046875" style="3" customWidth="1"/>
    <col min="6" max="6" width="80" style="7" customWidth="1"/>
    <col min="7" max="10" width="10.59765625" customWidth="1"/>
    <col min="11" max="11" width="31.73046875" style="3" customWidth="1"/>
    <col min="12" max="12" width="17.73046875" style="3" customWidth="1"/>
    <col min="13" max="13" width="9.59765625" style="3" customWidth="1"/>
    <col min="14" max="14" width="14.1328125" style="3" customWidth="1"/>
  </cols>
  <sheetData>
    <row r="1" spans="1:14" x14ac:dyDescent="0.45">
      <c r="A1" s="4" t="s">
        <v>0</v>
      </c>
      <c r="B1" s="4" t="s">
        <v>1</v>
      </c>
      <c r="C1" s="6" t="s">
        <v>2</v>
      </c>
      <c r="D1" s="4" t="s">
        <v>3</v>
      </c>
      <c r="E1" s="4" t="s">
        <v>4</v>
      </c>
      <c r="F1" s="8" t="s">
        <v>5</v>
      </c>
      <c r="G1" s="2" t="s">
        <v>6</v>
      </c>
      <c r="H1" s="2" t="s">
        <v>7</v>
      </c>
      <c r="I1" s="2" t="s">
        <v>8</v>
      </c>
      <c r="J1" s="2" t="s">
        <v>9</v>
      </c>
      <c r="K1" s="4" t="s">
        <v>10</v>
      </c>
      <c r="L1" s="4" t="s">
        <v>11</v>
      </c>
      <c r="M1" s="4" t="s">
        <v>12</v>
      </c>
      <c r="N1" s="4" t="s">
        <v>13</v>
      </c>
    </row>
    <row r="2" spans="1:14" x14ac:dyDescent="0.45">
      <c r="A2" s="3" t="s">
        <v>14</v>
      </c>
      <c r="B2" s="3" t="s">
        <v>15</v>
      </c>
      <c r="C2" s="5" t="s">
        <v>16</v>
      </c>
      <c r="D2" s="3" t="s">
        <v>17</v>
      </c>
      <c r="E2" s="3" t="s">
        <v>18</v>
      </c>
      <c r="F2" s="7" t="s">
        <v>19</v>
      </c>
      <c r="G2" t="s">
        <v>20</v>
      </c>
      <c r="H2" t="s">
        <v>21</v>
      </c>
      <c r="I2" t="s">
        <v>22</v>
      </c>
      <c r="J2" t="s">
        <v>22</v>
      </c>
      <c r="K2" s="3" t="s">
        <v>22</v>
      </c>
      <c r="L2" s="3" t="s">
        <v>22</v>
      </c>
      <c r="M2" s="3" t="s">
        <v>23</v>
      </c>
      <c r="N2" s="3" t="s">
        <v>22</v>
      </c>
    </row>
    <row r="3" spans="1:14" x14ac:dyDescent="0.45">
      <c r="A3" s="3" t="s">
        <v>14</v>
      </c>
      <c r="B3" s="3" t="s">
        <v>15</v>
      </c>
      <c r="C3" s="5" t="s">
        <v>16</v>
      </c>
      <c r="D3" s="3" t="s">
        <v>17</v>
      </c>
      <c r="E3" s="3" t="s">
        <v>18</v>
      </c>
      <c r="F3" s="7" t="s">
        <v>19</v>
      </c>
      <c r="G3" t="s">
        <v>24</v>
      </c>
      <c r="H3" t="s">
        <v>21</v>
      </c>
      <c r="I3" t="s">
        <v>22</v>
      </c>
      <c r="J3" t="s">
        <v>22</v>
      </c>
      <c r="K3" s="3" t="s">
        <v>22</v>
      </c>
      <c r="L3" s="3" t="s">
        <v>22</v>
      </c>
      <c r="M3" s="3" t="s">
        <v>23</v>
      </c>
      <c r="N3" s="3" t="s">
        <v>22</v>
      </c>
    </row>
    <row r="4" spans="1:14" x14ac:dyDescent="0.45">
      <c r="A4" s="3" t="s">
        <v>14</v>
      </c>
      <c r="B4" s="3" t="s">
        <v>25</v>
      </c>
      <c r="C4" s="5" t="s">
        <v>26</v>
      </c>
      <c r="D4" s="3" t="s">
        <v>27</v>
      </c>
      <c r="E4" s="3" t="s">
        <v>28</v>
      </c>
      <c r="F4" s="7" t="s">
        <v>29</v>
      </c>
      <c r="G4" t="s">
        <v>30</v>
      </c>
      <c r="H4" t="s">
        <v>22</v>
      </c>
      <c r="I4" t="s">
        <v>22</v>
      </c>
      <c r="J4" t="s">
        <v>22</v>
      </c>
      <c r="K4" s="3" t="s">
        <v>22</v>
      </c>
      <c r="L4" s="3" t="s">
        <v>22</v>
      </c>
      <c r="M4" s="3" t="s">
        <v>23</v>
      </c>
      <c r="N4" s="3" t="s">
        <v>22</v>
      </c>
    </row>
    <row r="5" spans="1:14" x14ac:dyDescent="0.45">
      <c r="A5" s="3" t="s">
        <v>14</v>
      </c>
      <c r="B5" s="3" t="s">
        <v>31</v>
      </c>
      <c r="C5" s="5" t="s">
        <v>32</v>
      </c>
      <c r="D5" s="3" t="s">
        <v>33</v>
      </c>
      <c r="E5" s="3" t="s">
        <v>34</v>
      </c>
      <c r="F5" s="7" t="s">
        <v>35</v>
      </c>
      <c r="G5" t="s">
        <v>22</v>
      </c>
      <c r="H5" t="s">
        <v>22</v>
      </c>
      <c r="I5" t="s">
        <v>22</v>
      </c>
      <c r="J5" t="s">
        <v>22</v>
      </c>
      <c r="K5" s="3" t="s">
        <v>22</v>
      </c>
      <c r="L5" s="3" t="s">
        <v>22</v>
      </c>
      <c r="M5" s="3" t="s">
        <v>23</v>
      </c>
      <c r="N5" s="3" t="s">
        <v>22</v>
      </c>
    </row>
    <row r="6" spans="1:14" x14ac:dyDescent="0.45">
      <c r="A6" s="3" t="s">
        <v>14</v>
      </c>
      <c r="B6" s="3" t="s">
        <v>31</v>
      </c>
      <c r="C6" s="5" t="s">
        <v>32</v>
      </c>
      <c r="D6" s="3" t="s">
        <v>33</v>
      </c>
      <c r="E6" s="3" t="s">
        <v>36</v>
      </c>
      <c r="F6" s="7" t="s">
        <v>37</v>
      </c>
      <c r="G6" t="s">
        <v>22</v>
      </c>
      <c r="H6" t="s">
        <v>22</v>
      </c>
      <c r="I6" t="s">
        <v>22</v>
      </c>
      <c r="J6" t="s">
        <v>22</v>
      </c>
      <c r="K6" s="3" t="s">
        <v>22</v>
      </c>
      <c r="L6" s="3" t="s">
        <v>22</v>
      </c>
      <c r="M6" s="3" t="s">
        <v>23</v>
      </c>
      <c r="N6" s="3" t="s">
        <v>22</v>
      </c>
    </row>
    <row r="7" spans="1:14" x14ac:dyDescent="0.45">
      <c r="A7" s="3" t="s">
        <v>14</v>
      </c>
      <c r="B7" s="3" t="s">
        <v>31</v>
      </c>
      <c r="C7" s="5" t="s">
        <v>32</v>
      </c>
      <c r="D7" s="3" t="s">
        <v>33</v>
      </c>
      <c r="E7" s="3" t="s">
        <v>38</v>
      </c>
      <c r="F7" s="7" t="s">
        <v>39</v>
      </c>
      <c r="G7" t="s">
        <v>22</v>
      </c>
      <c r="H7" t="s">
        <v>22</v>
      </c>
      <c r="I7" t="s">
        <v>22</v>
      </c>
      <c r="J7" t="s">
        <v>22</v>
      </c>
      <c r="K7" s="3" t="s">
        <v>22</v>
      </c>
      <c r="L7" s="3" t="s">
        <v>22</v>
      </c>
      <c r="M7" s="3" t="s">
        <v>23</v>
      </c>
      <c r="N7" s="3" t="s">
        <v>22</v>
      </c>
    </row>
    <row r="8" spans="1:14" x14ac:dyDescent="0.45">
      <c r="A8" s="3" t="s">
        <v>14</v>
      </c>
      <c r="B8" s="3" t="s">
        <v>31</v>
      </c>
      <c r="C8" s="5" t="s">
        <v>32</v>
      </c>
      <c r="D8" s="3" t="s">
        <v>33</v>
      </c>
      <c r="E8" s="3" t="s">
        <v>40</v>
      </c>
      <c r="F8" s="7" t="s">
        <v>41</v>
      </c>
      <c r="G8" t="s">
        <v>22</v>
      </c>
      <c r="H8" t="s">
        <v>22</v>
      </c>
      <c r="I8" t="s">
        <v>22</v>
      </c>
      <c r="J8" t="s">
        <v>22</v>
      </c>
      <c r="K8" s="3" t="s">
        <v>22</v>
      </c>
      <c r="L8" s="3" t="s">
        <v>22</v>
      </c>
      <c r="M8" s="3" t="s">
        <v>23</v>
      </c>
      <c r="N8" s="3" t="s">
        <v>22</v>
      </c>
    </row>
    <row r="9" spans="1:14" x14ac:dyDescent="0.45">
      <c r="A9" s="3" t="s">
        <v>14</v>
      </c>
      <c r="B9" s="3" t="s">
        <v>31</v>
      </c>
      <c r="C9" s="5" t="s">
        <v>32</v>
      </c>
      <c r="D9" s="3" t="s">
        <v>33</v>
      </c>
      <c r="E9" s="3" t="s">
        <v>42</v>
      </c>
      <c r="F9" s="7" t="s">
        <v>43</v>
      </c>
      <c r="G9" t="s">
        <v>22</v>
      </c>
      <c r="H9" t="s">
        <v>22</v>
      </c>
      <c r="I9" t="s">
        <v>22</v>
      </c>
      <c r="J9" t="s">
        <v>22</v>
      </c>
      <c r="K9" s="3" t="s">
        <v>22</v>
      </c>
      <c r="L9" s="3" t="s">
        <v>22</v>
      </c>
      <c r="M9" s="3" t="s">
        <v>23</v>
      </c>
      <c r="N9" s="3" t="s">
        <v>22</v>
      </c>
    </row>
    <row r="10" spans="1:14" x14ac:dyDescent="0.45">
      <c r="A10" s="3" t="s">
        <v>14</v>
      </c>
      <c r="B10" s="3" t="s">
        <v>44</v>
      </c>
      <c r="C10" s="5" t="s">
        <v>45</v>
      </c>
      <c r="D10" s="3" t="s">
        <v>46</v>
      </c>
      <c r="E10" s="3" t="s">
        <v>47</v>
      </c>
      <c r="F10" s="7" t="s">
        <v>48</v>
      </c>
      <c r="G10" t="s">
        <v>49</v>
      </c>
      <c r="H10" t="s">
        <v>22</v>
      </c>
      <c r="I10" t="s">
        <v>22</v>
      </c>
      <c r="J10" t="s">
        <v>22</v>
      </c>
      <c r="K10" s="3" t="s">
        <v>22</v>
      </c>
      <c r="L10" s="3" t="s">
        <v>22</v>
      </c>
      <c r="M10" s="3" t="s">
        <v>23</v>
      </c>
      <c r="N10" s="3" t="s">
        <v>22</v>
      </c>
    </row>
    <row r="11" spans="1:14" x14ac:dyDescent="0.45">
      <c r="A11" s="3" t="s">
        <v>14</v>
      </c>
      <c r="B11" s="3" t="s">
        <v>31</v>
      </c>
      <c r="C11" s="5" t="s">
        <v>50</v>
      </c>
      <c r="D11" s="3" t="s">
        <v>51</v>
      </c>
      <c r="E11" s="3" t="s">
        <v>34</v>
      </c>
      <c r="F11" s="7" t="s">
        <v>52</v>
      </c>
      <c r="G11" s="1" t="s">
        <v>53</v>
      </c>
      <c r="H11" s="1" t="s">
        <v>54</v>
      </c>
      <c r="I11" s="1" t="s">
        <v>55</v>
      </c>
      <c r="J11" t="s">
        <v>22</v>
      </c>
      <c r="K11" s="3" t="s">
        <v>22</v>
      </c>
      <c r="L11" s="3" t="s">
        <v>22</v>
      </c>
      <c r="M11" s="3" t="s">
        <v>23</v>
      </c>
      <c r="N11" s="3" t="s">
        <v>22</v>
      </c>
    </row>
    <row r="12" spans="1:14" x14ac:dyDescent="0.45">
      <c r="A12" s="3" t="s">
        <v>14</v>
      </c>
      <c r="B12" s="3" t="s">
        <v>31</v>
      </c>
      <c r="C12" s="5" t="s">
        <v>50</v>
      </c>
      <c r="D12" s="3" t="s">
        <v>51</v>
      </c>
      <c r="E12" s="3" t="s">
        <v>34</v>
      </c>
      <c r="F12" s="7" t="s">
        <v>52</v>
      </c>
      <c r="G12" s="1" t="s">
        <v>53</v>
      </c>
      <c r="H12" s="1" t="s">
        <v>56</v>
      </c>
      <c r="I12" s="1" t="s">
        <v>55</v>
      </c>
      <c r="J12" t="s">
        <v>22</v>
      </c>
      <c r="K12" s="3" t="s">
        <v>22</v>
      </c>
      <c r="L12" s="3" t="s">
        <v>22</v>
      </c>
      <c r="M12" s="3" t="s">
        <v>23</v>
      </c>
      <c r="N12" s="3" t="s">
        <v>22</v>
      </c>
    </row>
    <row r="13" spans="1:14" x14ac:dyDescent="0.45">
      <c r="A13" s="3" t="s">
        <v>14</v>
      </c>
      <c r="B13" s="3" t="s">
        <v>31</v>
      </c>
      <c r="C13" s="5" t="s">
        <v>50</v>
      </c>
      <c r="D13" s="3" t="s">
        <v>51</v>
      </c>
      <c r="E13" s="3" t="s">
        <v>36</v>
      </c>
      <c r="F13" s="7" t="s">
        <v>57</v>
      </c>
      <c r="G13" s="1" t="s">
        <v>53</v>
      </c>
      <c r="H13" s="1" t="s">
        <v>54</v>
      </c>
      <c r="I13" s="1" t="s">
        <v>55</v>
      </c>
      <c r="J13" t="s">
        <v>22</v>
      </c>
      <c r="K13" s="3" t="s">
        <v>22</v>
      </c>
      <c r="L13" s="3" t="s">
        <v>22</v>
      </c>
      <c r="M13" s="3" t="s">
        <v>23</v>
      </c>
      <c r="N13" s="3" t="s">
        <v>22</v>
      </c>
    </row>
    <row r="14" spans="1:14" x14ac:dyDescent="0.45">
      <c r="A14" s="3" t="s">
        <v>14</v>
      </c>
      <c r="B14" s="3" t="s">
        <v>31</v>
      </c>
      <c r="C14" s="5" t="s">
        <v>50</v>
      </c>
      <c r="D14" s="3" t="s">
        <v>51</v>
      </c>
      <c r="E14" s="3" t="s">
        <v>36</v>
      </c>
      <c r="F14" s="7" t="s">
        <v>57</v>
      </c>
      <c r="G14" s="1" t="s">
        <v>53</v>
      </c>
      <c r="H14" s="1" t="s">
        <v>56</v>
      </c>
      <c r="I14" s="1" t="s">
        <v>55</v>
      </c>
      <c r="J14" t="s">
        <v>22</v>
      </c>
      <c r="K14" s="3" t="s">
        <v>22</v>
      </c>
      <c r="L14" s="3" t="s">
        <v>22</v>
      </c>
      <c r="M14" s="3" t="s">
        <v>23</v>
      </c>
      <c r="N14" s="3" t="s">
        <v>22</v>
      </c>
    </row>
    <row r="15" spans="1:14" x14ac:dyDescent="0.45">
      <c r="A15" s="3" t="s">
        <v>14</v>
      </c>
      <c r="B15" s="3" t="s">
        <v>31</v>
      </c>
      <c r="C15" s="5" t="s">
        <v>50</v>
      </c>
      <c r="D15" s="3" t="s">
        <v>51</v>
      </c>
      <c r="E15" s="3" t="s">
        <v>38</v>
      </c>
      <c r="F15" s="7" t="s">
        <v>58</v>
      </c>
      <c r="G15" s="1" t="s">
        <v>53</v>
      </c>
      <c r="H15" s="1" t="s">
        <v>54</v>
      </c>
      <c r="I15" s="1" t="s">
        <v>55</v>
      </c>
      <c r="J15" t="s">
        <v>22</v>
      </c>
      <c r="K15" s="3" t="s">
        <v>22</v>
      </c>
      <c r="L15" s="3" t="s">
        <v>22</v>
      </c>
      <c r="M15" s="3" t="s">
        <v>23</v>
      </c>
      <c r="N15" s="3" t="s">
        <v>22</v>
      </c>
    </row>
    <row r="16" spans="1:14" x14ac:dyDescent="0.45">
      <c r="A16" s="3" t="s">
        <v>14</v>
      </c>
      <c r="B16" s="3" t="s">
        <v>31</v>
      </c>
      <c r="C16" s="5" t="s">
        <v>50</v>
      </c>
      <c r="D16" s="3" t="s">
        <v>51</v>
      </c>
      <c r="E16" s="3" t="s">
        <v>38</v>
      </c>
      <c r="F16" s="7" t="s">
        <v>58</v>
      </c>
      <c r="G16" s="1" t="s">
        <v>53</v>
      </c>
      <c r="H16" s="1" t="s">
        <v>56</v>
      </c>
      <c r="I16" s="1" t="s">
        <v>55</v>
      </c>
      <c r="J16" t="s">
        <v>22</v>
      </c>
      <c r="K16" s="3" t="s">
        <v>22</v>
      </c>
      <c r="L16" s="3" t="s">
        <v>22</v>
      </c>
      <c r="M16" s="3" t="s">
        <v>23</v>
      </c>
      <c r="N16" s="3" t="s">
        <v>22</v>
      </c>
    </row>
    <row r="17" spans="1:14" x14ac:dyDescent="0.45">
      <c r="A17" s="3" t="s">
        <v>14</v>
      </c>
      <c r="B17" s="3" t="s">
        <v>31</v>
      </c>
      <c r="C17" s="5" t="s">
        <v>50</v>
      </c>
      <c r="D17" s="3" t="s">
        <v>51</v>
      </c>
      <c r="E17" s="3" t="s">
        <v>40</v>
      </c>
      <c r="F17" s="7" t="s">
        <v>59</v>
      </c>
      <c r="G17" s="1" t="s">
        <v>53</v>
      </c>
      <c r="H17" s="1" t="s">
        <v>56</v>
      </c>
      <c r="I17" s="1" t="s">
        <v>55</v>
      </c>
      <c r="J17" t="s">
        <v>22</v>
      </c>
      <c r="K17" s="3" t="s">
        <v>22</v>
      </c>
      <c r="L17" s="3" t="s">
        <v>22</v>
      </c>
      <c r="M17" s="3" t="s">
        <v>23</v>
      </c>
      <c r="N17" s="3" t="s">
        <v>22</v>
      </c>
    </row>
    <row r="18" spans="1:14" x14ac:dyDescent="0.45">
      <c r="A18" s="3" t="s">
        <v>14</v>
      </c>
      <c r="B18" s="3" t="s">
        <v>31</v>
      </c>
      <c r="C18" s="5" t="s">
        <v>50</v>
      </c>
      <c r="D18" s="3" t="s">
        <v>51</v>
      </c>
      <c r="E18" s="3" t="s">
        <v>40</v>
      </c>
      <c r="F18" s="7" t="s">
        <v>59</v>
      </c>
      <c r="G18" s="1" t="s">
        <v>53</v>
      </c>
      <c r="H18" s="1" t="s">
        <v>54</v>
      </c>
      <c r="I18" s="1" t="s">
        <v>55</v>
      </c>
      <c r="J18" t="s">
        <v>22</v>
      </c>
      <c r="K18" s="3" t="s">
        <v>22</v>
      </c>
      <c r="L18" s="3" t="s">
        <v>22</v>
      </c>
      <c r="M18" s="3" t="s">
        <v>23</v>
      </c>
      <c r="N18" s="3" t="s">
        <v>22</v>
      </c>
    </row>
    <row r="19" spans="1:14" x14ac:dyDescent="0.45">
      <c r="A19" s="3" t="s">
        <v>14</v>
      </c>
      <c r="B19" s="3" t="s">
        <v>31</v>
      </c>
      <c r="C19" s="5" t="s">
        <v>50</v>
      </c>
      <c r="D19" s="3" t="s">
        <v>51</v>
      </c>
      <c r="E19" s="3" t="s">
        <v>42</v>
      </c>
      <c r="F19" s="7" t="s">
        <v>60</v>
      </c>
      <c r="G19" s="1" t="s">
        <v>61</v>
      </c>
      <c r="H19" s="1" t="s">
        <v>54</v>
      </c>
      <c r="I19" s="1" t="s">
        <v>55</v>
      </c>
      <c r="J19" t="s">
        <v>22</v>
      </c>
      <c r="K19" s="3" t="s">
        <v>22</v>
      </c>
      <c r="L19" s="3" t="s">
        <v>22</v>
      </c>
      <c r="M19" s="3" t="s">
        <v>23</v>
      </c>
      <c r="N19" s="3" t="s">
        <v>22</v>
      </c>
    </row>
    <row r="20" spans="1:14" x14ac:dyDescent="0.45">
      <c r="A20" s="3" t="s">
        <v>14</v>
      </c>
      <c r="B20" s="3" t="s">
        <v>31</v>
      </c>
      <c r="C20" s="5" t="s">
        <v>50</v>
      </c>
      <c r="D20" s="3" t="s">
        <v>51</v>
      </c>
      <c r="E20" s="3" t="s">
        <v>42</v>
      </c>
      <c r="F20" s="7" t="s">
        <v>60</v>
      </c>
      <c r="G20" s="1" t="s">
        <v>61</v>
      </c>
      <c r="H20" s="1" t="s">
        <v>56</v>
      </c>
      <c r="I20" s="1" t="s">
        <v>55</v>
      </c>
      <c r="J20" t="s">
        <v>22</v>
      </c>
      <c r="K20" s="3" t="s">
        <v>22</v>
      </c>
      <c r="L20" s="3" t="s">
        <v>22</v>
      </c>
      <c r="M20" s="3" t="s">
        <v>23</v>
      </c>
      <c r="N20" s="3" t="s">
        <v>22</v>
      </c>
    </row>
    <row r="21" spans="1:14" x14ac:dyDescent="0.45">
      <c r="A21" s="3" t="s">
        <v>14</v>
      </c>
      <c r="B21" s="3" t="s">
        <v>62</v>
      </c>
      <c r="C21" s="5" t="s">
        <v>63</v>
      </c>
      <c r="D21" s="3" t="s">
        <v>64</v>
      </c>
      <c r="E21" s="3" t="s">
        <v>65</v>
      </c>
      <c r="F21" s="7" t="s">
        <v>66</v>
      </c>
      <c r="G21" t="s">
        <v>67</v>
      </c>
      <c r="H21" t="s">
        <v>22</v>
      </c>
      <c r="I21" t="s">
        <v>22</v>
      </c>
      <c r="J21" t="s">
        <v>22</v>
      </c>
      <c r="K21" s="3" t="s">
        <v>22</v>
      </c>
      <c r="L21" s="3" t="s">
        <v>22</v>
      </c>
      <c r="M21" s="3" t="s">
        <v>23</v>
      </c>
      <c r="N21" s="3" t="s">
        <v>22</v>
      </c>
    </row>
    <row r="22" spans="1:14" x14ac:dyDescent="0.45">
      <c r="A22" s="3" t="s">
        <v>14</v>
      </c>
      <c r="B22" s="3" t="s">
        <v>62</v>
      </c>
      <c r="C22" s="5" t="s">
        <v>63</v>
      </c>
      <c r="D22" s="3" t="s">
        <v>64</v>
      </c>
      <c r="E22" s="3" t="s">
        <v>68</v>
      </c>
      <c r="F22" s="7" t="s">
        <v>69</v>
      </c>
      <c r="G22" t="s">
        <v>67</v>
      </c>
      <c r="H22" t="s">
        <v>22</v>
      </c>
      <c r="I22" t="s">
        <v>22</v>
      </c>
      <c r="J22" t="s">
        <v>22</v>
      </c>
      <c r="K22" s="3" t="s">
        <v>22</v>
      </c>
      <c r="L22" s="3" t="s">
        <v>22</v>
      </c>
      <c r="M22" s="3" t="s">
        <v>23</v>
      </c>
      <c r="N22" s="3" t="s">
        <v>22</v>
      </c>
    </row>
    <row r="23" spans="1:14" x14ac:dyDescent="0.45">
      <c r="A23" s="3" t="s">
        <v>14</v>
      </c>
      <c r="B23" s="3" t="s">
        <v>62</v>
      </c>
      <c r="C23" s="5" t="s">
        <v>63</v>
      </c>
      <c r="D23" s="3" t="s">
        <v>64</v>
      </c>
      <c r="E23" s="3" t="s">
        <v>70</v>
      </c>
      <c r="F23" s="7" t="s">
        <v>71</v>
      </c>
      <c r="G23" t="s">
        <v>67</v>
      </c>
      <c r="H23" t="s">
        <v>22</v>
      </c>
      <c r="I23" t="s">
        <v>22</v>
      </c>
      <c r="J23" t="s">
        <v>22</v>
      </c>
      <c r="K23" s="3" t="s">
        <v>22</v>
      </c>
      <c r="L23" s="3" t="s">
        <v>22</v>
      </c>
      <c r="M23" s="3" t="s">
        <v>23</v>
      </c>
      <c r="N23" s="3" t="s">
        <v>22</v>
      </c>
    </row>
    <row r="24" spans="1:14" x14ac:dyDescent="0.45">
      <c r="A24" s="3" t="s">
        <v>14</v>
      </c>
      <c r="B24" s="3" t="s">
        <v>62</v>
      </c>
      <c r="C24" s="5" t="s">
        <v>63</v>
      </c>
      <c r="D24" s="3" t="s">
        <v>64</v>
      </c>
      <c r="E24" s="3" t="s">
        <v>72</v>
      </c>
      <c r="F24" s="7" t="s">
        <v>73</v>
      </c>
      <c r="G24" t="s">
        <v>67</v>
      </c>
      <c r="H24" t="s">
        <v>22</v>
      </c>
      <c r="I24" t="s">
        <v>22</v>
      </c>
      <c r="J24" t="s">
        <v>22</v>
      </c>
      <c r="K24" s="3" t="s">
        <v>22</v>
      </c>
      <c r="L24" s="3" t="s">
        <v>22</v>
      </c>
      <c r="M24" s="3" t="s">
        <v>23</v>
      </c>
      <c r="N24" s="3" t="s">
        <v>22</v>
      </c>
    </row>
    <row r="25" spans="1:14" x14ac:dyDescent="0.45">
      <c r="A25" s="3" t="s">
        <v>14</v>
      </c>
      <c r="B25" s="3" t="s">
        <v>62</v>
      </c>
      <c r="C25" s="5" t="s">
        <v>63</v>
      </c>
      <c r="D25" s="3" t="s">
        <v>64</v>
      </c>
      <c r="E25" s="3" t="s">
        <v>74</v>
      </c>
      <c r="F25" s="7" t="s">
        <v>75</v>
      </c>
      <c r="G25" t="s">
        <v>67</v>
      </c>
      <c r="H25" t="s">
        <v>22</v>
      </c>
      <c r="I25" t="s">
        <v>22</v>
      </c>
      <c r="J25" t="s">
        <v>22</v>
      </c>
      <c r="K25" s="3" t="s">
        <v>22</v>
      </c>
      <c r="L25" s="3" t="s">
        <v>22</v>
      </c>
      <c r="M25" s="3" t="s">
        <v>23</v>
      </c>
      <c r="N25" s="3" t="s">
        <v>22</v>
      </c>
    </row>
    <row r="26" spans="1:14" x14ac:dyDescent="0.45">
      <c r="A26" s="3" t="s">
        <v>14</v>
      </c>
      <c r="B26" s="3" t="s">
        <v>62</v>
      </c>
      <c r="C26" s="5" t="s">
        <v>63</v>
      </c>
      <c r="D26" s="3" t="s">
        <v>64</v>
      </c>
      <c r="E26" s="3" t="s">
        <v>76</v>
      </c>
      <c r="F26" s="7" t="s">
        <v>77</v>
      </c>
      <c r="G26" t="s">
        <v>67</v>
      </c>
      <c r="H26" t="s">
        <v>22</v>
      </c>
      <c r="I26" t="s">
        <v>22</v>
      </c>
      <c r="J26" t="s">
        <v>22</v>
      </c>
      <c r="K26" s="3" t="s">
        <v>22</v>
      </c>
      <c r="L26" s="3" t="s">
        <v>22</v>
      </c>
      <c r="M26" s="3" t="s">
        <v>23</v>
      </c>
      <c r="N26" s="3" t="s">
        <v>22</v>
      </c>
    </row>
    <row r="27" spans="1:14" x14ac:dyDescent="0.45">
      <c r="A27" s="3" t="s">
        <v>14</v>
      </c>
      <c r="B27" s="3" t="s">
        <v>15</v>
      </c>
      <c r="C27" s="5" t="s">
        <v>78</v>
      </c>
      <c r="D27" s="3" t="s">
        <v>79</v>
      </c>
      <c r="E27" s="3" t="s">
        <v>18</v>
      </c>
      <c r="F27" s="7" t="s">
        <v>19</v>
      </c>
      <c r="G27" t="s">
        <v>80</v>
      </c>
      <c r="H27" t="s">
        <v>81</v>
      </c>
      <c r="I27" t="s">
        <v>22</v>
      </c>
      <c r="J27" t="s">
        <v>22</v>
      </c>
      <c r="K27" s="3" t="s">
        <v>22</v>
      </c>
      <c r="L27" s="3" t="s">
        <v>22</v>
      </c>
      <c r="M27" s="3" t="s">
        <v>23</v>
      </c>
      <c r="N27" s="3" t="s">
        <v>22</v>
      </c>
    </row>
    <row r="28" spans="1:14" x14ac:dyDescent="0.45">
      <c r="A28" s="3" t="s">
        <v>14</v>
      </c>
      <c r="B28" s="3" t="s">
        <v>31</v>
      </c>
      <c r="C28" s="5" t="s">
        <v>82</v>
      </c>
      <c r="D28" s="3" t="s">
        <v>83</v>
      </c>
      <c r="E28" s="3" t="s">
        <v>42</v>
      </c>
      <c r="F28" s="7" t="s">
        <v>43</v>
      </c>
      <c r="G28" t="s">
        <v>22</v>
      </c>
      <c r="H28" t="s">
        <v>22</v>
      </c>
      <c r="I28" t="s">
        <v>22</v>
      </c>
      <c r="J28" t="s">
        <v>22</v>
      </c>
      <c r="K28" s="3" t="s">
        <v>22</v>
      </c>
      <c r="L28" s="3" t="s">
        <v>22</v>
      </c>
      <c r="M28" s="3" t="s">
        <v>23</v>
      </c>
      <c r="N28" s="3" t="s">
        <v>22</v>
      </c>
    </row>
    <row r="29" spans="1:14" x14ac:dyDescent="0.45">
      <c r="A29" s="3" t="s">
        <v>14</v>
      </c>
      <c r="B29" s="3" t="s">
        <v>84</v>
      </c>
      <c r="C29" s="5" t="s">
        <v>85</v>
      </c>
      <c r="D29" s="3" t="s">
        <v>86</v>
      </c>
      <c r="E29" s="3" t="s">
        <v>87</v>
      </c>
      <c r="F29" s="7" t="s">
        <v>88</v>
      </c>
      <c r="G29" t="s">
        <v>89</v>
      </c>
      <c r="H29" t="s">
        <v>22</v>
      </c>
      <c r="I29" t="s">
        <v>22</v>
      </c>
      <c r="J29" t="s">
        <v>22</v>
      </c>
      <c r="K29" s="3" t="s">
        <v>22</v>
      </c>
      <c r="L29" s="3" t="s">
        <v>22</v>
      </c>
      <c r="M29" s="3" t="s">
        <v>23</v>
      </c>
      <c r="N29" s="3" t="s">
        <v>22</v>
      </c>
    </row>
    <row r="30" spans="1:14" x14ac:dyDescent="0.45">
      <c r="A30" s="3" t="s">
        <v>14</v>
      </c>
      <c r="B30" s="3" t="s">
        <v>84</v>
      </c>
      <c r="C30" s="5" t="s">
        <v>85</v>
      </c>
      <c r="D30" s="3" t="s">
        <v>86</v>
      </c>
      <c r="E30" s="3" t="s">
        <v>90</v>
      </c>
      <c r="F30" s="7" t="s">
        <v>91</v>
      </c>
      <c r="G30" t="s">
        <v>89</v>
      </c>
      <c r="H30" t="s">
        <v>22</v>
      </c>
      <c r="I30" t="s">
        <v>22</v>
      </c>
      <c r="J30" t="s">
        <v>22</v>
      </c>
      <c r="K30" s="3" t="s">
        <v>22</v>
      </c>
      <c r="L30" s="3" t="s">
        <v>22</v>
      </c>
      <c r="M30" s="3" t="s">
        <v>23</v>
      </c>
      <c r="N30" s="3" t="s">
        <v>22</v>
      </c>
    </row>
    <row r="31" spans="1:14" x14ac:dyDescent="0.45">
      <c r="A31" s="3" t="s">
        <v>14</v>
      </c>
      <c r="B31" s="3" t="s">
        <v>31</v>
      </c>
      <c r="C31" s="5" t="s">
        <v>92</v>
      </c>
      <c r="D31" s="3" t="s">
        <v>93</v>
      </c>
      <c r="E31" s="3" t="s">
        <v>34</v>
      </c>
      <c r="F31" s="7" t="s">
        <v>35</v>
      </c>
      <c r="G31" t="s">
        <v>94</v>
      </c>
      <c r="H31" t="s">
        <v>22</v>
      </c>
      <c r="I31" t="s">
        <v>22</v>
      </c>
      <c r="J31" t="s">
        <v>22</v>
      </c>
      <c r="K31" s="3" t="s">
        <v>22</v>
      </c>
      <c r="L31" s="3" t="s">
        <v>22</v>
      </c>
      <c r="M31" s="3" t="s">
        <v>23</v>
      </c>
      <c r="N31" s="3" t="s">
        <v>22</v>
      </c>
    </row>
    <row r="32" spans="1:14" x14ac:dyDescent="0.45">
      <c r="A32" s="3" t="s">
        <v>14</v>
      </c>
      <c r="B32" s="3" t="s">
        <v>31</v>
      </c>
      <c r="C32" s="5" t="s">
        <v>92</v>
      </c>
      <c r="D32" s="3" t="s">
        <v>93</v>
      </c>
      <c r="E32" s="3" t="s">
        <v>36</v>
      </c>
      <c r="F32" s="7" t="s">
        <v>37</v>
      </c>
      <c r="G32" t="s">
        <v>94</v>
      </c>
      <c r="H32" t="s">
        <v>22</v>
      </c>
      <c r="I32" t="s">
        <v>22</v>
      </c>
      <c r="J32" t="s">
        <v>22</v>
      </c>
      <c r="K32" s="3" t="s">
        <v>22</v>
      </c>
      <c r="L32" s="3" t="s">
        <v>22</v>
      </c>
      <c r="M32" s="3" t="s">
        <v>23</v>
      </c>
      <c r="N32" s="3" t="s">
        <v>22</v>
      </c>
    </row>
    <row r="33" spans="1:14" x14ac:dyDescent="0.45">
      <c r="A33" s="3" t="s">
        <v>14</v>
      </c>
      <c r="B33" s="3" t="s">
        <v>31</v>
      </c>
      <c r="C33" s="5" t="s">
        <v>92</v>
      </c>
      <c r="D33" s="3" t="s">
        <v>93</v>
      </c>
      <c r="E33" s="3" t="s">
        <v>38</v>
      </c>
      <c r="F33" s="7" t="s">
        <v>39</v>
      </c>
      <c r="G33" t="s">
        <v>94</v>
      </c>
      <c r="H33" t="s">
        <v>22</v>
      </c>
      <c r="I33" t="s">
        <v>22</v>
      </c>
      <c r="J33" t="s">
        <v>22</v>
      </c>
      <c r="K33" s="3" t="s">
        <v>22</v>
      </c>
      <c r="L33" s="3" t="s">
        <v>22</v>
      </c>
      <c r="M33" s="3" t="s">
        <v>23</v>
      </c>
      <c r="N33" s="3" t="s">
        <v>22</v>
      </c>
    </row>
    <row r="34" spans="1:14" x14ac:dyDescent="0.45">
      <c r="A34" s="3" t="s">
        <v>14</v>
      </c>
      <c r="B34" s="3" t="s">
        <v>31</v>
      </c>
      <c r="C34" s="5" t="s">
        <v>92</v>
      </c>
      <c r="D34" s="3" t="s">
        <v>93</v>
      </c>
      <c r="E34" s="3" t="s">
        <v>40</v>
      </c>
      <c r="F34" s="7" t="s">
        <v>41</v>
      </c>
      <c r="G34" t="s">
        <v>94</v>
      </c>
      <c r="H34" t="s">
        <v>22</v>
      </c>
      <c r="I34" t="s">
        <v>22</v>
      </c>
      <c r="J34" t="s">
        <v>22</v>
      </c>
      <c r="K34" s="3" t="s">
        <v>22</v>
      </c>
      <c r="L34" s="3" t="s">
        <v>22</v>
      </c>
      <c r="M34" s="3" t="s">
        <v>23</v>
      </c>
      <c r="N34" s="3" t="s">
        <v>22</v>
      </c>
    </row>
    <row r="35" spans="1:14" x14ac:dyDescent="0.45">
      <c r="A35" s="3" t="s">
        <v>14</v>
      </c>
      <c r="B35" s="3" t="s">
        <v>31</v>
      </c>
      <c r="C35" s="5" t="s">
        <v>92</v>
      </c>
      <c r="D35" s="3" t="s">
        <v>93</v>
      </c>
      <c r="E35" s="3" t="s">
        <v>42</v>
      </c>
      <c r="F35" s="7" t="s">
        <v>43</v>
      </c>
      <c r="G35" t="s">
        <v>94</v>
      </c>
      <c r="H35" t="s">
        <v>22</v>
      </c>
      <c r="I35" t="s">
        <v>22</v>
      </c>
      <c r="J35" t="s">
        <v>22</v>
      </c>
      <c r="K35" s="3" t="s">
        <v>22</v>
      </c>
      <c r="L35" s="3" t="s">
        <v>22</v>
      </c>
      <c r="M35" s="3" t="s">
        <v>23</v>
      </c>
      <c r="N35" s="3" t="s">
        <v>22</v>
      </c>
    </row>
    <row r="36" spans="1:14" x14ac:dyDescent="0.45">
      <c r="A36" s="3" t="s">
        <v>14</v>
      </c>
      <c r="B36" s="3" t="s">
        <v>15</v>
      </c>
      <c r="C36" s="5" t="s">
        <v>95</v>
      </c>
      <c r="D36" s="3" t="s">
        <v>96</v>
      </c>
      <c r="E36" s="3" t="s">
        <v>18</v>
      </c>
      <c r="F36" s="7" t="s">
        <v>19</v>
      </c>
      <c r="G36" t="s">
        <v>97</v>
      </c>
      <c r="H36" t="s">
        <v>22</v>
      </c>
      <c r="I36" t="s">
        <v>22</v>
      </c>
      <c r="J36" t="s">
        <v>22</v>
      </c>
      <c r="K36" s="3" t="s">
        <v>22</v>
      </c>
      <c r="L36" s="3" t="s">
        <v>22</v>
      </c>
      <c r="M36" s="3" t="s">
        <v>23</v>
      </c>
      <c r="N36" s="3" t="s">
        <v>22</v>
      </c>
    </row>
    <row r="37" spans="1:14" x14ac:dyDescent="0.45">
      <c r="A37" s="3" t="s">
        <v>14</v>
      </c>
      <c r="B37" s="3" t="s">
        <v>44</v>
      </c>
      <c r="C37" s="5" t="s">
        <v>98</v>
      </c>
      <c r="D37" s="3" t="s">
        <v>99</v>
      </c>
      <c r="E37" s="3" t="s">
        <v>47</v>
      </c>
      <c r="F37" s="7" t="s">
        <v>48</v>
      </c>
      <c r="G37" t="s">
        <v>100</v>
      </c>
      <c r="H37" t="s">
        <v>22</v>
      </c>
      <c r="I37" t="s">
        <v>22</v>
      </c>
      <c r="J37" t="s">
        <v>22</v>
      </c>
      <c r="K37" s="3" t="s">
        <v>22</v>
      </c>
      <c r="L37" s="3" t="s">
        <v>22</v>
      </c>
      <c r="M37" s="3" t="s">
        <v>23</v>
      </c>
      <c r="N37" s="3" t="s">
        <v>22</v>
      </c>
    </row>
    <row r="38" spans="1:14" x14ac:dyDescent="0.45">
      <c r="A38" s="3" t="s">
        <v>14</v>
      </c>
      <c r="B38" s="3" t="s">
        <v>31</v>
      </c>
      <c r="C38" s="5" t="s">
        <v>101</v>
      </c>
      <c r="D38" s="3" t="s">
        <v>102</v>
      </c>
      <c r="E38" s="3" t="s">
        <v>38</v>
      </c>
      <c r="F38" s="7" t="s">
        <v>39</v>
      </c>
      <c r="G38" t="s">
        <v>22</v>
      </c>
      <c r="H38" t="s">
        <v>22</v>
      </c>
      <c r="I38" t="s">
        <v>22</v>
      </c>
      <c r="J38" t="s">
        <v>22</v>
      </c>
      <c r="K38" s="3" t="s">
        <v>22</v>
      </c>
      <c r="L38" s="3" t="s">
        <v>22</v>
      </c>
      <c r="M38" s="3" t="s">
        <v>23</v>
      </c>
      <c r="N38" s="3" t="s">
        <v>22</v>
      </c>
    </row>
    <row r="39" spans="1:14" x14ac:dyDescent="0.45">
      <c r="A39" s="3" t="s">
        <v>14</v>
      </c>
      <c r="B39" s="3" t="s">
        <v>31</v>
      </c>
      <c r="C39" s="5" t="s">
        <v>101</v>
      </c>
      <c r="D39" s="3" t="s">
        <v>102</v>
      </c>
      <c r="E39" s="3" t="s">
        <v>40</v>
      </c>
      <c r="F39" s="7" t="s">
        <v>41</v>
      </c>
      <c r="G39" t="s">
        <v>22</v>
      </c>
      <c r="H39" t="s">
        <v>22</v>
      </c>
      <c r="I39" t="s">
        <v>22</v>
      </c>
      <c r="J39" t="s">
        <v>22</v>
      </c>
      <c r="K39" s="3" t="s">
        <v>22</v>
      </c>
      <c r="L39" s="3" t="s">
        <v>22</v>
      </c>
      <c r="M39" s="3" t="s">
        <v>23</v>
      </c>
      <c r="N39" s="3" t="s">
        <v>22</v>
      </c>
    </row>
    <row r="40" spans="1:14" x14ac:dyDescent="0.45">
      <c r="A40" s="3" t="s">
        <v>14</v>
      </c>
      <c r="B40" s="3" t="s">
        <v>31</v>
      </c>
      <c r="C40" s="5" t="s">
        <v>101</v>
      </c>
      <c r="D40" s="3" t="s">
        <v>102</v>
      </c>
      <c r="E40" s="3" t="s">
        <v>42</v>
      </c>
      <c r="F40" s="7" t="s">
        <v>43</v>
      </c>
      <c r="G40" t="s">
        <v>22</v>
      </c>
      <c r="H40" t="s">
        <v>22</v>
      </c>
      <c r="I40" t="s">
        <v>22</v>
      </c>
      <c r="J40" t="s">
        <v>22</v>
      </c>
      <c r="K40" s="3" t="s">
        <v>22</v>
      </c>
      <c r="L40" s="3" t="s">
        <v>22</v>
      </c>
      <c r="M40" s="3" t="s">
        <v>23</v>
      </c>
      <c r="N40" s="3" t="s">
        <v>22</v>
      </c>
    </row>
    <row r="41" spans="1:14" x14ac:dyDescent="0.45">
      <c r="A41" s="3" t="s">
        <v>14</v>
      </c>
      <c r="B41" s="3" t="s">
        <v>62</v>
      </c>
      <c r="C41" s="5" t="s">
        <v>103</v>
      </c>
      <c r="D41" s="3" t="s">
        <v>104</v>
      </c>
      <c r="E41" s="3" t="s">
        <v>65</v>
      </c>
      <c r="F41" s="7" t="s">
        <v>66</v>
      </c>
      <c r="G41" t="s">
        <v>105</v>
      </c>
      <c r="H41" t="s">
        <v>106</v>
      </c>
      <c r="I41" t="s">
        <v>22</v>
      </c>
      <c r="J41" t="s">
        <v>22</v>
      </c>
      <c r="K41" s="3" t="s">
        <v>22</v>
      </c>
      <c r="L41" s="3" t="s">
        <v>22</v>
      </c>
      <c r="M41" s="3" t="s">
        <v>23</v>
      </c>
      <c r="N41" s="3" t="s">
        <v>22</v>
      </c>
    </row>
    <row r="42" spans="1:14" x14ac:dyDescent="0.45">
      <c r="A42" s="3" t="s">
        <v>14</v>
      </c>
      <c r="B42" s="3" t="s">
        <v>62</v>
      </c>
      <c r="C42" s="5" t="s">
        <v>103</v>
      </c>
      <c r="D42" s="3" t="s">
        <v>104</v>
      </c>
      <c r="E42" s="3" t="s">
        <v>68</v>
      </c>
      <c r="F42" s="7" t="s">
        <v>69</v>
      </c>
      <c r="G42" t="s">
        <v>105</v>
      </c>
      <c r="H42" t="s">
        <v>106</v>
      </c>
      <c r="I42" t="s">
        <v>22</v>
      </c>
      <c r="J42" t="s">
        <v>22</v>
      </c>
      <c r="K42" s="3" t="s">
        <v>22</v>
      </c>
      <c r="L42" s="3" t="s">
        <v>22</v>
      </c>
      <c r="M42" s="3" t="s">
        <v>23</v>
      </c>
      <c r="N42" s="3" t="s">
        <v>22</v>
      </c>
    </row>
    <row r="43" spans="1:14" x14ac:dyDescent="0.45">
      <c r="A43" s="3" t="s">
        <v>14</v>
      </c>
      <c r="B43" s="3" t="s">
        <v>62</v>
      </c>
      <c r="C43" s="5" t="s">
        <v>103</v>
      </c>
      <c r="D43" s="3" t="s">
        <v>104</v>
      </c>
      <c r="E43" s="3" t="s">
        <v>70</v>
      </c>
      <c r="F43" s="7" t="s">
        <v>71</v>
      </c>
      <c r="G43" t="s">
        <v>105</v>
      </c>
      <c r="H43" t="s">
        <v>106</v>
      </c>
      <c r="I43" t="s">
        <v>22</v>
      </c>
      <c r="J43" t="s">
        <v>22</v>
      </c>
      <c r="K43" s="3" t="s">
        <v>22</v>
      </c>
      <c r="L43" s="3" t="s">
        <v>22</v>
      </c>
      <c r="M43" s="3" t="s">
        <v>23</v>
      </c>
      <c r="N43" s="3" t="s">
        <v>22</v>
      </c>
    </row>
    <row r="44" spans="1:14" x14ac:dyDescent="0.45">
      <c r="A44" s="3" t="s">
        <v>14</v>
      </c>
      <c r="B44" s="3" t="s">
        <v>62</v>
      </c>
      <c r="C44" s="5" t="s">
        <v>103</v>
      </c>
      <c r="D44" s="3" t="s">
        <v>104</v>
      </c>
      <c r="E44" s="3" t="s">
        <v>72</v>
      </c>
      <c r="F44" s="7" t="s">
        <v>73</v>
      </c>
      <c r="G44" t="s">
        <v>105</v>
      </c>
      <c r="H44" t="s">
        <v>106</v>
      </c>
      <c r="I44" t="s">
        <v>22</v>
      </c>
      <c r="J44" t="s">
        <v>22</v>
      </c>
      <c r="K44" s="3" t="s">
        <v>22</v>
      </c>
      <c r="L44" s="3" t="s">
        <v>22</v>
      </c>
      <c r="M44" s="3" t="s">
        <v>23</v>
      </c>
      <c r="N44" s="3" t="s">
        <v>22</v>
      </c>
    </row>
    <row r="45" spans="1:14" x14ac:dyDescent="0.45">
      <c r="A45" s="3" t="s">
        <v>14</v>
      </c>
      <c r="B45" s="3" t="s">
        <v>62</v>
      </c>
      <c r="C45" s="5" t="s">
        <v>103</v>
      </c>
      <c r="D45" s="3" t="s">
        <v>104</v>
      </c>
      <c r="E45" s="3" t="s">
        <v>74</v>
      </c>
      <c r="F45" s="7" t="s">
        <v>75</v>
      </c>
      <c r="G45" t="s">
        <v>105</v>
      </c>
      <c r="H45" t="s">
        <v>106</v>
      </c>
      <c r="I45" t="s">
        <v>22</v>
      </c>
      <c r="J45" t="s">
        <v>22</v>
      </c>
      <c r="K45" s="3" t="s">
        <v>22</v>
      </c>
      <c r="L45" s="3" t="s">
        <v>22</v>
      </c>
      <c r="M45" s="3" t="s">
        <v>23</v>
      </c>
      <c r="N45" s="3" t="s">
        <v>22</v>
      </c>
    </row>
    <row r="46" spans="1:14" x14ac:dyDescent="0.45">
      <c r="A46" s="3" t="s">
        <v>14</v>
      </c>
      <c r="B46" s="3" t="s">
        <v>62</v>
      </c>
      <c r="C46" s="5" t="s">
        <v>103</v>
      </c>
      <c r="D46" s="3" t="s">
        <v>104</v>
      </c>
      <c r="E46" s="3" t="s">
        <v>76</v>
      </c>
      <c r="F46" s="7" t="s">
        <v>77</v>
      </c>
      <c r="G46" t="s">
        <v>105</v>
      </c>
      <c r="H46" t="s">
        <v>106</v>
      </c>
      <c r="I46" t="s">
        <v>22</v>
      </c>
      <c r="J46" t="s">
        <v>22</v>
      </c>
      <c r="K46" s="3" t="s">
        <v>22</v>
      </c>
      <c r="L46" s="3" t="s">
        <v>22</v>
      </c>
      <c r="M46" s="3" t="s">
        <v>23</v>
      </c>
      <c r="N46" s="3" t="s">
        <v>22</v>
      </c>
    </row>
    <row r="47" spans="1:14" x14ac:dyDescent="0.45">
      <c r="A47" s="3" t="s">
        <v>14</v>
      </c>
      <c r="B47" s="3" t="s">
        <v>31</v>
      </c>
      <c r="C47" s="5" t="s">
        <v>107</v>
      </c>
      <c r="D47" s="3" t="s">
        <v>108</v>
      </c>
      <c r="E47" s="3" t="s">
        <v>36</v>
      </c>
      <c r="F47" s="7" t="s">
        <v>37</v>
      </c>
      <c r="G47" t="s">
        <v>109</v>
      </c>
      <c r="H47" t="s">
        <v>110</v>
      </c>
      <c r="I47" t="s">
        <v>22</v>
      </c>
      <c r="J47" t="s">
        <v>22</v>
      </c>
      <c r="K47" s="3" t="s">
        <v>22</v>
      </c>
      <c r="L47" s="3" t="s">
        <v>22</v>
      </c>
      <c r="M47" s="3" t="s">
        <v>23</v>
      </c>
      <c r="N47" s="3" t="s">
        <v>22</v>
      </c>
    </row>
    <row r="48" spans="1:14" x14ac:dyDescent="0.45">
      <c r="A48" s="3" t="s">
        <v>14</v>
      </c>
      <c r="B48" s="3" t="s">
        <v>31</v>
      </c>
      <c r="C48" s="5" t="s">
        <v>107</v>
      </c>
      <c r="D48" s="3" t="s">
        <v>108</v>
      </c>
      <c r="E48" s="3" t="s">
        <v>40</v>
      </c>
      <c r="F48" s="7" t="s">
        <v>41</v>
      </c>
      <c r="G48" t="s">
        <v>111</v>
      </c>
      <c r="H48" t="s">
        <v>112</v>
      </c>
      <c r="I48" t="s">
        <v>22</v>
      </c>
      <c r="J48" t="s">
        <v>22</v>
      </c>
      <c r="K48" s="3" t="s">
        <v>22</v>
      </c>
      <c r="L48" s="3" t="s">
        <v>22</v>
      </c>
      <c r="M48" s="3" t="s">
        <v>23</v>
      </c>
      <c r="N48" s="3" t="s">
        <v>22</v>
      </c>
    </row>
    <row r="49" spans="1:14" x14ac:dyDescent="0.45">
      <c r="A49" s="3" t="s">
        <v>14</v>
      </c>
      <c r="B49" s="3" t="s">
        <v>31</v>
      </c>
      <c r="C49" s="5" t="s">
        <v>107</v>
      </c>
      <c r="D49" s="3" t="s">
        <v>108</v>
      </c>
      <c r="E49" s="3" t="s">
        <v>34</v>
      </c>
      <c r="F49" s="7" t="s">
        <v>35</v>
      </c>
      <c r="G49" t="s">
        <v>113</v>
      </c>
      <c r="H49" t="s">
        <v>110</v>
      </c>
      <c r="I49" t="s">
        <v>22</v>
      </c>
      <c r="J49" t="s">
        <v>22</v>
      </c>
      <c r="K49" s="3" t="s">
        <v>22</v>
      </c>
      <c r="L49" s="3" t="s">
        <v>22</v>
      </c>
      <c r="M49" s="3" t="s">
        <v>23</v>
      </c>
      <c r="N49" s="3" t="s">
        <v>22</v>
      </c>
    </row>
    <row r="50" spans="1:14" x14ac:dyDescent="0.45">
      <c r="A50" s="3" t="s">
        <v>14</v>
      </c>
      <c r="B50" s="3" t="s">
        <v>31</v>
      </c>
      <c r="C50" s="5" t="s">
        <v>107</v>
      </c>
      <c r="D50" s="3" t="s">
        <v>108</v>
      </c>
      <c r="E50" s="3" t="s">
        <v>38</v>
      </c>
      <c r="F50" s="7" t="s">
        <v>39</v>
      </c>
      <c r="G50" t="s">
        <v>114</v>
      </c>
      <c r="H50" t="s">
        <v>112</v>
      </c>
      <c r="I50" t="s">
        <v>22</v>
      </c>
      <c r="J50" t="s">
        <v>22</v>
      </c>
      <c r="K50" s="3" t="s">
        <v>22</v>
      </c>
      <c r="L50" s="3" t="s">
        <v>22</v>
      </c>
      <c r="M50" s="3" t="s">
        <v>23</v>
      </c>
      <c r="N50" s="3" t="s">
        <v>22</v>
      </c>
    </row>
    <row r="51" spans="1:14" x14ac:dyDescent="0.45">
      <c r="A51" s="3" t="s">
        <v>14</v>
      </c>
      <c r="B51" s="3" t="s">
        <v>31</v>
      </c>
      <c r="C51" s="5" t="s">
        <v>107</v>
      </c>
      <c r="D51" s="3" t="s">
        <v>108</v>
      </c>
      <c r="E51" s="3" t="s">
        <v>42</v>
      </c>
      <c r="F51" s="7" t="s">
        <v>43</v>
      </c>
      <c r="G51" t="s">
        <v>115</v>
      </c>
      <c r="H51" t="s">
        <v>110</v>
      </c>
      <c r="I51" t="s">
        <v>22</v>
      </c>
      <c r="J51" t="s">
        <v>22</v>
      </c>
      <c r="K51" s="3" t="s">
        <v>22</v>
      </c>
      <c r="L51" s="3" t="s">
        <v>22</v>
      </c>
      <c r="M51" s="3" t="s">
        <v>23</v>
      </c>
      <c r="N51" s="3" t="s">
        <v>22</v>
      </c>
    </row>
    <row r="52" spans="1:14" x14ac:dyDescent="0.45">
      <c r="A52" s="3" t="s">
        <v>14</v>
      </c>
      <c r="B52" s="3" t="s">
        <v>15</v>
      </c>
      <c r="C52" s="5" t="s">
        <v>116</v>
      </c>
      <c r="D52" s="3" t="s">
        <v>117</v>
      </c>
      <c r="E52" s="3" t="s">
        <v>18</v>
      </c>
      <c r="F52" s="7" t="s">
        <v>19</v>
      </c>
      <c r="G52" t="s">
        <v>118</v>
      </c>
      <c r="H52" t="s">
        <v>22</v>
      </c>
      <c r="I52" t="s">
        <v>22</v>
      </c>
      <c r="J52" t="s">
        <v>22</v>
      </c>
      <c r="K52" s="3" t="s">
        <v>22</v>
      </c>
      <c r="L52" s="3" t="s">
        <v>22</v>
      </c>
      <c r="M52" s="3" t="s">
        <v>23</v>
      </c>
      <c r="N52" s="3" t="s">
        <v>22</v>
      </c>
    </row>
    <row r="53" spans="1:14" x14ac:dyDescent="0.45">
      <c r="A53" s="3" t="s">
        <v>14</v>
      </c>
      <c r="B53" s="3" t="s">
        <v>31</v>
      </c>
      <c r="C53" s="5" t="s">
        <v>119</v>
      </c>
      <c r="D53" s="3" t="s">
        <v>120</v>
      </c>
      <c r="E53" s="3" t="s">
        <v>34</v>
      </c>
      <c r="F53" s="7" t="s">
        <v>35</v>
      </c>
      <c r="G53" t="s">
        <v>121</v>
      </c>
      <c r="H53" t="s">
        <v>122</v>
      </c>
      <c r="I53" t="s">
        <v>123</v>
      </c>
      <c r="J53" t="s">
        <v>124</v>
      </c>
      <c r="K53" s="3" t="s">
        <v>125</v>
      </c>
      <c r="L53" s="3" t="s">
        <v>22</v>
      </c>
      <c r="M53" s="3" t="s">
        <v>23</v>
      </c>
      <c r="N53" s="3" t="s">
        <v>22</v>
      </c>
    </row>
    <row r="54" spans="1:14" x14ac:dyDescent="0.45">
      <c r="A54" s="3" t="s">
        <v>14</v>
      </c>
      <c r="B54" s="3" t="s">
        <v>31</v>
      </c>
      <c r="C54" s="5" t="s">
        <v>119</v>
      </c>
      <c r="D54" s="3" t="s">
        <v>120</v>
      </c>
      <c r="E54" s="3" t="s">
        <v>36</v>
      </c>
      <c r="F54" s="7" t="s">
        <v>37</v>
      </c>
      <c r="G54" t="s">
        <v>121</v>
      </c>
      <c r="H54" t="s">
        <v>122</v>
      </c>
      <c r="I54" t="s">
        <v>123</v>
      </c>
      <c r="J54" t="s">
        <v>124</v>
      </c>
      <c r="K54" s="3" t="s">
        <v>125</v>
      </c>
      <c r="L54" s="3" t="s">
        <v>22</v>
      </c>
      <c r="M54" s="3" t="s">
        <v>23</v>
      </c>
      <c r="N54" s="3" t="s">
        <v>22</v>
      </c>
    </row>
    <row r="55" spans="1:14" x14ac:dyDescent="0.45">
      <c r="A55" s="3" t="s">
        <v>14</v>
      </c>
      <c r="B55" s="3" t="s">
        <v>31</v>
      </c>
      <c r="C55" s="5" t="s">
        <v>119</v>
      </c>
      <c r="D55" s="3" t="s">
        <v>120</v>
      </c>
      <c r="E55" s="3" t="s">
        <v>38</v>
      </c>
      <c r="F55" s="7" t="s">
        <v>39</v>
      </c>
      <c r="G55" t="s">
        <v>121</v>
      </c>
      <c r="H55" t="s">
        <v>122</v>
      </c>
      <c r="I55" t="s">
        <v>123</v>
      </c>
      <c r="J55" t="s">
        <v>124</v>
      </c>
      <c r="K55" s="3" t="s">
        <v>125</v>
      </c>
      <c r="L55" s="3" t="s">
        <v>22</v>
      </c>
      <c r="M55" s="3" t="s">
        <v>23</v>
      </c>
      <c r="N55" s="3" t="s">
        <v>22</v>
      </c>
    </row>
    <row r="56" spans="1:14" x14ac:dyDescent="0.45">
      <c r="A56" s="3" t="s">
        <v>14</v>
      </c>
      <c r="B56" s="3" t="s">
        <v>31</v>
      </c>
      <c r="C56" s="5" t="s">
        <v>119</v>
      </c>
      <c r="D56" s="3" t="s">
        <v>120</v>
      </c>
      <c r="E56" s="3" t="s">
        <v>40</v>
      </c>
      <c r="F56" s="7" t="s">
        <v>41</v>
      </c>
      <c r="G56" t="s">
        <v>121</v>
      </c>
      <c r="H56" t="s">
        <v>122</v>
      </c>
      <c r="I56" t="s">
        <v>123</v>
      </c>
      <c r="J56" t="s">
        <v>124</v>
      </c>
      <c r="K56" s="3" t="s">
        <v>125</v>
      </c>
      <c r="L56" s="3" t="s">
        <v>22</v>
      </c>
      <c r="M56" s="3" t="s">
        <v>23</v>
      </c>
      <c r="N56" s="3" t="s">
        <v>22</v>
      </c>
    </row>
    <row r="57" spans="1:14" x14ac:dyDescent="0.45">
      <c r="A57" s="3" t="s">
        <v>14</v>
      </c>
      <c r="B57" s="3" t="s">
        <v>31</v>
      </c>
      <c r="C57" s="5" t="s">
        <v>119</v>
      </c>
      <c r="D57" s="3" t="s">
        <v>120</v>
      </c>
      <c r="E57" s="3" t="s">
        <v>42</v>
      </c>
      <c r="F57" s="7" t="s">
        <v>43</v>
      </c>
      <c r="G57" t="s">
        <v>126</v>
      </c>
      <c r="H57" t="s">
        <v>127</v>
      </c>
      <c r="I57" t="s">
        <v>123</v>
      </c>
      <c r="J57" t="s">
        <v>128</v>
      </c>
      <c r="K57" s="3" t="s">
        <v>129</v>
      </c>
      <c r="L57" s="3" t="s">
        <v>22</v>
      </c>
      <c r="M57" s="3" t="s">
        <v>23</v>
      </c>
      <c r="N57" s="3" t="s">
        <v>22</v>
      </c>
    </row>
    <row r="58" spans="1:14" x14ac:dyDescent="0.45">
      <c r="A58" s="3" t="s">
        <v>14</v>
      </c>
      <c r="B58" s="3" t="s">
        <v>31</v>
      </c>
      <c r="C58" s="5" t="s">
        <v>130</v>
      </c>
      <c r="D58" s="3" t="s">
        <v>131</v>
      </c>
      <c r="E58" s="3" t="s">
        <v>34</v>
      </c>
      <c r="F58" s="7" t="s">
        <v>35</v>
      </c>
      <c r="G58" s="1" t="s">
        <v>132</v>
      </c>
      <c r="H58" t="s">
        <v>133</v>
      </c>
      <c r="I58" s="1" t="s">
        <v>134</v>
      </c>
      <c r="J58" t="s">
        <v>135</v>
      </c>
      <c r="K58" s="3" t="s">
        <v>22</v>
      </c>
      <c r="L58" s="3" t="s">
        <v>22</v>
      </c>
      <c r="M58" s="3" t="s">
        <v>23</v>
      </c>
      <c r="N58" s="3" t="s">
        <v>22</v>
      </c>
    </row>
    <row r="59" spans="1:14" x14ac:dyDescent="0.45">
      <c r="A59" s="3" t="s">
        <v>14</v>
      </c>
      <c r="B59" s="3" t="s">
        <v>31</v>
      </c>
      <c r="C59" s="5" t="s">
        <v>130</v>
      </c>
      <c r="D59" s="3" t="s">
        <v>131</v>
      </c>
      <c r="E59" s="3" t="s">
        <v>34</v>
      </c>
      <c r="F59" s="7" t="s">
        <v>35</v>
      </c>
      <c r="G59" s="1" t="s">
        <v>132</v>
      </c>
      <c r="H59" t="s">
        <v>136</v>
      </c>
      <c r="I59" s="1" t="s">
        <v>134</v>
      </c>
      <c r="J59" t="s">
        <v>137</v>
      </c>
      <c r="K59" s="3" t="s">
        <v>22</v>
      </c>
      <c r="L59" s="3" t="s">
        <v>22</v>
      </c>
      <c r="M59" s="3" t="s">
        <v>23</v>
      </c>
      <c r="N59" s="3" t="s">
        <v>22</v>
      </c>
    </row>
    <row r="60" spans="1:14" x14ac:dyDescent="0.45">
      <c r="A60" s="3" t="s">
        <v>14</v>
      </c>
      <c r="B60" s="3" t="s">
        <v>31</v>
      </c>
      <c r="C60" s="5" t="s">
        <v>130</v>
      </c>
      <c r="D60" s="3" t="s">
        <v>131</v>
      </c>
      <c r="E60" s="3" t="s">
        <v>34</v>
      </c>
      <c r="F60" s="7" t="s">
        <v>35</v>
      </c>
      <c r="G60" s="1" t="s">
        <v>132</v>
      </c>
      <c r="H60" t="s">
        <v>138</v>
      </c>
      <c r="I60" t="s">
        <v>139</v>
      </c>
      <c r="J60" t="s">
        <v>140</v>
      </c>
      <c r="K60" s="3" t="s">
        <v>22</v>
      </c>
      <c r="L60" s="3" t="s">
        <v>22</v>
      </c>
      <c r="M60" s="3" t="s">
        <v>23</v>
      </c>
      <c r="N60" s="3" t="s">
        <v>22</v>
      </c>
    </row>
    <row r="61" spans="1:14" x14ac:dyDescent="0.45">
      <c r="A61" s="3" t="s">
        <v>14</v>
      </c>
      <c r="B61" s="3" t="s">
        <v>31</v>
      </c>
      <c r="C61" s="5" t="s">
        <v>130</v>
      </c>
      <c r="D61" s="3" t="s">
        <v>131</v>
      </c>
      <c r="E61" s="3" t="s">
        <v>34</v>
      </c>
      <c r="F61" s="7" t="s">
        <v>35</v>
      </c>
      <c r="G61" s="1" t="s">
        <v>132</v>
      </c>
      <c r="H61" t="s">
        <v>141</v>
      </c>
      <c r="I61" t="s">
        <v>139</v>
      </c>
      <c r="J61" t="s">
        <v>140</v>
      </c>
      <c r="K61" s="3" t="s">
        <v>22</v>
      </c>
      <c r="L61" s="3" t="s">
        <v>22</v>
      </c>
      <c r="M61" s="3" t="s">
        <v>23</v>
      </c>
      <c r="N61" s="3" t="s">
        <v>22</v>
      </c>
    </row>
    <row r="62" spans="1:14" x14ac:dyDescent="0.45">
      <c r="A62" s="3" t="s">
        <v>14</v>
      </c>
      <c r="B62" s="3" t="s">
        <v>31</v>
      </c>
      <c r="C62" s="5" t="s">
        <v>130</v>
      </c>
      <c r="D62" s="3" t="s">
        <v>131</v>
      </c>
      <c r="E62" s="3" t="s">
        <v>34</v>
      </c>
      <c r="F62" s="7" t="s">
        <v>35</v>
      </c>
      <c r="G62" s="1" t="s">
        <v>132</v>
      </c>
      <c r="H62" t="s">
        <v>136</v>
      </c>
      <c r="I62" s="1" t="s">
        <v>134</v>
      </c>
      <c r="J62" t="s">
        <v>135</v>
      </c>
      <c r="K62" s="3" t="s">
        <v>22</v>
      </c>
      <c r="L62" s="3" t="s">
        <v>22</v>
      </c>
      <c r="M62" s="3" t="s">
        <v>23</v>
      </c>
      <c r="N62" s="3" t="s">
        <v>22</v>
      </c>
    </row>
    <row r="63" spans="1:14" x14ac:dyDescent="0.45">
      <c r="A63" s="3" t="s">
        <v>14</v>
      </c>
      <c r="B63" s="3" t="s">
        <v>31</v>
      </c>
      <c r="C63" s="5" t="s">
        <v>130</v>
      </c>
      <c r="D63" s="3" t="s">
        <v>131</v>
      </c>
      <c r="E63" s="3" t="s">
        <v>34</v>
      </c>
      <c r="F63" s="7" t="s">
        <v>35</v>
      </c>
      <c r="G63" s="1" t="s">
        <v>132</v>
      </c>
      <c r="H63" t="s">
        <v>142</v>
      </c>
      <c r="I63" s="1" t="s">
        <v>134</v>
      </c>
      <c r="J63" t="s">
        <v>135</v>
      </c>
      <c r="K63" s="3" t="s">
        <v>22</v>
      </c>
      <c r="L63" s="3" t="s">
        <v>22</v>
      </c>
      <c r="M63" s="3" t="s">
        <v>23</v>
      </c>
      <c r="N63" s="3" t="s">
        <v>22</v>
      </c>
    </row>
    <row r="64" spans="1:14" x14ac:dyDescent="0.45">
      <c r="A64" s="3" t="s">
        <v>14</v>
      </c>
      <c r="B64" s="3" t="s">
        <v>31</v>
      </c>
      <c r="C64" s="5" t="s">
        <v>130</v>
      </c>
      <c r="D64" s="3" t="s">
        <v>131</v>
      </c>
      <c r="E64" s="3" t="s">
        <v>34</v>
      </c>
      <c r="F64" s="7" t="s">
        <v>35</v>
      </c>
      <c r="G64" s="1" t="s">
        <v>132</v>
      </c>
      <c r="H64" t="s">
        <v>143</v>
      </c>
      <c r="I64" t="s">
        <v>139</v>
      </c>
      <c r="J64" t="s">
        <v>140</v>
      </c>
      <c r="K64" s="3" t="s">
        <v>22</v>
      </c>
      <c r="L64" s="3" t="s">
        <v>22</v>
      </c>
      <c r="M64" s="3" t="s">
        <v>23</v>
      </c>
      <c r="N64" s="3" t="s">
        <v>22</v>
      </c>
    </row>
    <row r="65" spans="1:14" x14ac:dyDescent="0.45">
      <c r="A65" s="3" t="s">
        <v>14</v>
      </c>
      <c r="B65" s="3" t="s">
        <v>31</v>
      </c>
      <c r="C65" s="5" t="s">
        <v>130</v>
      </c>
      <c r="D65" s="3" t="s">
        <v>131</v>
      </c>
      <c r="E65" s="3" t="s">
        <v>34</v>
      </c>
      <c r="F65" s="7" t="s">
        <v>35</v>
      </c>
      <c r="G65" s="1" t="s">
        <v>132</v>
      </c>
      <c r="H65" t="s">
        <v>142</v>
      </c>
      <c r="I65" t="s">
        <v>139</v>
      </c>
      <c r="J65" t="s">
        <v>140</v>
      </c>
      <c r="K65" s="3" t="s">
        <v>22</v>
      </c>
      <c r="L65" s="3" t="s">
        <v>22</v>
      </c>
      <c r="M65" s="3" t="s">
        <v>23</v>
      </c>
      <c r="N65" s="3" t="s">
        <v>22</v>
      </c>
    </row>
    <row r="66" spans="1:14" x14ac:dyDescent="0.45">
      <c r="A66" s="3" t="s">
        <v>14</v>
      </c>
      <c r="B66" s="3" t="s">
        <v>31</v>
      </c>
      <c r="C66" s="5" t="s">
        <v>130</v>
      </c>
      <c r="D66" s="3" t="s">
        <v>131</v>
      </c>
      <c r="E66" s="3" t="s">
        <v>34</v>
      </c>
      <c r="F66" s="7" t="s">
        <v>35</v>
      </c>
      <c r="G66" s="1" t="s">
        <v>132</v>
      </c>
      <c r="H66" t="s">
        <v>133</v>
      </c>
      <c r="I66" t="s">
        <v>139</v>
      </c>
      <c r="J66" t="s">
        <v>140</v>
      </c>
      <c r="K66" s="3" t="s">
        <v>22</v>
      </c>
      <c r="L66" s="3" t="s">
        <v>22</v>
      </c>
      <c r="M66" s="3" t="s">
        <v>23</v>
      </c>
      <c r="N66" s="3" t="s">
        <v>22</v>
      </c>
    </row>
    <row r="67" spans="1:14" x14ac:dyDescent="0.45">
      <c r="A67" s="3" t="s">
        <v>14</v>
      </c>
      <c r="B67" s="3" t="s">
        <v>31</v>
      </c>
      <c r="C67" s="5" t="s">
        <v>130</v>
      </c>
      <c r="D67" s="3" t="s">
        <v>131</v>
      </c>
      <c r="E67" s="3" t="s">
        <v>34</v>
      </c>
      <c r="F67" s="7" t="s">
        <v>35</v>
      </c>
      <c r="G67" s="1" t="s">
        <v>132</v>
      </c>
      <c r="H67" t="s">
        <v>144</v>
      </c>
      <c r="I67" t="s">
        <v>139</v>
      </c>
      <c r="J67" t="s">
        <v>140</v>
      </c>
      <c r="K67" s="3" t="s">
        <v>22</v>
      </c>
      <c r="L67" s="3" t="s">
        <v>22</v>
      </c>
      <c r="M67" s="3" t="s">
        <v>23</v>
      </c>
      <c r="N67" s="3" t="s">
        <v>22</v>
      </c>
    </row>
    <row r="68" spans="1:14" x14ac:dyDescent="0.45">
      <c r="A68" s="3" t="s">
        <v>14</v>
      </c>
      <c r="B68" s="3" t="s">
        <v>31</v>
      </c>
      <c r="C68" s="5" t="s">
        <v>130</v>
      </c>
      <c r="D68" s="3" t="s">
        <v>131</v>
      </c>
      <c r="E68" s="3" t="s">
        <v>34</v>
      </c>
      <c r="F68" s="7" t="s">
        <v>35</v>
      </c>
      <c r="G68" s="1" t="s">
        <v>132</v>
      </c>
      <c r="H68" t="s">
        <v>141</v>
      </c>
      <c r="I68" s="1" t="s">
        <v>134</v>
      </c>
      <c r="J68" t="s">
        <v>135</v>
      </c>
      <c r="K68" s="3" t="s">
        <v>22</v>
      </c>
      <c r="L68" s="3" t="s">
        <v>22</v>
      </c>
      <c r="M68" s="3" t="s">
        <v>23</v>
      </c>
      <c r="N68" s="3" t="s">
        <v>22</v>
      </c>
    </row>
    <row r="69" spans="1:14" x14ac:dyDescent="0.45">
      <c r="A69" s="3" t="s">
        <v>14</v>
      </c>
      <c r="B69" s="3" t="s">
        <v>31</v>
      </c>
      <c r="C69" s="5" t="s">
        <v>130</v>
      </c>
      <c r="D69" s="3" t="s">
        <v>131</v>
      </c>
      <c r="E69" s="3" t="s">
        <v>34</v>
      </c>
      <c r="F69" s="7" t="s">
        <v>35</v>
      </c>
      <c r="G69" s="1" t="s">
        <v>132</v>
      </c>
      <c r="H69" t="s">
        <v>143</v>
      </c>
      <c r="I69" s="1" t="s">
        <v>134</v>
      </c>
      <c r="J69" t="s">
        <v>135</v>
      </c>
      <c r="K69" s="3" t="s">
        <v>22</v>
      </c>
      <c r="L69" s="3" t="s">
        <v>22</v>
      </c>
      <c r="M69" s="3" t="s">
        <v>23</v>
      </c>
      <c r="N69" s="3" t="s">
        <v>22</v>
      </c>
    </row>
    <row r="70" spans="1:14" x14ac:dyDescent="0.45">
      <c r="A70" s="3" t="s">
        <v>14</v>
      </c>
      <c r="B70" s="3" t="s">
        <v>31</v>
      </c>
      <c r="C70" s="5" t="s">
        <v>130</v>
      </c>
      <c r="D70" s="3" t="s">
        <v>131</v>
      </c>
      <c r="E70" s="3" t="s">
        <v>34</v>
      </c>
      <c r="F70" s="7" t="s">
        <v>35</v>
      </c>
      <c r="G70" s="1" t="s">
        <v>132</v>
      </c>
      <c r="H70" t="s">
        <v>136</v>
      </c>
      <c r="I70" t="s">
        <v>139</v>
      </c>
      <c r="J70" t="s">
        <v>140</v>
      </c>
      <c r="K70" s="3" t="s">
        <v>22</v>
      </c>
      <c r="L70" s="3" t="s">
        <v>22</v>
      </c>
      <c r="M70" s="3" t="s">
        <v>23</v>
      </c>
      <c r="N70" s="3" t="s">
        <v>22</v>
      </c>
    </row>
    <row r="71" spans="1:14" x14ac:dyDescent="0.45">
      <c r="A71" s="3" t="s">
        <v>14</v>
      </c>
      <c r="B71" s="3" t="s">
        <v>31</v>
      </c>
      <c r="C71" s="5" t="s">
        <v>130</v>
      </c>
      <c r="D71" s="3" t="s">
        <v>131</v>
      </c>
      <c r="E71" s="3" t="s">
        <v>34</v>
      </c>
      <c r="F71" s="7" t="s">
        <v>35</v>
      </c>
      <c r="G71" s="1" t="s">
        <v>132</v>
      </c>
      <c r="H71" t="s">
        <v>145</v>
      </c>
      <c r="I71" t="s">
        <v>139</v>
      </c>
      <c r="J71" t="s">
        <v>140</v>
      </c>
      <c r="K71" s="3" t="s">
        <v>22</v>
      </c>
      <c r="L71" s="3" t="s">
        <v>22</v>
      </c>
      <c r="M71" s="3" t="s">
        <v>23</v>
      </c>
      <c r="N71" s="3" t="s">
        <v>22</v>
      </c>
    </row>
    <row r="72" spans="1:14" x14ac:dyDescent="0.45">
      <c r="A72" s="3" t="s">
        <v>14</v>
      </c>
      <c r="B72" s="3" t="s">
        <v>31</v>
      </c>
      <c r="C72" s="5" t="s">
        <v>130</v>
      </c>
      <c r="D72" s="3" t="s">
        <v>131</v>
      </c>
      <c r="E72" s="3" t="s">
        <v>34</v>
      </c>
      <c r="F72" s="7" t="s">
        <v>35</v>
      </c>
      <c r="G72" s="1" t="s">
        <v>132</v>
      </c>
      <c r="H72" t="s">
        <v>141</v>
      </c>
      <c r="I72" s="1" t="s">
        <v>134</v>
      </c>
      <c r="J72" t="s">
        <v>137</v>
      </c>
      <c r="K72" s="3" t="s">
        <v>22</v>
      </c>
      <c r="L72" s="3" t="s">
        <v>22</v>
      </c>
      <c r="M72" s="3" t="s">
        <v>23</v>
      </c>
      <c r="N72" s="3" t="s">
        <v>22</v>
      </c>
    </row>
    <row r="73" spans="1:14" x14ac:dyDescent="0.45">
      <c r="A73" s="3" t="s">
        <v>14</v>
      </c>
      <c r="B73" s="3" t="s">
        <v>31</v>
      </c>
      <c r="C73" s="5" t="s">
        <v>130</v>
      </c>
      <c r="D73" s="3" t="s">
        <v>131</v>
      </c>
      <c r="E73" s="3" t="s">
        <v>34</v>
      </c>
      <c r="F73" s="7" t="s">
        <v>35</v>
      </c>
      <c r="G73" s="1" t="s">
        <v>132</v>
      </c>
      <c r="H73" t="s">
        <v>138</v>
      </c>
      <c r="I73" s="1" t="s">
        <v>134</v>
      </c>
      <c r="J73" t="s">
        <v>135</v>
      </c>
      <c r="K73" s="3" t="s">
        <v>22</v>
      </c>
      <c r="L73" s="3" t="s">
        <v>22</v>
      </c>
      <c r="M73" s="3" t="s">
        <v>23</v>
      </c>
      <c r="N73" s="3" t="s">
        <v>22</v>
      </c>
    </row>
    <row r="74" spans="1:14" x14ac:dyDescent="0.45">
      <c r="A74" s="3" t="s">
        <v>14</v>
      </c>
      <c r="B74" s="3" t="s">
        <v>31</v>
      </c>
      <c r="C74" s="5" t="s">
        <v>130</v>
      </c>
      <c r="D74" s="3" t="s">
        <v>131</v>
      </c>
      <c r="E74" s="3" t="s">
        <v>34</v>
      </c>
      <c r="F74" s="7" t="s">
        <v>35</v>
      </c>
      <c r="G74" s="1" t="s">
        <v>132</v>
      </c>
      <c r="H74" t="s">
        <v>146</v>
      </c>
      <c r="I74" s="1" t="s">
        <v>134</v>
      </c>
      <c r="J74" t="s">
        <v>137</v>
      </c>
      <c r="K74" s="3" t="s">
        <v>22</v>
      </c>
      <c r="L74" s="3" t="s">
        <v>22</v>
      </c>
      <c r="M74" s="3" t="s">
        <v>23</v>
      </c>
      <c r="N74" s="3" t="s">
        <v>22</v>
      </c>
    </row>
    <row r="75" spans="1:14" x14ac:dyDescent="0.45">
      <c r="A75" s="3" t="s">
        <v>14</v>
      </c>
      <c r="B75" s="3" t="s">
        <v>31</v>
      </c>
      <c r="C75" s="5" t="s">
        <v>130</v>
      </c>
      <c r="D75" s="3" t="s">
        <v>131</v>
      </c>
      <c r="E75" s="3" t="s">
        <v>34</v>
      </c>
      <c r="F75" s="7" t="s">
        <v>35</v>
      </c>
      <c r="G75" s="1" t="s">
        <v>132</v>
      </c>
      <c r="H75" t="s">
        <v>146</v>
      </c>
      <c r="I75" s="1" t="s">
        <v>134</v>
      </c>
      <c r="J75" t="s">
        <v>135</v>
      </c>
      <c r="K75" s="3" t="s">
        <v>22</v>
      </c>
      <c r="L75" s="3" t="s">
        <v>22</v>
      </c>
      <c r="M75" s="3" t="s">
        <v>23</v>
      </c>
      <c r="N75" s="3" t="s">
        <v>22</v>
      </c>
    </row>
    <row r="76" spans="1:14" x14ac:dyDescent="0.45">
      <c r="A76" s="3" t="s">
        <v>14</v>
      </c>
      <c r="B76" s="3" t="s">
        <v>31</v>
      </c>
      <c r="C76" s="5" t="s">
        <v>130</v>
      </c>
      <c r="D76" s="3" t="s">
        <v>131</v>
      </c>
      <c r="E76" s="3" t="s">
        <v>34</v>
      </c>
      <c r="F76" s="7" t="s">
        <v>35</v>
      </c>
      <c r="G76" s="1" t="s">
        <v>132</v>
      </c>
      <c r="H76" t="s">
        <v>145</v>
      </c>
      <c r="I76" s="1" t="s">
        <v>134</v>
      </c>
      <c r="J76" t="s">
        <v>135</v>
      </c>
      <c r="K76" s="3" t="s">
        <v>22</v>
      </c>
      <c r="L76" s="3" t="s">
        <v>22</v>
      </c>
      <c r="M76" s="3" t="s">
        <v>23</v>
      </c>
      <c r="N76" s="3" t="s">
        <v>22</v>
      </c>
    </row>
    <row r="77" spans="1:14" x14ac:dyDescent="0.45">
      <c r="A77" s="3" t="s">
        <v>14</v>
      </c>
      <c r="B77" s="3" t="s">
        <v>31</v>
      </c>
      <c r="C77" s="5" t="s">
        <v>130</v>
      </c>
      <c r="D77" s="3" t="s">
        <v>131</v>
      </c>
      <c r="E77" s="3" t="s">
        <v>34</v>
      </c>
      <c r="F77" s="7" t="s">
        <v>35</v>
      </c>
      <c r="G77" s="1" t="s">
        <v>132</v>
      </c>
      <c r="H77" t="s">
        <v>144</v>
      </c>
      <c r="I77" s="1" t="s">
        <v>134</v>
      </c>
      <c r="J77" t="s">
        <v>135</v>
      </c>
      <c r="K77" s="3" t="s">
        <v>22</v>
      </c>
      <c r="L77" s="3" t="s">
        <v>22</v>
      </c>
      <c r="M77" s="3" t="s">
        <v>23</v>
      </c>
      <c r="N77" s="3" t="s">
        <v>22</v>
      </c>
    </row>
    <row r="78" spans="1:14" x14ac:dyDescent="0.45">
      <c r="A78" s="3" t="s">
        <v>14</v>
      </c>
      <c r="B78" s="3" t="s">
        <v>31</v>
      </c>
      <c r="C78" s="5" t="s">
        <v>130</v>
      </c>
      <c r="D78" s="3" t="s">
        <v>131</v>
      </c>
      <c r="E78" s="3" t="s">
        <v>34</v>
      </c>
      <c r="F78" s="7" t="s">
        <v>35</v>
      </c>
      <c r="G78" s="1" t="s">
        <v>132</v>
      </c>
      <c r="H78" t="s">
        <v>146</v>
      </c>
      <c r="I78" t="s">
        <v>139</v>
      </c>
      <c r="J78" t="s">
        <v>140</v>
      </c>
      <c r="K78" s="3" t="s">
        <v>22</v>
      </c>
      <c r="L78" s="3" t="s">
        <v>22</v>
      </c>
      <c r="M78" s="3" t="s">
        <v>23</v>
      </c>
      <c r="N78" s="3" t="s">
        <v>22</v>
      </c>
    </row>
    <row r="79" spans="1:14" x14ac:dyDescent="0.45">
      <c r="A79" s="3" t="s">
        <v>14</v>
      </c>
      <c r="B79" s="3" t="s">
        <v>31</v>
      </c>
      <c r="C79" s="5" t="s">
        <v>130</v>
      </c>
      <c r="D79" s="3" t="s">
        <v>131</v>
      </c>
      <c r="E79" s="3" t="s">
        <v>36</v>
      </c>
      <c r="F79" s="7" t="s">
        <v>37</v>
      </c>
      <c r="G79" s="1" t="s">
        <v>132</v>
      </c>
      <c r="H79" t="s">
        <v>144</v>
      </c>
      <c r="I79" t="s">
        <v>139</v>
      </c>
      <c r="J79" t="s">
        <v>140</v>
      </c>
      <c r="K79" s="3" t="s">
        <v>22</v>
      </c>
      <c r="L79" s="3" t="s">
        <v>22</v>
      </c>
      <c r="M79" s="3" t="s">
        <v>23</v>
      </c>
      <c r="N79" s="3" t="s">
        <v>22</v>
      </c>
    </row>
    <row r="80" spans="1:14" x14ac:dyDescent="0.45">
      <c r="A80" s="3" t="s">
        <v>14</v>
      </c>
      <c r="B80" s="3" t="s">
        <v>31</v>
      </c>
      <c r="C80" s="5" t="s">
        <v>130</v>
      </c>
      <c r="D80" s="3" t="s">
        <v>131</v>
      </c>
      <c r="E80" s="3" t="s">
        <v>36</v>
      </c>
      <c r="F80" s="7" t="s">
        <v>37</v>
      </c>
      <c r="G80" s="1" t="s">
        <v>132</v>
      </c>
      <c r="H80" t="s">
        <v>142</v>
      </c>
      <c r="I80" s="1" t="s">
        <v>134</v>
      </c>
      <c r="J80" t="s">
        <v>135</v>
      </c>
      <c r="K80" s="3" t="s">
        <v>22</v>
      </c>
      <c r="L80" s="3" t="s">
        <v>22</v>
      </c>
      <c r="M80" s="3" t="s">
        <v>23</v>
      </c>
      <c r="N80" s="3" t="s">
        <v>22</v>
      </c>
    </row>
    <row r="81" spans="1:14" x14ac:dyDescent="0.45">
      <c r="A81" s="3" t="s">
        <v>14</v>
      </c>
      <c r="B81" s="3" t="s">
        <v>31</v>
      </c>
      <c r="C81" s="5" t="s">
        <v>130</v>
      </c>
      <c r="D81" s="3" t="s">
        <v>131</v>
      </c>
      <c r="E81" s="3" t="s">
        <v>36</v>
      </c>
      <c r="F81" s="7" t="s">
        <v>37</v>
      </c>
      <c r="G81" s="1" t="s">
        <v>132</v>
      </c>
      <c r="H81" t="s">
        <v>146</v>
      </c>
      <c r="I81" t="s">
        <v>139</v>
      </c>
      <c r="J81" t="s">
        <v>140</v>
      </c>
      <c r="K81" s="3" t="s">
        <v>22</v>
      </c>
      <c r="L81" s="3" t="s">
        <v>22</v>
      </c>
      <c r="M81" s="3" t="s">
        <v>23</v>
      </c>
      <c r="N81" s="3" t="s">
        <v>22</v>
      </c>
    </row>
    <row r="82" spans="1:14" x14ac:dyDescent="0.45">
      <c r="A82" s="3" t="s">
        <v>14</v>
      </c>
      <c r="B82" s="3" t="s">
        <v>31</v>
      </c>
      <c r="C82" s="5" t="s">
        <v>130</v>
      </c>
      <c r="D82" s="3" t="s">
        <v>131</v>
      </c>
      <c r="E82" s="3" t="s">
        <v>36</v>
      </c>
      <c r="F82" s="7" t="s">
        <v>37</v>
      </c>
      <c r="G82" s="1" t="s">
        <v>132</v>
      </c>
      <c r="H82" t="s">
        <v>133</v>
      </c>
      <c r="I82" t="s">
        <v>139</v>
      </c>
      <c r="J82" t="s">
        <v>140</v>
      </c>
      <c r="K82" s="3" t="s">
        <v>22</v>
      </c>
      <c r="L82" s="3" t="s">
        <v>22</v>
      </c>
      <c r="M82" s="3" t="s">
        <v>23</v>
      </c>
      <c r="N82" s="3" t="s">
        <v>22</v>
      </c>
    </row>
    <row r="83" spans="1:14" x14ac:dyDescent="0.45">
      <c r="A83" s="3" t="s">
        <v>14</v>
      </c>
      <c r="B83" s="3" t="s">
        <v>31</v>
      </c>
      <c r="C83" s="5" t="s">
        <v>130</v>
      </c>
      <c r="D83" s="3" t="s">
        <v>131</v>
      </c>
      <c r="E83" s="3" t="s">
        <v>36</v>
      </c>
      <c r="F83" s="7" t="s">
        <v>37</v>
      </c>
      <c r="G83" s="1" t="s">
        <v>132</v>
      </c>
      <c r="H83" t="s">
        <v>143</v>
      </c>
      <c r="I83" s="1" t="s">
        <v>134</v>
      </c>
      <c r="J83" t="s">
        <v>135</v>
      </c>
      <c r="K83" s="3" t="s">
        <v>22</v>
      </c>
      <c r="L83" s="3" t="s">
        <v>22</v>
      </c>
      <c r="M83" s="3" t="s">
        <v>23</v>
      </c>
      <c r="N83" s="3" t="s">
        <v>22</v>
      </c>
    </row>
    <row r="84" spans="1:14" x14ac:dyDescent="0.45">
      <c r="A84" s="3" t="s">
        <v>14</v>
      </c>
      <c r="B84" s="3" t="s">
        <v>31</v>
      </c>
      <c r="C84" s="5" t="s">
        <v>130</v>
      </c>
      <c r="D84" s="3" t="s">
        <v>131</v>
      </c>
      <c r="E84" s="3" t="s">
        <v>36</v>
      </c>
      <c r="F84" s="7" t="s">
        <v>37</v>
      </c>
      <c r="G84" s="1" t="s">
        <v>132</v>
      </c>
      <c r="H84" t="s">
        <v>138</v>
      </c>
      <c r="I84" t="s">
        <v>139</v>
      </c>
      <c r="J84" t="s">
        <v>140</v>
      </c>
      <c r="K84" s="3" t="s">
        <v>22</v>
      </c>
      <c r="L84" s="3" t="s">
        <v>22</v>
      </c>
      <c r="M84" s="3" t="s">
        <v>23</v>
      </c>
      <c r="N84" s="3" t="s">
        <v>22</v>
      </c>
    </row>
    <row r="85" spans="1:14" x14ac:dyDescent="0.45">
      <c r="A85" s="3" t="s">
        <v>14</v>
      </c>
      <c r="B85" s="3" t="s">
        <v>31</v>
      </c>
      <c r="C85" s="5" t="s">
        <v>130</v>
      </c>
      <c r="D85" s="3" t="s">
        <v>131</v>
      </c>
      <c r="E85" s="3" t="s">
        <v>36</v>
      </c>
      <c r="F85" s="7" t="s">
        <v>37</v>
      </c>
      <c r="G85" s="1" t="s">
        <v>132</v>
      </c>
      <c r="H85" t="s">
        <v>136</v>
      </c>
      <c r="I85" s="1" t="s">
        <v>134</v>
      </c>
      <c r="J85" t="s">
        <v>135</v>
      </c>
      <c r="K85" s="3" t="s">
        <v>22</v>
      </c>
      <c r="L85" s="3" t="s">
        <v>22</v>
      </c>
      <c r="M85" s="3" t="s">
        <v>23</v>
      </c>
      <c r="N85" s="3" t="s">
        <v>22</v>
      </c>
    </row>
    <row r="86" spans="1:14" x14ac:dyDescent="0.45">
      <c r="A86" s="3" t="s">
        <v>14</v>
      </c>
      <c r="B86" s="3" t="s">
        <v>31</v>
      </c>
      <c r="C86" s="5" t="s">
        <v>130</v>
      </c>
      <c r="D86" s="3" t="s">
        <v>131</v>
      </c>
      <c r="E86" s="3" t="s">
        <v>36</v>
      </c>
      <c r="F86" s="7" t="s">
        <v>37</v>
      </c>
      <c r="G86" s="1" t="s">
        <v>132</v>
      </c>
      <c r="H86" t="s">
        <v>145</v>
      </c>
      <c r="I86" t="s">
        <v>139</v>
      </c>
      <c r="J86" t="s">
        <v>140</v>
      </c>
      <c r="K86" s="3" t="s">
        <v>22</v>
      </c>
      <c r="L86" s="3" t="s">
        <v>22</v>
      </c>
      <c r="M86" s="3" t="s">
        <v>23</v>
      </c>
      <c r="N86" s="3" t="s">
        <v>22</v>
      </c>
    </row>
    <row r="87" spans="1:14" x14ac:dyDescent="0.45">
      <c r="A87" s="3" t="s">
        <v>14</v>
      </c>
      <c r="B87" s="3" t="s">
        <v>31</v>
      </c>
      <c r="C87" s="5" t="s">
        <v>130</v>
      </c>
      <c r="D87" s="3" t="s">
        <v>131</v>
      </c>
      <c r="E87" s="3" t="s">
        <v>36</v>
      </c>
      <c r="F87" s="7" t="s">
        <v>37</v>
      </c>
      <c r="G87" s="1" t="s">
        <v>132</v>
      </c>
      <c r="H87" t="s">
        <v>145</v>
      </c>
      <c r="I87" s="1" t="s">
        <v>134</v>
      </c>
      <c r="J87" t="s">
        <v>135</v>
      </c>
      <c r="K87" s="3" t="s">
        <v>22</v>
      </c>
      <c r="L87" s="3" t="s">
        <v>22</v>
      </c>
      <c r="M87" s="3" t="s">
        <v>23</v>
      </c>
      <c r="N87" s="3" t="s">
        <v>22</v>
      </c>
    </row>
    <row r="88" spans="1:14" x14ac:dyDescent="0.45">
      <c r="A88" s="3" t="s">
        <v>14</v>
      </c>
      <c r="B88" s="3" t="s">
        <v>31</v>
      </c>
      <c r="C88" s="5" t="s">
        <v>130</v>
      </c>
      <c r="D88" s="3" t="s">
        <v>131</v>
      </c>
      <c r="E88" s="3" t="s">
        <v>36</v>
      </c>
      <c r="F88" s="7" t="s">
        <v>37</v>
      </c>
      <c r="G88" s="1" t="s">
        <v>132</v>
      </c>
      <c r="H88" t="s">
        <v>144</v>
      </c>
      <c r="I88" s="1" t="s">
        <v>134</v>
      </c>
      <c r="J88" t="s">
        <v>135</v>
      </c>
      <c r="K88" s="3" t="s">
        <v>22</v>
      </c>
      <c r="L88" s="3" t="s">
        <v>22</v>
      </c>
      <c r="M88" s="3" t="s">
        <v>23</v>
      </c>
      <c r="N88" s="3" t="s">
        <v>22</v>
      </c>
    </row>
    <row r="89" spans="1:14" x14ac:dyDescent="0.45">
      <c r="A89" s="3" t="s">
        <v>14</v>
      </c>
      <c r="B89" s="3" t="s">
        <v>31</v>
      </c>
      <c r="C89" s="5" t="s">
        <v>130</v>
      </c>
      <c r="D89" s="3" t="s">
        <v>131</v>
      </c>
      <c r="E89" s="3" t="s">
        <v>36</v>
      </c>
      <c r="F89" s="7" t="s">
        <v>37</v>
      </c>
      <c r="G89" s="1" t="s">
        <v>132</v>
      </c>
      <c r="H89" t="s">
        <v>136</v>
      </c>
      <c r="I89" s="1" t="s">
        <v>134</v>
      </c>
      <c r="J89" t="s">
        <v>137</v>
      </c>
      <c r="K89" s="3" t="s">
        <v>22</v>
      </c>
      <c r="L89" s="3" t="s">
        <v>22</v>
      </c>
      <c r="M89" s="3" t="s">
        <v>23</v>
      </c>
      <c r="N89" s="3" t="s">
        <v>22</v>
      </c>
    </row>
    <row r="90" spans="1:14" x14ac:dyDescent="0.45">
      <c r="A90" s="3" t="s">
        <v>14</v>
      </c>
      <c r="B90" s="3" t="s">
        <v>31</v>
      </c>
      <c r="C90" s="5" t="s">
        <v>130</v>
      </c>
      <c r="D90" s="3" t="s">
        <v>131</v>
      </c>
      <c r="E90" s="3" t="s">
        <v>36</v>
      </c>
      <c r="F90" s="7" t="s">
        <v>37</v>
      </c>
      <c r="G90" s="1" t="s">
        <v>132</v>
      </c>
      <c r="H90" t="s">
        <v>146</v>
      </c>
      <c r="I90" s="1" t="s">
        <v>134</v>
      </c>
      <c r="J90" t="s">
        <v>137</v>
      </c>
      <c r="K90" s="3" t="s">
        <v>22</v>
      </c>
      <c r="L90" s="3" t="s">
        <v>22</v>
      </c>
      <c r="M90" s="3" t="s">
        <v>23</v>
      </c>
      <c r="N90" s="3" t="s">
        <v>22</v>
      </c>
    </row>
    <row r="91" spans="1:14" x14ac:dyDescent="0.45">
      <c r="A91" s="3" t="s">
        <v>14</v>
      </c>
      <c r="B91" s="3" t="s">
        <v>31</v>
      </c>
      <c r="C91" s="5" t="s">
        <v>130</v>
      </c>
      <c r="D91" s="3" t="s">
        <v>131</v>
      </c>
      <c r="E91" s="3" t="s">
        <v>36</v>
      </c>
      <c r="F91" s="7" t="s">
        <v>37</v>
      </c>
      <c r="G91" s="1" t="s">
        <v>132</v>
      </c>
      <c r="H91" t="s">
        <v>136</v>
      </c>
      <c r="I91" t="s">
        <v>139</v>
      </c>
      <c r="J91" t="s">
        <v>140</v>
      </c>
      <c r="K91" s="3" t="s">
        <v>22</v>
      </c>
      <c r="L91" s="3" t="s">
        <v>22</v>
      </c>
      <c r="M91" s="3" t="s">
        <v>23</v>
      </c>
      <c r="N91" s="3" t="s">
        <v>22</v>
      </c>
    </row>
    <row r="92" spans="1:14" x14ac:dyDescent="0.45">
      <c r="A92" s="3" t="s">
        <v>14</v>
      </c>
      <c r="B92" s="3" t="s">
        <v>31</v>
      </c>
      <c r="C92" s="5" t="s">
        <v>130</v>
      </c>
      <c r="D92" s="3" t="s">
        <v>131</v>
      </c>
      <c r="E92" s="3" t="s">
        <v>36</v>
      </c>
      <c r="F92" s="7" t="s">
        <v>37</v>
      </c>
      <c r="G92" s="1" t="s">
        <v>132</v>
      </c>
      <c r="H92" t="s">
        <v>142</v>
      </c>
      <c r="I92" t="s">
        <v>139</v>
      </c>
      <c r="J92" t="s">
        <v>140</v>
      </c>
      <c r="K92" s="3" t="s">
        <v>22</v>
      </c>
      <c r="L92" s="3" t="s">
        <v>22</v>
      </c>
      <c r="M92" s="3" t="s">
        <v>23</v>
      </c>
      <c r="N92" s="3" t="s">
        <v>22</v>
      </c>
    </row>
    <row r="93" spans="1:14" x14ac:dyDescent="0.45">
      <c r="A93" s="3" t="s">
        <v>14</v>
      </c>
      <c r="B93" s="3" t="s">
        <v>31</v>
      </c>
      <c r="C93" s="5" t="s">
        <v>130</v>
      </c>
      <c r="D93" s="3" t="s">
        <v>131</v>
      </c>
      <c r="E93" s="3" t="s">
        <v>36</v>
      </c>
      <c r="F93" s="7" t="s">
        <v>37</v>
      </c>
      <c r="G93" s="1" t="s">
        <v>132</v>
      </c>
      <c r="H93" t="s">
        <v>138</v>
      </c>
      <c r="I93" s="1" t="s">
        <v>134</v>
      </c>
      <c r="J93" t="s">
        <v>135</v>
      </c>
      <c r="K93" s="3" t="s">
        <v>22</v>
      </c>
      <c r="L93" s="3" t="s">
        <v>22</v>
      </c>
      <c r="M93" s="3" t="s">
        <v>23</v>
      </c>
      <c r="N93" s="3" t="s">
        <v>22</v>
      </c>
    </row>
    <row r="94" spans="1:14" x14ac:dyDescent="0.45">
      <c r="A94" s="3" t="s">
        <v>14</v>
      </c>
      <c r="B94" s="3" t="s">
        <v>31</v>
      </c>
      <c r="C94" s="5" t="s">
        <v>130</v>
      </c>
      <c r="D94" s="3" t="s">
        <v>131</v>
      </c>
      <c r="E94" s="3" t="s">
        <v>36</v>
      </c>
      <c r="F94" s="7" t="s">
        <v>37</v>
      </c>
      <c r="G94" s="1" t="s">
        <v>132</v>
      </c>
      <c r="H94" t="s">
        <v>133</v>
      </c>
      <c r="I94" s="1" t="s">
        <v>134</v>
      </c>
      <c r="J94" t="s">
        <v>135</v>
      </c>
      <c r="K94" s="3" t="s">
        <v>22</v>
      </c>
      <c r="L94" s="3" t="s">
        <v>22</v>
      </c>
      <c r="M94" s="3" t="s">
        <v>23</v>
      </c>
      <c r="N94" s="3" t="s">
        <v>22</v>
      </c>
    </row>
    <row r="95" spans="1:14" x14ac:dyDescent="0.45">
      <c r="A95" s="3" t="s">
        <v>14</v>
      </c>
      <c r="B95" s="3" t="s">
        <v>31</v>
      </c>
      <c r="C95" s="5" t="s">
        <v>130</v>
      </c>
      <c r="D95" s="3" t="s">
        <v>131</v>
      </c>
      <c r="E95" s="3" t="s">
        <v>36</v>
      </c>
      <c r="F95" s="7" t="s">
        <v>37</v>
      </c>
      <c r="G95" s="1" t="s">
        <v>132</v>
      </c>
      <c r="H95" t="s">
        <v>143</v>
      </c>
      <c r="I95" t="s">
        <v>139</v>
      </c>
      <c r="J95" t="s">
        <v>140</v>
      </c>
      <c r="K95" s="3" t="s">
        <v>22</v>
      </c>
      <c r="L95" s="3" t="s">
        <v>22</v>
      </c>
      <c r="M95" s="3" t="s">
        <v>23</v>
      </c>
      <c r="N95" s="3" t="s">
        <v>22</v>
      </c>
    </row>
    <row r="96" spans="1:14" x14ac:dyDescent="0.45">
      <c r="A96" s="3" t="s">
        <v>14</v>
      </c>
      <c r="B96" s="3" t="s">
        <v>31</v>
      </c>
      <c r="C96" s="5" t="s">
        <v>130</v>
      </c>
      <c r="D96" s="3" t="s">
        <v>131</v>
      </c>
      <c r="E96" s="3" t="s">
        <v>36</v>
      </c>
      <c r="F96" s="7" t="s">
        <v>37</v>
      </c>
      <c r="G96" s="1" t="s">
        <v>132</v>
      </c>
      <c r="H96" t="s">
        <v>146</v>
      </c>
      <c r="I96" s="1" t="s">
        <v>134</v>
      </c>
      <c r="J96" t="s">
        <v>135</v>
      </c>
      <c r="K96" s="3" t="s">
        <v>22</v>
      </c>
      <c r="L96" s="3" t="s">
        <v>22</v>
      </c>
      <c r="M96" s="3" t="s">
        <v>23</v>
      </c>
      <c r="N96" s="3" t="s">
        <v>22</v>
      </c>
    </row>
    <row r="97" spans="1:14" x14ac:dyDescent="0.45">
      <c r="A97" s="3" t="s">
        <v>14</v>
      </c>
      <c r="B97" s="3" t="s">
        <v>31</v>
      </c>
      <c r="C97" s="5" t="s">
        <v>130</v>
      </c>
      <c r="D97" s="3" t="s">
        <v>131</v>
      </c>
      <c r="E97" s="3" t="s">
        <v>38</v>
      </c>
      <c r="F97" s="7" t="s">
        <v>39</v>
      </c>
      <c r="G97" s="1" t="s">
        <v>132</v>
      </c>
      <c r="H97" t="s">
        <v>136</v>
      </c>
      <c r="I97" s="1" t="s">
        <v>134</v>
      </c>
      <c r="J97" t="s">
        <v>137</v>
      </c>
      <c r="K97" s="3" t="s">
        <v>22</v>
      </c>
      <c r="L97" s="3" t="s">
        <v>22</v>
      </c>
      <c r="M97" s="3" t="s">
        <v>23</v>
      </c>
      <c r="N97" s="3" t="s">
        <v>22</v>
      </c>
    </row>
    <row r="98" spans="1:14" x14ac:dyDescent="0.45">
      <c r="A98" s="3" t="s">
        <v>14</v>
      </c>
      <c r="B98" s="3" t="s">
        <v>31</v>
      </c>
      <c r="C98" s="5" t="s">
        <v>130</v>
      </c>
      <c r="D98" s="3" t="s">
        <v>131</v>
      </c>
      <c r="E98" s="3" t="s">
        <v>38</v>
      </c>
      <c r="F98" s="7" t="s">
        <v>39</v>
      </c>
      <c r="G98" s="1" t="s">
        <v>132</v>
      </c>
      <c r="H98" t="s">
        <v>138</v>
      </c>
      <c r="I98" t="s">
        <v>139</v>
      </c>
      <c r="J98" t="s">
        <v>140</v>
      </c>
      <c r="K98" s="3" t="s">
        <v>22</v>
      </c>
      <c r="L98" s="3" t="s">
        <v>22</v>
      </c>
      <c r="M98" s="3" t="s">
        <v>23</v>
      </c>
      <c r="N98" s="3" t="s">
        <v>22</v>
      </c>
    </row>
    <row r="99" spans="1:14" x14ac:dyDescent="0.45">
      <c r="A99" s="3" t="s">
        <v>14</v>
      </c>
      <c r="B99" s="3" t="s">
        <v>31</v>
      </c>
      <c r="C99" s="5" t="s">
        <v>130</v>
      </c>
      <c r="D99" s="3" t="s">
        <v>131</v>
      </c>
      <c r="E99" s="3" t="s">
        <v>38</v>
      </c>
      <c r="F99" s="7" t="s">
        <v>39</v>
      </c>
      <c r="G99" s="1" t="s">
        <v>132</v>
      </c>
      <c r="H99" t="s">
        <v>143</v>
      </c>
      <c r="I99" t="s">
        <v>139</v>
      </c>
      <c r="J99" t="s">
        <v>140</v>
      </c>
      <c r="K99" s="3" t="s">
        <v>22</v>
      </c>
      <c r="L99" s="3" t="s">
        <v>22</v>
      </c>
      <c r="M99" s="3" t="s">
        <v>23</v>
      </c>
      <c r="N99" s="3" t="s">
        <v>22</v>
      </c>
    </row>
    <row r="100" spans="1:14" x14ac:dyDescent="0.45">
      <c r="A100" s="3" t="s">
        <v>14</v>
      </c>
      <c r="B100" s="3" t="s">
        <v>31</v>
      </c>
      <c r="C100" s="5" t="s">
        <v>130</v>
      </c>
      <c r="D100" s="3" t="s">
        <v>131</v>
      </c>
      <c r="E100" s="3" t="s">
        <v>38</v>
      </c>
      <c r="F100" s="7" t="s">
        <v>39</v>
      </c>
      <c r="G100" s="1" t="s">
        <v>132</v>
      </c>
      <c r="H100" t="s">
        <v>136</v>
      </c>
      <c r="I100" s="1" t="s">
        <v>134</v>
      </c>
      <c r="J100" t="s">
        <v>135</v>
      </c>
      <c r="K100" s="3" t="s">
        <v>22</v>
      </c>
      <c r="L100" s="3" t="s">
        <v>22</v>
      </c>
      <c r="M100" s="3" t="s">
        <v>23</v>
      </c>
      <c r="N100" s="3" t="s">
        <v>22</v>
      </c>
    </row>
    <row r="101" spans="1:14" x14ac:dyDescent="0.45">
      <c r="A101" s="3" t="s">
        <v>14</v>
      </c>
      <c r="B101" s="3" t="s">
        <v>31</v>
      </c>
      <c r="C101" s="5" t="s">
        <v>130</v>
      </c>
      <c r="D101" s="3" t="s">
        <v>131</v>
      </c>
      <c r="E101" s="3" t="s">
        <v>38</v>
      </c>
      <c r="F101" s="7" t="s">
        <v>39</v>
      </c>
      <c r="G101" s="1" t="s">
        <v>132</v>
      </c>
      <c r="H101" t="s">
        <v>143</v>
      </c>
      <c r="I101" s="1" t="s">
        <v>134</v>
      </c>
      <c r="J101" t="s">
        <v>135</v>
      </c>
      <c r="K101" s="3" t="s">
        <v>22</v>
      </c>
      <c r="L101" s="3" t="s">
        <v>22</v>
      </c>
      <c r="M101" s="3" t="s">
        <v>23</v>
      </c>
      <c r="N101" s="3" t="s">
        <v>22</v>
      </c>
    </row>
    <row r="102" spans="1:14" x14ac:dyDescent="0.45">
      <c r="A102" s="3" t="s">
        <v>14</v>
      </c>
      <c r="B102" s="3" t="s">
        <v>31</v>
      </c>
      <c r="C102" s="5" t="s">
        <v>130</v>
      </c>
      <c r="D102" s="3" t="s">
        <v>131</v>
      </c>
      <c r="E102" s="3" t="s">
        <v>38</v>
      </c>
      <c r="F102" s="7" t="s">
        <v>39</v>
      </c>
      <c r="G102" s="1" t="s">
        <v>132</v>
      </c>
      <c r="H102" t="s">
        <v>133</v>
      </c>
      <c r="I102" t="s">
        <v>139</v>
      </c>
      <c r="J102" t="s">
        <v>140</v>
      </c>
      <c r="K102" s="3" t="s">
        <v>22</v>
      </c>
      <c r="L102" s="3" t="s">
        <v>22</v>
      </c>
      <c r="M102" s="3" t="s">
        <v>23</v>
      </c>
      <c r="N102" s="3" t="s">
        <v>22</v>
      </c>
    </row>
    <row r="103" spans="1:14" x14ac:dyDescent="0.45">
      <c r="A103" s="3" t="s">
        <v>14</v>
      </c>
      <c r="B103" s="3" t="s">
        <v>31</v>
      </c>
      <c r="C103" s="5" t="s">
        <v>130</v>
      </c>
      <c r="D103" s="3" t="s">
        <v>131</v>
      </c>
      <c r="E103" s="3" t="s">
        <v>38</v>
      </c>
      <c r="F103" s="7" t="s">
        <v>39</v>
      </c>
      <c r="G103" s="1" t="s">
        <v>132</v>
      </c>
      <c r="H103" t="s">
        <v>136</v>
      </c>
      <c r="I103" t="s">
        <v>139</v>
      </c>
      <c r="J103" t="s">
        <v>140</v>
      </c>
      <c r="K103" s="3" t="s">
        <v>22</v>
      </c>
      <c r="L103" s="3" t="s">
        <v>22</v>
      </c>
      <c r="M103" s="3" t="s">
        <v>23</v>
      </c>
      <c r="N103" s="3" t="s">
        <v>22</v>
      </c>
    </row>
    <row r="104" spans="1:14" x14ac:dyDescent="0.45">
      <c r="A104" s="3" t="s">
        <v>14</v>
      </c>
      <c r="B104" s="3" t="s">
        <v>31</v>
      </c>
      <c r="C104" s="5" t="s">
        <v>130</v>
      </c>
      <c r="D104" s="3" t="s">
        <v>131</v>
      </c>
      <c r="E104" s="3" t="s">
        <v>38</v>
      </c>
      <c r="F104" s="7" t="s">
        <v>39</v>
      </c>
      <c r="G104" s="1" t="s">
        <v>132</v>
      </c>
      <c r="H104" t="s">
        <v>142</v>
      </c>
      <c r="I104" t="s">
        <v>139</v>
      </c>
      <c r="J104" t="s">
        <v>140</v>
      </c>
      <c r="K104" s="3" t="s">
        <v>22</v>
      </c>
      <c r="L104" s="3" t="s">
        <v>22</v>
      </c>
      <c r="M104" s="3" t="s">
        <v>23</v>
      </c>
      <c r="N104" s="3" t="s">
        <v>22</v>
      </c>
    </row>
    <row r="105" spans="1:14" x14ac:dyDescent="0.45">
      <c r="A105" s="3" t="s">
        <v>14</v>
      </c>
      <c r="B105" s="3" t="s">
        <v>31</v>
      </c>
      <c r="C105" s="5" t="s">
        <v>130</v>
      </c>
      <c r="D105" s="3" t="s">
        <v>131</v>
      </c>
      <c r="E105" s="3" t="s">
        <v>38</v>
      </c>
      <c r="F105" s="7" t="s">
        <v>39</v>
      </c>
      <c r="G105" s="1" t="s">
        <v>132</v>
      </c>
      <c r="H105" t="s">
        <v>138</v>
      </c>
      <c r="I105" s="1" t="s">
        <v>134</v>
      </c>
      <c r="J105" t="s">
        <v>135</v>
      </c>
      <c r="K105" s="3" t="s">
        <v>22</v>
      </c>
      <c r="L105" s="3" t="s">
        <v>22</v>
      </c>
      <c r="M105" s="3" t="s">
        <v>23</v>
      </c>
      <c r="N105" s="3" t="s">
        <v>22</v>
      </c>
    </row>
    <row r="106" spans="1:14" x14ac:dyDescent="0.45">
      <c r="A106" s="3" t="s">
        <v>14</v>
      </c>
      <c r="B106" s="3" t="s">
        <v>31</v>
      </c>
      <c r="C106" s="5" t="s">
        <v>130</v>
      </c>
      <c r="D106" s="3" t="s">
        <v>131</v>
      </c>
      <c r="E106" s="3" t="s">
        <v>38</v>
      </c>
      <c r="F106" s="7" t="s">
        <v>39</v>
      </c>
      <c r="G106" s="1" t="s">
        <v>132</v>
      </c>
      <c r="H106" t="s">
        <v>133</v>
      </c>
      <c r="I106" s="1" t="s">
        <v>134</v>
      </c>
      <c r="J106" t="s">
        <v>135</v>
      </c>
      <c r="K106" s="3" t="s">
        <v>22</v>
      </c>
      <c r="L106" s="3" t="s">
        <v>22</v>
      </c>
      <c r="M106" s="3" t="s">
        <v>23</v>
      </c>
      <c r="N106" s="3" t="s">
        <v>22</v>
      </c>
    </row>
    <row r="107" spans="1:14" x14ac:dyDescent="0.45">
      <c r="A107" s="3" t="s">
        <v>14</v>
      </c>
      <c r="B107" s="3" t="s">
        <v>31</v>
      </c>
      <c r="C107" s="5" t="s">
        <v>130</v>
      </c>
      <c r="D107" s="3" t="s">
        <v>131</v>
      </c>
      <c r="E107" s="3" t="s">
        <v>38</v>
      </c>
      <c r="F107" s="7" t="s">
        <v>39</v>
      </c>
      <c r="G107" s="1" t="s">
        <v>132</v>
      </c>
      <c r="H107" t="s">
        <v>142</v>
      </c>
      <c r="I107" s="1" t="s">
        <v>134</v>
      </c>
      <c r="J107" t="s">
        <v>135</v>
      </c>
      <c r="K107" s="3" t="s">
        <v>22</v>
      </c>
      <c r="L107" s="3" t="s">
        <v>22</v>
      </c>
      <c r="M107" s="3" t="s">
        <v>23</v>
      </c>
      <c r="N107" s="3" t="s">
        <v>22</v>
      </c>
    </row>
    <row r="108" spans="1:14" x14ac:dyDescent="0.45">
      <c r="A108" s="3" t="s">
        <v>14</v>
      </c>
      <c r="B108" s="3" t="s">
        <v>31</v>
      </c>
      <c r="C108" s="5" t="s">
        <v>130</v>
      </c>
      <c r="D108" s="3" t="s">
        <v>131</v>
      </c>
      <c r="E108" s="3" t="s">
        <v>40</v>
      </c>
      <c r="F108" s="7" t="s">
        <v>41</v>
      </c>
      <c r="G108" s="1" t="s">
        <v>132</v>
      </c>
      <c r="H108" t="s">
        <v>138</v>
      </c>
      <c r="I108" t="s">
        <v>139</v>
      </c>
      <c r="J108" t="s">
        <v>140</v>
      </c>
      <c r="K108" s="3" t="s">
        <v>22</v>
      </c>
      <c r="L108" s="3" t="s">
        <v>22</v>
      </c>
      <c r="M108" s="3" t="s">
        <v>23</v>
      </c>
      <c r="N108" s="3" t="s">
        <v>22</v>
      </c>
    </row>
    <row r="109" spans="1:14" x14ac:dyDescent="0.45">
      <c r="A109" s="3" t="s">
        <v>14</v>
      </c>
      <c r="B109" s="3" t="s">
        <v>31</v>
      </c>
      <c r="C109" s="5" t="s">
        <v>130</v>
      </c>
      <c r="D109" s="3" t="s">
        <v>131</v>
      </c>
      <c r="E109" s="3" t="s">
        <v>40</v>
      </c>
      <c r="F109" s="7" t="s">
        <v>41</v>
      </c>
      <c r="G109" s="1" t="s">
        <v>132</v>
      </c>
      <c r="H109" t="s">
        <v>143</v>
      </c>
      <c r="I109" t="s">
        <v>139</v>
      </c>
      <c r="J109" t="s">
        <v>140</v>
      </c>
      <c r="K109" s="3" t="s">
        <v>22</v>
      </c>
      <c r="L109" s="3" t="s">
        <v>22</v>
      </c>
      <c r="M109" s="3" t="s">
        <v>23</v>
      </c>
      <c r="N109" s="3" t="s">
        <v>22</v>
      </c>
    </row>
    <row r="110" spans="1:14" x14ac:dyDescent="0.45">
      <c r="A110" s="3" t="s">
        <v>14</v>
      </c>
      <c r="B110" s="3" t="s">
        <v>31</v>
      </c>
      <c r="C110" s="5" t="s">
        <v>130</v>
      </c>
      <c r="D110" s="3" t="s">
        <v>131</v>
      </c>
      <c r="E110" s="3" t="s">
        <v>40</v>
      </c>
      <c r="F110" s="7" t="s">
        <v>41</v>
      </c>
      <c r="G110" s="1" t="s">
        <v>132</v>
      </c>
      <c r="H110" t="s">
        <v>141</v>
      </c>
      <c r="I110" t="s">
        <v>139</v>
      </c>
      <c r="J110" t="s">
        <v>140</v>
      </c>
      <c r="K110" s="3" t="s">
        <v>22</v>
      </c>
      <c r="L110" s="3" t="s">
        <v>22</v>
      </c>
      <c r="M110" s="3" t="s">
        <v>23</v>
      </c>
      <c r="N110" s="3" t="s">
        <v>22</v>
      </c>
    </row>
    <row r="111" spans="1:14" x14ac:dyDescent="0.45">
      <c r="A111" s="3" t="s">
        <v>14</v>
      </c>
      <c r="B111" s="3" t="s">
        <v>31</v>
      </c>
      <c r="C111" s="5" t="s">
        <v>130</v>
      </c>
      <c r="D111" s="3" t="s">
        <v>131</v>
      </c>
      <c r="E111" s="3" t="s">
        <v>40</v>
      </c>
      <c r="F111" s="7" t="s">
        <v>41</v>
      </c>
      <c r="G111" s="1" t="s">
        <v>132</v>
      </c>
      <c r="H111" t="s">
        <v>141</v>
      </c>
      <c r="I111" s="1" t="s">
        <v>134</v>
      </c>
      <c r="J111" t="s">
        <v>135</v>
      </c>
      <c r="K111" s="3" t="s">
        <v>22</v>
      </c>
      <c r="L111" s="3" t="s">
        <v>22</v>
      </c>
      <c r="M111" s="3" t="s">
        <v>23</v>
      </c>
      <c r="N111" s="3" t="s">
        <v>22</v>
      </c>
    </row>
    <row r="112" spans="1:14" x14ac:dyDescent="0.45">
      <c r="A112" s="3" t="s">
        <v>14</v>
      </c>
      <c r="B112" s="3" t="s">
        <v>31</v>
      </c>
      <c r="C112" s="5" t="s">
        <v>130</v>
      </c>
      <c r="D112" s="3" t="s">
        <v>131</v>
      </c>
      <c r="E112" s="3" t="s">
        <v>40</v>
      </c>
      <c r="F112" s="7" t="s">
        <v>41</v>
      </c>
      <c r="G112" s="1" t="s">
        <v>132</v>
      </c>
      <c r="H112" t="s">
        <v>142</v>
      </c>
      <c r="I112" t="s">
        <v>139</v>
      </c>
      <c r="J112" t="s">
        <v>140</v>
      </c>
      <c r="K112" s="3" t="s">
        <v>22</v>
      </c>
      <c r="L112" s="3" t="s">
        <v>22</v>
      </c>
      <c r="M112" s="3" t="s">
        <v>23</v>
      </c>
      <c r="N112" s="3" t="s">
        <v>22</v>
      </c>
    </row>
    <row r="113" spans="1:14" x14ac:dyDescent="0.45">
      <c r="A113" s="3" t="s">
        <v>14</v>
      </c>
      <c r="B113" s="3" t="s">
        <v>31</v>
      </c>
      <c r="C113" s="5" t="s">
        <v>130</v>
      </c>
      <c r="D113" s="3" t="s">
        <v>131</v>
      </c>
      <c r="E113" s="3" t="s">
        <v>40</v>
      </c>
      <c r="F113" s="7" t="s">
        <v>41</v>
      </c>
      <c r="G113" s="1" t="s">
        <v>132</v>
      </c>
      <c r="H113" t="s">
        <v>143</v>
      </c>
      <c r="I113" s="1" t="s">
        <v>134</v>
      </c>
      <c r="J113" t="s">
        <v>135</v>
      </c>
      <c r="K113" s="3" t="s">
        <v>22</v>
      </c>
      <c r="L113" s="3" t="s">
        <v>22</v>
      </c>
      <c r="M113" s="3" t="s">
        <v>23</v>
      </c>
      <c r="N113" s="3" t="s">
        <v>22</v>
      </c>
    </row>
    <row r="114" spans="1:14" x14ac:dyDescent="0.45">
      <c r="A114" s="3" t="s">
        <v>14</v>
      </c>
      <c r="B114" s="3" t="s">
        <v>31</v>
      </c>
      <c r="C114" s="5" t="s">
        <v>130</v>
      </c>
      <c r="D114" s="3" t="s">
        <v>131</v>
      </c>
      <c r="E114" s="3" t="s">
        <v>40</v>
      </c>
      <c r="F114" s="7" t="s">
        <v>41</v>
      </c>
      <c r="G114" s="1" t="s">
        <v>132</v>
      </c>
      <c r="H114" t="s">
        <v>136</v>
      </c>
      <c r="I114" s="1" t="s">
        <v>134</v>
      </c>
      <c r="J114" t="s">
        <v>135</v>
      </c>
      <c r="K114" s="3" t="s">
        <v>22</v>
      </c>
      <c r="L114" s="3" t="s">
        <v>22</v>
      </c>
      <c r="M114" s="3" t="s">
        <v>23</v>
      </c>
      <c r="N114" s="3" t="s">
        <v>22</v>
      </c>
    </row>
    <row r="115" spans="1:14" x14ac:dyDescent="0.45">
      <c r="A115" s="3" t="s">
        <v>14</v>
      </c>
      <c r="B115" s="3" t="s">
        <v>31</v>
      </c>
      <c r="C115" s="5" t="s">
        <v>130</v>
      </c>
      <c r="D115" s="3" t="s">
        <v>131</v>
      </c>
      <c r="E115" s="3" t="s">
        <v>40</v>
      </c>
      <c r="F115" s="7" t="s">
        <v>41</v>
      </c>
      <c r="G115" s="1" t="s">
        <v>132</v>
      </c>
      <c r="H115" t="s">
        <v>133</v>
      </c>
      <c r="I115" t="s">
        <v>139</v>
      </c>
      <c r="J115" t="s">
        <v>140</v>
      </c>
      <c r="K115" s="3" t="s">
        <v>22</v>
      </c>
      <c r="L115" s="3" t="s">
        <v>22</v>
      </c>
      <c r="M115" s="3" t="s">
        <v>23</v>
      </c>
      <c r="N115" s="3" t="s">
        <v>22</v>
      </c>
    </row>
    <row r="116" spans="1:14" x14ac:dyDescent="0.45">
      <c r="A116" s="3" t="s">
        <v>14</v>
      </c>
      <c r="B116" s="3" t="s">
        <v>31</v>
      </c>
      <c r="C116" s="5" t="s">
        <v>130</v>
      </c>
      <c r="D116" s="3" t="s">
        <v>131</v>
      </c>
      <c r="E116" s="3" t="s">
        <v>40</v>
      </c>
      <c r="F116" s="7" t="s">
        <v>41</v>
      </c>
      <c r="G116" s="1" t="s">
        <v>132</v>
      </c>
      <c r="H116" t="s">
        <v>136</v>
      </c>
      <c r="I116" t="s">
        <v>139</v>
      </c>
      <c r="J116" t="s">
        <v>140</v>
      </c>
      <c r="K116" s="3" t="s">
        <v>22</v>
      </c>
      <c r="L116" s="3" t="s">
        <v>22</v>
      </c>
      <c r="M116" s="3" t="s">
        <v>23</v>
      </c>
      <c r="N116" s="3" t="s">
        <v>22</v>
      </c>
    </row>
    <row r="117" spans="1:14" x14ac:dyDescent="0.45">
      <c r="A117" s="3" t="s">
        <v>14</v>
      </c>
      <c r="B117" s="3" t="s">
        <v>31</v>
      </c>
      <c r="C117" s="5" t="s">
        <v>130</v>
      </c>
      <c r="D117" s="3" t="s">
        <v>131</v>
      </c>
      <c r="E117" s="3" t="s">
        <v>40</v>
      </c>
      <c r="F117" s="7" t="s">
        <v>41</v>
      </c>
      <c r="G117" s="1" t="s">
        <v>132</v>
      </c>
      <c r="H117" t="s">
        <v>136</v>
      </c>
      <c r="I117" s="1" t="s">
        <v>134</v>
      </c>
      <c r="J117" t="s">
        <v>137</v>
      </c>
      <c r="K117" s="3" t="s">
        <v>22</v>
      </c>
      <c r="L117" s="3" t="s">
        <v>22</v>
      </c>
      <c r="M117" s="3" t="s">
        <v>23</v>
      </c>
      <c r="N117" s="3" t="s">
        <v>22</v>
      </c>
    </row>
    <row r="118" spans="1:14" x14ac:dyDescent="0.45">
      <c r="A118" s="3" t="s">
        <v>14</v>
      </c>
      <c r="B118" s="3" t="s">
        <v>31</v>
      </c>
      <c r="C118" s="5" t="s">
        <v>130</v>
      </c>
      <c r="D118" s="3" t="s">
        <v>131</v>
      </c>
      <c r="E118" s="3" t="s">
        <v>40</v>
      </c>
      <c r="F118" s="7" t="s">
        <v>41</v>
      </c>
      <c r="G118" s="1" t="s">
        <v>132</v>
      </c>
      <c r="H118" t="s">
        <v>142</v>
      </c>
      <c r="I118" s="1" t="s">
        <v>134</v>
      </c>
      <c r="J118" t="s">
        <v>135</v>
      </c>
      <c r="K118" s="3" t="s">
        <v>22</v>
      </c>
      <c r="L118" s="3" t="s">
        <v>22</v>
      </c>
      <c r="M118" s="3" t="s">
        <v>23</v>
      </c>
      <c r="N118" s="3" t="s">
        <v>22</v>
      </c>
    </row>
    <row r="119" spans="1:14" x14ac:dyDescent="0.45">
      <c r="A119" s="3" t="s">
        <v>14</v>
      </c>
      <c r="B119" s="3" t="s">
        <v>31</v>
      </c>
      <c r="C119" s="5" t="s">
        <v>130</v>
      </c>
      <c r="D119" s="3" t="s">
        <v>131</v>
      </c>
      <c r="E119" s="3" t="s">
        <v>40</v>
      </c>
      <c r="F119" s="7" t="s">
        <v>41</v>
      </c>
      <c r="G119" s="1" t="s">
        <v>132</v>
      </c>
      <c r="H119" t="s">
        <v>138</v>
      </c>
      <c r="I119" s="1" t="s">
        <v>134</v>
      </c>
      <c r="J119" t="s">
        <v>135</v>
      </c>
      <c r="K119" s="3" t="s">
        <v>22</v>
      </c>
      <c r="L119" s="3" t="s">
        <v>22</v>
      </c>
      <c r="M119" s="3" t="s">
        <v>23</v>
      </c>
      <c r="N119" s="3" t="s">
        <v>22</v>
      </c>
    </row>
    <row r="120" spans="1:14" x14ac:dyDescent="0.45">
      <c r="A120" s="3" t="s">
        <v>14</v>
      </c>
      <c r="B120" s="3" t="s">
        <v>31</v>
      </c>
      <c r="C120" s="5" t="s">
        <v>130</v>
      </c>
      <c r="D120" s="3" t="s">
        <v>131</v>
      </c>
      <c r="E120" s="3" t="s">
        <v>40</v>
      </c>
      <c r="F120" s="7" t="s">
        <v>41</v>
      </c>
      <c r="G120" s="1" t="s">
        <v>132</v>
      </c>
      <c r="H120" t="s">
        <v>133</v>
      </c>
      <c r="I120" s="1" t="s">
        <v>134</v>
      </c>
      <c r="J120" t="s">
        <v>135</v>
      </c>
      <c r="K120" s="3" t="s">
        <v>22</v>
      </c>
      <c r="L120" s="3" t="s">
        <v>22</v>
      </c>
      <c r="M120" s="3" t="s">
        <v>23</v>
      </c>
      <c r="N120" s="3" t="s">
        <v>22</v>
      </c>
    </row>
    <row r="121" spans="1:14" x14ac:dyDescent="0.45">
      <c r="A121" s="3" t="s">
        <v>14</v>
      </c>
      <c r="B121" s="3" t="s">
        <v>31</v>
      </c>
      <c r="C121" s="5" t="s">
        <v>130</v>
      </c>
      <c r="D121" s="3" t="s">
        <v>131</v>
      </c>
      <c r="E121" s="3" t="s">
        <v>40</v>
      </c>
      <c r="F121" s="7" t="s">
        <v>41</v>
      </c>
      <c r="G121" s="1" t="s">
        <v>132</v>
      </c>
      <c r="H121" t="s">
        <v>141</v>
      </c>
      <c r="I121" s="1" t="s">
        <v>134</v>
      </c>
      <c r="J121" t="s">
        <v>137</v>
      </c>
      <c r="K121" s="3" t="s">
        <v>22</v>
      </c>
      <c r="L121" s="3" t="s">
        <v>22</v>
      </c>
      <c r="M121" s="3" t="s">
        <v>23</v>
      </c>
      <c r="N121" s="3" t="s">
        <v>22</v>
      </c>
    </row>
    <row r="122" spans="1:14" x14ac:dyDescent="0.45">
      <c r="A122" s="3" t="s">
        <v>14</v>
      </c>
      <c r="B122" s="3" t="s">
        <v>31</v>
      </c>
      <c r="C122" s="5" t="s">
        <v>130</v>
      </c>
      <c r="D122" s="3" t="s">
        <v>131</v>
      </c>
      <c r="E122" s="3" t="s">
        <v>42</v>
      </c>
      <c r="F122" s="7" t="s">
        <v>43</v>
      </c>
      <c r="G122" s="1" t="s">
        <v>132</v>
      </c>
      <c r="H122" t="s">
        <v>142</v>
      </c>
      <c r="I122" t="s">
        <v>139</v>
      </c>
      <c r="J122" t="s">
        <v>140</v>
      </c>
      <c r="K122" s="3" t="s">
        <v>22</v>
      </c>
      <c r="L122" s="3" t="s">
        <v>22</v>
      </c>
      <c r="M122" s="3" t="s">
        <v>23</v>
      </c>
      <c r="N122" s="3" t="s">
        <v>22</v>
      </c>
    </row>
    <row r="123" spans="1:14" x14ac:dyDescent="0.45">
      <c r="A123" s="3" t="s">
        <v>14</v>
      </c>
      <c r="B123" s="3" t="s">
        <v>31</v>
      </c>
      <c r="C123" s="5" t="s">
        <v>130</v>
      </c>
      <c r="D123" s="3" t="s">
        <v>131</v>
      </c>
      <c r="E123" s="3" t="s">
        <v>42</v>
      </c>
      <c r="F123" s="7" t="s">
        <v>43</v>
      </c>
      <c r="G123" s="1" t="s">
        <v>132</v>
      </c>
      <c r="H123" t="s">
        <v>133</v>
      </c>
      <c r="I123" s="1" t="s">
        <v>134</v>
      </c>
      <c r="J123" t="s">
        <v>135</v>
      </c>
      <c r="K123" s="3" t="s">
        <v>22</v>
      </c>
      <c r="L123" s="3" t="s">
        <v>22</v>
      </c>
      <c r="M123" s="3" t="s">
        <v>23</v>
      </c>
      <c r="N123" s="3" t="s">
        <v>22</v>
      </c>
    </row>
    <row r="124" spans="1:14" x14ac:dyDescent="0.45">
      <c r="A124" s="3" t="s">
        <v>14</v>
      </c>
      <c r="B124" s="3" t="s">
        <v>31</v>
      </c>
      <c r="C124" s="5" t="s">
        <v>130</v>
      </c>
      <c r="D124" s="3" t="s">
        <v>131</v>
      </c>
      <c r="E124" s="3" t="s">
        <v>42</v>
      </c>
      <c r="F124" s="7" t="s">
        <v>43</v>
      </c>
      <c r="G124" s="1" t="s">
        <v>132</v>
      </c>
      <c r="H124" t="s">
        <v>133</v>
      </c>
      <c r="I124" t="s">
        <v>139</v>
      </c>
      <c r="J124" t="s">
        <v>140</v>
      </c>
      <c r="K124" s="3" t="s">
        <v>22</v>
      </c>
      <c r="L124" s="3" t="s">
        <v>22</v>
      </c>
      <c r="M124" s="3" t="s">
        <v>23</v>
      </c>
      <c r="N124" s="3" t="s">
        <v>22</v>
      </c>
    </row>
    <row r="125" spans="1:14" x14ac:dyDescent="0.45">
      <c r="A125" s="3" t="s">
        <v>14</v>
      </c>
      <c r="B125" s="3" t="s">
        <v>31</v>
      </c>
      <c r="C125" s="5" t="s">
        <v>130</v>
      </c>
      <c r="D125" s="3" t="s">
        <v>131</v>
      </c>
      <c r="E125" s="3" t="s">
        <v>42</v>
      </c>
      <c r="F125" s="7" t="s">
        <v>43</v>
      </c>
      <c r="G125" s="1" t="s">
        <v>132</v>
      </c>
      <c r="H125" t="s">
        <v>147</v>
      </c>
      <c r="I125" t="s">
        <v>139</v>
      </c>
      <c r="J125" t="s">
        <v>140</v>
      </c>
      <c r="K125" s="3" t="s">
        <v>22</v>
      </c>
      <c r="L125" s="3" t="s">
        <v>22</v>
      </c>
      <c r="M125" s="3" t="s">
        <v>23</v>
      </c>
      <c r="N125" s="3" t="s">
        <v>22</v>
      </c>
    </row>
    <row r="126" spans="1:14" x14ac:dyDescent="0.45">
      <c r="A126" s="3" t="s">
        <v>14</v>
      </c>
      <c r="B126" s="3" t="s">
        <v>31</v>
      </c>
      <c r="C126" s="5" t="s">
        <v>130</v>
      </c>
      <c r="D126" s="3" t="s">
        <v>131</v>
      </c>
      <c r="E126" s="3" t="s">
        <v>42</v>
      </c>
      <c r="F126" s="7" t="s">
        <v>43</v>
      </c>
      <c r="G126" s="1" t="s">
        <v>132</v>
      </c>
      <c r="H126" t="s">
        <v>148</v>
      </c>
      <c r="I126" t="s">
        <v>139</v>
      </c>
      <c r="J126" t="s">
        <v>140</v>
      </c>
      <c r="K126" s="3" t="s">
        <v>22</v>
      </c>
      <c r="L126" s="3" t="s">
        <v>22</v>
      </c>
      <c r="M126" s="3" t="s">
        <v>23</v>
      </c>
      <c r="N126" s="3" t="s">
        <v>22</v>
      </c>
    </row>
    <row r="127" spans="1:14" x14ac:dyDescent="0.45">
      <c r="A127" s="3" t="s">
        <v>14</v>
      </c>
      <c r="B127" s="3" t="s">
        <v>31</v>
      </c>
      <c r="C127" s="5" t="s">
        <v>130</v>
      </c>
      <c r="D127" s="3" t="s">
        <v>131</v>
      </c>
      <c r="E127" s="3" t="s">
        <v>42</v>
      </c>
      <c r="F127" s="7" t="s">
        <v>43</v>
      </c>
      <c r="G127" s="1" t="s">
        <v>132</v>
      </c>
      <c r="H127" t="s">
        <v>149</v>
      </c>
      <c r="I127" s="1" t="s">
        <v>134</v>
      </c>
      <c r="J127" t="s">
        <v>135</v>
      </c>
      <c r="K127" s="3" t="s">
        <v>22</v>
      </c>
      <c r="L127" s="3" t="s">
        <v>22</v>
      </c>
      <c r="M127" s="3" t="s">
        <v>23</v>
      </c>
      <c r="N127" s="3" t="s">
        <v>22</v>
      </c>
    </row>
    <row r="128" spans="1:14" x14ac:dyDescent="0.45">
      <c r="A128" s="3" t="s">
        <v>14</v>
      </c>
      <c r="B128" s="3" t="s">
        <v>31</v>
      </c>
      <c r="C128" s="5" t="s">
        <v>130</v>
      </c>
      <c r="D128" s="3" t="s">
        <v>131</v>
      </c>
      <c r="E128" s="3" t="s">
        <v>42</v>
      </c>
      <c r="F128" s="7" t="s">
        <v>43</v>
      </c>
      <c r="G128" s="1" t="s">
        <v>132</v>
      </c>
      <c r="H128" t="s">
        <v>148</v>
      </c>
      <c r="I128" s="1" t="s">
        <v>134</v>
      </c>
      <c r="J128" t="s">
        <v>135</v>
      </c>
      <c r="K128" s="3" t="s">
        <v>22</v>
      </c>
      <c r="L128" s="3" t="s">
        <v>22</v>
      </c>
      <c r="M128" s="3" t="s">
        <v>23</v>
      </c>
      <c r="N128" s="3" t="s">
        <v>22</v>
      </c>
    </row>
    <row r="129" spans="1:14" x14ac:dyDescent="0.45">
      <c r="A129" s="3" t="s">
        <v>14</v>
      </c>
      <c r="B129" s="3" t="s">
        <v>31</v>
      </c>
      <c r="C129" s="5" t="s">
        <v>130</v>
      </c>
      <c r="D129" s="3" t="s">
        <v>131</v>
      </c>
      <c r="E129" s="3" t="s">
        <v>42</v>
      </c>
      <c r="F129" s="7" t="s">
        <v>43</v>
      </c>
      <c r="G129" s="1" t="s">
        <v>132</v>
      </c>
      <c r="H129" t="s">
        <v>150</v>
      </c>
      <c r="I129" s="1" t="s">
        <v>134</v>
      </c>
      <c r="J129" t="s">
        <v>135</v>
      </c>
      <c r="K129" s="3" t="s">
        <v>22</v>
      </c>
      <c r="L129" s="3" t="s">
        <v>22</v>
      </c>
      <c r="M129" s="3" t="s">
        <v>23</v>
      </c>
      <c r="N129" s="3" t="s">
        <v>22</v>
      </c>
    </row>
    <row r="130" spans="1:14" x14ac:dyDescent="0.45">
      <c r="A130" s="3" t="s">
        <v>14</v>
      </c>
      <c r="B130" s="3" t="s">
        <v>31</v>
      </c>
      <c r="C130" s="5" t="s">
        <v>130</v>
      </c>
      <c r="D130" s="3" t="s">
        <v>131</v>
      </c>
      <c r="E130" s="3" t="s">
        <v>42</v>
      </c>
      <c r="F130" s="7" t="s">
        <v>43</v>
      </c>
      <c r="G130" s="1" t="s">
        <v>132</v>
      </c>
      <c r="H130" t="s">
        <v>141</v>
      </c>
      <c r="I130" t="s">
        <v>139</v>
      </c>
      <c r="J130" t="s">
        <v>140</v>
      </c>
      <c r="K130" s="3" t="s">
        <v>22</v>
      </c>
      <c r="L130" s="3" t="s">
        <v>22</v>
      </c>
      <c r="M130" s="3" t="s">
        <v>23</v>
      </c>
      <c r="N130" s="3" t="s">
        <v>22</v>
      </c>
    </row>
    <row r="131" spans="1:14" x14ac:dyDescent="0.45">
      <c r="A131" s="3" t="s">
        <v>14</v>
      </c>
      <c r="B131" s="3" t="s">
        <v>31</v>
      </c>
      <c r="C131" s="5" t="s">
        <v>130</v>
      </c>
      <c r="D131" s="3" t="s">
        <v>131</v>
      </c>
      <c r="E131" s="3" t="s">
        <v>42</v>
      </c>
      <c r="F131" s="7" t="s">
        <v>43</v>
      </c>
      <c r="G131" s="1" t="s">
        <v>132</v>
      </c>
      <c r="H131" t="s">
        <v>142</v>
      </c>
      <c r="I131" s="1" t="s">
        <v>134</v>
      </c>
      <c r="J131" t="s">
        <v>135</v>
      </c>
      <c r="K131" s="3" t="s">
        <v>22</v>
      </c>
      <c r="L131" s="3" t="s">
        <v>22</v>
      </c>
      <c r="M131" s="3" t="s">
        <v>23</v>
      </c>
      <c r="N131" s="3" t="s">
        <v>22</v>
      </c>
    </row>
    <row r="132" spans="1:14" x14ac:dyDescent="0.45">
      <c r="A132" s="3" t="s">
        <v>14</v>
      </c>
      <c r="B132" s="3" t="s">
        <v>31</v>
      </c>
      <c r="C132" s="5" t="s">
        <v>130</v>
      </c>
      <c r="D132" s="3" t="s">
        <v>131</v>
      </c>
      <c r="E132" s="3" t="s">
        <v>42</v>
      </c>
      <c r="F132" s="7" t="s">
        <v>43</v>
      </c>
      <c r="G132" s="1" t="s">
        <v>132</v>
      </c>
      <c r="H132" t="s">
        <v>141</v>
      </c>
      <c r="I132" s="1" t="s">
        <v>134</v>
      </c>
      <c r="J132" t="s">
        <v>135</v>
      </c>
      <c r="K132" s="3" t="s">
        <v>22</v>
      </c>
      <c r="L132" s="3" t="s">
        <v>22</v>
      </c>
      <c r="M132" s="3" t="s">
        <v>23</v>
      </c>
      <c r="N132" s="3" t="s">
        <v>22</v>
      </c>
    </row>
    <row r="133" spans="1:14" x14ac:dyDescent="0.45">
      <c r="A133" s="3" t="s">
        <v>14</v>
      </c>
      <c r="B133" s="3" t="s">
        <v>31</v>
      </c>
      <c r="C133" s="5" t="s">
        <v>130</v>
      </c>
      <c r="D133" s="3" t="s">
        <v>131</v>
      </c>
      <c r="E133" s="3" t="s">
        <v>42</v>
      </c>
      <c r="F133" s="7" t="s">
        <v>43</v>
      </c>
      <c r="G133" s="1" t="s">
        <v>132</v>
      </c>
      <c r="H133" t="s">
        <v>151</v>
      </c>
      <c r="I133" s="1" t="s">
        <v>134</v>
      </c>
      <c r="J133" t="s">
        <v>135</v>
      </c>
      <c r="K133" s="3" t="s">
        <v>22</v>
      </c>
      <c r="L133" s="3" t="s">
        <v>22</v>
      </c>
      <c r="M133" s="3" t="s">
        <v>23</v>
      </c>
      <c r="N133" s="3" t="s">
        <v>22</v>
      </c>
    </row>
    <row r="134" spans="1:14" x14ac:dyDescent="0.45">
      <c r="A134" s="3" t="s">
        <v>14</v>
      </c>
      <c r="B134" s="3" t="s">
        <v>31</v>
      </c>
      <c r="C134" s="5" t="s">
        <v>130</v>
      </c>
      <c r="D134" s="3" t="s">
        <v>131</v>
      </c>
      <c r="E134" s="3" t="s">
        <v>42</v>
      </c>
      <c r="F134" s="7" t="s">
        <v>43</v>
      </c>
      <c r="G134" s="1" t="s">
        <v>132</v>
      </c>
      <c r="H134" t="s">
        <v>152</v>
      </c>
      <c r="I134" s="1" t="s">
        <v>134</v>
      </c>
      <c r="J134" t="s">
        <v>135</v>
      </c>
      <c r="K134" s="3" t="s">
        <v>22</v>
      </c>
      <c r="L134" s="3" t="s">
        <v>22</v>
      </c>
      <c r="M134" s="3" t="s">
        <v>23</v>
      </c>
      <c r="N134" s="3" t="s">
        <v>22</v>
      </c>
    </row>
    <row r="135" spans="1:14" x14ac:dyDescent="0.45">
      <c r="A135" s="3" t="s">
        <v>14</v>
      </c>
      <c r="B135" s="3" t="s">
        <v>31</v>
      </c>
      <c r="C135" s="5" t="s">
        <v>130</v>
      </c>
      <c r="D135" s="3" t="s">
        <v>131</v>
      </c>
      <c r="E135" s="3" t="s">
        <v>42</v>
      </c>
      <c r="F135" s="7" t="s">
        <v>43</v>
      </c>
      <c r="G135" s="1" t="s">
        <v>132</v>
      </c>
      <c r="H135" t="s">
        <v>152</v>
      </c>
      <c r="I135" t="s">
        <v>139</v>
      </c>
      <c r="J135" t="s">
        <v>140</v>
      </c>
      <c r="K135" s="3" t="s">
        <v>22</v>
      </c>
      <c r="L135" s="3" t="s">
        <v>22</v>
      </c>
      <c r="M135" s="3" t="s">
        <v>23</v>
      </c>
      <c r="N135" s="3" t="s">
        <v>22</v>
      </c>
    </row>
    <row r="136" spans="1:14" x14ac:dyDescent="0.45">
      <c r="A136" s="3" t="s">
        <v>14</v>
      </c>
      <c r="B136" s="3" t="s">
        <v>31</v>
      </c>
      <c r="C136" s="5" t="s">
        <v>130</v>
      </c>
      <c r="D136" s="3" t="s">
        <v>131</v>
      </c>
      <c r="E136" s="3" t="s">
        <v>42</v>
      </c>
      <c r="F136" s="7" t="s">
        <v>43</v>
      </c>
      <c r="G136" s="1" t="s">
        <v>132</v>
      </c>
      <c r="H136" t="s">
        <v>151</v>
      </c>
      <c r="I136" t="s">
        <v>139</v>
      </c>
      <c r="J136" t="s">
        <v>140</v>
      </c>
      <c r="K136" s="3" t="s">
        <v>22</v>
      </c>
      <c r="L136" s="3" t="s">
        <v>22</v>
      </c>
      <c r="M136" s="3" t="s">
        <v>23</v>
      </c>
      <c r="N136" s="3" t="s">
        <v>22</v>
      </c>
    </row>
    <row r="137" spans="1:14" x14ac:dyDescent="0.45">
      <c r="A137" s="3" t="s">
        <v>14</v>
      </c>
      <c r="B137" s="3" t="s">
        <v>31</v>
      </c>
      <c r="C137" s="5" t="s">
        <v>130</v>
      </c>
      <c r="D137" s="3" t="s">
        <v>131</v>
      </c>
      <c r="E137" s="3" t="s">
        <v>42</v>
      </c>
      <c r="F137" s="7" t="s">
        <v>43</v>
      </c>
      <c r="G137" s="1" t="s">
        <v>132</v>
      </c>
      <c r="H137" t="s">
        <v>141</v>
      </c>
      <c r="I137" s="1" t="s">
        <v>134</v>
      </c>
      <c r="J137" t="s">
        <v>137</v>
      </c>
      <c r="K137" s="3" t="s">
        <v>22</v>
      </c>
      <c r="L137" s="3" t="s">
        <v>22</v>
      </c>
      <c r="M137" s="3" t="s">
        <v>23</v>
      </c>
      <c r="N137" s="3" t="s">
        <v>22</v>
      </c>
    </row>
    <row r="138" spans="1:14" x14ac:dyDescent="0.45">
      <c r="A138" s="3" t="s">
        <v>14</v>
      </c>
      <c r="B138" s="3" t="s">
        <v>31</v>
      </c>
      <c r="C138" s="5" t="s">
        <v>130</v>
      </c>
      <c r="D138" s="3" t="s">
        <v>131</v>
      </c>
      <c r="E138" s="3" t="s">
        <v>42</v>
      </c>
      <c r="F138" s="7" t="s">
        <v>43</v>
      </c>
      <c r="G138" s="1" t="s">
        <v>132</v>
      </c>
      <c r="H138" t="s">
        <v>149</v>
      </c>
      <c r="I138" t="s">
        <v>139</v>
      </c>
      <c r="J138" t="s">
        <v>140</v>
      </c>
      <c r="K138" s="3" t="s">
        <v>22</v>
      </c>
      <c r="L138" s="3" t="s">
        <v>22</v>
      </c>
      <c r="M138" s="3" t="s">
        <v>23</v>
      </c>
      <c r="N138" s="3" t="s">
        <v>22</v>
      </c>
    </row>
    <row r="139" spans="1:14" x14ac:dyDescent="0.45">
      <c r="A139" s="3" t="s">
        <v>14</v>
      </c>
      <c r="B139" s="3" t="s">
        <v>31</v>
      </c>
      <c r="C139" s="5" t="s">
        <v>130</v>
      </c>
      <c r="D139" s="3" t="s">
        <v>131</v>
      </c>
      <c r="E139" s="3" t="s">
        <v>42</v>
      </c>
      <c r="F139" s="7" t="s">
        <v>43</v>
      </c>
      <c r="G139" s="1" t="s">
        <v>132</v>
      </c>
      <c r="H139" t="s">
        <v>151</v>
      </c>
      <c r="I139" s="1" t="s">
        <v>134</v>
      </c>
      <c r="J139" t="s">
        <v>137</v>
      </c>
      <c r="K139" s="3" t="s">
        <v>22</v>
      </c>
      <c r="L139" s="3" t="s">
        <v>22</v>
      </c>
      <c r="M139" s="3" t="s">
        <v>23</v>
      </c>
      <c r="N139" s="3" t="s">
        <v>22</v>
      </c>
    </row>
    <row r="140" spans="1:14" x14ac:dyDescent="0.45">
      <c r="A140" s="3" t="s">
        <v>14</v>
      </c>
      <c r="B140" s="3" t="s">
        <v>31</v>
      </c>
      <c r="C140" s="5" t="s">
        <v>130</v>
      </c>
      <c r="D140" s="3" t="s">
        <v>131</v>
      </c>
      <c r="E140" s="3" t="s">
        <v>42</v>
      </c>
      <c r="F140" s="7" t="s">
        <v>43</v>
      </c>
      <c r="G140" s="1" t="s">
        <v>132</v>
      </c>
      <c r="H140" t="s">
        <v>150</v>
      </c>
      <c r="I140" t="s">
        <v>139</v>
      </c>
      <c r="J140" t="s">
        <v>140</v>
      </c>
      <c r="K140" s="3" t="s">
        <v>22</v>
      </c>
      <c r="L140" s="3" t="s">
        <v>22</v>
      </c>
      <c r="M140" s="3" t="s">
        <v>23</v>
      </c>
      <c r="N140" s="3" t="s">
        <v>22</v>
      </c>
    </row>
    <row r="141" spans="1:14" x14ac:dyDescent="0.45">
      <c r="A141" s="3" t="s">
        <v>14</v>
      </c>
      <c r="B141" s="3" t="s">
        <v>31</v>
      </c>
      <c r="C141" s="5" t="s">
        <v>130</v>
      </c>
      <c r="D141" s="3" t="s">
        <v>131</v>
      </c>
      <c r="E141" s="3" t="s">
        <v>42</v>
      </c>
      <c r="F141" s="7" t="s">
        <v>43</v>
      </c>
      <c r="G141" s="1" t="s">
        <v>132</v>
      </c>
      <c r="H141" t="s">
        <v>147</v>
      </c>
      <c r="I141" s="1" t="s">
        <v>134</v>
      </c>
      <c r="J141" t="s">
        <v>135</v>
      </c>
      <c r="K141" s="3" t="s">
        <v>22</v>
      </c>
      <c r="L141" s="3" t="s">
        <v>22</v>
      </c>
      <c r="M141" s="3" t="s">
        <v>23</v>
      </c>
      <c r="N141" s="3" t="s">
        <v>22</v>
      </c>
    </row>
    <row r="142" spans="1:14" x14ac:dyDescent="0.45">
      <c r="A142" s="3" t="s">
        <v>14</v>
      </c>
      <c r="B142" s="3" t="s">
        <v>15</v>
      </c>
      <c r="C142" s="5" t="s">
        <v>153</v>
      </c>
      <c r="D142" s="3" t="s">
        <v>154</v>
      </c>
      <c r="E142" s="3" t="s">
        <v>18</v>
      </c>
      <c r="F142" s="7" t="s">
        <v>19</v>
      </c>
      <c r="G142" t="s">
        <v>155</v>
      </c>
      <c r="H142" t="s">
        <v>156</v>
      </c>
      <c r="I142" t="s">
        <v>22</v>
      </c>
      <c r="J142" t="s">
        <v>22</v>
      </c>
      <c r="K142" s="3" t="s">
        <v>22</v>
      </c>
      <c r="L142" s="3" t="s">
        <v>22</v>
      </c>
      <c r="M142" s="3" t="s">
        <v>23</v>
      </c>
      <c r="N142" s="3" t="s">
        <v>22</v>
      </c>
    </row>
    <row r="143" spans="1:14" x14ac:dyDescent="0.45">
      <c r="A143" s="3" t="s">
        <v>14</v>
      </c>
      <c r="B143" s="3" t="s">
        <v>62</v>
      </c>
      <c r="C143" s="5" t="s">
        <v>157</v>
      </c>
      <c r="D143" s="3" t="s">
        <v>158</v>
      </c>
      <c r="E143" s="3" t="s">
        <v>65</v>
      </c>
      <c r="F143" s="7" t="s">
        <v>66</v>
      </c>
      <c r="G143" t="s">
        <v>159</v>
      </c>
      <c r="H143" t="s">
        <v>160</v>
      </c>
      <c r="I143" t="s">
        <v>161</v>
      </c>
      <c r="J143" t="s">
        <v>22</v>
      </c>
      <c r="K143" s="3" t="s">
        <v>22</v>
      </c>
      <c r="L143" s="3" t="s">
        <v>22</v>
      </c>
      <c r="M143" s="3" t="s">
        <v>23</v>
      </c>
      <c r="N143" s="3" t="s">
        <v>22</v>
      </c>
    </row>
    <row r="144" spans="1:14" x14ac:dyDescent="0.45">
      <c r="A144" s="3" t="s">
        <v>14</v>
      </c>
      <c r="B144" s="3" t="s">
        <v>62</v>
      </c>
      <c r="C144" s="5" t="s">
        <v>157</v>
      </c>
      <c r="D144" s="3" t="s">
        <v>158</v>
      </c>
      <c r="E144" s="3" t="s">
        <v>70</v>
      </c>
      <c r="F144" s="7" t="s">
        <v>71</v>
      </c>
      <c r="G144" t="s">
        <v>159</v>
      </c>
      <c r="H144" t="s">
        <v>160</v>
      </c>
      <c r="I144" t="s">
        <v>161</v>
      </c>
      <c r="J144" t="s">
        <v>22</v>
      </c>
      <c r="K144" s="3" t="s">
        <v>22</v>
      </c>
      <c r="L144" s="3" t="s">
        <v>22</v>
      </c>
      <c r="M144" s="3" t="s">
        <v>23</v>
      </c>
      <c r="N144" s="3" t="s">
        <v>22</v>
      </c>
    </row>
    <row r="145" spans="1:14" x14ac:dyDescent="0.45">
      <c r="A145" s="3" t="s">
        <v>14</v>
      </c>
      <c r="B145" s="3" t="s">
        <v>62</v>
      </c>
      <c r="C145" s="5" t="s">
        <v>157</v>
      </c>
      <c r="D145" s="3" t="s">
        <v>158</v>
      </c>
      <c r="E145" s="3" t="s">
        <v>72</v>
      </c>
      <c r="F145" s="7" t="s">
        <v>73</v>
      </c>
      <c r="G145" t="s">
        <v>159</v>
      </c>
      <c r="H145" t="s">
        <v>160</v>
      </c>
      <c r="I145" t="s">
        <v>161</v>
      </c>
      <c r="J145" t="s">
        <v>22</v>
      </c>
      <c r="K145" s="3" t="s">
        <v>22</v>
      </c>
      <c r="L145" s="3" t="s">
        <v>22</v>
      </c>
      <c r="M145" s="3" t="s">
        <v>23</v>
      </c>
      <c r="N145" s="3" t="s">
        <v>22</v>
      </c>
    </row>
    <row r="146" spans="1:14" x14ac:dyDescent="0.45">
      <c r="A146" s="3" t="s">
        <v>14</v>
      </c>
      <c r="B146" s="3" t="s">
        <v>62</v>
      </c>
      <c r="C146" s="5" t="s">
        <v>157</v>
      </c>
      <c r="D146" s="3" t="s">
        <v>158</v>
      </c>
      <c r="E146" s="3" t="s">
        <v>74</v>
      </c>
      <c r="F146" s="7" t="s">
        <v>75</v>
      </c>
      <c r="G146" t="s">
        <v>159</v>
      </c>
      <c r="H146" t="s">
        <v>160</v>
      </c>
      <c r="I146" t="s">
        <v>161</v>
      </c>
      <c r="J146" t="s">
        <v>22</v>
      </c>
      <c r="K146" s="3" t="s">
        <v>22</v>
      </c>
      <c r="L146" s="3" t="s">
        <v>22</v>
      </c>
      <c r="M146" s="3" t="s">
        <v>23</v>
      </c>
      <c r="N146" s="3" t="s">
        <v>22</v>
      </c>
    </row>
    <row r="147" spans="1:14" x14ac:dyDescent="0.45">
      <c r="A147" s="3" t="s">
        <v>14</v>
      </c>
      <c r="B147" s="3" t="s">
        <v>62</v>
      </c>
      <c r="C147" s="5" t="s">
        <v>157</v>
      </c>
      <c r="D147" s="3" t="s">
        <v>158</v>
      </c>
      <c r="E147" s="3" t="s">
        <v>76</v>
      </c>
      <c r="F147" s="7" t="s">
        <v>77</v>
      </c>
      <c r="G147" t="s">
        <v>159</v>
      </c>
      <c r="H147" t="s">
        <v>160</v>
      </c>
      <c r="I147" t="s">
        <v>161</v>
      </c>
      <c r="J147" t="s">
        <v>22</v>
      </c>
      <c r="K147" s="3" t="s">
        <v>22</v>
      </c>
      <c r="L147" s="3" t="s">
        <v>22</v>
      </c>
      <c r="M147" s="3" t="s">
        <v>23</v>
      </c>
      <c r="N147" s="3" t="s">
        <v>22</v>
      </c>
    </row>
    <row r="148" spans="1:14" x14ac:dyDescent="0.45">
      <c r="A148" s="3" t="s">
        <v>14</v>
      </c>
      <c r="B148" s="3" t="s">
        <v>31</v>
      </c>
      <c r="C148" s="5" t="s">
        <v>162</v>
      </c>
      <c r="D148" s="3" t="s">
        <v>163</v>
      </c>
      <c r="E148" s="3" t="s">
        <v>164</v>
      </c>
      <c r="F148" s="7" t="s">
        <v>165</v>
      </c>
      <c r="G148" t="s">
        <v>166</v>
      </c>
      <c r="H148">
        <v>0</v>
      </c>
      <c r="I148" t="s">
        <v>22</v>
      </c>
      <c r="J148" t="s">
        <v>22</v>
      </c>
      <c r="K148" s="3" t="s">
        <v>22</v>
      </c>
      <c r="L148" s="3" t="s">
        <v>22</v>
      </c>
      <c r="M148" s="3" t="s">
        <v>23</v>
      </c>
      <c r="N148" s="3" t="s">
        <v>22</v>
      </c>
    </row>
    <row r="149" spans="1:14" x14ac:dyDescent="0.45">
      <c r="A149" s="3" t="s">
        <v>14</v>
      </c>
      <c r="B149" s="3" t="s">
        <v>31</v>
      </c>
      <c r="C149" s="5" t="s">
        <v>162</v>
      </c>
      <c r="D149" s="3" t="s">
        <v>163</v>
      </c>
      <c r="E149" s="3" t="s">
        <v>167</v>
      </c>
      <c r="F149" s="7" t="s">
        <v>168</v>
      </c>
      <c r="G149" t="s">
        <v>166</v>
      </c>
      <c r="H149">
        <v>0</v>
      </c>
      <c r="I149" t="s">
        <v>22</v>
      </c>
      <c r="J149" t="s">
        <v>22</v>
      </c>
      <c r="K149" s="3" t="s">
        <v>22</v>
      </c>
      <c r="L149" s="3" t="s">
        <v>22</v>
      </c>
      <c r="M149" s="3" t="s">
        <v>23</v>
      </c>
      <c r="N149" s="3" t="s">
        <v>22</v>
      </c>
    </row>
    <row r="150" spans="1:14" x14ac:dyDescent="0.45">
      <c r="A150" s="3" t="s">
        <v>14</v>
      </c>
      <c r="B150" s="3" t="s">
        <v>31</v>
      </c>
      <c r="C150" s="5" t="s">
        <v>162</v>
      </c>
      <c r="D150" s="3" t="s">
        <v>163</v>
      </c>
      <c r="E150" s="3" t="s">
        <v>169</v>
      </c>
      <c r="F150" s="7" t="s">
        <v>170</v>
      </c>
      <c r="G150" t="s">
        <v>166</v>
      </c>
      <c r="H150">
        <v>0</v>
      </c>
      <c r="I150" t="s">
        <v>22</v>
      </c>
      <c r="J150" t="s">
        <v>22</v>
      </c>
      <c r="K150" s="3" t="s">
        <v>22</v>
      </c>
      <c r="L150" s="3" t="s">
        <v>22</v>
      </c>
      <c r="M150" s="3" t="s">
        <v>23</v>
      </c>
      <c r="N150" s="3" t="s">
        <v>22</v>
      </c>
    </row>
    <row r="151" spans="1:14" x14ac:dyDescent="0.45">
      <c r="A151" s="3" t="s">
        <v>14</v>
      </c>
      <c r="B151" s="3" t="s">
        <v>31</v>
      </c>
      <c r="C151" s="5" t="s">
        <v>162</v>
      </c>
      <c r="D151" s="3" t="s">
        <v>163</v>
      </c>
      <c r="E151" s="3" t="s">
        <v>171</v>
      </c>
      <c r="F151" s="7" t="s">
        <v>172</v>
      </c>
      <c r="G151" t="s">
        <v>166</v>
      </c>
      <c r="H151">
        <v>0</v>
      </c>
      <c r="I151" t="s">
        <v>22</v>
      </c>
      <c r="J151" t="s">
        <v>22</v>
      </c>
      <c r="K151" s="3" t="s">
        <v>22</v>
      </c>
      <c r="L151" s="3" t="s">
        <v>22</v>
      </c>
      <c r="M151" s="3" t="s">
        <v>23</v>
      </c>
      <c r="N151" s="3" t="s">
        <v>22</v>
      </c>
    </row>
    <row r="152" spans="1:14" x14ac:dyDescent="0.45">
      <c r="A152" s="3" t="s">
        <v>14</v>
      </c>
      <c r="B152" s="3" t="s">
        <v>31</v>
      </c>
      <c r="C152" s="5" t="s">
        <v>162</v>
      </c>
      <c r="D152" s="3" t="s">
        <v>163</v>
      </c>
      <c r="E152" s="3" t="s">
        <v>173</v>
      </c>
      <c r="F152" s="7" t="s">
        <v>174</v>
      </c>
      <c r="G152" t="s">
        <v>166</v>
      </c>
      <c r="H152">
        <v>0</v>
      </c>
      <c r="I152" t="s">
        <v>22</v>
      </c>
      <c r="J152" t="s">
        <v>22</v>
      </c>
      <c r="K152" s="3" t="s">
        <v>22</v>
      </c>
      <c r="L152" s="3" t="s">
        <v>22</v>
      </c>
      <c r="M152" s="3" t="s">
        <v>23</v>
      </c>
      <c r="N152" s="3" t="s">
        <v>22</v>
      </c>
    </row>
    <row r="153" spans="1:14" x14ac:dyDescent="0.45">
      <c r="A153" s="3" t="s">
        <v>14</v>
      </c>
      <c r="B153" s="3" t="s">
        <v>31</v>
      </c>
      <c r="C153" s="5" t="s">
        <v>162</v>
      </c>
      <c r="D153" s="3" t="s">
        <v>163</v>
      </c>
      <c r="E153" s="3" t="s">
        <v>175</v>
      </c>
      <c r="F153" s="7" t="s">
        <v>176</v>
      </c>
      <c r="G153" t="s">
        <v>166</v>
      </c>
      <c r="H153">
        <v>0</v>
      </c>
      <c r="I153" t="s">
        <v>22</v>
      </c>
      <c r="J153" t="s">
        <v>22</v>
      </c>
      <c r="K153" s="3" t="s">
        <v>22</v>
      </c>
      <c r="L153" s="3" t="s">
        <v>22</v>
      </c>
      <c r="M153" s="3" t="s">
        <v>23</v>
      </c>
      <c r="N153" s="3" t="s">
        <v>22</v>
      </c>
    </row>
    <row r="154" spans="1:14" x14ac:dyDescent="0.45">
      <c r="A154" s="3" t="s">
        <v>14</v>
      </c>
      <c r="B154" s="3" t="s">
        <v>31</v>
      </c>
      <c r="C154" s="5" t="s">
        <v>162</v>
      </c>
      <c r="D154" s="3" t="s">
        <v>163</v>
      </c>
      <c r="E154" s="3" t="s">
        <v>177</v>
      </c>
      <c r="F154" s="7" t="s">
        <v>178</v>
      </c>
      <c r="G154" t="s">
        <v>166</v>
      </c>
      <c r="H154">
        <v>0</v>
      </c>
      <c r="I154" t="s">
        <v>22</v>
      </c>
      <c r="J154" t="s">
        <v>22</v>
      </c>
      <c r="K154" s="3" t="s">
        <v>22</v>
      </c>
      <c r="L154" s="3" t="s">
        <v>22</v>
      </c>
      <c r="M154" s="3" t="s">
        <v>23</v>
      </c>
      <c r="N154" s="3" t="s">
        <v>22</v>
      </c>
    </row>
    <row r="155" spans="1:14" x14ac:dyDescent="0.45">
      <c r="A155" s="3" t="s">
        <v>14</v>
      </c>
      <c r="B155" s="3" t="s">
        <v>31</v>
      </c>
      <c r="C155" s="5" t="s">
        <v>179</v>
      </c>
      <c r="D155" s="3" t="s">
        <v>180</v>
      </c>
      <c r="E155" s="3" t="s">
        <v>34</v>
      </c>
      <c r="F155" s="7" t="s">
        <v>35</v>
      </c>
      <c r="G155" t="s">
        <v>181</v>
      </c>
      <c r="H155" t="s">
        <v>22</v>
      </c>
      <c r="I155" t="s">
        <v>22</v>
      </c>
      <c r="J155" t="s">
        <v>22</v>
      </c>
      <c r="K155" s="3" t="s">
        <v>22</v>
      </c>
      <c r="L155" s="3" t="s">
        <v>22</v>
      </c>
      <c r="M155" s="3" t="s">
        <v>23</v>
      </c>
      <c r="N155" s="3" t="s">
        <v>22</v>
      </c>
    </row>
    <row r="156" spans="1:14" x14ac:dyDescent="0.45">
      <c r="A156" s="3" t="s">
        <v>14</v>
      </c>
      <c r="B156" s="3" t="s">
        <v>31</v>
      </c>
      <c r="C156" s="5" t="s">
        <v>179</v>
      </c>
      <c r="D156" s="3" t="s">
        <v>180</v>
      </c>
      <c r="E156" s="3" t="s">
        <v>36</v>
      </c>
      <c r="F156" s="7" t="s">
        <v>37</v>
      </c>
      <c r="G156" t="s">
        <v>181</v>
      </c>
      <c r="H156" t="s">
        <v>22</v>
      </c>
      <c r="I156" t="s">
        <v>22</v>
      </c>
      <c r="J156" t="s">
        <v>22</v>
      </c>
      <c r="K156" s="3" t="s">
        <v>22</v>
      </c>
      <c r="L156" s="3" t="s">
        <v>22</v>
      </c>
      <c r="M156" s="3" t="s">
        <v>23</v>
      </c>
      <c r="N156" s="3" t="s">
        <v>22</v>
      </c>
    </row>
    <row r="157" spans="1:14" x14ac:dyDescent="0.45">
      <c r="A157" s="3" t="s">
        <v>14</v>
      </c>
      <c r="B157" s="3" t="s">
        <v>31</v>
      </c>
      <c r="C157" s="5" t="s">
        <v>179</v>
      </c>
      <c r="D157" s="3" t="s">
        <v>180</v>
      </c>
      <c r="E157" s="3" t="s">
        <v>38</v>
      </c>
      <c r="F157" s="7" t="s">
        <v>39</v>
      </c>
      <c r="G157" t="s">
        <v>182</v>
      </c>
      <c r="H157" t="s">
        <v>22</v>
      </c>
      <c r="I157" t="s">
        <v>22</v>
      </c>
      <c r="J157" t="s">
        <v>22</v>
      </c>
      <c r="K157" s="3" t="s">
        <v>22</v>
      </c>
      <c r="L157" s="3" t="s">
        <v>22</v>
      </c>
      <c r="M157" s="3" t="s">
        <v>23</v>
      </c>
      <c r="N157" s="3" t="s">
        <v>22</v>
      </c>
    </row>
    <row r="158" spans="1:14" x14ac:dyDescent="0.45">
      <c r="A158" s="3" t="s">
        <v>14</v>
      </c>
      <c r="B158" s="3" t="s">
        <v>31</v>
      </c>
      <c r="C158" s="5" t="s">
        <v>179</v>
      </c>
      <c r="D158" s="3" t="s">
        <v>180</v>
      </c>
      <c r="E158" s="3" t="s">
        <v>40</v>
      </c>
      <c r="F158" s="7" t="s">
        <v>41</v>
      </c>
      <c r="G158" t="s">
        <v>182</v>
      </c>
      <c r="H158" t="s">
        <v>22</v>
      </c>
      <c r="I158" t="s">
        <v>22</v>
      </c>
      <c r="J158" t="s">
        <v>22</v>
      </c>
      <c r="K158" s="3" t="s">
        <v>22</v>
      </c>
      <c r="L158" s="3" t="s">
        <v>22</v>
      </c>
      <c r="M158" s="3" t="s">
        <v>23</v>
      </c>
      <c r="N158" s="3" t="s">
        <v>22</v>
      </c>
    </row>
    <row r="159" spans="1:14" x14ac:dyDescent="0.45">
      <c r="A159" s="3" t="s">
        <v>14</v>
      </c>
      <c r="B159" s="3" t="s">
        <v>44</v>
      </c>
      <c r="C159" s="5" t="s">
        <v>183</v>
      </c>
      <c r="D159" s="3" t="s">
        <v>184</v>
      </c>
      <c r="E159" s="3" t="s">
        <v>47</v>
      </c>
      <c r="F159" s="7" t="s">
        <v>48</v>
      </c>
      <c r="G159" t="s">
        <v>185</v>
      </c>
      <c r="H159" t="s">
        <v>22</v>
      </c>
      <c r="I159" t="s">
        <v>22</v>
      </c>
      <c r="J159" t="s">
        <v>22</v>
      </c>
      <c r="K159" s="3" t="s">
        <v>22</v>
      </c>
      <c r="L159" s="3" t="s">
        <v>22</v>
      </c>
      <c r="M159" s="3" t="s">
        <v>23</v>
      </c>
      <c r="N159" s="3" t="s">
        <v>22</v>
      </c>
    </row>
    <row r="160" spans="1:14" x14ac:dyDescent="0.45">
      <c r="A160" s="3" t="s">
        <v>14</v>
      </c>
      <c r="B160" s="3" t="s">
        <v>31</v>
      </c>
      <c r="C160" s="5" t="s">
        <v>186</v>
      </c>
      <c r="D160" s="3" t="s">
        <v>187</v>
      </c>
      <c r="E160" s="3" t="s">
        <v>177</v>
      </c>
      <c r="F160" s="7" t="s">
        <v>178</v>
      </c>
      <c r="G160" t="s">
        <v>188</v>
      </c>
      <c r="H160" t="s">
        <v>22</v>
      </c>
      <c r="I160" t="s">
        <v>22</v>
      </c>
      <c r="J160" t="s">
        <v>22</v>
      </c>
      <c r="K160" s="3" t="s">
        <v>22</v>
      </c>
      <c r="L160" s="3" t="s">
        <v>22</v>
      </c>
      <c r="M160" s="3" t="s">
        <v>23</v>
      </c>
      <c r="N160" s="3" t="s">
        <v>22</v>
      </c>
    </row>
    <row r="161" spans="1:14" x14ac:dyDescent="0.45">
      <c r="A161" s="3" t="s">
        <v>14</v>
      </c>
      <c r="B161" s="3" t="s">
        <v>31</v>
      </c>
      <c r="C161" s="5" t="s">
        <v>186</v>
      </c>
      <c r="D161" s="3" t="s">
        <v>187</v>
      </c>
      <c r="E161" s="3" t="s">
        <v>164</v>
      </c>
      <c r="F161" s="7" t="s">
        <v>165</v>
      </c>
      <c r="G161" t="s">
        <v>189</v>
      </c>
      <c r="H161" t="s">
        <v>22</v>
      </c>
      <c r="I161" t="s">
        <v>22</v>
      </c>
      <c r="J161" t="s">
        <v>22</v>
      </c>
      <c r="K161" s="3" t="s">
        <v>22</v>
      </c>
      <c r="L161" s="3" t="s">
        <v>22</v>
      </c>
      <c r="M161" s="3" t="s">
        <v>23</v>
      </c>
      <c r="N161" s="3" t="s">
        <v>22</v>
      </c>
    </row>
    <row r="162" spans="1:14" x14ac:dyDescent="0.45">
      <c r="A162" s="3" t="s">
        <v>14</v>
      </c>
      <c r="B162" s="3" t="s">
        <v>31</v>
      </c>
      <c r="C162" s="5" t="s">
        <v>186</v>
      </c>
      <c r="D162" s="3" t="s">
        <v>187</v>
      </c>
      <c r="E162" s="3" t="s">
        <v>167</v>
      </c>
      <c r="F162" s="7" t="s">
        <v>168</v>
      </c>
      <c r="G162" t="s">
        <v>190</v>
      </c>
      <c r="H162" t="s">
        <v>22</v>
      </c>
      <c r="I162" t="s">
        <v>22</v>
      </c>
      <c r="J162" t="s">
        <v>22</v>
      </c>
      <c r="K162" s="3" t="s">
        <v>22</v>
      </c>
      <c r="L162" s="3" t="s">
        <v>22</v>
      </c>
      <c r="M162" s="3" t="s">
        <v>23</v>
      </c>
      <c r="N162" s="3" t="s">
        <v>22</v>
      </c>
    </row>
    <row r="163" spans="1:14" x14ac:dyDescent="0.45">
      <c r="A163" s="3" t="s">
        <v>14</v>
      </c>
      <c r="B163" s="3" t="s">
        <v>31</v>
      </c>
      <c r="C163" s="5" t="s">
        <v>186</v>
      </c>
      <c r="D163" s="3" t="s">
        <v>187</v>
      </c>
      <c r="E163" s="3" t="s">
        <v>169</v>
      </c>
      <c r="F163" s="7" t="s">
        <v>170</v>
      </c>
      <c r="G163" t="s">
        <v>191</v>
      </c>
      <c r="H163" t="s">
        <v>22</v>
      </c>
      <c r="I163" t="s">
        <v>22</v>
      </c>
      <c r="J163" t="s">
        <v>22</v>
      </c>
      <c r="K163" s="3" t="s">
        <v>22</v>
      </c>
      <c r="L163" s="3" t="s">
        <v>22</v>
      </c>
      <c r="M163" s="3" t="s">
        <v>23</v>
      </c>
      <c r="N163" s="3" t="s">
        <v>22</v>
      </c>
    </row>
    <row r="164" spans="1:14" x14ac:dyDescent="0.45">
      <c r="A164" s="3" t="s">
        <v>14</v>
      </c>
      <c r="B164" s="3" t="s">
        <v>31</v>
      </c>
      <c r="C164" s="5" t="s">
        <v>186</v>
      </c>
      <c r="D164" s="3" t="s">
        <v>187</v>
      </c>
      <c r="E164" s="3" t="s">
        <v>171</v>
      </c>
      <c r="F164" s="7" t="s">
        <v>172</v>
      </c>
      <c r="G164" t="s">
        <v>191</v>
      </c>
      <c r="H164" t="s">
        <v>22</v>
      </c>
      <c r="I164" t="s">
        <v>22</v>
      </c>
      <c r="J164" t="s">
        <v>22</v>
      </c>
      <c r="K164" s="3" t="s">
        <v>22</v>
      </c>
      <c r="L164" s="3" t="s">
        <v>22</v>
      </c>
      <c r="M164" s="3" t="s">
        <v>23</v>
      </c>
      <c r="N164" s="3" t="s">
        <v>22</v>
      </c>
    </row>
    <row r="165" spans="1:14" x14ac:dyDescent="0.45">
      <c r="A165" s="3" t="s">
        <v>14</v>
      </c>
      <c r="B165" s="3" t="s">
        <v>31</v>
      </c>
      <c r="C165" s="5" t="s">
        <v>186</v>
      </c>
      <c r="D165" s="3" t="s">
        <v>187</v>
      </c>
      <c r="E165" s="3" t="s">
        <v>173</v>
      </c>
      <c r="F165" s="7" t="s">
        <v>174</v>
      </c>
      <c r="G165" t="s">
        <v>192</v>
      </c>
      <c r="H165" t="s">
        <v>22</v>
      </c>
      <c r="I165" t="s">
        <v>22</v>
      </c>
      <c r="J165" t="s">
        <v>22</v>
      </c>
      <c r="K165" s="3" t="s">
        <v>22</v>
      </c>
      <c r="L165" s="3" t="s">
        <v>22</v>
      </c>
      <c r="M165" s="3" t="s">
        <v>23</v>
      </c>
      <c r="N165" s="3" t="s">
        <v>22</v>
      </c>
    </row>
    <row r="166" spans="1:14" x14ac:dyDescent="0.45">
      <c r="A166" s="3" t="s">
        <v>14</v>
      </c>
      <c r="B166" s="3" t="s">
        <v>31</v>
      </c>
      <c r="C166" s="5" t="s">
        <v>186</v>
      </c>
      <c r="D166" s="3" t="s">
        <v>187</v>
      </c>
      <c r="E166" s="3" t="s">
        <v>175</v>
      </c>
      <c r="F166" s="7" t="s">
        <v>176</v>
      </c>
      <c r="G166" t="s">
        <v>192</v>
      </c>
      <c r="H166" t="s">
        <v>22</v>
      </c>
      <c r="I166" t="s">
        <v>22</v>
      </c>
      <c r="J166" t="s">
        <v>22</v>
      </c>
      <c r="K166" s="3" t="s">
        <v>22</v>
      </c>
      <c r="L166" s="3" t="s">
        <v>22</v>
      </c>
      <c r="M166" s="3" t="s">
        <v>23</v>
      </c>
      <c r="N166" s="3" t="s">
        <v>22</v>
      </c>
    </row>
    <row r="167" spans="1:14" x14ac:dyDescent="0.45">
      <c r="A167" s="3" t="s">
        <v>14</v>
      </c>
      <c r="B167" s="3" t="s">
        <v>31</v>
      </c>
      <c r="C167" s="5" t="s">
        <v>193</v>
      </c>
      <c r="D167" s="3" t="s">
        <v>194</v>
      </c>
      <c r="E167" s="3" t="s">
        <v>34</v>
      </c>
      <c r="F167" s="7" t="s">
        <v>35</v>
      </c>
      <c r="G167" t="s">
        <v>22</v>
      </c>
      <c r="H167" t="s">
        <v>22</v>
      </c>
      <c r="I167" t="s">
        <v>22</v>
      </c>
      <c r="J167" t="s">
        <v>22</v>
      </c>
      <c r="K167" s="3" t="s">
        <v>22</v>
      </c>
      <c r="L167" s="3" t="s">
        <v>22</v>
      </c>
      <c r="M167" s="3" t="s">
        <v>23</v>
      </c>
      <c r="N167" s="3" t="s">
        <v>22</v>
      </c>
    </row>
    <row r="168" spans="1:14" x14ac:dyDescent="0.45">
      <c r="A168" s="3" t="s">
        <v>14</v>
      </c>
      <c r="B168" s="3" t="s">
        <v>31</v>
      </c>
      <c r="C168" s="5" t="s">
        <v>193</v>
      </c>
      <c r="D168" s="3" t="s">
        <v>194</v>
      </c>
      <c r="E168" s="3" t="s">
        <v>36</v>
      </c>
      <c r="F168" s="7" t="s">
        <v>37</v>
      </c>
      <c r="G168" t="s">
        <v>22</v>
      </c>
      <c r="H168" t="s">
        <v>22</v>
      </c>
      <c r="I168" t="s">
        <v>22</v>
      </c>
      <c r="J168" t="s">
        <v>22</v>
      </c>
      <c r="K168" s="3" t="s">
        <v>22</v>
      </c>
      <c r="L168" s="3" t="s">
        <v>22</v>
      </c>
      <c r="M168" s="3" t="s">
        <v>23</v>
      </c>
      <c r="N168" s="3" t="s">
        <v>22</v>
      </c>
    </row>
    <row r="169" spans="1:14" x14ac:dyDescent="0.45">
      <c r="A169" s="3" t="s">
        <v>14</v>
      </c>
      <c r="B169" s="3" t="s">
        <v>31</v>
      </c>
      <c r="C169" s="5" t="s">
        <v>193</v>
      </c>
      <c r="D169" s="3" t="s">
        <v>194</v>
      </c>
      <c r="E169" s="3" t="s">
        <v>42</v>
      </c>
      <c r="F169" s="7" t="s">
        <v>43</v>
      </c>
      <c r="G169" t="s">
        <v>22</v>
      </c>
      <c r="H169" t="s">
        <v>22</v>
      </c>
      <c r="I169" t="s">
        <v>22</v>
      </c>
      <c r="J169" t="s">
        <v>22</v>
      </c>
      <c r="K169" s="3" t="s">
        <v>22</v>
      </c>
      <c r="L169" s="3" t="s">
        <v>22</v>
      </c>
      <c r="M169" s="3" t="s">
        <v>23</v>
      </c>
      <c r="N169" s="3" t="s">
        <v>22</v>
      </c>
    </row>
    <row r="170" spans="1:14" x14ac:dyDescent="0.45">
      <c r="A170" s="3" t="s">
        <v>195</v>
      </c>
      <c r="B170" s="3" t="s">
        <v>196</v>
      </c>
      <c r="C170" s="5" t="s">
        <v>22</v>
      </c>
      <c r="D170" s="3" t="s">
        <v>22</v>
      </c>
      <c r="E170" s="3" t="s">
        <v>22</v>
      </c>
      <c r="F170" s="7" t="s">
        <v>22</v>
      </c>
      <c r="G170" t="s">
        <v>22</v>
      </c>
      <c r="H170" t="s">
        <v>22</v>
      </c>
      <c r="I170" t="s">
        <v>22</v>
      </c>
      <c r="J170" t="s">
        <v>22</v>
      </c>
      <c r="K170" s="3" t="s">
        <v>22</v>
      </c>
      <c r="L170" s="3" t="s">
        <v>22</v>
      </c>
      <c r="M170" s="3" t="s">
        <v>23</v>
      </c>
      <c r="N170" s="3" t="s">
        <v>22</v>
      </c>
    </row>
    <row r="171" spans="1:14" x14ac:dyDescent="0.45">
      <c r="A171" s="3" t="s">
        <v>195</v>
      </c>
      <c r="B171" s="3" t="s">
        <v>197</v>
      </c>
      <c r="C171" s="5" t="s">
        <v>22</v>
      </c>
      <c r="D171" s="3" t="s">
        <v>22</v>
      </c>
      <c r="E171" s="3" t="s">
        <v>22</v>
      </c>
      <c r="F171" s="7" t="s">
        <v>22</v>
      </c>
      <c r="G171" t="s">
        <v>22</v>
      </c>
      <c r="H171" t="s">
        <v>22</v>
      </c>
      <c r="I171" t="s">
        <v>22</v>
      </c>
      <c r="J171" t="s">
        <v>22</v>
      </c>
      <c r="K171" s="3" t="s">
        <v>22</v>
      </c>
      <c r="L171" s="3" t="s">
        <v>22</v>
      </c>
      <c r="M171" s="3" t="s">
        <v>23</v>
      </c>
      <c r="N171" s="3" t="s">
        <v>22</v>
      </c>
    </row>
    <row r="172" spans="1:14" x14ac:dyDescent="0.45">
      <c r="A172" s="3" t="s">
        <v>195</v>
      </c>
      <c r="B172" s="3" t="s">
        <v>198</v>
      </c>
      <c r="C172" s="5" t="s">
        <v>22</v>
      </c>
      <c r="D172" s="3" t="s">
        <v>22</v>
      </c>
      <c r="E172" s="3" t="s">
        <v>22</v>
      </c>
      <c r="F172" s="7" t="s">
        <v>22</v>
      </c>
      <c r="G172" t="s">
        <v>22</v>
      </c>
      <c r="H172" t="s">
        <v>22</v>
      </c>
      <c r="I172" t="s">
        <v>22</v>
      </c>
      <c r="J172" t="s">
        <v>22</v>
      </c>
      <c r="K172" s="3" t="s">
        <v>22</v>
      </c>
      <c r="L172" s="3" t="s">
        <v>22</v>
      </c>
      <c r="M172" s="3" t="s">
        <v>23</v>
      </c>
      <c r="N172" s="3" t="s">
        <v>22</v>
      </c>
    </row>
    <row r="173" spans="1:14" x14ac:dyDescent="0.45">
      <c r="A173" s="3" t="s">
        <v>195</v>
      </c>
      <c r="B173" s="3" t="s">
        <v>199</v>
      </c>
      <c r="C173" s="5" t="s">
        <v>22</v>
      </c>
      <c r="D173" s="3" t="s">
        <v>22</v>
      </c>
      <c r="E173" s="3" t="s">
        <v>22</v>
      </c>
      <c r="F173" s="7" t="s">
        <v>22</v>
      </c>
      <c r="G173" t="s">
        <v>22</v>
      </c>
      <c r="H173" t="s">
        <v>22</v>
      </c>
      <c r="I173" t="s">
        <v>22</v>
      </c>
      <c r="J173" t="s">
        <v>22</v>
      </c>
      <c r="K173" s="3" t="s">
        <v>22</v>
      </c>
      <c r="L173" s="3" t="s">
        <v>22</v>
      </c>
      <c r="M173" s="3" t="s">
        <v>23</v>
      </c>
      <c r="N173" s="3" t="s">
        <v>22</v>
      </c>
    </row>
    <row r="174" spans="1:14" x14ac:dyDescent="0.45">
      <c r="A174" s="3" t="s">
        <v>195</v>
      </c>
      <c r="B174" s="3" t="s">
        <v>200</v>
      </c>
      <c r="C174" s="5" t="s">
        <v>22</v>
      </c>
      <c r="D174" s="3" t="s">
        <v>22</v>
      </c>
      <c r="E174" s="3" t="s">
        <v>22</v>
      </c>
      <c r="F174" s="7" t="s">
        <v>22</v>
      </c>
      <c r="G174" t="s">
        <v>22</v>
      </c>
      <c r="H174" t="s">
        <v>22</v>
      </c>
      <c r="I174" t="s">
        <v>22</v>
      </c>
      <c r="J174" t="s">
        <v>22</v>
      </c>
      <c r="K174" s="3" t="s">
        <v>22</v>
      </c>
      <c r="L174" s="3" t="s">
        <v>22</v>
      </c>
      <c r="M174" s="3" t="s">
        <v>23</v>
      </c>
      <c r="N174" s="3" t="s">
        <v>22</v>
      </c>
    </row>
    <row r="175" spans="1:14" x14ac:dyDescent="0.45">
      <c r="A175" s="3" t="s">
        <v>195</v>
      </c>
      <c r="B175" s="3" t="s">
        <v>201</v>
      </c>
      <c r="C175" s="5" t="s">
        <v>22</v>
      </c>
      <c r="D175" s="3" t="s">
        <v>22</v>
      </c>
      <c r="E175" s="3" t="s">
        <v>22</v>
      </c>
      <c r="F175" s="7" t="s">
        <v>22</v>
      </c>
      <c r="G175" t="s">
        <v>22</v>
      </c>
      <c r="H175" t="s">
        <v>22</v>
      </c>
      <c r="I175" t="s">
        <v>22</v>
      </c>
      <c r="J175" t="s">
        <v>22</v>
      </c>
      <c r="K175" s="3" t="s">
        <v>22</v>
      </c>
      <c r="L175" s="3" t="s">
        <v>22</v>
      </c>
      <c r="M175" s="3" t="s">
        <v>23</v>
      </c>
      <c r="N175" s="3" t="s">
        <v>22</v>
      </c>
    </row>
    <row r="176" spans="1:14" x14ac:dyDescent="0.45">
      <c r="A176" s="3" t="s">
        <v>195</v>
      </c>
      <c r="B176" s="3" t="s">
        <v>202</v>
      </c>
      <c r="C176" s="5" t="s">
        <v>22</v>
      </c>
      <c r="D176" s="3" t="s">
        <v>22</v>
      </c>
      <c r="E176" s="3" t="s">
        <v>22</v>
      </c>
      <c r="F176" s="7" t="s">
        <v>22</v>
      </c>
      <c r="G176" t="s">
        <v>22</v>
      </c>
      <c r="H176" t="s">
        <v>22</v>
      </c>
      <c r="I176" t="s">
        <v>22</v>
      </c>
      <c r="J176" t="s">
        <v>22</v>
      </c>
      <c r="K176" s="3" t="s">
        <v>22</v>
      </c>
      <c r="L176" s="3" t="s">
        <v>22</v>
      </c>
      <c r="M176" s="3" t="s">
        <v>23</v>
      </c>
      <c r="N176" s="3" t="s">
        <v>22</v>
      </c>
    </row>
    <row r="177" spans="1:14" x14ac:dyDescent="0.45">
      <c r="A177" s="3" t="s">
        <v>195</v>
      </c>
      <c r="B177" s="3" t="s">
        <v>203</v>
      </c>
      <c r="C177" s="5" t="s">
        <v>22</v>
      </c>
      <c r="D177" s="3" t="s">
        <v>22</v>
      </c>
      <c r="E177" s="3" t="s">
        <v>22</v>
      </c>
      <c r="F177" s="7" t="s">
        <v>22</v>
      </c>
      <c r="G177" t="s">
        <v>22</v>
      </c>
      <c r="H177" t="s">
        <v>22</v>
      </c>
      <c r="I177" t="s">
        <v>22</v>
      </c>
      <c r="J177" t="s">
        <v>22</v>
      </c>
      <c r="K177" s="3" t="s">
        <v>22</v>
      </c>
      <c r="L177" s="3" t="s">
        <v>22</v>
      </c>
      <c r="M177" s="3" t="s">
        <v>23</v>
      </c>
      <c r="N177" s="3" t="s">
        <v>22</v>
      </c>
    </row>
    <row r="178" spans="1:14" x14ac:dyDescent="0.45">
      <c r="A178" s="3" t="s">
        <v>195</v>
      </c>
      <c r="B178" s="3" t="s">
        <v>204</v>
      </c>
      <c r="C178" s="5" t="s">
        <v>22</v>
      </c>
      <c r="D178" s="3" t="s">
        <v>22</v>
      </c>
      <c r="E178" s="3" t="s">
        <v>22</v>
      </c>
      <c r="F178" s="7" t="s">
        <v>22</v>
      </c>
      <c r="G178" t="s">
        <v>22</v>
      </c>
      <c r="H178" t="s">
        <v>22</v>
      </c>
      <c r="I178" t="s">
        <v>22</v>
      </c>
      <c r="J178" t="s">
        <v>22</v>
      </c>
      <c r="K178" s="3" t="s">
        <v>22</v>
      </c>
      <c r="L178" s="3" t="s">
        <v>22</v>
      </c>
      <c r="M178" s="3" t="s">
        <v>23</v>
      </c>
      <c r="N178" s="3" t="s">
        <v>22</v>
      </c>
    </row>
    <row r="179" spans="1:14" x14ac:dyDescent="0.45">
      <c r="A179" s="3" t="s">
        <v>195</v>
      </c>
      <c r="B179" s="3" t="s">
        <v>204</v>
      </c>
      <c r="C179" s="5" t="s">
        <v>22</v>
      </c>
      <c r="D179" s="3" t="s">
        <v>22</v>
      </c>
      <c r="E179" s="3" t="s">
        <v>22</v>
      </c>
      <c r="F179" s="7" t="s">
        <v>22</v>
      </c>
      <c r="G179" t="s">
        <v>22</v>
      </c>
      <c r="H179" t="s">
        <v>22</v>
      </c>
      <c r="I179" t="s">
        <v>22</v>
      </c>
      <c r="J179" t="s">
        <v>22</v>
      </c>
      <c r="K179" s="3" t="s">
        <v>22</v>
      </c>
      <c r="L179" s="3" t="s">
        <v>22</v>
      </c>
      <c r="M179" s="3" t="s">
        <v>23</v>
      </c>
      <c r="N179" s="3" t="s">
        <v>22</v>
      </c>
    </row>
    <row r="180" spans="1:14" x14ac:dyDescent="0.45">
      <c r="A180" s="3" t="s">
        <v>195</v>
      </c>
      <c r="B180" s="3" t="s">
        <v>204</v>
      </c>
      <c r="C180" s="5" t="s">
        <v>22</v>
      </c>
      <c r="D180" s="3" t="s">
        <v>22</v>
      </c>
      <c r="E180" s="3" t="s">
        <v>22</v>
      </c>
      <c r="F180" s="7" t="s">
        <v>22</v>
      </c>
      <c r="G180" t="s">
        <v>22</v>
      </c>
      <c r="H180" t="s">
        <v>22</v>
      </c>
      <c r="I180" t="s">
        <v>22</v>
      </c>
      <c r="J180" t="s">
        <v>22</v>
      </c>
      <c r="K180" s="3" t="s">
        <v>22</v>
      </c>
      <c r="L180" s="3" t="s">
        <v>22</v>
      </c>
      <c r="M180" s="3" t="s">
        <v>23</v>
      </c>
      <c r="N180" s="3" t="s">
        <v>22</v>
      </c>
    </row>
    <row r="181" spans="1:14" x14ac:dyDescent="0.45">
      <c r="A181" s="3" t="s">
        <v>195</v>
      </c>
      <c r="B181" s="3" t="s">
        <v>204</v>
      </c>
      <c r="C181" s="5" t="s">
        <v>22</v>
      </c>
      <c r="D181" s="3" t="s">
        <v>22</v>
      </c>
      <c r="E181" s="3" t="s">
        <v>22</v>
      </c>
      <c r="F181" s="7" t="s">
        <v>22</v>
      </c>
      <c r="G181" t="s">
        <v>22</v>
      </c>
      <c r="H181" t="s">
        <v>22</v>
      </c>
      <c r="I181" t="s">
        <v>22</v>
      </c>
      <c r="J181" t="s">
        <v>22</v>
      </c>
      <c r="K181" s="3" t="s">
        <v>22</v>
      </c>
      <c r="L181" s="3" t="s">
        <v>22</v>
      </c>
      <c r="M181" s="3" t="s">
        <v>23</v>
      </c>
      <c r="N181" s="3" t="s">
        <v>22</v>
      </c>
    </row>
    <row r="182" spans="1:14" x14ac:dyDescent="0.45">
      <c r="A182" s="3" t="s">
        <v>195</v>
      </c>
      <c r="B182" s="3" t="s">
        <v>204</v>
      </c>
      <c r="C182" s="5" t="s">
        <v>22</v>
      </c>
      <c r="D182" s="3" t="s">
        <v>22</v>
      </c>
      <c r="E182" s="3" t="s">
        <v>22</v>
      </c>
      <c r="F182" s="7" t="s">
        <v>22</v>
      </c>
      <c r="G182" t="s">
        <v>22</v>
      </c>
      <c r="H182" t="s">
        <v>22</v>
      </c>
      <c r="I182" t="s">
        <v>22</v>
      </c>
      <c r="J182" t="s">
        <v>22</v>
      </c>
      <c r="K182" s="3" t="s">
        <v>22</v>
      </c>
      <c r="L182" s="3" t="s">
        <v>22</v>
      </c>
      <c r="M182" s="3" t="s">
        <v>23</v>
      </c>
      <c r="N182" s="3" t="s">
        <v>22</v>
      </c>
    </row>
    <row r="183" spans="1:14" x14ac:dyDescent="0.45">
      <c r="A183" s="3" t="s">
        <v>195</v>
      </c>
      <c r="B183" s="3" t="s">
        <v>204</v>
      </c>
      <c r="C183" s="5" t="s">
        <v>22</v>
      </c>
      <c r="D183" s="3" t="s">
        <v>22</v>
      </c>
      <c r="E183" s="3" t="s">
        <v>22</v>
      </c>
      <c r="F183" s="7" t="s">
        <v>22</v>
      </c>
      <c r="G183" t="s">
        <v>22</v>
      </c>
      <c r="H183" t="s">
        <v>22</v>
      </c>
      <c r="I183" t="s">
        <v>22</v>
      </c>
      <c r="J183" t="s">
        <v>22</v>
      </c>
      <c r="K183" s="3" t="s">
        <v>22</v>
      </c>
      <c r="L183" s="3" t="s">
        <v>22</v>
      </c>
      <c r="M183" s="3" t="s">
        <v>23</v>
      </c>
      <c r="N183" s="3" t="s">
        <v>22</v>
      </c>
    </row>
    <row r="184" spans="1:14" x14ac:dyDescent="0.45">
      <c r="A184" s="3" t="s">
        <v>195</v>
      </c>
      <c r="B184" s="3" t="s">
        <v>204</v>
      </c>
      <c r="C184" s="5" t="s">
        <v>22</v>
      </c>
      <c r="D184" s="3" t="s">
        <v>22</v>
      </c>
      <c r="E184" s="3" t="s">
        <v>22</v>
      </c>
      <c r="F184" s="7" t="s">
        <v>22</v>
      </c>
      <c r="G184" t="s">
        <v>22</v>
      </c>
      <c r="H184" t="s">
        <v>22</v>
      </c>
      <c r="I184" t="s">
        <v>22</v>
      </c>
      <c r="J184" t="s">
        <v>22</v>
      </c>
      <c r="K184" s="3" t="s">
        <v>22</v>
      </c>
      <c r="L184" s="3" t="s">
        <v>22</v>
      </c>
      <c r="M184" s="3" t="s">
        <v>23</v>
      </c>
      <c r="N184" s="3" t="s">
        <v>22</v>
      </c>
    </row>
  </sheetData>
  <conditionalFormatting sqref="A1:A1048576">
    <cfRule type="containsText" dxfId="2" priority="1" operator="containsText" text="Service Not Available In APRL">
      <formula>NOT(ISERROR(SEARCH("Service Not Available In APRL",A1)))</formula>
    </cfRule>
    <cfRule type="containsText" dxfId="1" priority="2" operator="containsText" text="Query under development">
      <formula>NOT(ISERROR(SEARCH("Query under development",A1)))</formula>
    </cfRule>
    <cfRule type="containsText" dxfId="0" priority="3" operator="containsText" text="IMPORTANT">
      <formula>NOT(ISERROR(SEARCH("IMPORTANT",A1)))</formula>
    </cfRule>
  </conditionalFormatting>
  <hyperlinks>
    <hyperlink ref="G11" r:id="rId1" xr:uid="{00000000-0004-0000-0100-000000000000}"/>
    <hyperlink ref="H11" r:id="rId2" xr:uid="{00000000-0004-0000-0100-000001000000}"/>
    <hyperlink ref="I11" r:id="rId3" xr:uid="{00000000-0004-0000-0100-000002000000}"/>
    <hyperlink ref="G12" r:id="rId4" xr:uid="{00000000-0004-0000-0100-000003000000}"/>
    <hyperlink ref="H12" r:id="rId5" xr:uid="{00000000-0004-0000-0100-000004000000}"/>
    <hyperlink ref="I12" r:id="rId6" xr:uid="{00000000-0004-0000-0100-000005000000}"/>
    <hyperlink ref="G13" r:id="rId7" xr:uid="{00000000-0004-0000-0100-000006000000}"/>
    <hyperlink ref="H13" r:id="rId8" xr:uid="{00000000-0004-0000-0100-000007000000}"/>
    <hyperlink ref="I13" r:id="rId9" xr:uid="{00000000-0004-0000-0100-000008000000}"/>
    <hyperlink ref="G14" r:id="rId10" xr:uid="{00000000-0004-0000-0100-000009000000}"/>
    <hyperlink ref="H14" r:id="rId11" xr:uid="{00000000-0004-0000-0100-00000A000000}"/>
    <hyperlink ref="I14" r:id="rId12" xr:uid="{00000000-0004-0000-0100-00000B000000}"/>
    <hyperlink ref="G15" r:id="rId13" xr:uid="{00000000-0004-0000-0100-00000C000000}"/>
    <hyperlink ref="H15" r:id="rId14" xr:uid="{00000000-0004-0000-0100-00000D000000}"/>
    <hyperlink ref="I15" r:id="rId15" xr:uid="{00000000-0004-0000-0100-00000E000000}"/>
    <hyperlink ref="G16" r:id="rId16" xr:uid="{00000000-0004-0000-0100-00000F000000}"/>
    <hyperlink ref="H16" r:id="rId17" xr:uid="{00000000-0004-0000-0100-000010000000}"/>
    <hyperlink ref="I16" r:id="rId18" xr:uid="{00000000-0004-0000-0100-000011000000}"/>
    <hyperlink ref="G17" r:id="rId19" xr:uid="{00000000-0004-0000-0100-000012000000}"/>
    <hyperlink ref="H17" r:id="rId20" xr:uid="{00000000-0004-0000-0100-000013000000}"/>
    <hyperlink ref="I17" r:id="rId21" xr:uid="{00000000-0004-0000-0100-000014000000}"/>
    <hyperlink ref="G18" r:id="rId22" xr:uid="{00000000-0004-0000-0100-000015000000}"/>
    <hyperlink ref="H18" r:id="rId23" xr:uid="{00000000-0004-0000-0100-000016000000}"/>
    <hyperlink ref="I18" r:id="rId24" xr:uid="{00000000-0004-0000-0100-000017000000}"/>
    <hyperlink ref="G19" r:id="rId25" xr:uid="{00000000-0004-0000-0100-000018000000}"/>
    <hyperlink ref="H19" r:id="rId26" xr:uid="{00000000-0004-0000-0100-000019000000}"/>
    <hyperlink ref="I19" r:id="rId27" xr:uid="{00000000-0004-0000-0100-00001A000000}"/>
    <hyperlink ref="G20" r:id="rId28" xr:uid="{00000000-0004-0000-0100-00001B000000}"/>
    <hyperlink ref="H20" r:id="rId29" xr:uid="{00000000-0004-0000-0100-00001C000000}"/>
    <hyperlink ref="I20" r:id="rId30" xr:uid="{00000000-0004-0000-0100-00001D000000}"/>
    <hyperlink ref="G58" r:id="rId31" xr:uid="{00000000-0004-0000-0100-00001E000000}"/>
    <hyperlink ref="I58" r:id="rId32" xr:uid="{00000000-0004-0000-0100-00001F000000}"/>
    <hyperlink ref="G59" r:id="rId33" xr:uid="{00000000-0004-0000-0100-000020000000}"/>
    <hyperlink ref="I59" r:id="rId34" xr:uid="{00000000-0004-0000-0100-000021000000}"/>
    <hyperlink ref="G60" r:id="rId35" xr:uid="{00000000-0004-0000-0100-000022000000}"/>
    <hyperlink ref="G61" r:id="rId36" xr:uid="{00000000-0004-0000-0100-000023000000}"/>
    <hyperlink ref="G62" r:id="rId37" xr:uid="{00000000-0004-0000-0100-000024000000}"/>
    <hyperlink ref="I62" r:id="rId38" xr:uid="{00000000-0004-0000-0100-000025000000}"/>
    <hyperlink ref="G63" r:id="rId39" xr:uid="{00000000-0004-0000-0100-000026000000}"/>
    <hyperlink ref="I63" r:id="rId40" xr:uid="{00000000-0004-0000-0100-000027000000}"/>
    <hyperlink ref="G64" r:id="rId41" xr:uid="{00000000-0004-0000-0100-000028000000}"/>
    <hyperlink ref="G65" r:id="rId42" xr:uid="{00000000-0004-0000-0100-000029000000}"/>
    <hyperlink ref="G66" r:id="rId43" xr:uid="{00000000-0004-0000-0100-00002A000000}"/>
    <hyperlink ref="G67" r:id="rId44" xr:uid="{00000000-0004-0000-0100-00002B000000}"/>
    <hyperlink ref="G68" r:id="rId45" xr:uid="{00000000-0004-0000-0100-00002C000000}"/>
    <hyperlink ref="I68" r:id="rId46" xr:uid="{00000000-0004-0000-0100-00002D000000}"/>
    <hyperlink ref="G69" r:id="rId47" xr:uid="{00000000-0004-0000-0100-00002E000000}"/>
    <hyperlink ref="I69" r:id="rId48" xr:uid="{00000000-0004-0000-0100-00002F000000}"/>
    <hyperlink ref="G70" r:id="rId49" xr:uid="{00000000-0004-0000-0100-000030000000}"/>
    <hyperlink ref="G71" r:id="rId50" xr:uid="{00000000-0004-0000-0100-000031000000}"/>
    <hyperlink ref="G72" r:id="rId51" xr:uid="{00000000-0004-0000-0100-000032000000}"/>
    <hyperlink ref="I72" r:id="rId52" xr:uid="{00000000-0004-0000-0100-000033000000}"/>
    <hyperlink ref="G73" r:id="rId53" xr:uid="{00000000-0004-0000-0100-000034000000}"/>
    <hyperlink ref="I73" r:id="rId54" xr:uid="{00000000-0004-0000-0100-000035000000}"/>
    <hyperlink ref="G74" r:id="rId55" xr:uid="{00000000-0004-0000-0100-000036000000}"/>
    <hyperlink ref="I74" r:id="rId56" xr:uid="{00000000-0004-0000-0100-000037000000}"/>
    <hyperlink ref="G75" r:id="rId57" xr:uid="{00000000-0004-0000-0100-000038000000}"/>
    <hyperlink ref="I75" r:id="rId58" xr:uid="{00000000-0004-0000-0100-000039000000}"/>
    <hyperlink ref="G76" r:id="rId59" xr:uid="{00000000-0004-0000-0100-00003A000000}"/>
    <hyperlink ref="I76" r:id="rId60" xr:uid="{00000000-0004-0000-0100-00003B000000}"/>
    <hyperlink ref="G77" r:id="rId61" xr:uid="{00000000-0004-0000-0100-00003C000000}"/>
    <hyperlink ref="I77" r:id="rId62" xr:uid="{00000000-0004-0000-0100-00003D000000}"/>
    <hyperlink ref="G78" r:id="rId63" xr:uid="{00000000-0004-0000-0100-00003E000000}"/>
    <hyperlink ref="G79" r:id="rId64" xr:uid="{00000000-0004-0000-0100-00003F000000}"/>
    <hyperlink ref="G80" r:id="rId65" xr:uid="{00000000-0004-0000-0100-000040000000}"/>
    <hyperlink ref="I80" r:id="rId66" xr:uid="{00000000-0004-0000-0100-000041000000}"/>
    <hyperlink ref="G81" r:id="rId67" xr:uid="{00000000-0004-0000-0100-000042000000}"/>
    <hyperlink ref="G82" r:id="rId68" xr:uid="{00000000-0004-0000-0100-000043000000}"/>
    <hyperlink ref="G83" r:id="rId69" xr:uid="{00000000-0004-0000-0100-000044000000}"/>
    <hyperlink ref="I83" r:id="rId70" xr:uid="{00000000-0004-0000-0100-000045000000}"/>
    <hyperlink ref="G84" r:id="rId71" xr:uid="{00000000-0004-0000-0100-000046000000}"/>
    <hyperlink ref="G85" r:id="rId72" xr:uid="{00000000-0004-0000-0100-000047000000}"/>
    <hyperlink ref="I85" r:id="rId73" xr:uid="{00000000-0004-0000-0100-000048000000}"/>
    <hyperlink ref="G86" r:id="rId74" xr:uid="{00000000-0004-0000-0100-000049000000}"/>
    <hyperlink ref="G87" r:id="rId75" xr:uid="{00000000-0004-0000-0100-00004A000000}"/>
    <hyperlink ref="I87" r:id="rId76" xr:uid="{00000000-0004-0000-0100-00004B000000}"/>
    <hyperlink ref="G88" r:id="rId77" xr:uid="{00000000-0004-0000-0100-00004C000000}"/>
    <hyperlink ref="I88" r:id="rId78" xr:uid="{00000000-0004-0000-0100-00004D000000}"/>
    <hyperlink ref="G89" r:id="rId79" xr:uid="{00000000-0004-0000-0100-00004E000000}"/>
    <hyperlink ref="I89" r:id="rId80" xr:uid="{00000000-0004-0000-0100-00004F000000}"/>
    <hyperlink ref="G90" r:id="rId81" xr:uid="{00000000-0004-0000-0100-000050000000}"/>
    <hyperlink ref="I90" r:id="rId82" xr:uid="{00000000-0004-0000-0100-000051000000}"/>
    <hyperlink ref="G91" r:id="rId83" xr:uid="{00000000-0004-0000-0100-000052000000}"/>
    <hyperlink ref="G92" r:id="rId84" xr:uid="{00000000-0004-0000-0100-000053000000}"/>
    <hyperlink ref="G93" r:id="rId85" xr:uid="{00000000-0004-0000-0100-000054000000}"/>
    <hyperlink ref="I93" r:id="rId86" xr:uid="{00000000-0004-0000-0100-000055000000}"/>
    <hyperlink ref="G94" r:id="rId87" xr:uid="{00000000-0004-0000-0100-000056000000}"/>
    <hyperlink ref="I94" r:id="rId88" xr:uid="{00000000-0004-0000-0100-000057000000}"/>
    <hyperlink ref="G95" r:id="rId89" xr:uid="{00000000-0004-0000-0100-000058000000}"/>
    <hyperlink ref="G96" r:id="rId90" xr:uid="{00000000-0004-0000-0100-000059000000}"/>
    <hyperlink ref="I96" r:id="rId91" xr:uid="{00000000-0004-0000-0100-00005A000000}"/>
    <hyperlink ref="G97" r:id="rId92" xr:uid="{00000000-0004-0000-0100-00005B000000}"/>
    <hyperlink ref="I97" r:id="rId93" xr:uid="{00000000-0004-0000-0100-00005C000000}"/>
    <hyperlink ref="G98" r:id="rId94" xr:uid="{00000000-0004-0000-0100-00005D000000}"/>
    <hyperlink ref="G99" r:id="rId95" xr:uid="{00000000-0004-0000-0100-00005E000000}"/>
    <hyperlink ref="G100" r:id="rId96" xr:uid="{00000000-0004-0000-0100-00005F000000}"/>
    <hyperlink ref="I100" r:id="rId97" xr:uid="{00000000-0004-0000-0100-000060000000}"/>
    <hyperlink ref="G101" r:id="rId98" xr:uid="{00000000-0004-0000-0100-000061000000}"/>
    <hyperlink ref="I101" r:id="rId99" xr:uid="{00000000-0004-0000-0100-000062000000}"/>
    <hyperlink ref="G102" r:id="rId100" xr:uid="{00000000-0004-0000-0100-000063000000}"/>
    <hyperlink ref="G103" r:id="rId101" xr:uid="{00000000-0004-0000-0100-000064000000}"/>
    <hyperlink ref="G104" r:id="rId102" xr:uid="{00000000-0004-0000-0100-000065000000}"/>
    <hyperlink ref="G105" r:id="rId103" xr:uid="{00000000-0004-0000-0100-000066000000}"/>
    <hyperlink ref="I105" r:id="rId104" xr:uid="{00000000-0004-0000-0100-000067000000}"/>
    <hyperlink ref="G106" r:id="rId105" xr:uid="{00000000-0004-0000-0100-000068000000}"/>
    <hyperlink ref="I106" r:id="rId106" xr:uid="{00000000-0004-0000-0100-000069000000}"/>
    <hyperlink ref="G107" r:id="rId107" xr:uid="{00000000-0004-0000-0100-00006A000000}"/>
    <hyperlink ref="I107" r:id="rId108" xr:uid="{00000000-0004-0000-0100-00006B000000}"/>
    <hyperlink ref="G108" r:id="rId109" xr:uid="{00000000-0004-0000-0100-00006C000000}"/>
    <hyperlink ref="G109" r:id="rId110" xr:uid="{00000000-0004-0000-0100-00006D000000}"/>
    <hyperlink ref="G110" r:id="rId111" xr:uid="{00000000-0004-0000-0100-00006E000000}"/>
    <hyperlink ref="G111" r:id="rId112" xr:uid="{00000000-0004-0000-0100-00006F000000}"/>
    <hyperlink ref="I111" r:id="rId113" xr:uid="{00000000-0004-0000-0100-000070000000}"/>
    <hyperlink ref="G112" r:id="rId114" xr:uid="{00000000-0004-0000-0100-000071000000}"/>
    <hyperlink ref="G113" r:id="rId115" xr:uid="{00000000-0004-0000-0100-000072000000}"/>
    <hyperlink ref="I113" r:id="rId116" xr:uid="{00000000-0004-0000-0100-000073000000}"/>
    <hyperlink ref="G114" r:id="rId117" xr:uid="{00000000-0004-0000-0100-000074000000}"/>
    <hyperlink ref="I114" r:id="rId118" xr:uid="{00000000-0004-0000-0100-000075000000}"/>
    <hyperlink ref="G115" r:id="rId119" xr:uid="{00000000-0004-0000-0100-000076000000}"/>
    <hyperlink ref="G116" r:id="rId120" xr:uid="{00000000-0004-0000-0100-000077000000}"/>
    <hyperlink ref="G117" r:id="rId121" xr:uid="{00000000-0004-0000-0100-000078000000}"/>
    <hyperlink ref="I117" r:id="rId122" xr:uid="{00000000-0004-0000-0100-000079000000}"/>
    <hyperlink ref="G118" r:id="rId123" xr:uid="{00000000-0004-0000-0100-00007A000000}"/>
    <hyperlink ref="I118" r:id="rId124" xr:uid="{00000000-0004-0000-0100-00007B000000}"/>
    <hyperlink ref="G119" r:id="rId125" xr:uid="{00000000-0004-0000-0100-00007C000000}"/>
    <hyperlink ref="I119" r:id="rId126" xr:uid="{00000000-0004-0000-0100-00007D000000}"/>
    <hyperlink ref="G120" r:id="rId127" xr:uid="{00000000-0004-0000-0100-00007E000000}"/>
    <hyperlink ref="I120" r:id="rId128" xr:uid="{00000000-0004-0000-0100-00007F000000}"/>
    <hyperlink ref="G121" r:id="rId129" xr:uid="{00000000-0004-0000-0100-000080000000}"/>
    <hyperlink ref="I121" r:id="rId130" xr:uid="{00000000-0004-0000-0100-000081000000}"/>
    <hyperlink ref="G122" r:id="rId131" xr:uid="{00000000-0004-0000-0100-000082000000}"/>
    <hyperlink ref="G123" r:id="rId132" xr:uid="{00000000-0004-0000-0100-000083000000}"/>
    <hyperlink ref="I123" r:id="rId133" xr:uid="{00000000-0004-0000-0100-000084000000}"/>
    <hyperlink ref="G124" r:id="rId134" xr:uid="{00000000-0004-0000-0100-000085000000}"/>
    <hyperlink ref="G125" r:id="rId135" xr:uid="{00000000-0004-0000-0100-000086000000}"/>
    <hyperlink ref="G126" r:id="rId136" xr:uid="{00000000-0004-0000-0100-000087000000}"/>
    <hyperlink ref="G127" r:id="rId137" xr:uid="{00000000-0004-0000-0100-000088000000}"/>
    <hyperlink ref="I127" r:id="rId138" xr:uid="{00000000-0004-0000-0100-000089000000}"/>
    <hyperlink ref="G128" r:id="rId139" xr:uid="{00000000-0004-0000-0100-00008A000000}"/>
    <hyperlink ref="I128" r:id="rId140" xr:uid="{00000000-0004-0000-0100-00008B000000}"/>
    <hyperlink ref="G129" r:id="rId141" xr:uid="{00000000-0004-0000-0100-00008C000000}"/>
    <hyperlink ref="I129" r:id="rId142" xr:uid="{00000000-0004-0000-0100-00008D000000}"/>
    <hyperlink ref="G130" r:id="rId143" xr:uid="{00000000-0004-0000-0100-00008E000000}"/>
    <hyperlink ref="G131" r:id="rId144" xr:uid="{00000000-0004-0000-0100-00008F000000}"/>
    <hyperlink ref="I131" r:id="rId145" xr:uid="{00000000-0004-0000-0100-000090000000}"/>
    <hyperlink ref="G132" r:id="rId146" xr:uid="{00000000-0004-0000-0100-000091000000}"/>
    <hyperlink ref="I132" r:id="rId147" xr:uid="{00000000-0004-0000-0100-000092000000}"/>
    <hyperlink ref="G133" r:id="rId148" xr:uid="{00000000-0004-0000-0100-000093000000}"/>
    <hyperlink ref="I133" r:id="rId149" xr:uid="{00000000-0004-0000-0100-000094000000}"/>
    <hyperlink ref="G134" r:id="rId150" xr:uid="{00000000-0004-0000-0100-000095000000}"/>
    <hyperlink ref="I134" r:id="rId151" xr:uid="{00000000-0004-0000-0100-000096000000}"/>
    <hyperlink ref="G135" r:id="rId152" xr:uid="{00000000-0004-0000-0100-000097000000}"/>
    <hyperlink ref="G136" r:id="rId153" xr:uid="{00000000-0004-0000-0100-000098000000}"/>
    <hyperlink ref="G137" r:id="rId154" xr:uid="{00000000-0004-0000-0100-000099000000}"/>
    <hyperlink ref="I137" r:id="rId155" xr:uid="{00000000-0004-0000-0100-00009A000000}"/>
    <hyperlink ref="G138" r:id="rId156" xr:uid="{00000000-0004-0000-0100-00009B000000}"/>
    <hyperlink ref="G139" r:id="rId157" xr:uid="{00000000-0004-0000-0100-00009C000000}"/>
    <hyperlink ref="I139" r:id="rId158" xr:uid="{00000000-0004-0000-0100-00009D000000}"/>
    <hyperlink ref="G140" r:id="rId159" xr:uid="{00000000-0004-0000-0100-00009E000000}"/>
    <hyperlink ref="G141" r:id="rId160" xr:uid="{00000000-0004-0000-0100-00009F000000}"/>
    <hyperlink ref="I141" r:id="rId161" xr:uid="{00000000-0004-0000-0100-0000A0000000}"/>
  </hyperlinks>
  <pageMargins left="0.7" right="0.7" top="0.75" bottom="0.75" header="0.3" footer="0.3"/>
  <tableParts count="1">
    <tablePart r:id="rId16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heetViews>
  <sheetFormatPr defaultRowHeight="14.25" x14ac:dyDescent="0.45"/>
  <cols>
    <col min="1" max="1" width="32.73046875" style="3" customWidth="1"/>
    <col min="2" max="2" width="43.1328125" style="3" customWidth="1"/>
    <col min="3" max="3" width="22.86328125" style="3" customWidth="1"/>
    <col min="4" max="4" width="20.1328125" style="3" customWidth="1"/>
    <col min="5" max="7" width="11.59765625" style="3" customWidth="1"/>
  </cols>
  <sheetData>
    <row r="1" spans="1:7" x14ac:dyDescent="0.45">
      <c r="A1" s="4" t="s">
        <v>205</v>
      </c>
      <c r="B1" s="4" t="s">
        <v>206</v>
      </c>
      <c r="C1" s="4" t="s">
        <v>207</v>
      </c>
      <c r="D1" s="4" t="s">
        <v>208</v>
      </c>
      <c r="E1" s="4" t="s">
        <v>209</v>
      </c>
      <c r="F1" s="4" t="s">
        <v>210</v>
      </c>
      <c r="G1" s="4" t="s">
        <v>211</v>
      </c>
    </row>
    <row r="2" spans="1:7" x14ac:dyDescent="0.45">
      <c r="A2" s="3" t="s">
        <v>212</v>
      </c>
      <c r="B2" s="3" t="s">
        <v>204</v>
      </c>
      <c r="C2" s="3">
        <v>66</v>
      </c>
      <c r="D2" s="3" t="s">
        <v>213</v>
      </c>
      <c r="E2" s="3" t="s">
        <v>22</v>
      </c>
      <c r="F2" s="3" t="s">
        <v>22</v>
      </c>
      <c r="G2" s="3" t="s">
        <v>22</v>
      </c>
    </row>
    <row r="3" spans="1:7" x14ac:dyDescent="0.45">
      <c r="A3" s="3" t="s">
        <v>212</v>
      </c>
      <c r="B3" s="3" t="s">
        <v>203</v>
      </c>
      <c r="C3" s="3">
        <v>7</v>
      </c>
      <c r="D3" s="3" t="s">
        <v>213</v>
      </c>
      <c r="E3" s="3" t="s">
        <v>22</v>
      </c>
      <c r="F3" s="3" t="s">
        <v>22</v>
      </c>
      <c r="G3" s="3" t="s">
        <v>22</v>
      </c>
    </row>
    <row r="4" spans="1:7" x14ac:dyDescent="0.45">
      <c r="A4" s="3" t="s">
        <v>212</v>
      </c>
      <c r="B4" s="3" t="s">
        <v>214</v>
      </c>
      <c r="C4" s="3">
        <v>6</v>
      </c>
      <c r="D4" s="3" t="s">
        <v>215</v>
      </c>
      <c r="E4" s="3" t="s">
        <v>22</v>
      </c>
      <c r="F4" s="3" t="s">
        <v>22</v>
      </c>
      <c r="G4" s="3" t="s">
        <v>22</v>
      </c>
    </row>
    <row r="5" spans="1:7" x14ac:dyDescent="0.45">
      <c r="A5" s="3" t="s">
        <v>212</v>
      </c>
      <c r="B5" s="3" t="s">
        <v>202</v>
      </c>
      <c r="C5" s="3">
        <v>5</v>
      </c>
      <c r="D5" s="3" t="s">
        <v>213</v>
      </c>
      <c r="E5" s="3" t="s">
        <v>22</v>
      </c>
      <c r="F5" s="3" t="s">
        <v>22</v>
      </c>
      <c r="G5" s="3" t="s">
        <v>22</v>
      </c>
    </row>
    <row r="6" spans="1:7" x14ac:dyDescent="0.45">
      <c r="A6" s="3" t="s">
        <v>212</v>
      </c>
      <c r="B6" s="3" t="s">
        <v>216</v>
      </c>
      <c r="C6" s="3">
        <v>5</v>
      </c>
      <c r="D6" s="3" t="s">
        <v>215</v>
      </c>
      <c r="E6" s="3" t="s">
        <v>22</v>
      </c>
      <c r="F6" s="3" t="s">
        <v>22</v>
      </c>
      <c r="G6" s="3" t="s">
        <v>22</v>
      </c>
    </row>
    <row r="7" spans="1:7" x14ac:dyDescent="0.45">
      <c r="A7" s="3" t="s">
        <v>212</v>
      </c>
      <c r="B7" s="3" t="s">
        <v>217</v>
      </c>
      <c r="C7" s="3">
        <v>2</v>
      </c>
      <c r="D7" s="3" t="s">
        <v>215</v>
      </c>
      <c r="E7" s="3" t="s">
        <v>22</v>
      </c>
      <c r="F7" s="3" t="s">
        <v>22</v>
      </c>
      <c r="G7" s="3" t="s">
        <v>22</v>
      </c>
    </row>
    <row r="8" spans="1:7" x14ac:dyDescent="0.45">
      <c r="A8" s="3" t="s">
        <v>212</v>
      </c>
      <c r="B8" s="3" t="s">
        <v>201</v>
      </c>
      <c r="C8" s="3">
        <v>2</v>
      </c>
      <c r="D8" s="3" t="s">
        <v>213</v>
      </c>
      <c r="E8" s="3" t="s">
        <v>22</v>
      </c>
      <c r="F8" s="3" t="s">
        <v>22</v>
      </c>
      <c r="G8" s="3" t="s">
        <v>22</v>
      </c>
    </row>
    <row r="9" spans="1:7" x14ac:dyDescent="0.45">
      <c r="A9" s="3" t="s">
        <v>212</v>
      </c>
      <c r="B9" s="3" t="s">
        <v>200</v>
      </c>
      <c r="C9" s="3">
        <v>2</v>
      </c>
      <c r="D9" s="3" t="s">
        <v>213</v>
      </c>
      <c r="E9" s="3" t="s">
        <v>22</v>
      </c>
      <c r="F9" s="3" t="s">
        <v>22</v>
      </c>
      <c r="G9" s="3" t="s">
        <v>22</v>
      </c>
    </row>
    <row r="10" spans="1:7" x14ac:dyDescent="0.45">
      <c r="A10" s="3" t="s">
        <v>212</v>
      </c>
      <c r="B10" s="3" t="s">
        <v>199</v>
      </c>
      <c r="C10" s="3">
        <v>2</v>
      </c>
      <c r="D10" s="3" t="s">
        <v>213</v>
      </c>
      <c r="E10" s="3" t="s">
        <v>22</v>
      </c>
      <c r="F10" s="3" t="s">
        <v>22</v>
      </c>
      <c r="G10" s="3" t="s">
        <v>22</v>
      </c>
    </row>
    <row r="11" spans="1:7" x14ac:dyDescent="0.45">
      <c r="A11" s="3" t="s">
        <v>212</v>
      </c>
      <c r="B11" s="3" t="s">
        <v>198</v>
      </c>
      <c r="C11" s="3">
        <v>1</v>
      </c>
      <c r="D11" s="3" t="s">
        <v>213</v>
      </c>
      <c r="E11" s="3" t="s">
        <v>22</v>
      </c>
      <c r="F11" s="3" t="s">
        <v>22</v>
      </c>
      <c r="G11" s="3" t="s">
        <v>22</v>
      </c>
    </row>
    <row r="12" spans="1:7" x14ac:dyDescent="0.45">
      <c r="A12" s="3" t="s">
        <v>212</v>
      </c>
      <c r="B12" s="3" t="s">
        <v>218</v>
      </c>
      <c r="C12" s="3">
        <v>1</v>
      </c>
      <c r="D12" s="3" t="s">
        <v>215</v>
      </c>
      <c r="E12" s="3" t="s">
        <v>22</v>
      </c>
      <c r="F12" s="3" t="s">
        <v>22</v>
      </c>
      <c r="G12" s="3" t="s">
        <v>22</v>
      </c>
    </row>
    <row r="13" spans="1:7" x14ac:dyDescent="0.45">
      <c r="A13" s="3" t="s">
        <v>212</v>
      </c>
      <c r="B13" s="3" t="s">
        <v>197</v>
      </c>
      <c r="C13" s="3">
        <v>1</v>
      </c>
      <c r="D13" s="3" t="s">
        <v>213</v>
      </c>
      <c r="E13" s="3" t="s">
        <v>22</v>
      </c>
      <c r="F13" s="3" t="s">
        <v>22</v>
      </c>
      <c r="G13" s="3" t="s">
        <v>22</v>
      </c>
    </row>
    <row r="14" spans="1:7" x14ac:dyDescent="0.45">
      <c r="A14" s="3" t="s">
        <v>212</v>
      </c>
      <c r="B14" s="3" t="s">
        <v>219</v>
      </c>
      <c r="C14" s="3">
        <v>1</v>
      </c>
      <c r="D14" s="3" t="s">
        <v>215</v>
      </c>
      <c r="E14" s="3" t="s">
        <v>22</v>
      </c>
      <c r="F14" s="3" t="s">
        <v>22</v>
      </c>
      <c r="G14" s="3" t="s">
        <v>22</v>
      </c>
    </row>
    <row r="15" spans="1:7" x14ac:dyDescent="0.45">
      <c r="A15" s="3" t="s">
        <v>212</v>
      </c>
      <c r="B15" s="3" t="s">
        <v>196</v>
      </c>
      <c r="C15" s="3">
        <v>1</v>
      </c>
      <c r="D15" s="3" t="s">
        <v>213</v>
      </c>
      <c r="E15" s="3" t="s">
        <v>22</v>
      </c>
      <c r="F15" s="3" t="s">
        <v>22</v>
      </c>
      <c r="G15" s="3" t="s">
        <v>22</v>
      </c>
    </row>
    <row r="16" spans="1:7" x14ac:dyDescent="0.45">
      <c r="A16" s="3" t="s">
        <v>212</v>
      </c>
      <c r="B16" s="3" t="s">
        <v>220</v>
      </c>
      <c r="C16" s="3">
        <v>1</v>
      </c>
      <c r="D16" s="3" t="s">
        <v>215</v>
      </c>
      <c r="E16" s="3" t="s">
        <v>22</v>
      </c>
      <c r="F16" s="3" t="s">
        <v>22</v>
      </c>
      <c r="G16" s="3" t="s">
        <v>22</v>
      </c>
    </row>
    <row r="17" spans="1:7" x14ac:dyDescent="0.45">
      <c r="A17" s="3" t="s">
        <v>212</v>
      </c>
      <c r="B17" s="3" t="s">
        <v>221</v>
      </c>
      <c r="C17" s="3">
        <v>1</v>
      </c>
      <c r="D17" s="3" t="s">
        <v>215</v>
      </c>
      <c r="E17" s="3" t="s">
        <v>22</v>
      </c>
      <c r="F17" s="3" t="s">
        <v>22</v>
      </c>
      <c r="G17" s="3" t="s">
        <v>22</v>
      </c>
    </row>
    <row r="18" spans="1:7" x14ac:dyDescent="0.45">
      <c r="A18" s="3" t="s">
        <v>212</v>
      </c>
      <c r="B18" s="3" t="s">
        <v>222</v>
      </c>
      <c r="C18" s="3">
        <v>1</v>
      </c>
      <c r="D18" s="3" t="s">
        <v>215</v>
      </c>
      <c r="E18" s="3" t="s">
        <v>22</v>
      </c>
      <c r="F18" s="3" t="s">
        <v>22</v>
      </c>
      <c r="G18" s="3"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heetViews>
  <sheetFormatPr defaultRowHeight="14.25" x14ac:dyDescent="0.45"/>
  <cols>
    <col min="1" max="1" width="50" style="10" customWidth="1"/>
    <col min="2" max="5" width="25" style="10" customWidth="1"/>
    <col min="6" max="6" width="30" style="10" customWidth="1"/>
    <col min="7" max="7" width="70" style="10" customWidth="1"/>
    <col min="8" max="8" width="80" style="10" customWidth="1"/>
    <col min="9" max="10" width="90" style="10" customWidth="1"/>
  </cols>
  <sheetData>
    <row r="1" spans="1:10" x14ac:dyDescent="0.45">
      <c r="A1" s="9" t="s">
        <v>205</v>
      </c>
      <c r="B1" s="9" t="s">
        <v>223</v>
      </c>
      <c r="C1" s="9" t="s">
        <v>224</v>
      </c>
      <c r="D1" s="9" t="s">
        <v>225</v>
      </c>
      <c r="E1" s="9" t="s">
        <v>226</v>
      </c>
      <c r="F1" s="9" t="s">
        <v>227</v>
      </c>
      <c r="G1" s="9" t="s">
        <v>228</v>
      </c>
      <c r="H1" s="9" t="s">
        <v>229</v>
      </c>
      <c r="I1" s="9" t="s">
        <v>230</v>
      </c>
      <c r="J1" s="9" t="s">
        <v>231</v>
      </c>
    </row>
    <row r="2" spans="1:10" ht="99.75" x14ac:dyDescent="0.45">
      <c r="A2" s="10" t="s">
        <v>232</v>
      </c>
      <c r="B2" s="10" t="s">
        <v>233</v>
      </c>
      <c r="C2" s="10" t="s">
        <v>234</v>
      </c>
      <c r="D2" s="10" t="s">
        <v>235</v>
      </c>
      <c r="E2" s="10" t="s">
        <v>236</v>
      </c>
      <c r="F2" s="10" t="s">
        <v>237</v>
      </c>
      <c r="G2" s="10" t="s">
        <v>238</v>
      </c>
      <c r="H2" s="10" t="s">
        <v>239</v>
      </c>
      <c r="I2" s="10" t="s">
        <v>240</v>
      </c>
      <c r="J2" s="10" t="s">
        <v>241</v>
      </c>
    </row>
    <row r="3" spans="1:10" ht="142.5" x14ac:dyDescent="0.45">
      <c r="A3" s="10" t="s">
        <v>232</v>
      </c>
      <c r="B3" s="10" t="s">
        <v>242</v>
      </c>
      <c r="C3" s="10" t="s">
        <v>234</v>
      </c>
      <c r="D3" s="10" t="s">
        <v>243</v>
      </c>
      <c r="E3" s="10" t="s">
        <v>244</v>
      </c>
      <c r="F3" s="10" t="s">
        <v>237</v>
      </c>
      <c r="G3" s="10" t="s">
        <v>245</v>
      </c>
      <c r="H3" s="10" t="s">
        <v>246</v>
      </c>
      <c r="I3" s="10" t="s">
        <v>247</v>
      </c>
      <c r="J3" s="10" t="s">
        <v>248</v>
      </c>
    </row>
    <row r="4" spans="1:10" ht="128.25" x14ac:dyDescent="0.45">
      <c r="A4" s="10" t="s">
        <v>232</v>
      </c>
      <c r="B4" s="10" t="s">
        <v>249</v>
      </c>
      <c r="C4" s="10" t="s">
        <v>234</v>
      </c>
      <c r="D4" s="10" t="s">
        <v>250</v>
      </c>
      <c r="E4" s="10" t="s">
        <v>251</v>
      </c>
      <c r="F4" s="10" t="s">
        <v>252</v>
      </c>
      <c r="G4" s="10" t="s">
        <v>253</v>
      </c>
      <c r="H4" s="10" t="s">
        <v>254</v>
      </c>
      <c r="I4" s="10" t="s">
        <v>255</v>
      </c>
      <c r="J4" s="10" t="s">
        <v>256</v>
      </c>
    </row>
    <row r="5" spans="1:10" ht="185.25" x14ac:dyDescent="0.45">
      <c r="A5" s="10" t="s">
        <v>232</v>
      </c>
      <c r="B5" s="10" t="s">
        <v>257</v>
      </c>
      <c r="C5" s="10" t="s">
        <v>234</v>
      </c>
      <c r="D5" s="10" t="s">
        <v>258</v>
      </c>
      <c r="E5" s="10" t="s">
        <v>259</v>
      </c>
      <c r="F5" s="10" t="s">
        <v>260</v>
      </c>
      <c r="G5" s="10" t="s">
        <v>261</v>
      </c>
      <c r="H5" s="10" t="s">
        <v>262</v>
      </c>
      <c r="I5" s="10" t="s">
        <v>263</v>
      </c>
      <c r="J5" s="10" t="s">
        <v>264</v>
      </c>
    </row>
    <row r="6" spans="1:10" ht="185.25" x14ac:dyDescent="0.45">
      <c r="A6" s="10" t="s">
        <v>232</v>
      </c>
      <c r="B6" s="10" t="s">
        <v>265</v>
      </c>
      <c r="C6" s="10" t="s">
        <v>234</v>
      </c>
      <c r="D6" s="10" t="s">
        <v>266</v>
      </c>
      <c r="E6" s="10" t="s">
        <v>236</v>
      </c>
      <c r="F6" s="10" t="s">
        <v>260</v>
      </c>
      <c r="G6" s="10" t="s">
        <v>267</v>
      </c>
      <c r="H6" s="10" t="s">
        <v>268</v>
      </c>
      <c r="I6" s="10" t="s">
        <v>269</v>
      </c>
      <c r="J6" s="10" t="s">
        <v>270</v>
      </c>
    </row>
    <row r="7" spans="1:10" ht="99.75" x14ac:dyDescent="0.45">
      <c r="A7" s="10" t="s">
        <v>232</v>
      </c>
      <c r="B7" s="10" t="s">
        <v>271</v>
      </c>
      <c r="C7" s="10" t="s">
        <v>234</v>
      </c>
      <c r="D7" s="10" t="s">
        <v>272</v>
      </c>
      <c r="E7" s="10" t="s">
        <v>251</v>
      </c>
      <c r="F7" s="10" t="s">
        <v>273</v>
      </c>
      <c r="G7" s="10" t="s">
        <v>274</v>
      </c>
      <c r="H7" s="10" t="s">
        <v>275</v>
      </c>
      <c r="I7" s="10" t="s">
        <v>276</v>
      </c>
      <c r="J7" s="10" t="s">
        <v>277</v>
      </c>
    </row>
    <row r="8" spans="1:10" ht="270.75" x14ac:dyDescent="0.45">
      <c r="A8" s="10" t="s">
        <v>232</v>
      </c>
      <c r="B8" s="10" t="s">
        <v>278</v>
      </c>
      <c r="C8" s="10" t="s">
        <v>234</v>
      </c>
      <c r="D8" s="10" t="s">
        <v>279</v>
      </c>
      <c r="E8" s="10" t="s">
        <v>251</v>
      </c>
      <c r="F8" s="10" t="s">
        <v>280</v>
      </c>
      <c r="G8" s="10" t="s">
        <v>281</v>
      </c>
      <c r="H8" s="10" t="s">
        <v>282</v>
      </c>
      <c r="I8" s="10" t="s">
        <v>283</v>
      </c>
      <c r="J8" s="10" t="s">
        <v>284</v>
      </c>
    </row>
    <row r="9" spans="1:10" ht="185.25" x14ac:dyDescent="0.45">
      <c r="A9" s="10" t="s">
        <v>232</v>
      </c>
      <c r="B9" s="10" t="s">
        <v>285</v>
      </c>
      <c r="C9" s="10" t="s">
        <v>234</v>
      </c>
      <c r="D9" s="10" t="s">
        <v>286</v>
      </c>
      <c r="E9" s="10" t="s">
        <v>244</v>
      </c>
      <c r="F9" s="10" t="s">
        <v>287</v>
      </c>
      <c r="G9" s="10" t="s">
        <v>288</v>
      </c>
      <c r="H9" s="10" t="s">
        <v>289</v>
      </c>
      <c r="I9" s="10" t="s">
        <v>290</v>
      </c>
      <c r="J9" s="10" t="s">
        <v>291</v>
      </c>
    </row>
    <row r="10" spans="1:10" ht="185.25" x14ac:dyDescent="0.45">
      <c r="A10" s="10" t="s">
        <v>232</v>
      </c>
      <c r="B10" s="10" t="s">
        <v>292</v>
      </c>
      <c r="C10" s="10" t="s">
        <v>234</v>
      </c>
      <c r="D10" s="10" t="s">
        <v>293</v>
      </c>
      <c r="E10" s="10" t="s">
        <v>294</v>
      </c>
      <c r="F10" s="10" t="s">
        <v>295</v>
      </c>
      <c r="G10" s="10" t="s">
        <v>296</v>
      </c>
      <c r="H10" s="10" t="s">
        <v>297</v>
      </c>
      <c r="I10" s="10" t="s">
        <v>298</v>
      </c>
      <c r="J10" s="10" t="s">
        <v>299</v>
      </c>
    </row>
    <row r="11" spans="1:10" ht="185.25" x14ac:dyDescent="0.45">
      <c r="A11" s="10" t="s">
        <v>232</v>
      </c>
      <c r="B11" s="10" t="s">
        <v>300</v>
      </c>
      <c r="C11" s="10" t="s">
        <v>234</v>
      </c>
      <c r="D11" s="10" t="s">
        <v>301</v>
      </c>
      <c r="E11" s="10" t="s">
        <v>302</v>
      </c>
      <c r="F11" s="10" t="s">
        <v>303</v>
      </c>
      <c r="G11" s="10" t="s">
        <v>304</v>
      </c>
      <c r="H11" s="10" t="s">
        <v>305</v>
      </c>
      <c r="I11" s="10" t="s">
        <v>306</v>
      </c>
      <c r="J11" s="10" t="s">
        <v>307</v>
      </c>
    </row>
    <row r="12" spans="1:10" ht="171" x14ac:dyDescent="0.45">
      <c r="A12" s="10" t="s">
        <v>232</v>
      </c>
      <c r="B12" s="10" t="s">
        <v>308</v>
      </c>
      <c r="C12" s="10" t="s">
        <v>234</v>
      </c>
      <c r="D12" s="10" t="s">
        <v>309</v>
      </c>
      <c r="E12" s="10" t="s">
        <v>310</v>
      </c>
      <c r="F12" s="10" t="s">
        <v>311</v>
      </c>
      <c r="G12" s="10" t="s">
        <v>312</v>
      </c>
      <c r="H12" s="10" t="s">
        <v>313</v>
      </c>
      <c r="I12" s="10" t="s">
        <v>314</v>
      </c>
      <c r="J12" s="10" t="s">
        <v>315</v>
      </c>
    </row>
    <row r="13" spans="1:10" ht="99.75" x14ac:dyDescent="0.45">
      <c r="A13" s="10" t="s">
        <v>232</v>
      </c>
      <c r="B13" s="10" t="s">
        <v>316</v>
      </c>
      <c r="C13" s="10" t="s">
        <v>234</v>
      </c>
      <c r="D13" s="10" t="s">
        <v>317</v>
      </c>
      <c r="E13" s="10" t="s">
        <v>318</v>
      </c>
      <c r="F13" s="10" t="s">
        <v>319</v>
      </c>
      <c r="G13" s="10" t="s">
        <v>320</v>
      </c>
      <c r="H13" s="10" t="s">
        <v>321</v>
      </c>
      <c r="I13" s="10" t="s">
        <v>322</v>
      </c>
      <c r="J13" s="10" t="s">
        <v>323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2"/>
  <sheetViews>
    <sheetView workbookViewId="0"/>
  </sheetViews>
  <sheetFormatPr defaultRowHeight="14.25" x14ac:dyDescent="0.45"/>
  <cols>
    <col min="1" max="1" width="48.73046875" bestFit="1" customWidth="1"/>
    <col min="2" max="2" width="15.265625" bestFit="1" customWidth="1"/>
    <col min="3" max="3" width="7.9296875" bestFit="1" customWidth="1"/>
    <col min="4" max="4" width="4.19921875" bestFit="1" customWidth="1"/>
    <col min="5" max="5" width="10.46484375" bestFit="1" customWidth="1"/>
    <col min="8" max="8" width="25" bestFit="1" customWidth="1"/>
    <col min="9" max="9" width="15.265625" bestFit="1" customWidth="1"/>
    <col min="10" max="10" width="7.9296875" bestFit="1" customWidth="1"/>
    <col min="11" max="11" width="4.19921875" bestFit="1" customWidth="1"/>
    <col min="12" max="12" width="10.46484375" bestFit="1" customWidth="1"/>
  </cols>
  <sheetData>
    <row r="1" spans="1:12" x14ac:dyDescent="0.45">
      <c r="A1" s="12" t="s">
        <v>324</v>
      </c>
      <c r="B1" t="s">
        <v>213</v>
      </c>
      <c r="H1" s="12" t="s">
        <v>324</v>
      </c>
      <c r="I1" t="s">
        <v>213</v>
      </c>
    </row>
    <row r="3" spans="1:12" x14ac:dyDescent="0.45">
      <c r="A3" s="12" t="s">
        <v>753</v>
      </c>
      <c r="B3" s="12" t="s">
        <v>750</v>
      </c>
      <c r="H3" s="12" t="s">
        <v>749</v>
      </c>
      <c r="I3" s="12" t="s">
        <v>750</v>
      </c>
    </row>
    <row r="4" spans="1:12" x14ac:dyDescent="0.45">
      <c r="A4" s="12" t="s">
        <v>751</v>
      </c>
      <c r="B4" t="s">
        <v>342</v>
      </c>
      <c r="C4" t="s">
        <v>350</v>
      </c>
      <c r="D4" t="s">
        <v>358</v>
      </c>
      <c r="E4" t="s">
        <v>752</v>
      </c>
      <c r="H4" s="12" t="s">
        <v>751</v>
      </c>
      <c r="I4" t="s">
        <v>342</v>
      </c>
      <c r="J4" t="s">
        <v>350</v>
      </c>
      <c r="K4" t="s">
        <v>358</v>
      </c>
      <c r="L4" t="s">
        <v>752</v>
      </c>
    </row>
    <row r="5" spans="1:12" x14ac:dyDescent="0.45">
      <c r="A5" s="7" t="s">
        <v>338</v>
      </c>
      <c r="B5" s="15">
        <v>11</v>
      </c>
      <c r="C5" s="15">
        <v>7</v>
      </c>
      <c r="D5" s="15">
        <v>7</v>
      </c>
      <c r="E5" s="15">
        <v>25</v>
      </c>
      <c r="H5" s="7" t="s">
        <v>341</v>
      </c>
      <c r="I5" s="15">
        <v>8</v>
      </c>
      <c r="J5" s="15">
        <v>2</v>
      </c>
      <c r="K5" s="15"/>
      <c r="L5" s="15">
        <v>10</v>
      </c>
    </row>
    <row r="6" spans="1:12" x14ac:dyDescent="0.45">
      <c r="A6" s="13" t="s">
        <v>340</v>
      </c>
      <c r="B6" s="15">
        <v>3</v>
      </c>
      <c r="C6" s="15">
        <v>4</v>
      </c>
      <c r="D6" s="15">
        <v>5</v>
      </c>
      <c r="E6" s="15">
        <v>12</v>
      </c>
      <c r="H6" s="7" t="s">
        <v>349</v>
      </c>
      <c r="I6" s="15"/>
      <c r="J6" s="15">
        <v>2</v>
      </c>
      <c r="K6" s="15"/>
      <c r="L6" s="15">
        <v>2</v>
      </c>
    </row>
    <row r="7" spans="1:12" x14ac:dyDescent="0.45">
      <c r="A7" s="13" t="s">
        <v>434</v>
      </c>
      <c r="B7" s="15">
        <v>1</v>
      </c>
      <c r="C7" s="15">
        <v>1</v>
      </c>
      <c r="D7" s="15">
        <v>1</v>
      </c>
      <c r="E7" s="15">
        <v>3</v>
      </c>
      <c r="H7" s="7" t="s">
        <v>357</v>
      </c>
      <c r="I7" s="15">
        <v>1</v>
      </c>
      <c r="J7" s="15">
        <v>2</v>
      </c>
      <c r="K7" s="15">
        <v>3</v>
      </c>
      <c r="L7" s="15">
        <v>6</v>
      </c>
    </row>
    <row r="8" spans="1:12" x14ac:dyDescent="0.45">
      <c r="A8" s="13" t="s">
        <v>474</v>
      </c>
      <c r="B8" s="15">
        <v>4</v>
      </c>
      <c r="C8" s="15">
        <v>1</v>
      </c>
      <c r="D8" s="15"/>
      <c r="E8" s="15">
        <v>5</v>
      </c>
      <c r="H8" s="7" t="s">
        <v>367</v>
      </c>
      <c r="I8" s="15"/>
      <c r="J8" s="15"/>
      <c r="K8" s="15">
        <v>1</v>
      </c>
      <c r="L8" s="15">
        <v>1</v>
      </c>
    </row>
    <row r="9" spans="1:12" x14ac:dyDescent="0.45">
      <c r="A9" s="13" t="s">
        <v>501</v>
      </c>
      <c r="B9" s="15">
        <v>1</v>
      </c>
      <c r="C9" s="15"/>
      <c r="D9" s="15"/>
      <c r="E9" s="15">
        <v>1</v>
      </c>
      <c r="H9" s="7" t="s">
        <v>377</v>
      </c>
      <c r="I9" s="15">
        <v>1</v>
      </c>
      <c r="J9" s="15">
        <v>1</v>
      </c>
      <c r="K9" s="15">
        <v>1</v>
      </c>
      <c r="L9" s="15">
        <v>3</v>
      </c>
    </row>
    <row r="10" spans="1:12" x14ac:dyDescent="0.45">
      <c r="A10" s="13" t="s">
        <v>529</v>
      </c>
      <c r="B10" s="15">
        <v>1</v>
      </c>
      <c r="C10" s="15">
        <v>1</v>
      </c>
      <c r="D10" s="15">
        <v>1</v>
      </c>
      <c r="E10" s="15">
        <v>3</v>
      </c>
      <c r="H10" s="7" t="s">
        <v>407</v>
      </c>
      <c r="I10" s="15">
        <v>1</v>
      </c>
      <c r="J10" s="15"/>
      <c r="K10" s="15">
        <v>2</v>
      </c>
      <c r="L10" s="15">
        <v>3</v>
      </c>
    </row>
    <row r="11" spans="1:12" x14ac:dyDescent="0.45">
      <c r="A11" s="13" t="s">
        <v>562</v>
      </c>
      <c r="B11" s="15">
        <v>1</v>
      </c>
      <c r="C11" s="15"/>
      <c r="D11" s="15"/>
      <c r="E11" s="15">
        <v>1</v>
      </c>
      <c r="H11" s="7" t="s">
        <v>752</v>
      </c>
      <c r="I11" s="15">
        <v>11</v>
      </c>
      <c r="J11" s="15">
        <v>7</v>
      </c>
      <c r="K11" s="15">
        <v>7</v>
      </c>
      <c r="L11" s="15">
        <v>25</v>
      </c>
    </row>
    <row r="12" spans="1:12" x14ac:dyDescent="0.45">
      <c r="A12" s="7" t="s">
        <v>752</v>
      </c>
      <c r="B12" s="15">
        <v>11</v>
      </c>
      <c r="C12" s="15">
        <v>7</v>
      </c>
      <c r="D12" s="15">
        <v>7</v>
      </c>
      <c r="E12" s="15">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
  <sheetViews>
    <sheetView workbookViewId="0">
      <selection sqref="A1:G1"/>
    </sheetView>
  </sheetViews>
  <sheetFormatPr defaultRowHeight="14.25" x14ac:dyDescent="0.45"/>
  <sheetData>
    <row r="1" spans="1:7" x14ac:dyDescent="0.45">
      <c r="A1" s="14" t="s">
        <v>748</v>
      </c>
      <c r="B1" s="14"/>
      <c r="C1" s="14"/>
      <c r="D1" s="14"/>
      <c r="E1" s="14"/>
      <c r="F1" s="14"/>
      <c r="G1" s="14"/>
    </row>
  </sheetData>
  <mergeCells count="1">
    <mergeCell ref="A1:G1"/>
  </mergeCells>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Recommendations</vt:lpstr>
      <vt:lpstr>ImpactedResources</vt:lpstr>
      <vt:lpstr>ResourceTypes</vt:lpstr>
      <vt:lpstr>Retirements</vt:lpstr>
      <vt:lpstr>PivotTable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Reis Santos (AZURE)</cp:lastModifiedBy>
  <dcterms:modified xsi:type="dcterms:W3CDTF">2024-05-13T18:11:25Z</dcterms:modified>
</cp:coreProperties>
</file>