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s\source\repos\azure-deployment-coe\code\infrastructure\scripts\ps\azure\config\"/>
    </mc:Choice>
  </mc:AlternateContent>
  <xr:revisionPtr revIDLastSave="0" documentId="13_ncr:1_{F4DE24BC-E4A4-417D-AF72-502FA6FC50D0}" xr6:coauthVersionLast="45" xr6:coauthVersionMax="45" xr10:uidLastSave="{00000000-0000-0000-0000-000000000000}"/>
  <bookViews>
    <workbookView xWindow="-103" yWindow="-103" windowWidth="33120" windowHeight="18274" tabRatio="843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Approver">Metadata!#REF!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Owner">Metadata!#REF!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quester">Metadata!#REF!</definedName>
    <definedName name="resource_Group_Name">'Resource Groups'!$A$2:INDEX('Resource Groups'!$A$2:$A$972,COUNTIF('Resource Groups'!$A$2:$A$972,"&lt;&gt;"&amp;""))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'Az-storage-account'!$A$2:INDEX('Az-storage-account'!$A$2:$A$947,COUNTIF('Az-storage-account'!$A$2:$A$947,"&lt;&gt;"&amp;""))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87" l="1"/>
  <c r="N2" i="87"/>
  <c r="M2" i="87"/>
  <c r="L2" i="87"/>
  <c r="J2" i="87"/>
  <c r="I2" i="87"/>
  <c r="H2" i="87"/>
  <c r="G2" i="87"/>
  <c r="F2" i="87"/>
  <c r="E2" i="87"/>
  <c r="N2" i="29"/>
  <c r="N3" i="29"/>
  <c r="M2" i="29"/>
  <c r="M3" i="29"/>
  <c r="L2" i="29"/>
  <c r="L3" i="29"/>
  <c r="K2" i="29"/>
  <c r="K3" i="29"/>
  <c r="I2" i="29"/>
  <c r="I3" i="29"/>
  <c r="H2" i="29"/>
  <c r="H3" i="29"/>
  <c r="G2" i="29"/>
  <c r="G3" i="29"/>
  <c r="F2" i="29"/>
  <c r="F3" i="29"/>
  <c r="E2" i="29"/>
  <c r="E3" i="29"/>
  <c r="D2" i="29"/>
  <c r="D3" i="29"/>
  <c r="D2" i="97"/>
  <c r="B2" i="95"/>
  <c r="E2" i="101"/>
  <c r="E2" i="106"/>
  <c r="A2" i="103"/>
  <c r="A2" i="100"/>
  <c r="C2" i="106"/>
  <c r="E2" i="105"/>
  <c r="C2" i="95"/>
  <c r="B2" i="106"/>
  <c r="A2" i="110"/>
  <c r="B2" i="97"/>
  <c r="C2" i="104"/>
  <c r="A2" i="114"/>
  <c r="C2" i="99"/>
  <c r="C2" i="23"/>
  <c r="A2" i="106"/>
  <c r="B2" i="100"/>
  <c r="A2" i="97"/>
  <c r="A3" i="29"/>
  <c r="A2" i="101"/>
  <c r="A2" i="99"/>
  <c r="C2" i="113"/>
  <c r="B2" i="33"/>
  <c r="A2" i="29"/>
  <c r="B2" i="114"/>
  <c r="D2" i="106"/>
  <c r="A2" i="111"/>
  <c r="A2" i="109"/>
  <c r="A2" i="105"/>
  <c r="B2" i="111"/>
  <c r="B2" i="105"/>
  <c r="B2" i="103"/>
  <c r="D2" i="104"/>
  <c r="B2" i="23"/>
  <c r="A2" i="95"/>
  <c r="B2" i="109"/>
  <c r="A2" i="113"/>
  <c r="A2" i="33"/>
  <c r="B2" i="113"/>
  <c r="B2" i="102"/>
  <c r="B2" i="112"/>
  <c r="E2" i="102"/>
  <c r="C2" i="105"/>
  <c r="C2" i="111"/>
  <c r="B2" i="110"/>
  <c r="A2" i="112"/>
  <c r="A2" i="104"/>
  <c r="B2" i="104"/>
  <c r="Q2" i="105" l="1"/>
  <c r="P2" i="105"/>
  <c r="O2" i="105"/>
  <c r="N2" i="105"/>
  <c r="L2" i="105"/>
  <c r="K2" i="105"/>
  <c r="J2" i="105"/>
  <c r="I2" i="105"/>
  <c r="H2" i="105"/>
  <c r="G2" i="105"/>
  <c r="P2" i="104"/>
  <c r="O2" i="104"/>
  <c r="N2" i="104"/>
  <c r="M2" i="104"/>
  <c r="K2" i="104"/>
  <c r="J2" i="104"/>
  <c r="I2" i="104"/>
  <c r="H2" i="104"/>
  <c r="G2" i="104"/>
  <c r="F2" i="104"/>
  <c r="Q2" i="103"/>
  <c r="P2" i="103"/>
  <c r="O2" i="103"/>
  <c r="N2" i="103"/>
  <c r="L2" i="103"/>
  <c r="K2" i="103"/>
  <c r="J2" i="103"/>
  <c r="I2" i="103"/>
  <c r="H2" i="103"/>
  <c r="G2" i="103"/>
  <c r="O2" i="99"/>
  <c r="N2" i="99"/>
  <c r="M2" i="99"/>
  <c r="L2" i="99"/>
  <c r="J2" i="99"/>
  <c r="I2" i="99"/>
  <c r="H2" i="99"/>
  <c r="G2" i="99"/>
  <c r="F2" i="99"/>
  <c r="E2" i="99"/>
  <c r="Q2" i="102"/>
  <c r="P2" i="102"/>
  <c r="O2" i="102"/>
  <c r="N2" i="102"/>
  <c r="L2" i="102"/>
  <c r="K2" i="102"/>
  <c r="J2" i="102"/>
  <c r="I2" i="102"/>
  <c r="H2" i="102"/>
  <c r="G2" i="102"/>
  <c r="Q2" i="101"/>
  <c r="P2" i="101"/>
  <c r="O2" i="101"/>
  <c r="N2" i="101"/>
  <c r="L2" i="101"/>
  <c r="K2" i="101"/>
  <c r="J2" i="101"/>
  <c r="I2" i="101"/>
  <c r="H2" i="101"/>
  <c r="G2" i="101"/>
  <c r="D2" i="100"/>
  <c r="N2" i="100"/>
  <c r="E2" i="100"/>
  <c r="F2" i="100"/>
  <c r="G2" i="100"/>
  <c r="H2" i="100"/>
  <c r="I2" i="100"/>
  <c r="K2" i="100"/>
  <c r="L2" i="100"/>
  <c r="M2" i="100"/>
  <c r="P2" i="23"/>
  <c r="O2" i="23"/>
  <c r="N2" i="23"/>
  <c r="M2" i="23"/>
  <c r="K2" i="23"/>
  <c r="J2" i="23"/>
  <c r="I2" i="23"/>
  <c r="H2" i="23"/>
  <c r="G2" i="23"/>
  <c r="F2" i="23"/>
  <c r="P2" i="95"/>
  <c r="O2" i="95"/>
  <c r="N2" i="95"/>
  <c r="M2" i="95"/>
  <c r="K2" i="95"/>
  <c r="J2" i="95"/>
  <c r="I2" i="95"/>
  <c r="H2" i="95"/>
  <c r="G2" i="95"/>
  <c r="F2" i="95"/>
  <c r="S2" i="106"/>
  <c r="R2" i="106"/>
  <c r="Q2" i="106"/>
  <c r="P2" i="106"/>
  <c r="N2" i="106"/>
  <c r="M2" i="106"/>
  <c r="L2" i="106"/>
  <c r="K2" i="106"/>
  <c r="J2" i="106"/>
  <c r="I2" i="106"/>
  <c r="O2" i="109"/>
  <c r="N2" i="109"/>
  <c r="M2" i="109"/>
  <c r="L2" i="109"/>
  <c r="J2" i="109"/>
  <c r="I2" i="109"/>
  <c r="H2" i="109"/>
  <c r="G2" i="109"/>
  <c r="F2" i="109"/>
  <c r="E2" i="109"/>
  <c r="N2" i="112"/>
  <c r="M2" i="112"/>
  <c r="L2" i="112"/>
  <c r="K2" i="112"/>
  <c r="I2" i="112"/>
  <c r="H2" i="112"/>
  <c r="G2" i="112"/>
  <c r="F2" i="112"/>
  <c r="E2" i="112"/>
  <c r="D2" i="112"/>
  <c r="O2" i="113"/>
  <c r="N2" i="113"/>
  <c r="M2" i="113"/>
  <c r="L2" i="113"/>
  <c r="J2" i="113"/>
  <c r="I2" i="113"/>
  <c r="H2" i="113"/>
  <c r="G2" i="113"/>
  <c r="F2" i="113"/>
  <c r="E2" i="113"/>
  <c r="O2" i="110"/>
  <c r="N2" i="110"/>
  <c r="M2" i="110"/>
  <c r="L2" i="110"/>
  <c r="J2" i="110"/>
  <c r="I2" i="110"/>
  <c r="H2" i="110"/>
  <c r="G2" i="110"/>
  <c r="F2" i="110"/>
  <c r="E2" i="110"/>
  <c r="O2" i="111"/>
  <c r="N2" i="111"/>
  <c r="M2" i="111"/>
  <c r="L2" i="111"/>
  <c r="J2" i="111"/>
  <c r="I2" i="111"/>
  <c r="H2" i="111"/>
  <c r="G2" i="111"/>
  <c r="F2" i="111"/>
  <c r="E2" i="111"/>
  <c r="P2" i="33"/>
  <c r="O2" i="33"/>
  <c r="N2" i="33"/>
  <c r="M2" i="33"/>
  <c r="K2" i="33"/>
  <c r="J2" i="33"/>
  <c r="I2" i="33"/>
  <c r="H2" i="33"/>
  <c r="G2" i="33"/>
  <c r="F2" i="33"/>
  <c r="Q2" i="114"/>
  <c r="P2" i="114"/>
  <c r="O2" i="114"/>
  <c r="N2" i="114"/>
  <c r="L2" i="114"/>
  <c r="K2" i="114"/>
  <c r="J2" i="114"/>
  <c r="I2" i="114"/>
  <c r="H2" i="114"/>
  <c r="G2" i="114"/>
  <c r="A2" i="102"/>
  <c r="E2" i="103"/>
  <c r="F2" i="2" l="1"/>
  <c r="N2" i="97"/>
  <c r="M2" i="97"/>
  <c r="L2" i="97"/>
  <c r="K2" i="97"/>
  <c r="I2" i="97"/>
  <c r="H2" i="97"/>
  <c r="G2" i="97"/>
  <c r="F2" i="97"/>
  <c r="E2" i="97"/>
  <c r="H22" i="96"/>
  <c r="J3" i="29" s="1"/>
  <c r="H21" i="96"/>
  <c r="A2" i="2"/>
  <c r="B2" i="2"/>
  <c r="J2" i="97" l="1"/>
  <c r="J2" i="29"/>
  <c r="K2" i="87"/>
  <c r="M2" i="102"/>
  <c r="J2" i="100"/>
  <c r="L2" i="23"/>
  <c r="L2" i="33"/>
  <c r="M2" i="103"/>
  <c r="K2" i="109"/>
  <c r="K2" i="110"/>
  <c r="M2" i="101"/>
  <c r="M2" i="105"/>
  <c r="L2" i="95"/>
  <c r="M2" i="114"/>
  <c r="K2" i="111"/>
  <c r="L2" i="104"/>
  <c r="O2" i="106"/>
  <c r="K2" i="113"/>
  <c r="K2" i="99"/>
  <c r="J2" i="112"/>
  <c r="J2" i="2"/>
  <c r="L2" i="2"/>
  <c r="M2" i="2"/>
  <c r="N2" i="2"/>
  <c r="O2" i="2"/>
  <c r="H2" i="2"/>
  <c r="P2" i="2"/>
  <c r="K2" i="2"/>
  <c r="I2" i="2"/>
  <c r="Q2" i="2"/>
  <c r="G2" i="2"/>
  <c r="B3" i="29"/>
  <c r="B2" i="29"/>
  <c r="C3" i="67" l="1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<sst xmlns="http://schemas.openxmlformats.org/spreadsheetml/2006/main" count="4404" uniqueCount="2050">
  <si>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</si>
  <si>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</si>
  <si>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</si>
  <si>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</si>
  <si>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</si>
  <si>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</si>
  <si>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</si>
  <si>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</si>
  <si>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</si>
  <si>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</si>
  <si>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</si>
  <si>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</si>
  <si>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</si>
  <si>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</si>
  <si>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</si>
  <si>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</si>
  <si>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</si>
  <si>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</si>
  <si>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</si>
  <si>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</si>
  <si>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</si>
  <si>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</si>
  <si>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</si>
  <si>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</si>
  <si>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</si>
  <si>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</si>
  <si>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</si>
  <si>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</si>
  <si>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</si>
  <si>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</si>
  <si>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</si>
  <si>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</si>
  <si>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</si>
  <si>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</si>
  <si>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</si>
  <si>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</si>
  <si>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</si>
  <si>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</si>
  <si>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</si>
  <si>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</si>
  <si>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</si>
  <si>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</si>
  <si>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</si>
  <si>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</si>
  <si>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</si>
  <si>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</si>
  <si>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</si>
  <si>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</si>
  <si>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</si>
  <si>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</si>
  <si>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</si>
  <si>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</si>
  <si>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</si>
  <si>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</si>
  <si>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</si>
  <si>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</si>
  <si>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</si>
  <si>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</si>
  <si>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</si>
  <si>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</si>
  <si>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</si>
  <si>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</si>
  <si>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</si>
  <si>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</si>
  <si>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</si>
  <si>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</si>
  <si>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</si>
  <si>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</si>
  <si>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</si>
  <si>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</si>
  <si>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</si>
  <si>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</si>
  <si>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</si>
  <si>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</si>
  <si>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</si>
  <si>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</si>
  <si>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</si>
  <si>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</si>
  <si>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</si>
  <si>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</si>
  <si>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</si>
  <si>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</si>
  <si>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</si>
  <si>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</si>
  <si>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</si>
  <si>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</si>
  <si>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</si>
  <si>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</si>
  <si>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</si>
  <si>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</si>
  <si>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</si>
  <si>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</si>
  <si>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</si>
  <si>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</si>
  <si>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</si>
  <si>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</si>
  <si>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</si>
  <si>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</si>
  <si>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</si>
  <si>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</si>
  <si>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</si>
  <si>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</si>
  <si>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</si>
  <si>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</si>
  <si>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</si>
  <si>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</si>
  <si>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</si>
  <si>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</si>
  <si>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</si>
  <si>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</si>
  <si>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</si>
  <si>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</si>
  <si>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</si>
  <si>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</si>
  <si>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</si>
  <si>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</si>
  <si>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</si>
  <si>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</si>
  <si>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</si>
  <si>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</si>
  <si>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</si>
  <si>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</si>
  <si>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</si>
  <si>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</si>
  <si>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</si>
  <si>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</si>
  <si>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</si>
  <si>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</si>
  <si>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</si>
  <si>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</si>
  <si>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</si>
  <si>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</si>
  <si>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</si>
  <si>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</si>
  <si>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</si>
  <si>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</si>
  <si>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</si>
  <si>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</si>
  <si>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</si>
  <si>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</si>
  <si>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</si>
  <si>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</si>
  <si>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</si>
  <si>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</si>
  <si>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</si>
  <si>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</si>
  <si>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</si>
  <si>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</si>
  <si>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</si>
  <si>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</si>
  <si>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</si>
  <si>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</si>
  <si>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</si>
  <si>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</si>
  <si>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</si>
  <si>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</si>
  <si>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</si>
  <si>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</si>
  <si>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</si>
  <si>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</si>
  <si>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</si>
  <si>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</si>
  <si>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</si>
  <si>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</si>
  <si>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</si>
  <si>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</si>
  <si>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</si>
  <si>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</si>
  <si>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</si>
  <si>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</si>
  <si>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</si>
  <si>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</si>
  <si>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</si>
  <si>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</si>
  <si>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</si>
  <si>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</si>
  <si>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</si>
  <si>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</si>
  <si>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</si>
  <si>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</si>
  <si>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</si>
  <si>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</si>
  <si>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</si>
  <si>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</si>
  <si>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</si>
  <si>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</si>
  <si>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</si>
  <si>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</si>
  <si>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</si>
  <si>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</si>
  <si>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</si>
  <si>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</si>
  <si>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</si>
  <si>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</si>
  <si>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</si>
  <si>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</si>
  <si>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</si>
  <si>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</si>
  <si>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</si>
  <si>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</si>
  <si>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</si>
  <si>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</si>
  <si>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</si>
  <si>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</si>
  <si>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</si>
  <si>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</si>
  <si>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</si>
  <si>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</si>
  <si>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</si>
  <si>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</si>
  <si>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</si>
  <si>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</si>
  <si>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</si>
  <si>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</si>
  <si>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</si>
  <si>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</si>
  <si>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</si>
  <si>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</si>
  <si>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</si>
  <si>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</si>
  <si>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</si>
  <si>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</si>
  <si>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</si>
  <si>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</si>
  <si>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</si>
  <si>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</si>
  <si>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</si>
  <si>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</si>
  <si>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</si>
  <si>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</si>
  <si>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</si>
  <si>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</si>
  <si>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</si>
  <si>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</si>
  <si>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</si>
  <si>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</si>
  <si>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</si>
  <si>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</si>
  <si>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</si>
  <si>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</si>
  <si>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</si>
  <si>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</si>
  <si>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</si>
  <si>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</si>
  <si>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</si>
  <si>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</si>
  <si>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</si>
  <si>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</si>
  <si>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</si>
  <si>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</si>
  <si>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</si>
  <si>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</si>
  <si>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</si>
  <si>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</si>
  <si>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</si>
  <si>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</si>
  <si>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</si>
  <si>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</si>
  <si>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</si>
  <si>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</si>
  <si>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</si>
  <si>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</si>
  <si>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</si>
  <si>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</si>
  <si>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</si>
  <si>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</si>
  <si>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</si>
  <si>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</si>
  <si>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</si>
  <si>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</si>
  <si>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</si>
  <si>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</si>
  <si>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</si>
  <si>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</si>
  <si>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</si>
  <si>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</si>
  <si>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</si>
  <si>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</si>
  <si>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</si>
  <si>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</si>
  <si>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</si>
  <si>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</si>
  <si>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</si>
  <si>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</si>
  <si>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</si>
  <si>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</si>
  <si>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</si>
  <si>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</si>
  <si>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</si>
  <si>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</si>
  <si>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</si>
  <si>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</si>
  <si>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</si>
  <si>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</si>
  <si>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</si>
  <si>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</si>
  <si>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</si>
  <si>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</si>
  <si>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</si>
  <si>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</si>
  <si>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</si>
  <si>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</si>
  <si>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</si>
  <si>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</si>
  <si>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</si>
  <si>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</si>
  <si>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</si>
  <si>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</si>
  <si>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</si>
  <si>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</si>
  <si>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</si>
  <si>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</si>
  <si>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</si>
  <si>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</si>
  <si>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</si>
  <si>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</si>
  <si>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</si>
  <si>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</si>
  <si>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</si>
  <si>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</si>
  <si>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</si>
  <si>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</si>
  <si>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</si>
  <si>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</si>
  <si>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</si>
  <si>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</si>
  <si>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</si>
  <si>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</si>
  <si>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</si>
  <si>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</si>
  <si>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</si>
  <si>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</si>
  <si>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</si>
  <si>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</si>
  <si>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</si>
  <si>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</si>
  <si>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</si>
  <si>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</si>
  <si>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</si>
  <si>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</si>
  <si>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</si>
  <si>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</si>
  <si>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</si>
  <si>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</si>
  <si>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</si>
  <si>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</si>
  <si>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</si>
  <si>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</si>
  <si>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</si>
  <si>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</si>
  <si>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</si>
  <si>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</si>
  <si>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</si>
  <si>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</si>
  <si>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</si>
  <si>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</si>
  <si>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</si>
  <si>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</si>
  <si>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</si>
  <si>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</si>
  <si>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</si>
  <si>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</si>
  <si>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</si>
  <si>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</si>
  <si>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</si>
  <si>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</si>
  <si>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</si>
  <si>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</si>
  <si>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</si>
  <si>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</si>
  <si>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</si>
  <si>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</si>
  <si>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</si>
  <si>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</si>
  <si>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</si>
  <si>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</si>
  <si>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</si>
  <si>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</si>
  <si>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</si>
  <si>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</si>
  <si>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</si>
  <si>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</si>
  <si>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</si>
  <si>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</si>
  <si>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</si>
  <si>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</si>
  <si>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</si>
  <si>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</si>
  <si>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</si>
  <si>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</si>
  <si>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</si>
  <si>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</si>
  <si>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</si>
  <si>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</si>
  <si>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</si>
  <si>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</si>
  <si>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</si>
  <si>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</si>
  <si>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</si>
  <si>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</si>
  <si>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</si>
  <si>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</si>
  <si>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</si>
  <si>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</si>
  <si>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</si>
  <si>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</si>
  <si>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</si>
  <si>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</si>
  <si>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</si>
  <si>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</si>
  <si>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</si>
  <si>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</si>
  <si>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</si>
  <si>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</si>
  <si>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</si>
  <si>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</si>
  <si>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</si>
  <si>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</si>
  <si>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</si>
  <si>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</si>
  <si>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</si>
  <si>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</si>
  <si>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</si>
  <si>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</si>
  <si>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</si>
  <si>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</si>
  <si>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</si>
  <si>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</si>
  <si>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</si>
  <si>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</si>
  <si>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</si>
  <si>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</si>
  <si>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</si>
  <si>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</si>
  <si>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</si>
  <si>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</si>
  <si>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</si>
  <si>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</si>
  <si>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</si>
  <si>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</si>
  <si>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</si>
  <si>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</si>
  <si>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</si>
  <si>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</si>
  <si>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</si>
  <si>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</si>
  <si>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</si>
  <si>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</si>
  <si>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</si>
  <si>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</si>
  <si>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</si>
  <si>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</si>
  <si>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</si>
  <si>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</si>
  <si>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</si>
  <si>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</si>
  <si>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</si>
  <si>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</si>
  <si>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</si>
  <si>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</si>
  <si>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</si>
  <si>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</si>
  <si>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</si>
  <si>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</si>
  <si>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</si>
  <si>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</si>
  <si>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</si>
  <si>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</si>
  <si>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</si>
  <si>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</si>
  <si>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</si>
  <si>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</si>
  <si>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</si>
  <si>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</si>
  <si>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</si>
  <si>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</si>
  <si>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</si>
  <si>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</si>
  <si>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</si>
  <si>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</si>
  <si>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</si>
  <si>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</si>
  <si>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</si>
  <si>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</si>
  <si>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</si>
  <si>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</si>
  <si>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</si>
  <si>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</si>
  <si>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</si>
  <si>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</si>
  <si>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</si>
  <si>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</si>
  <si>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</si>
  <si>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</si>
  <si>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</si>
  <si>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</si>
  <si>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</si>
  <si>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</si>
  <si>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</si>
  <si>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</si>
  <si>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</si>
  <si>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</si>
  <si>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</si>
  <si>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</si>
  <si>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</si>
  <si>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</si>
  <si>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</si>
  <si>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</si>
  <si>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</si>
  <si>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</si>
  <si>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</si>
  <si>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</si>
  <si>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</si>
  <si>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</si>
  <si>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</si>
  <si>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</si>
  <si>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</si>
  <si>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</si>
  <si>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</si>
  <si>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</si>
  <si>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</si>
  <si>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</si>
  <si>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</si>
  <si>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</si>
  <si>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</si>
  <si>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</si>
  <si>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</si>
  <si>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</si>
  <si>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</si>
  <si>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</si>
  <si>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</si>
  <si>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</si>
  <si>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</si>
  <si>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</si>
  <si>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</si>
  <si>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</si>
  <si>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</si>
  <si>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</si>
  <si>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</si>
  <si>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</si>
  <si>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</si>
  <si>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</si>
  <si>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</si>
  <si>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</si>
  <si>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</si>
  <si>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</si>
  <si>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</si>
  <si>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</si>
  <si>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</si>
  <si>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</si>
  <si>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</si>
  <si>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</si>
  <si>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</si>
  <si>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</si>
  <si>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</si>
  <si>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</si>
  <si>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</si>
  <si>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</si>
  <si>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</si>
  <si>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</si>
  <si>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</si>
  <si>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</si>
  <si>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</si>
  <si>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</si>
  <si>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</si>
  <si>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</si>
  <si>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</si>
  <si>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</si>
  <si>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</si>
  <si>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</si>
  <si>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</si>
  <si>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</si>
  <si>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</si>
  <si>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</si>
  <si>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</si>
  <si>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</si>
  <si>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</si>
  <si>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</si>
  <si>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</si>
  <si>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</si>
  <si>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</si>
  <si>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</si>
  <si>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</si>
  <si>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</si>
  <si>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</si>
  <si>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</si>
  <si>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</si>
  <si>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</si>
  <si>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</si>
  <si>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</si>
  <si>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</si>
  <si>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</si>
  <si>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</si>
  <si>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</si>
  <si>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</si>
  <si>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</si>
  <si>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</si>
  <si>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</si>
  <si>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</si>
  <si>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</si>
  <si>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</si>
  <si>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</si>
  <si>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</si>
  <si>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</si>
  <si>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</si>
  <si>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</si>
  <si>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</si>
  <si>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</si>
  <si>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</si>
  <si>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</si>
  <si>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</si>
  <si>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</si>
  <si>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</si>
  <si>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</si>
  <si>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</si>
  <si>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</si>
  <si>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</si>
  <si>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</si>
  <si>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</si>
  <si>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</si>
  <si>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</si>
  <si>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</si>
  <si>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</si>
  <si>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</si>
  <si>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</si>
  <si>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</si>
  <si>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</si>
  <si>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</si>
  <si>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</si>
  <si>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</si>
  <si>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</si>
  <si>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</si>
  <si>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</si>
  <si>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</si>
  <si>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</si>
  <si>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</si>
  <si>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</si>
  <si>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</si>
  <si>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</si>
  <si>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</si>
  <si>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</si>
  <si>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</si>
  <si>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</si>
  <si>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</si>
  <si>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</si>
  <si>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</si>
  <si>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</si>
  <si>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</si>
  <si>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</si>
  <si>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</si>
  <si>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</si>
  <si>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</si>
  <si>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</si>
  <si>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</si>
  <si>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</si>
  <si>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</si>
  <si>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</si>
  <si>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</si>
  <si>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</si>
  <si>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</si>
  <si>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</si>
  <si>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</si>
  <si>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</si>
  <si>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</si>
  <si>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</si>
  <si>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</si>
  <si>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</si>
  <si>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</si>
  <si>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</si>
  <si>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</si>
  <si>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</si>
  <si>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</si>
  <si>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</si>
  <si>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</si>
  <si>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</si>
  <si>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</si>
  <si>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</si>
  <si>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</si>
  <si>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</si>
  <si>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</si>
  <si>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</si>
  <si>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</si>
  <si>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</si>
  <si>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</si>
  <si>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</si>
  <si>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</si>
  <si>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</si>
  <si>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</si>
  <si>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</si>
  <si>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</si>
  <si>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</si>
  <si>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</si>
  <si>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</si>
  <si>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</si>
  <si>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</si>
  <si>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</si>
  <si>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</si>
  <si>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</si>
  <si>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</si>
  <si>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</si>
  <si>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</si>
  <si>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</si>
  <si>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</si>
  <si>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</si>
  <si>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</si>
  <si>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</si>
  <si>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</si>
  <si>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</si>
  <si>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</si>
  <si>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</si>
  <si>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</si>
  <si>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</si>
  <si>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</si>
  <si>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</si>
  <si>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</si>
  <si>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</si>
  <si>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</si>
  <si>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</si>
  <si>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</si>
  <si>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</si>
  <si>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</si>
  <si>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</si>
  <si>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</si>
  <si>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</si>
  <si>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</si>
  <si>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</si>
  <si>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</si>
  <si>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</si>
  <si>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</si>
  <si>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</si>
  <si>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</si>
  <si>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</si>
  <si>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</si>
  <si>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</si>
  <si>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</si>
  <si>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</si>
  <si>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</si>
  <si>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</si>
  <si>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</si>
  <si>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</si>
  <si>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</si>
  <si>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</si>
  <si>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</si>
  <si>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</si>
  <si>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</si>
  <si>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</si>
  <si>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</si>
  <si>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</si>
  <si>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</si>
  <si>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</si>
  <si>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</si>
  <si>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</si>
  <si>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</si>
  <si>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</si>
  <si>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</si>
  <si>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</si>
  <si>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</si>
  <si>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</si>
  <si>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</si>
  <si>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</si>
  <si>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</si>
  <si>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</si>
  <si>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</si>
  <si>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</si>
  <si>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</si>
  <si>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</si>
  <si>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</si>
  <si>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</si>
  <si>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</si>
  <si>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</si>
  <si>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</si>
  <si>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</si>
  <si>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</si>
  <si>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</si>
  <si>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</si>
  <si>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</si>
  <si>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</si>
  <si>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</si>
  <si>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</si>
  <si>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</si>
  <si>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</si>
  <si>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</si>
  <si>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</si>
  <si>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</si>
  <si>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</si>
  <si>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</si>
  <si>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</si>
  <si>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</si>
  <si>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</si>
  <si>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</si>
  <si>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</si>
  <si>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</si>
  <si>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</si>
  <si>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</si>
  <si>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</si>
  <si>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</si>
  <si>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</si>
  <si>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</si>
  <si>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</si>
  <si>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</si>
  <si>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</si>
  <si>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</si>
  <si>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</si>
  <si>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</si>
  <si>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</si>
  <si>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</si>
  <si>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</si>
  <si>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</si>
  <si>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</si>
  <si>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</si>
  <si>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</si>
  <si>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</si>
  <si>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</si>
  <si>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</si>
  <si>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</si>
  <si>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</si>
  <si>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</si>
  <si>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</si>
  <si>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</si>
  <si>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</si>
  <si>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</si>
  <si>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</si>
  <si>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</si>
  <si>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</si>
  <si>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</si>
  <si>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</si>
  <si>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</si>
  <si>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</si>
  <si>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</si>
  <si>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</si>
  <si>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</si>
  <si>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</si>
  <si>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</si>
  <si>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</si>
  <si>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</si>
  <si>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</si>
  <si>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</si>
  <si>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</si>
  <si>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</si>
  <si>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</si>
  <si>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</si>
  <si>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</si>
  <si>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</si>
  <si>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</si>
  <si>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</si>
  <si>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</si>
  <si>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</si>
  <si>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</si>
  <si>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</si>
  <si>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</si>
  <si>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</si>
  <si>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</si>
  <si>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</si>
  <si>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</si>
  <si>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</si>
  <si>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</si>
  <si>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</si>
  <si>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</si>
  <si>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</si>
  <si>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</si>
  <si>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</si>
  <si>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</si>
  <si>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</si>
  <si>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</si>
  <si>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</si>
  <si>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</si>
  <si>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</si>
  <si>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</si>
  <si>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</si>
  <si>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</si>
  <si>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</si>
  <si>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</si>
  <si>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</si>
  <si>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</si>
  <si>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</si>
  <si>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</si>
  <si>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</si>
  <si>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</si>
  <si>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</si>
  <si>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</si>
  <si>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</si>
  <si>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</si>
  <si>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</si>
  <si>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</si>
  <si>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</si>
  <si>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</si>
  <si>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</si>
  <si>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</si>
  <si>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</si>
  <si>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</si>
  <si>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</si>
  <si>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</si>
  <si>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</si>
  <si>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</si>
  <si>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</si>
  <si>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</si>
  <si>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</si>
  <si>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</si>
  <si>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</si>
  <si>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</si>
  <si>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</si>
  <si>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</si>
  <si>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</si>
  <si>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</si>
  <si>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</si>
  <si>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</si>
  <si>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</si>
  <si>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</si>
  <si>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</si>
  <si>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</si>
  <si>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</si>
  <si>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</si>
  <si>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</si>
  <si>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</si>
  <si>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</si>
  <si>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</si>
  <si>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</si>
  <si>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</si>
  <si>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</si>
  <si>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</si>
  <si>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</si>
  <si>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</si>
  <si>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</si>
  <si>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</si>
  <si>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</si>
  <si>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</si>
  <si>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</si>
  <si>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</si>
  <si>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</si>
  <si>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</si>
  <si>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</si>
  <si>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</si>
  <si>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</si>
  <si>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</si>
  <si>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</si>
  <si>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</si>
  <si>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</si>
  <si>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</si>
  <si>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</si>
  <si>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</si>
  <si>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</si>
  <si>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</si>
  <si>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</si>
  <si>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</si>
  <si>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</si>
  <si>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</si>
  <si>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</si>
  <si>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</si>
  <si>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</si>
  <si>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</si>
  <si>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</si>
  <si>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</si>
  <si>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</si>
  <si>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</si>
  <si>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</si>
  <si>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</si>
  <si>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</si>
  <si>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</si>
  <si>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</si>
  <si>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</si>
  <si>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</si>
  <si>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</si>
  <si>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</si>
  <si>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</si>
  <si>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</si>
  <si>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</si>
  <si>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</si>
  <si>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</si>
  <si>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</si>
  <si>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</si>
  <si>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</si>
  <si>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</si>
  <si>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</si>
  <si>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</si>
  <si>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</si>
  <si>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</si>
  <si>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</si>
  <si>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</si>
  <si>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</si>
  <si>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</si>
  <si>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</si>
  <si>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</si>
  <si>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</si>
  <si>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</si>
  <si>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</si>
  <si>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</si>
  <si>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</si>
  <si>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</si>
  <si>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</si>
  <si>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</si>
  <si>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</si>
  <si>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</si>
  <si>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</si>
  <si>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</si>
  <si>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</si>
  <si>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</si>
  <si>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</si>
  <si>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</si>
  <si>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</si>
  <si>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</si>
  <si>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</si>
  <si>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</si>
  <si>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</si>
  <si>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</si>
  <si>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</si>
  <si>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</si>
  <si>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</si>
  <si>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</si>
  <si>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</si>
  <si>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</si>
  <si>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</si>
  <si>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</si>
  <si>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</si>
  <si>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</si>
  <si>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</si>
  <si>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</si>
  <si>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</si>
  <si>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</si>
  <si>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</si>
  <si>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</si>
  <si>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</si>
  <si>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</si>
  <si>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</si>
  <si>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</si>
  <si>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</si>
  <si>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</si>
  <si>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</si>
  <si>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</si>
  <si>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</si>
  <si>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</si>
  <si>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</si>
  <si>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</si>
  <si>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</si>
  <si>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</si>
  <si>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</si>
  <si>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</si>
  <si>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</si>
  <si>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</si>
  <si>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</si>
  <si>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</si>
  <si>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</si>
  <si>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</si>
  <si>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</si>
  <si>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</si>
  <si>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</si>
  <si>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</si>
  <si>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</si>
  <si>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</si>
  <si>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</si>
  <si>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</si>
  <si>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</si>
  <si>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</si>
  <si>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</si>
  <si>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</si>
  <si>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</si>
  <si>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</si>
  <si>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</si>
  <si>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</si>
  <si>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</si>
  <si>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</si>
  <si>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</si>
  <si>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</si>
  <si>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</si>
  <si>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</si>
  <si>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</si>
  <si>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</si>
  <si>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</si>
  <si>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</si>
  <si>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</si>
  <si>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</si>
  <si>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</si>
  <si>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</si>
  <si>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</si>
  <si>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</si>
  <si>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</si>
  <si>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</si>
  <si>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</si>
  <si>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</si>
  <si>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</si>
  <si>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</si>
  <si>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</si>
  <si>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</si>
  <si>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</si>
  <si>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</si>
  <si>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</si>
  <si>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</si>
  <si>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</si>
  <si>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</si>
  <si>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</si>
  <si>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</si>
  <si>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</si>
  <si>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</si>
  <si>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</si>
  <si>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</si>
  <si>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</si>
  <si>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</si>
  <si>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</si>
  <si>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</si>
  <si>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</si>
  <si>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</si>
  <si>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</si>
  <si>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</si>
  <si>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</si>
  <si>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</si>
  <si>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</si>
  <si>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</si>
  <si>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</si>
  <si>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</si>
  <si>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</si>
  <si>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</si>
  <si>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</si>
  <si>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</si>
  <si>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</si>
  <si>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</si>
  <si>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</si>
  <si>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</si>
  <si>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</si>
  <si>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</si>
  <si>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</si>
  <si>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</si>
  <si>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</si>
  <si>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</si>
  <si>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</si>
  <si>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</si>
  <si>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</si>
  <si>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</si>
  <si>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</si>
  <si>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</si>
  <si>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</si>
  <si>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</si>
  <si>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</si>
  <si>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</si>
  <si>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</si>
  <si>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</si>
  <si>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</si>
  <si>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</si>
  <si>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</si>
  <si>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</si>
  <si>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</si>
  <si>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</si>
  <si>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</si>
  <si>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</si>
  <si>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</si>
  <si>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</si>
  <si>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</si>
  <si>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</si>
  <si>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</si>
  <si>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</si>
  <si>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</si>
  <si>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</si>
  <si>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</si>
  <si>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</si>
  <si>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</si>
  <si>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</si>
  <si>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</si>
  <si>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</si>
  <si>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</si>
  <si>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</si>
  <si>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</si>
  <si>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</si>
  <si>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</si>
  <si>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</si>
  <si>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</si>
  <si>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</si>
  <si>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</si>
  <si>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</si>
  <si>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</si>
  <si>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</si>
  <si>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</si>
  <si>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</si>
  <si>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</si>
  <si>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</si>
  <si>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</si>
  <si>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</si>
  <si>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</si>
  <si>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</si>
  <si>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</si>
  <si>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</si>
  <si>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</si>
  <si>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</si>
  <si>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</si>
  <si>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</si>
  <si>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</si>
  <si>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</si>
  <si>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</si>
  <si>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</si>
  <si>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</si>
  <si>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</si>
  <si>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</si>
  <si>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</si>
  <si>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</si>
  <si>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</si>
  <si>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</si>
  <si>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</si>
  <si>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</si>
  <si>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</si>
  <si>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</si>
  <si>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</si>
  <si>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</si>
  <si>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</si>
  <si>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</si>
  <si>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</si>
  <si>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</si>
  <si>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</si>
  <si>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</si>
  <si>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</si>
  <si>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</si>
  <si>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</si>
  <si>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</si>
  <si>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</si>
  <si>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</si>
  <si>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</si>
  <si>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</si>
  <si>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</si>
  <si>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</si>
  <si>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</si>
  <si>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</si>
  <si>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</si>
  <si>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</si>
  <si>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</si>
  <si>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</si>
  <si>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</si>
  <si>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</si>
  <si>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</si>
  <si>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</si>
  <si>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</si>
  <si>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</si>
  <si>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</si>
  <si>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</si>
  <si>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</si>
  <si>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</si>
  <si>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</si>
  <si>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</si>
  <si>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</si>
  <si>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</si>
  <si>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</si>
  <si>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</si>
  <si>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</si>
  <si>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</si>
  <si>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</si>
  <si>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</si>
  <si>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</si>
  <si>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</si>
  <si>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</si>
  <si>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</si>
  <si>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</si>
  <si>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</si>
  <si>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</si>
  <si>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</si>
  <si>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</si>
  <si>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</si>
  <si>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</si>
  <si>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</si>
  <si>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</si>
  <si>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</si>
  <si>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</si>
  <si>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</si>
  <si>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</si>
  <si>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</si>
  <si>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</si>
  <si>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</si>
  <si>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</si>
  <si>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</si>
  <si>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</si>
  <si>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</si>
  <si>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</si>
  <si>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</si>
  <si>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</si>
  <si>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</si>
  <si>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</si>
  <si>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</si>
  <si>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</si>
  <si>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</si>
  <si>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</si>
  <si>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</si>
  <si>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</si>
  <si>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</si>
  <si>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</si>
  <si>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</si>
  <si>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</si>
  <si>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</si>
  <si>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</si>
  <si>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</si>
  <si>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</si>
  <si>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</si>
  <si>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</si>
  <si>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</si>
  <si>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</si>
  <si>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</si>
  <si>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</si>
  <si>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</si>
  <si>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</si>
  <si>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</si>
  <si>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</si>
  <si>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</si>
  <si>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</si>
  <si>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</si>
  <si>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</si>
  <si>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</si>
  <si>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</si>
  <si>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</si>
  <si>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</si>
  <si>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</si>
  <si>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</si>
  <si>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</si>
  <si>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</si>
  <si>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</si>
  <si>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</si>
  <si>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</si>
  <si>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</si>
  <si>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</si>
  <si>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</si>
  <si>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</si>
  <si>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</si>
  <si>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</si>
  <si>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</si>
  <si>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</si>
  <si>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</si>
  <si>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</si>
  <si>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</si>
  <si>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</si>
  <si>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</si>
  <si>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</si>
  <si>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</si>
  <si>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</si>
  <si>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</si>
  <si>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</si>
  <si>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</si>
  <si>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</si>
  <si>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</si>
  <si>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</si>
  <si>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</si>
  <si>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</si>
  <si>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</si>
  <si>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</si>
  <si>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</si>
  <si>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</si>
  <si>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</si>
  <si>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</si>
  <si>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</si>
  <si>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</si>
  <si>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</si>
  <si>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</si>
  <si>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</si>
  <si>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</si>
  <si>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</si>
  <si>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</si>
  <si>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</si>
  <si>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</si>
  <si>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</si>
  <si>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</si>
  <si>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</si>
  <si>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</si>
  <si>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</si>
  <si>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</si>
  <si>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</si>
  <si>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</si>
  <si>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</si>
  <si>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</si>
  <si>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</si>
  <si>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</si>
  <si>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</si>
  <si>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</si>
  <si>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</si>
  <si>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</si>
  <si>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</si>
  <si>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</si>
  <si>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</si>
  <si>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</si>
  <si>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</si>
  <si>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</si>
  <si>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</si>
  <si>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</si>
  <si>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</si>
  <si>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</si>
  <si>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</si>
  <si>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</si>
  <si>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</si>
  <si>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</si>
  <si>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</si>
  <si>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</si>
  <si>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</si>
  <si>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</si>
  <si>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</si>
  <si>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</si>
  <si>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</si>
  <si>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</si>
  <si>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</si>
  <si>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</si>
  <si>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</si>
  <si>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</si>
  <si>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</si>
  <si>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</si>
  <si>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</si>
  <si>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</si>
  <si>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</si>
  <si>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</si>
  <si>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</si>
  <si>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</si>
  <si>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</si>
  <si>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</si>
  <si>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</si>
  <si>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</si>
  <si>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</si>
  <si>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</si>
  <si>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</si>
  <si>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</si>
  <si>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</si>
  <si>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</si>
  <si>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</si>
  <si>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</si>
  <si>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</si>
  <si>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</si>
  <si>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</si>
  <si>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</si>
  <si>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</si>
  <si>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</si>
  <si>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</si>
  <si>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</si>
  <si>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</si>
  <si>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</si>
  <si>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</si>
  <si>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</si>
  <si>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</si>
  <si>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</si>
  <si>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</si>
  <si>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</si>
  <si>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</si>
  <si>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</si>
  <si>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</si>
  <si>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</si>
  <si>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</si>
  <si>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</si>
  <si>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</si>
  <si>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</si>
  <si>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</si>
  <si>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</si>
  <si>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</si>
  <si>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</si>
  <si>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</si>
  <si>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</si>
  <si>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</si>
  <si>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</si>
  <si>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</si>
  <si>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</si>
  <si>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</si>
  <si>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</si>
  <si>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</si>
  <si>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</si>
  <si>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</si>
  <si>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</si>
  <si>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</si>
  <si>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</si>
  <si>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</si>
  <si>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</si>
  <si>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</si>
  <si>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</si>
  <si>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</si>
  <si>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</si>
  <si>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</si>
  <si>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</si>
  <si>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</si>
  <si>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</si>
  <si>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</si>
  <si>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</si>
  <si>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</si>
  <si>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</si>
  <si>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</si>
  <si>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</si>
  <si>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</si>
  <si>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</si>
  <si>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</si>
  <si>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</si>
  <si>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</si>
  <si>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</si>
  <si>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</si>
  <si>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</si>
  <si>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</si>
  <si>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</si>
  <si>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</si>
  <si>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</si>
  <si>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</si>
  <si>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</si>
  <si>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</si>
  <si>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</si>
  <si>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</si>
  <si>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</si>
  <si>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</si>
  <si>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</si>
  <si>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</si>
  <si>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</si>
  <si>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</si>
  <si>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</si>
  <si>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</si>
  <si>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</si>
  <si>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</si>
  <si>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</si>
  <si>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</si>
  <si>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</si>
  <si>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</si>
  <si>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</si>
  <si>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</si>
  <si>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</si>
  <si>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</si>
  <si>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</si>
  <si>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</si>
  <si>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</si>
  <si>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</si>
  <si>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</si>
  <si>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</si>
  <si>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</si>
  <si>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</si>
  <si>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</si>
  <si>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</si>
  <si>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</si>
  <si>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</si>
  <si>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</si>
  <si>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</si>
  <si>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</si>
  <si>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</si>
  <si>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</si>
  <si>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</si>
  <si>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</si>
  <si>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</si>
  <si>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</si>
  <si>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</si>
  <si>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</si>
  <si>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</si>
  <si>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</si>
  <si>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</si>
  <si>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</si>
  <si>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</si>
  <si>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</si>
  <si>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</si>
  <si>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</si>
  <si>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</si>
  <si>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</si>
  <si>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</si>
  <si>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</si>
  <si>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</si>
  <si>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</si>
  <si>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</si>
  <si>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</si>
  <si>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</si>
  <si>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</si>
  <si>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</si>
  <si>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</si>
  <si>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</si>
  <si>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</si>
  <si>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</si>
  <si>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</si>
  <si>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</si>
  <si>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</si>
  <si>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</si>
  <si>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</si>
  <si>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</si>
  <si>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</si>
  <si>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</si>
  <si>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</si>
  <si>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</si>
  <si>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</si>
  <si>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</si>
  <si>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</si>
  <si>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</si>
  <si>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</si>
  <si>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</si>
  <si>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</si>
  <si>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</si>
  <si>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</si>
  <si>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</si>
  <si>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</si>
  <si>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</si>
  <si>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</si>
  <si>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</si>
  <si>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</si>
  <si>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</si>
  <si>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</si>
  <si>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</si>
  <si>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</si>
  <si>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</si>
  <si>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</si>
  <si>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</si>
  <si>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</si>
  <si>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</si>
  <si>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</si>
  <si>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</si>
  <si>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</si>
  <si>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</si>
  <si>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</si>
  <si>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</si>
  <si>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</si>
  <si>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</si>
  <si>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</si>
  <si>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</si>
  <si>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</si>
  <si>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</si>
  <si>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</si>
  <si>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</si>
  <si>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</si>
  <si>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</si>
  <si>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</si>
  <si>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</si>
  <si>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</si>
  <si>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</si>
  <si>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</si>
  <si>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</si>
  <si>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</si>
  <si>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</si>
  <si>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</si>
  <si>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</si>
  <si>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</si>
  <si>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</si>
  <si>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</si>
  <si>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</si>
  <si>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</si>
  <si>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</si>
  <si>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</si>
  <si>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</si>
  <si>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</si>
  <si>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</si>
  <si>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</si>
  <si>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</si>
  <si>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</si>
  <si>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</si>
  <si>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</si>
  <si>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</si>
  <si>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</si>
  <si>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</si>
  <si>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</si>
  <si>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</si>
  <si>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</si>
  <si>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</si>
  <si>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</si>
  <si>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</si>
  <si>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</si>
  <si>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</si>
  <si>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</si>
  <si>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</si>
  <si>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</si>
  <si>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</si>
  <si>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</si>
  <si>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</si>
  <si>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</si>
  <si>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</si>
  <si>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</si>
  <si>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</si>
  <si>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</si>
  <si>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</si>
  <si>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</si>
  <si>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</si>
  <si>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</si>
  <si>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</si>
  <si>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</si>
  <si>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</si>
  <si>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</si>
  <si>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</si>
  <si>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</si>
  <si>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</si>
  <si>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</si>
  <si>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</si>
  <si>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</si>
  <si>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</si>
  <si>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</si>
  <si>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</si>
  <si>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</si>
  <si>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</si>
  <si>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</si>
  <si>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</si>
  <si>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</si>
  <si>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</si>
  <si>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</si>
  <si>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</si>
  <si>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</si>
  <si>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</si>
  <si>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</si>
  <si>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</si>
  <si>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</si>
  <si>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</si>
  <si>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</si>
  <si>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</si>
  <si>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</si>
  <si>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</si>
  <si>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</si>
  <si>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</si>
  <si>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</si>
  <si>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</si>
  <si>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</si>
  <si>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</si>
  <si>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</si>
  <si>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</si>
  <si>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</si>
  <si>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</si>
  <si>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</si>
  <si>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</si>
  <si>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</si>
  <si>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</si>
  <si>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</si>
  <si>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</si>
  <si>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</si>
  <si>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</si>
  <si>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</si>
  <si>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</si>
  <si>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</si>
  <si>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</si>
  <si>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</si>
  <si>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</si>
  <si>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</si>
  <si>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</si>
  <si>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</si>
  <si>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</si>
  <si>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</si>
  <si>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</si>
  <si>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</si>
  <si>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</si>
  <si>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</si>
  <si>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</si>
  <si>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</si>
  <si>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</si>
  <si>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</si>
  <si>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</si>
  <si>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</si>
  <si>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</si>
  <si>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</si>
  <si>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</si>
  <si>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</si>
  <si>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</si>
  <si>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</si>
  <si>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</si>
  <si>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</si>
  <si>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</si>
  <si>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</si>
  <si>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</si>
  <si>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</si>
  <si>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</si>
  <si>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</si>
  <si>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</si>
  <si>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</si>
  <si>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</si>
  <si>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</si>
  <si>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</si>
  <si>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</si>
  <si>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</si>
  <si>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</si>
  <si>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</si>
  <si>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</si>
  <si>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</si>
  <si>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</si>
  <si>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</si>
  <si>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</si>
  <si>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</si>
  <si>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</si>
  <si>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</si>
  <si>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</si>
  <si>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</si>
  <si>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</si>
  <si>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</si>
  <si>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</si>
  <si>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</si>
  <si>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</si>
  <si>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</si>
  <si>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</si>
  <si>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</si>
  <si>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</si>
  <si>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</si>
  <si>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</si>
  <si>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</si>
  <si>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</si>
  <si>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</si>
  <si>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</si>
  <si>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</si>
  <si>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</si>
  <si>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</si>
  <si>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</si>
  <si>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</si>
  <si>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</si>
  <si>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</si>
  <si>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</si>
  <si>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</si>
  <si>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</si>
  <si>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</si>
  <si>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</si>
  <si>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</si>
  <si>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</si>
  <si>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</si>
  <si>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</si>
  <si>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</si>
  <si>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</si>
  <si>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</si>
  <si>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</si>
  <si>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</si>
  <si>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</si>
  <si>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</si>
  <si>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</si>
  <si>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</si>
  <si>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</si>
  <si>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</si>
  <si>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</si>
  <si>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</si>
  <si>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</si>
  <si>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</si>
  <si>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</si>
  <si>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</si>
  <si>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</si>
  <si>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</si>
  <si>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</si>
  <si>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</si>
  <si>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</si>
  <si>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</si>
  <si>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</si>
  <si>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</si>
  <si>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</si>
  <si>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</si>
  <si>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</si>
  <si>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</si>
  <si>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</si>
  <si>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</si>
  <si>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</si>
  <si>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</si>
  <si>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</si>
  <si>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</si>
  <si>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</si>
  <si>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</si>
  <si>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</si>
  <si>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</si>
  <si>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</si>
  <si>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</si>
  <si>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</si>
  <si>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</si>
  <si>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</si>
  <si>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</si>
  <si>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</si>
  <si>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</si>
  <si>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</si>
  <si>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</si>
  <si>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</si>
  <si>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</si>
  <si>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</si>
  <si>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</si>
  <si>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</si>
  <si>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</si>
  <si>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</si>
  <si>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</si>
  <si>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</si>
  <si>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</si>
  <si>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</si>
  <si>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</si>
  <si>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</si>
  <si>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</si>
  <si>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</si>
  <si>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</si>
  <si>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</si>
  <si>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</si>
  <si>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</si>
  <si>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</si>
  <si>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</si>
  <si>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</si>
  <si>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</si>
  <si>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</si>
  <si>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</si>
  <si>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</si>
  <si>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</si>
  <si>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</si>
  <si>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</si>
  <si>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</si>
  <si>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</si>
  <si>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</si>
  <si>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</si>
  <si>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</si>
  <si>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</si>
  <si>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</si>
  <si>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</si>
  <si>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</si>
  <si>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</si>
  <si>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</si>
  <si>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</si>
  <si>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</si>
  <si>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</si>
  <si>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</si>
  <si>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</si>
  <si>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</si>
  <si>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</si>
  <si>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</si>
  <si>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</si>
  <si>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</si>
  <si>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</si>
  <si>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</si>
  <si>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</si>
  <si>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</si>
  <si>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</si>
  <si>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</si>
  <si>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</si>
  <si>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</si>
  <si>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</si>
  <si>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</si>
  <si>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</si>
  <si>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</si>
  <si>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</si>
  <si>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</si>
  <si>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</si>
  <si>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</si>
  <si>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</si>
  <si>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</si>
  <si>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</si>
  <si>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</si>
  <si>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</si>
  <si>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</si>
  <si>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</si>
  <si>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</si>
  <si>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</si>
  <si>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</si>
  <si>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</si>
  <si>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</si>
  <si>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</si>
  <si>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</si>
  <si>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</si>
  <si>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</si>
  <si>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</si>
  <si>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</si>
  <si>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</si>
  <si>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</si>
  <si>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</si>
  <si>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</si>
  <si>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</si>
  <si>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</si>
  <si>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</si>
  <si>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</si>
  <si>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</si>
  <si>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</si>
  <si>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</si>
  <si>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</si>
  <si>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</si>
  <si>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</si>
  <si>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</si>
  <si>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</si>
  <si>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</si>
  <si>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</si>
  <si>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</si>
  <si>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</si>
  <si>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</si>
  <si>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</si>
  <si>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</si>
  <si>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</si>
  <si>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</si>
  <si>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</si>
  <si>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</si>
  <si>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</si>
  <si>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</si>
  <si>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</si>
  <si>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</si>
  <si>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</si>
  <si>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</si>
  <si>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</si>
  <si>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</si>
  <si>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</si>
  <si>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</si>
  <si>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</si>
  <si>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</si>
  <si>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</si>
  <si>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</si>
  <si>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</si>
  <si>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</si>
  <si>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</si>
  <si>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</si>
  <si>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</si>
  <si>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</si>
  <si>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</si>
  <si>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</si>
  <si>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</si>
  <si>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</si>
  <si>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</si>
  <si>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</si>
  <si>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</si>
  <si>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</si>
  <si>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</si>
  <si>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</si>
  <si>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</si>
  <si>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</si>
  <si>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</si>
  <si>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</si>
  <si>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</si>
  <si>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</si>
  <si>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</si>
  <si>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</si>
  <si>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</si>
  <si>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</si>
  <si>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</si>
  <si>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</si>
  <si>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</si>
  <si>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</si>
  <si>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</si>
  <si>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</si>
  <si>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</si>
  <si>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</si>
  <si>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</si>
  <si>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</si>
  <si>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</si>
  <si>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</si>
  <si>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</si>
  <si>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</si>
  <si>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</si>
  <si>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</si>
  <si>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</si>
  <si>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</si>
  <si>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</si>
  <si>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</si>
  <si>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</si>
  <si>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</si>
  <si>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</si>
  <si>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</si>
  <si>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</si>
  <si>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</si>
  <si>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</si>
  <si>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</si>
  <si>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</si>
  <si>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</si>
  <si>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</si>
  <si>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</si>
  <si>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</si>
  <si>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</si>
  <si>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</si>
  <si>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</si>
  <si>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</si>
  <si>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</si>
  <si>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</si>
  <si>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</si>
  <si>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</si>
  <si>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</si>
  <si>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</si>
  <si>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</si>
  <si>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</si>
  <si>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eus</t>
  </si>
  <si>
    <t>eus2</t>
  </si>
  <si>
    <t>qui</t>
  </si>
  <si>
    <t>LocationAbbreviation</t>
  </si>
  <si>
    <t>usea</t>
  </si>
  <si>
    <t>use2</t>
  </si>
  <si>
    <t>uswe</t>
  </si>
  <si>
    <t>usw2</t>
  </si>
  <si>
    <t>prd</t>
  </si>
  <si>
    <t>MgmtApprover@company.org</t>
  </si>
  <si>
    <t>150</t>
  </si>
  <si>
    <t>MgmtOwner@company.org</t>
  </si>
  <si>
    <t>MgmtRequester@company.org</t>
  </si>
  <si>
    <t>Deploy Environment</t>
  </si>
  <si>
    <t>network</t>
  </si>
  <si>
    <t>aci</t>
  </si>
  <si>
    <r>
      <t xml:space="preserve">Updated calculations, changed metadata to propogate throughout spreadsheet - </t>
    </r>
    <r>
      <rPr>
        <i/>
        <sz val="11"/>
        <color theme="1" tint="0.24994659260841701"/>
        <rFont val="Museo Sans Rounded 300"/>
      </rPr>
      <t>ras</t>
    </r>
  </si>
  <si>
    <t>Added data validation to Storage Account, StorageKind</t>
  </si>
  <si>
    <t>Added KeyVault to the Az group of tabs, (changed tab name)</t>
  </si>
  <si>
    <t>Revert previous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</si>
</sst>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  <font>
      <i/>
      <sz val="11"/>
      <color theme="1" tint="0.24994659260841701"/>
      <name val="Museo Sans Rounded 300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30" fillId="0" borderId="0" xfId="14" applyNumberFormat="1" applyFont="1" applyFill="1" applyBorder="1"/>
    <xf numFmtId="0" fontId="34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5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49" fontId="36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0" fillId="0" borderId="0" xfId="0" applyNumberFormat="1" applyAlignment="1">
      <alignment vertical="top" wrapText="1"/>
    </xf>
    <xf numFmtId="49" fontId="15" fillId="0" borderId="0" xfId="0" applyNumberFormat="1" applyFont="1"/>
    <xf numFmtId="49" fontId="15" fillId="0" borderId="0" xfId="2" applyNumberFormat="1" applyFont="1"/>
    <xf numFmtId="166" fontId="15" fillId="0" borderId="0" xfId="0" applyNumberFormat="1" applyFont="1"/>
    <xf numFmtId="0" fontId="15" fillId="0" borderId="0" xfId="0" applyNumberFormat="1" applyFont="1"/>
    <xf numFmtId="0" fontId="15" fillId="0" borderId="0" xfId="0" applyNumberFormat="1" applyFont="1" applyFill="1" applyBorder="1"/>
    <xf numFmtId="49" fontId="15" fillId="0" borderId="0" xfId="0" applyNumberFormat="1" applyFont="1" applyFill="1" applyBorder="1"/>
    <xf numFmtId="0" fontId="15" fillId="0" borderId="0" xfId="0" applyNumberFormat="1" applyFont="1" applyFill="1"/>
    <xf numFmtId="0" fontId="15" fillId="0" borderId="0" xfId="16" applyNumberFormat="1" applyFont="1" applyFill="1" applyBorder="1"/>
    <xf numFmtId="0" fontId="15" fillId="0" borderId="0" xfId="14" applyNumberFormat="1" applyFont="1" applyFill="1" applyBorder="1"/>
    <xf numFmtId="0" fontId="15" fillId="0" borderId="62" xfId="0" applyNumberFormat="1" applyFont="1" applyBorder="1"/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5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166" formatCode="yyyy\-mm\-dd;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503"/>
      <tableStyleElement type="headerRow" dxfId="5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501"/>
    <tableColumn id="2" xr3:uid="{198963DF-F3EB-4DA2-A09B-CD18B21F04CC}" name="Value" dataDxfId="50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99" dataDxfId="498">
  <tableColumns count="4">
    <tableColumn id="1" xr3:uid="{13DDA741-1CDC-4A84-BA10-6BA3914D8356}" name="Tag Name" dataDxfId="497"/>
    <tableColumn id="2" xr3:uid="{B8694A0E-C176-426F-B4E7-4A43E885A31D}" name="Description" dataDxfId="496"/>
    <tableColumn id="3" xr3:uid="{CCEDA1BB-6988-4E44-A66D-56FB27A89627}" name="Key" dataDxfId="495"/>
    <tableColumn id="4" xr3:uid="{6CFDDA4A-EAEC-4DF0-BC0B-E07C3B8313F2}" name="Example value" dataDxfId="49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2" totalsRowShown="0" dataDxfId="493">
  <tableColumns count="12">
    <tableColumn id="1" xr3:uid="{62CDCCDA-A28C-4C4D-80FF-C4E8A791A052}" name="ApplicationName" dataDxfId="492"/>
    <tableColumn id="2" xr3:uid="{93073D3D-E95D-4B73-99B8-673A304575F9}" name="Approver" dataDxfId="491" dataCellStyle="Hyperlink"/>
    <tableColumn id="3" xr3:uid="{C519DB6C-C4F5-4BDB-AD9F-974D03DA671C}" name="BudgetAmount" dataDxfId="490" dataCellStyle="Currency"/>
    <tableColumn id="4" xr3:uid="{8BB9F40A-BCEE-4074-B326-2E38D0DB2338}" name="BusinessUnit" dataDxfId="489"/>
    <tableColumn id="5" xr3:uid="{2F7B32FE-6B7A-4311-9868-1CB73B45FAF8}" name="CostCenter" dataDxfId="488"/>
    <tableColumn id="6" xr3:uid="{3CF5EA6D-0DB8-482F-84D0-0B444571199D}" name="DR" dataDxfId="487"/>
    <tableColumn id="7" xr3:uid="{7153405F-70BE-48EC-B673-BC239A14A10D}" name="EndDate" dataDxfId="486"/>
    <tableColumn id="8" xr3:uid="{801301DF-334B-4099-AA5B-6CE9BAC396E0}" name="Env" dataDxfId="485">
      <calculatedColumnFormula>Metadata!$B$17</calculatedColumnFormula>
    </tableColumn>
    <tableColumn id="9" xr3:uid="{26325177-F8B0-40A4-8DCA-0C7DACD9A26B}" name="Owner" dataDxfId="484" dataCellStyle="Hyperlink"/>
    <tableColumn id="10" xr3:uid="{18E76519-03C4-4D50-91DF-DCE09D293F68}" name="Requester" dataDxfId="483" dataCellStyle="Hyperlink"/>
    <tableColumn id="11" xr3:uid="{477A0BBF-6757-4356-B66D-12D53AA4DA7A}" name="ServiceClass" dataDxfId="482"/>
    <tableColumn id="12" xr3:uid="{CA9237C6-8E46-45DC-9B0A-A0BE68240541}" name="StartDate" dataDxfId="48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93" totalsRowShown="0" dataDxfId="472" headerRowCellStyle="Main Header">
  <sortState xmlns:xlrd2="http://schemas.microsoft.com/office/spreadsheetml/2017/richdata2" ref="A3:F93">
    <sortCondition ref="A3:A93"/>
  </sortState>
  <tableColumns count="6">
    <tableColumn id="1" xr3:uid="{FC3AD749-BC4E-4216-B8E9-0F7F8BF94A2C}" name="Ressource" dataDxfId="471"/>
    <tableColumn id="2" xr3:uid="{83D7CB59-1519-40A6-8BA3-8FC0E4CBB600}" name="DefaultKey" dataDxfId="470"/>
    <tableColumn id="3" xr3:uid="{AC567D1A-03FF-4EFD-8D8E-0EC5FA69C0B9}" name="Key2" dataDxfId="469"/>
    <tableColumn id="4" xr3:uid="{433E465C-EFD3-48C8-8626-6865CD24521A}" name="Key3" dataDxfId="468"/>
    <tableColumn id="5" xr3:uid="{EB3D3E36-8CFD-41DC-B098-23377F2373E7}" name="Key4" dataDxfId="467"/>
    <tableColumn id="6" xr3:uid="{7AB839EE-155E-411F-A52E-52CA26FC44C7}" name="Parent" dataDxfId="46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65" dataDxfId="464" headerRowCellStyle="Main Header">
  <tableColumns count="3">
    <tableColumn id="1" xr3:uid="{70B7E953-07B9-4C0A-BF2F-08C056CFC973}" name="Directory" dataDxfId="463"/>
    <tableColumn id="2" xr3:uid="{21C56C14-ED82-4E5E-9212-756268FEB719}" name="Directory ID" dataDxfId="462"/>
    <tableColumn id="3" xr3:uid="{83D1BC0D-43AC-4991-9058-E3F0A06A4505}" name="Domain" dataDxfId="46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60">
      <calculatedColumnFormula>_xlfn.CONCAT(D2,E2, "@", Domain)</calculatedColumnFormula>
    </tableColumn>
    <tableColumn id="2" xr3:uid="{B18F4EDA-253B-4C43-88F5-F01E09F83E53}" name="DisplayName" dataDxfId="459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58" dataDxfId="457" headerRowCellStyle="Main Header">
  <tableColumns count="5">
    <tableColumn id="1" xr3:uid="{C9ABA579-494E-4B59-A5ED-D78C1CF5FA75}" name="GroupName" dataDxfId="456"/>
    <tableColumn id="2" xr3:uid="{80F408E0-905B-41E9-BF2F-3C1C0DF5E886}" name="GroupDescription" dataDxfId="455">
      <calculatedColumnFormula>_xlfn.CONCAT("AD Security Group for Azure Role ", A2)</calculatedColumnFormula>
    </tableColumn>
    <tableColumn id="3" xr3:uid="{D052E0A6-F759-4799-8CAD-DCB51E30EA0E}" name="GroupDisplayName" dataDxfId="454">
      <calculatedColumnFormula>A2</calculatedColumnFormula>
    </tableColumn>
    <tableColumn id="4" xr3:uid="{F84B2E3A-3DDE-4E3D-95F0-A7F6EF8819A0}" name="G_MailEnabled" dataDxfId="453"/>
    <tableColumn id="5" xr3:uid="{75C06EFF-38E1-421E-90AB-2463CBA13F7F}" name="G_SecurityEnabled" dataDxfId="4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51"/>
    <tableColumn id="3" xr3:uid="{01DC909A-E8E6-4806-A91A-21D56D469880}" name="DisplayName" dataDxfId="450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49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48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47"/>
    <tableColumn id="2" xr3:uid="{E2864A1A-CBCE-4854-9C6C-59A946A5B0AF}" name="Service Administrator" dataDxfId="446"/>
    <tableColumn id="3" xr3:uid="{B394B81E-61CF-4892-8297-D3358092849D}" name="Co-administrator" dataDxfId="445"/>
    <tableColumn id="4" xr3:uid="{CDCDB45E-632B-4EC1-9518-20A009C0FD2A}" name="Subscription ID" dataDxfId="444"/>
    <tableColumn id="5" xr3:uid="{AF0CB93A-EB01-4D62-AEAC-99693C85A60C}" name="Azure AD Group" dataDxfId="443"/>
    <tableColumn id="6" xr3:uid="{3693CFB5-F3DB-4C5C-97F3-A45F0B4A7E9A}" name="Azure Role" dataDxfId="442"/>
    <tableColumn id="7" xr3:uid="{7CF63353-F7C9-4585-BB56-A477677AD849}" name="Management Group" dataDxfId="441"/>
    <tableColumn id="8" xr3:uid="{5CB0A777-F325-455A-B22A-55417E00D718}" name="TABLE OF CONTENTS" dataDxfId="4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39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38"/>
    <tableColumn id="2" xr3:uid="{211D9E26-235B-4E42-98AE-9B53F65939ED}" name="Management Group ID" dataDxfId="437"/>
    <tableColumn id="3" xr3:uid="{1F5801E6-D013-4E4D-BAE2-602F643110C5}" name="Management Group Parent" dataDxfId="436"/>
    <tableColumn id="4" xr3:uid="{B392F54B-3ED4-49C8-824B-DD0ACC0BE9E6}" name="ApplicationName" dataDxfId="435"/>
    <tableColumn id="5" xr3:uid="{91CA4FBA-4DC5-44EB-8DC9-20D84674DACE}" name="Approver" dataDxfId="434">
      <calculatedColumnFormula>VLOOKUP(tblResourceGroups[[#This Row],[ApplicationName]],tblDefaultTag[],2,FALSE)</calculatedColumnFormula>
    </tableColumn>
    <tableColumn id="6" xr3:uid="{9EB4025A-6DF6-4CC7-AED0-B0A5C8E0DDA4}" name="BudgetAmount" dataDxfId="433">
      <calculatedColumnFormula>VLOOKUP(tblResourceGroups[[#This Row],[ApplicationName]],tblDefaultTag[],3,FALSE)</calculatedColumnFormula>
    </tableColumn>
    <tableColumn id="7" xr3:uid="{6B83D8AA-96A6-4438-B0E4-9D2AD90564FC}" name="BusinessUnit" dataDxfId="432">
      <calculatedColumnFormula>VLOOKUP(tblResourceGroups[[#This Row],[ApplicationName]],tblDefaultTag[],4,FALSE)</calculatedColumnFormula>
    </tableColumn>
    <tableColumn id="8" xr3:uid="{5A615C11-0209-4606-82AB-DC6E2EA6F24D}" name="CostCenter" dataDxfId="431">
      <calculatedColumnFormula>VLOOKUP(tblResourceGroups[[#This Row],[ApplicationName]],tblDefaultTag[],5,FALSE)</calculatedColumnFormula>
    </tableColumn>
    <tableColumn id="9" xr3:uid="{88C4B88F-DBF6-4B14-B0A8-2BB359303038}" name="DR" dataDxfId="430">
      <calculatedColumnFormula>VLOOKUP(tblResourceGroups[[#This Row],[ApplicationName]],tblDefaultTag[],6,FALSE)</calculatedColumnFormula>
    </tableColumn>
    <tableColumn id="10" xr3:uid="{39868F5A-900A-442A-9DA8-57911025EA5E}" name="EndDate" dataDxfId="429">
      <calculatedColumnFormula>TEXT(VLOOKUP(tblResourceGroups[[#This Row],[ApplicationName]],tblDefaultTag[],7,FALSE), "mm/dd/yyyy")</calculatedColumnFormula>
    </tableColumn>
    <tableColumn id="11" xr3:uid="{21E63A00-2527-4316-A695-8F69C5AC07E3}" name="Env" dataDxfId="428">
      <calculatedColumnFormula>VLOOKUP(tblResourceGroups[[#This Row],[ApplicationName]],tblDefaultTag[],8,FALSE)</calculatedColumnFormula>
    </tableColumn>
    <tableColumn id="12" xr3:uid="{0F0E51EB-0BE6-4094-AC89-E0F598D28456}" name="Owner" dataDxfId="427">
      <calculatedColumnFormula>VLOOKUP(tblResourceGroups[[#This Row],[ApplicationName]],tblDefaultTag[],9,FALSE)</calculatedColumnFormula>
    </tableColumn>
    <tableColumn id="13" xr3:uid="{3DAFAB7A-02FF-4000-94CB-EF3ACF0A26CE}" name="Requester" dataDxfId="426">
      <calculatedColumnFormula>VLOOKUP(tblResourceGroups[[#This Row],[ApplicationName]],tblDefaultTag[],10,FALSE)</calculatedColumnFormula>
    </tableColumn>
    <tableColumn id="14" xr3:uid="{2782B11C-9D44-4A57-B89D-6EF63014FE21}" name="ServiceClass" dataDxfId="425">
      <calculatedColumnFormula>VLOOKUP(tblResourceGroups[[#This Row],[ApplicationName]],tblDefaultTag[],11,FALSE)</calculatedColumnFormula>
    </tableColumn>
    <tableColumn id="15" xr3:uid="{4931B5A7-8346-416B-9561-5C610881F0BA}" name="StartDate" dataDxfId="424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3" totalsRowShown="0" headerRowDxfId="423" dataDxfId="422" headerRowCellStyle="PLG-Header">
  <autoFilter ref="A1:N3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21"/>
    <tableColumn id="2" xr3:uid="{32E1F552-86B5-463A-9E73-C9BB482937F5}" name="region Name" dataDxfId="420">
      <calculatedColumnFormula>PrimaryRegionTag</calculatedColumnFormula>
    </tableColumn>
    <tableColumn id="3" xr3:uid="{F696BAA5-D243-43A1-83FE-A626EFF31CDA}" name="ApplicationName" dataDxfId="419"/>
    <tableColumn id="4" xr3:uid="{E7A12F03-FB6E-4566-A403-8B2F607721C1}" name="Approver" dataDxfId="418">
      <calculatedColumnFormula>VLOOKUP(tblResourceGroups[[#This Row],[ApplicationName]],tblDefaultTag[],2,FALSE)</calculatedColumnFormula>
    </tableColumn>
    <tableColumn id="5" xr3:uid="{16B9817D-734D-4B5B-A762-4953C4173471}" name="BudgetAmount" dataDxfId="417" dataCellStyle="Currency 2 2">
      <calculatedColumnFormula>VLOOKUP(tblResourceGroups[[#This Row],[ApplicationName]],tblDefaultTag[],3,FALSE)</calculatedColumnFormula>
    </tableColumn>
    <tableColumn id="6" xr3:uid="{1234D8FE-2D18-44A7-A961-7DBA72344A7A}" name="BusinessUnit" dataDxfId="416" dataCellStyle="Normal 2 2">
      <calculatedColumnFormula>VLOOKUP(tblResourceGroups[[#This Row],[ApplicationName]],tblDefaultTag[],4,FALSE)</calculatedColumnFormula>
    </tableColumn>
    <tableColumn id="7" xr3:uid="{ACCD4515-25CE-459F-AC99-8F097E729533}" name="CostCenter" dataDxfId="415" dataCellStyle="Normal 2 2">
      <calculatedColumnFormula>VLOOKUP(tblResourceGroups[[#This Row],[ApplicationName]],tblDefaultTag[],5,FALSE)</calculatedColumnFormula>
    </tableColumn>
    <tableColumn id="8" xr3:uid="{F4860233-3D8B-49EE-9C4D-D0B470E94C14}" name="DR" dataDxfId="414" dataCellStyle="Normal 2 2">
      <calculatedColumnFormula>VLOOKUP(tblResourceGroups[[#This Row],[ApplicationName]],tblDefaultTag[],6,FALSE)</calculatedColumnFormula>
    </tableColumn>
    <tableColumn id="9" xr3:uid="{C0014C79-BAD0-49F7-BA07-4696139ED7AA}" name="EndDate" dataDxfId="413" dataCellStyle="Normal 2 2">
      <calculatedColumnFormula>TEXT(VLOOKUP(tblResourceGroups[[#This Row],[ApplicationName]],tblDefaultTag[],7,FALSE), "mm/dd/yyyy")</calculatedColumnFormula>
    </tableColumn>
    <tableColumn id="10" xr3:uid="{A24C2FAC-CBAB-446E-A910-9EE8F3075168}" name="Env" dataDxfId="412" dataCellStyle="Normal 2 2">
      <calculatedColumnFormula>VLOOKUP(tblResourceGroups[[#This Row],[ApplicationName]],tblDefaultTag[],8,FALSE)</calculatedColumnFormula>
    </tableColumn>
    <tableColumn id="11" xr3:uid="{6F19FB4F-030A-48C4-A9CA-4A2DA6107604}" name="Owner" dataDxfId="411" dataCellStyle="Normal 2 2">
      <calculatedColumnFormula>VLOOKUP(tblResourceGroups[[#This Row],[ApplicationName]],tblDefaultTag[],9,FALSE)</calculatedColumnFormula>
    </tableColumn>
    <tableColumn id="12" xr3:uid="{EE3441C4-C5CE-47ED-A618-ABA365828202}" name="Requester" dataDxfId="410" dataCellStyle="Normal 2 2">
      <calculatedColumnFormula>VLOOKUP(tblResourceGroups[[#This Row],[ApplicationName]],tblDefaultTag[],10,FALSE)</calculatedColumnFormula>
    </tableColumn>
    <tableColumn id="13" xr3:uid="{3BB5D2C8-EF69-4A08-9D12-3324A5A19E98}" name="ServiceClass" dataDxfId="409" dataCellStyle="Normal 2 2">
      <calculatedColumnFormula>VLOOKUP(tblResourceGroups[[#This Row],[ApplicationName]],tblDefaultTag[],11,FALSE)</calculatedColumnFormula>
    </tableColumn>
    <tableColumn id="14" xr3:uid="{63B6F936-3A3D-4C6B-8556-2B6A5858FB27}" name="StartDate" dataDxfId="408" dataCellStyle="Normal 2 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407">
  <sortState xmlns:xlrd2="http://schemas.microsoft.com/office/spreadsheetml/2017/richdata2" ref="A2:G166">
    <sortCondition descending="1" ref="B2:B166"/>
    <sortCondition ref="A2:A166"/>
  </sortState>
  <tableColumns count="7">
    <tableColumn id="1" xr3:uid="{7CDA3B51-5352-4294-AE5D-D18D3B80EC5A}" name="RoleName" dataDxfId="406"/>
    <tableColumn id="7" xr3:uid="{AB92E150-4D79-4D29-9EB8-942FE96C9C72}" name="IsCustom" dataDxfId="405"/>
    <tableColumn id="2" xr3:uid="{928B2788-C7CF-4A86-B859-EDA14A5D6D71}" name="Description" dataDxfId="404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2" totalsRowShown="0" headerRowDxfId="403" dataDxfId="402" headerRowCellStyle="Hyperlink" dataCellStyle="Normal 2 2">
  <tableColumns count="14">
    <tableColumn id="1" xr3:uid="{7D74FD36-91E0-4097-81C3-B3295B6D9F20}" name="KeyVaultName" dataDxfId="401" dataCellStyle="Normal 2 2">
      <calculatedColumnFormula>LOWER(_xlfn.CONCAT(VLOOKUP(tblKeyVault[[#Headers],[KeyVaultName]], tblNamingKeys[],2,FALSE),"-",Company_Tag,"-",INDIRECT(ADDRESS(2,MATCH("ApplicationName", $1:$1,0),4,1)),"-",envTag,"-",PrimaryRegionTag&amp;TEXT(ROW()-1, "00")))</calculatedColumnFormula>
    </tableColumn>
    <tableColumn id="2" xr3:uid="{626EDD50-9C93-407B-A62E-24DF831D5465}" name="ResourceGroupName" dataDxfId="400" dataCellStyle="Normal 2 2">
      <calculatedColumnFormula>LOWER(_xlfn.CONCAT(VLOOKUP(tblKeyVault[[#Headers],[ResourceGroupName]], tblNamingKeys[],2,FALSE),"-",Company_Tag,"-",INDIRECT(ADDRESS(2,MATCH("ApplicationName", $1:$1,0),4,1)),"-",envTag,"-",PrimaryRegionTag&amp;TEXT(ROW()-1, "00")))</calculatedColumnFormula>
    </tableColumn>
    <tableColumn id="3" xr3:uid="{1A859D3A-B2D5-49F6-9EAF-C559550F806A}" name="ApplicationName" dataDxfId="399" dataCellStyle="Normal 2 2"/>
    <tableColumn id="4" xr3:uid="{F4A9EEFB-0848-46B6-B8F9-B97F682F8A70}" name="Approver" dataDxfId="398" dataCellStyle="Hyperlink 2 2">
      <calculatedColumnFormula>VLOOKUP(tblKeyVault[[#This Row],[ApplicationName]],tblDefaultTag[],2,FALSE)</calculatedColumnFormula>
    </tableColumn>
    <tableColumn id="5" xr3:uid="{7B05256F-FA99-48A8-BD16-B8D74955FA98}" name="BudgetAmount" dataDxfId="397" dataCellStyle="Currency 2 2">
      <calculatedColumnFormula>VLOOKUP(tblKeyVault[[#This Row],[ApplicationName]],tblDefaultTag[],3,FALSE)</calculatedColumnFormula>
    </tableColumn>
    <tableColumn id="6" xr3:uid="{AE131878-96FE-4822-9268-F15EC334B559}" name="BusinessUnit" dataDxfId="396" dataCellStyle="Normal 2 2"/>
    <tableColumn id="7" xr3:uid="{72EA179A-2179-408B-8FFD-8BB2268F3CFF}" name="CostCenter" dataDxfId="395" dataCellStyle="Normal 2 2"/>
    <tableColumn id="8" xr3:uid="{F170D104-FA9A-402D-B07C-EFF4561576E7}" name="DR" dataDxfId="394" dataCellStyle="Normal 2 2"/>
    <tableColumn id="9" xr3:uid="{B9B3FE9A-4399-45E1-9828-350DFE6ABF78}" name="EndDate" dataDxfId="393" dataCellStyle="Normal 2 2">
      <calculatedColumnFormula>TEXT(VLOOKUP(tblKeyVault[[#This Row],[ApplicationName]],tblDefaultTag[],7,FALSE), "mm/dd/yyyy")</calculatedColumnFormula>
    </tableColumn>
    <tableColumn id="10" xr3:uid="{76D28B90-05C0-4BFA-9EB4-2C6C8F9BAC15}" name="Env" dataDxfId="392" dataCellStyle="Normal 2 2">
      <calculatedColumnFormula>VLOOKUP(tblKeyVault[[#This Row],[ApplicationName]],tblDefaultTag[],8,FALSE)</calculatedColumnFormula>
    </tableColumn>
    <tableColumn id="11" xr3:uid="{3F392D78-3914-4C33-8A79-89E47165EF8B}" name="Owner" dataDxfId="391" dataCellStyle="Hyperlink 2 2">
      <calculatedColumnFormula>VLOOKUP(tblKeyVault[[#This Row],[ApplicationName]],tblDefaultTag[],9,FALSE)</calculatedColumnFormula>
    </tableColumn>
    <tableColumn id="12" xr3:uid="{5B82FDB3-D573-4780-AAF9-0A161E675B7D}" name="Requester" dataDxfId="390" dataCellStyle="Hyperlink 2 2">
      <calculatedColumnFormula>VLOOKUP(tblKeyVault[[#This Row],[ApplicationName]],tblDefaultTag[],10,FALSE)</calculatedColumnFormula>
    </tableColumn>
    <tableColumn id="13" xr3:uid="{5CD2F8BD-154E-476C-978F-2817115003FF}" name="ServiceClass" dataDxfId="389" dataCellStyle="Normal 2 2"/>
    <tableColumn id="14" xr3:uid="{A68A696A-51CF-4E59-8C8C-B630E77BEFCE}" name="StartDate" dataDxfId="388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87" dataDxfId="386" headerRowCellStyle="PLG-Header">
  <tableColumns count="17">
    <tableColumn id="1" xr3:uid="{EDC4F6A4-6201-4473-B1C9-AE7D7C6C2A8E}" name="StorageAccountName" dataDxfId="385" totalsRowDxfId="384">
      <calculatedColumnFormula>LOWER(_xlfn.CONCAT(VLOOKUP(tblStorageAccounts[[#Headers],[StorageAccountName]], tblNamingKeys[],2,FALSE),Company_Tag,INDIRECT(ADDRESS(2,MATCH("ApplicationName", $1:$1,0),4,1)),envTag,PrimaryRegionTag))</calculatedColumnFormula>
    </tableColumn>
    <tableColumn id="2" xr3:uid="{D5C5FCC9-C0C7-41C5-A184-D2AF4179125D}" name="ResourceGroupName" dataDxfId="383" totalsRowDxfId="382">
      <calculatedColumnFormula>LOWER(_xlfn.CONCAT(VLOOKUP(tblStorageAccounts[[#Headers],[ResourceGroupName]], tblNamingKeys[],2,FALSE),"-",Company_Tag,"-",INDIRECT(ADDRESS(2,MATCH("ApplicationName", $1:$1,0),4,1)),"-",envTag,"-",PrimaryRegionTag))</calculatedColumnFormula>
    </tableColumn>
    <tableColumn id="4" xr3:uid="{3447B835-7A22-4C61-B3EA-F3209A7398B6}" name="AccountType" dataDxfId="381" totalsRowDxfId="380"/>
    <tableColumn id="5" xr3:uid="{7F9ABFCE-8C9C-4E53-AF0C-FB549863B5CE}" name="StorageKind" dataDxfId="379" totalsRowDxfId="378"/>
    <tableColumn id="6" xr3:uid="{720CDDA3-4F0C-40E8-881A-1C9A3983ABF9}" name="AccessTier" dataDxfId="377" totalsRowDxfId="376"/>
    <tableColumn id="3" xr3:uid="{B7E37DED-9F50-4727-8FA0-223F455B52C7}" name="ApplicationName" dataDxfId="375" totalsRowDxfId="374">
      <calculatedColumnFormula>IF(Tags!A21&gt; "", Tags!A21, "")</calculatedColumnFormula>
    </tableColumn>
    <tableColumn id="7" xr3:uid="{99A0AA91-0A5C-4A70-978E-58EE1FCC72BB}" name="Approver" dataDxfId="373" totalsRowDxfId="372">
      <calculatedColumnFormula>VLOOKUP(tblStorageAccounts[[#This Row],[ApplicationName]],tblDefaultTag[],2,FALSE)</calculatedColumnFormula>
    </tableColumn>
    <tableColumn id="8" xr3:uid="{6095DA26-EA6F-45E6-9DB1-FEDFCA59205C}" name="BudgetAmount" dataDxfId="371" totalsRowDxfId="370" dataCellStyle="Currency 2 2">
      <calculatedColumnFormula>VLOOKUP(tblStorageAccounts[[#This Row],[ApplicationName]],tblDefaultTag[],3,FALSE)</calculatedColumnFormula>
    </tableColumn>
    <tableColumn id="9" xr3:uid="{62135E6B-DDF5-4364-8CB3-B347D89BAFC6}" name="BusinessUnit" dataDxfId="369" totalsRowDxfId="368" dataCellStyle="Normal 2 2">
      <calculatedColumnFormula>VLOOKUP(tblStorageAccounts[[#This Row],[ApplicationName]],tblDefaultTag[],4,FALSE)</calculatedColumnFormula>
    </tableColumn>
    <tableColumn id="11" xr3:uid="{F0EB6BFB-19A1-499C-BF38-5EC828A3639C}" name="CostCenter" dataDxfId="367" totalsRowDxfId="366" dataCellStyle="Normal 2 2">
      <calculatedColumnFormula>VLOOKUP(tblStorageAccounts[[#This Row],[ApplicationName]],tblDefaultTag[],5,FALSE)</calculatedColumnFormula>
    </tableColumn>
    <tableColumn id="12" xr3:uid="{BB0D0ECA-D759-45E3-A5D7-10DA43079AC6}" name="DR" dataDxfId="365" totalsRowDxfId="364" dataCellStyle="Normal 2 2">
      <calculatedColumnFormula>VLOOKUP(tblStorageAccounts[[#This Row],[ApplicationName]],tblDefaultTag[],6,FALSE)</calculatedColumnFormula>
    </tableColumn>
    <tableColumn id="13" xr3:uid="{1D85F930-A50A-4DE0-BF3A-B666E8EFC218}" name="EndDate" dataDxfId="363" totalsRowDxfId="362" dataCellStyle="Normal 2 2">
      <calculatedColumnFormula>TEXT(VLOOKUP(tblStorageAccounts[[#This Row],[ApplicationName]],tblDefaultTag[],7,FALSE), "mm/dd/yyyy")</calculatedColumnFormula>
    </tableColumn>
    <tableColumn id="14" xr3:uid="{F1CA34EA-3543-4934-BAF1-3B4047411C50}" name="Env" dataDxfId="361" totalsRowDxfId="360" dataCellStyle="Normal 2 2">
      <calculatedColumnFormula>VLOOKUP(tblStorageAccounts[[#This Row],[ApplicationName]],tblDefaultTag[],8,FALSE)</calculatedColumnFormula>
    </tableColumn>
    <tableColumn id="15" xr3:uid="{6216FC08-1112-4E29-B772-CE73C4766403}" name="Owner" dataDxfId="359" totalsRowDxfId="358" dataCellStyle="Normal 2 2">
      <calculatedColumnFormula>VLOOKUP(tblStorageAccounts[[#This Row],[ApplicationName]],tblDefaultTag[],9,FALSE)</calculatedColumnFormula>
    </tableColumn>
    <tableColumn id="16" xr3:uid="{6F78E4FE-7F4C-4860-B413-4685A40B8395}" name="Requester" dataDxfId="357" totalsRowDxfId="356" dataCellStyle="Normal 2 2">
      <calculatedColumnFormula>VLOOKUP(tblStorageAccounts[[#This Row],[ApplicationName]],tblDefaultTag[],10,FALSE)</calculatedColumnFormula>
    </tableColumn>
    <tableColumn id="17" xr3:uid="{C5C3B864-9253-4717-808F-59EE05C2B988}" name="ServiceClass" dataDxfId="355" totalsRowDxfId="354" dataCellStyle="Normal 2 2">
      <calculatedColumnFormula>VLOOKUP(tblStorageAccounts[[#This Row],[ApplicationName]],tblDefaultTag[],11,FALSE)</calculatedColumnFormula>
    </tableColumn>
    <tableColumn id="18" xr3:uid="{E0A30987-F0E4-4B04-85E8-835F3F174FB8}" name="StartDate" dataDxfId="353" totalsRowDxfId="352" dataCellStyle="Normal 2 2">
      <calculatedColumnFormula>TEXT(VLOOKUP(tblStorageAccounts[[#This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DataLake" displayName="tblDataLake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LOWER(_xlfn.CONCAT(VLOOKUP(tblDataLake[[#Headers],[DataLakeStoreName]], tblNamingKeys[],2,FALSE),Company_Tag,INDIRECT(ADDRESS(ROW(),MATCH("ApplicationName", $1:$1,0),4,1)),envTag,PrimaryRegionTag))</calculatedColumnFormula>
    </tableColumn>
    <tableColumn id="2" xr3:uid="{A11DDCBF-C53B-41AD-8DB5-41F5CBB88B68}" name="ResourceGroupName" dataDxfId="348">
      <calculatedColumnFormula>LOWER(_xlfn.CONCAT(VLOOKUP(tblDataLake[[#Headers],[ResourceGroupName]], tblNamingKeys[],2,FALSE),"-",Company_Tag,"-",INDIRECT(ADDRESS(ROW(),MATCH("ApplicationName", $1:$1,0),4,1)),"-",envTag,"-",PrimaryRegionTag))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>
      <calculatedColumnFormula>VLOOKUP(tblDataLake[[#This Row],[ApplicationName]],tblDefaultTag[],2,FALSE)</calculatedColumnFormula>
    </tableColumn>
    <tableColumn id="8" xr3:uid="{793B3F76-6A57-4092-9042-D2A141A1C8C1}" name="BudgetAmount" dataDxfId="342" dataCellStyle="Currency 2 2">
      <calculatedColumnFormula>VLOOKUP(tblDataLake[[#This Row],[ApplicationName]],tblDefaultTag[],3,FALSE)</calculatedColumnFormula>
    </tableColumn>
    <tableColumn id="9" xr3:uid="{DD58DA39-645C-4EEE-9A38-F40CA00462C1}" name="BusinessUnit" dataDxfId="341" dataCellStyle="Normal 2 2">
      <calculatedColumnFormula>VLOOKUP(tblDataLake[[#This Row],[ApplicationName]],tblDefaultTag[],4,FALSE)</calculatedColumnFormula>
    </tableColumn>
    <tableColumn id="11" xr3:uid="{3EB4F175-103D-4BA3-95FA-62D80672F86D}" name="CostCenter" dataDxfId="340" dataCellStyle="Normal 2 2">
      <calculatedColumnFormula>VLOOKUP(tblDataLake[[#This Row],[ApplicationName]],tblDefaultTag[],5,FALSE)</calculatedColumnFormula>
    </tableColumn>
    <tableColumn id="12" xr3:uid="{7D7A7153-A227-485E-A650-F82E34519655}" name="DR" dataDxfId="339" dataCellStyle="Normal 2 2">
      <calculatedColumnFormula>VLOOKUP(tblDataLake[[#This Row],[ApplicationName]],tblDefaultTag[],6,FALSE)</calculatedColumnFormula>
    </tableColumn>
    <tableColumn id="13" xr3:uid="{29DA63D3-2F0F-4486-8313-D93765132670}" name="EndDate" dataDxfId="338" dataCellStyle="Normal 2 2">
      <calculatedColumnFormula>TEXT(VLOOKUP(tblDataLake[[#This Row],[ApplicationName]],tblDefaultTag[],7,FALSE), "mm/dd/yyyy")</calculatedColumnFormula>
    </tableColumn>
    <tableColumn id="14" xr3:uid="{9F83E188-C8A1-4FC0-AACE-446FCDBEC02E}" name="Env" dataDxfId="337" dataCellStyle="Normal 2 2">
      <calculatedColumnFormula>VLOOKUP(tblDataLake[[#This Row],[ApplicationName]],tblDefaultTag[],8,FALSE)</calculatedColumnFormula>
    </tableColumn>
    <tableColumn id="15" xr3:uid="{08BD1C97-6E8C-430C-BAB7-622E0965DDE2}" name="Owner" dataDxfId="336" dataCellStyle="Normal 2 2">
      <calculatedColumnFormula>VLOOKUP(tblDataLake[[#This Row],[ApplicationName]],tblDefaultTag[],9,FALSE)</calculatedColumnFormula>
    </tableColumn>
    <tableColumn id="16" xr3:uid="{2C9189BB-F929-4D3E-B5D1-311592D9490B}" name="Requester" dataDxfId="335" dataCellStyle="Normal 2 2">
      <calculatedColumnFormula>VLOOKUP(tblDataLake[[#This Row],[ApplicationName]],tblDefaultTag[],10,FALSE)</calculatedColumnFormula>
    </tableColumn>
    <tableColumn id="17" xr3:uid="{B875AAB7-E809-4079-BE50-F94FE580B839}" name="ServiceClass" dataDxfId="334" dataCellStyle="Normal 2 2">
      <calculatedColumnFormula>VLOOKUP(tblDataLake[[#This Row],[ApplicationName]],tblDefaultTag[],11,FALSE)</calculatedColumnFormula>
    </tableColumn>
    <tableColumn id="18" xr3:uid="{CBA21964-64B1-46CD-8C30-199630F884E7}" name="StartDate" dataDxfId="333" dataCellStyle="Normal 2 2">
      <calculatedColumnFormula>TEXT(VLOOKUP(tblDataLake[[#This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LOWER(_xlfn.CONCAT(VLOOKUP(tblSQLServers[[#Headers],[sqlServerName]], tblNamingKeys[],2,FALSE),"-",Company_Tag,"-",INDIRECT(ADDRESS(ROW(),MATCH("ApplicationName", $1:$1,0),4,1)),"-",envTag,"-",PrimaryRegionTag))</calculatedColumnFormula>
    </tableColumn>
    <tableColumn id="2" xr3:uid="{52C32C24-2D40-4599-AC1D-68A819F6009D}" name="ResourceGroupName" dataDxfId="329">
      <calculatedColumnFormula>LOWER(_xlfn.CONCAT(VLOOKUP(tblSQLServers[[#Headers],[ResourceGroupName]], tblNamingKeys[],2,FALSE),"-",Company_Tag,"-",INDIRECT(ADDRESS(ROW(),MATCH("ApplicationName", $1:$1,0),4,1)),"-",envTag,"-",PrimaryRegionTag))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>
      <calculatedColumnFormula>VLOOKUP(tblSQLServers[[#This Row],[ApplicationName]],tblDefaultTag[],2,FALSE)</calculatedColumnFormula>
    </tableColumn>
    <tableColumn id="7" xr3:uid="{B3E8B024-694F-4BF3-8F25-9902FBE87D1F}" name="BudgetAmount" dataDxfId="324">
      <calculatedColumnFormula>VLOOKUP(tblSQLServers[[#This Row],[ApplicationName]],tblDefaultTag[],3,FALSE)</calculatedColumnFormula>
    </tableColumn>
    <tableColumn id="8" xr3:uid="{ABC43D73-14B6-4602-8043-E0F57518A105}" name="BusinessUnit" dataDxfId="323">
      <calculatedColumnFormula>VLOOKUP(tblSQLServers[[#This Row],[ApplicationName]],tblDefaultTag[],4,FALSE)</calculatedColumnFormula>
    </tableColumn>
    <tableColumn id="9" xr3:uid="{35091A8E-5CAE-4A0E-896E-246761D77430}" name="CostCenter" dataDxfId="322">
      <calculatedColumnFormula>VLOOKUP(tblSQLServers[[#This Row],[ApplicationName]],tblDefaultTag[],5,FALSE)</calculatedColumnFormula>
    </tableColumn>
    <tableColumn id="10" xr3:uid="{36FD19EA-6224-410F-95C4-92A550EFB4DC}" name="DR" dataDxfId="321">
      <calculatedColumnFormula>VLOOKUP(tblSQLServers[[#This Row],[ApplicationName]],tblDefaultTag[],6,FALSE)</calculatedColumnFormula>
    </tableColumn>
    <tableColumn id="11" xr3:uid="{FDFE1F3F-D340-4EAD-BEA8-6AC03052FFBE}" name="EndDate" dataDxfId="320">
      <calculatedColumnFormula>TEXT(VLOOKUP(tblSQLServers[[#This Row],[ApplicationName]],tblDefaultTag[],7,FALSE), "mm/dd/yyyy")</calculatedColumnFormula>
    </tableColumn>
    <tableColumn id="12" xr3:uid="{FB92422E-0E45-4560-9A57-B77184199953}" name="Env" dataDxfId="319" dataCellStyle="Normal 2 2">
      <calculatedColumnFormula>VLOOKUP(tblSQLServers[[#This Row],[ApplicationName]],tblDefaultTag[],8,FALSE)</calculatedColumnFormula>
    </tableColumn>
    <tableColumn id="13" xr3:uid="{6C35CAB9-8AD1-46EE-8538-BA45F01D09A8}" name="Owner" dataDxfId="318">
      <calculatedColumnFormula>VLOOKUP(tblSQLServers[[#This Row],[ApplicationName]],tblDefaultTag[],9,FALSE)</calculatedColumnFormula>
    </tableColumn>
    <tableColumn id="14" xr3:uid="{E8386069-F356-40BE-9015-5747932DC16D}" name="Requester" dataDxfId="317">
      <calculatedColumnFormula>VLOOKUP(tblSQLServers[[#This Row],[ApplicationName]],tblDefaultTag[],10,FALSE)</calculatedColumnFormula>
    </tableColumn>
    <tableColumn id="15" xr3:uid="{A7373C3F-E388-4E76-9EC5-79F9279C3CD7}" name="ServiceClass" dataDxfId="316">
      <calculatedColumnFormula>VLOOKUP(tblSQLServers[[#This Row],[ApplicationName]],tblDefaultTag[],11,FALSE)</calculatedColumnFormula>
    </tableColumn>
    <tableColumn id="16" xr3:uid="{86DED262-EF7A-4317-8063-CEBDF1F1B3B2}" name="StartDate" dataDxfId="315">
      <calculatedColumnFormula>TEXT(VLOOKUP(tblSQLServers[[#This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ynapse" displayName="tblSynapse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LOWER(_xlfn.CONCAT(VLOOKUP(tblSynapse[[#Headers],[synapseDWName]], tblNamingKeys[],2,FALSE),Company_Tag,INDIRECT(ADDRESS(ROW(),MATCH("ApplicationName", $1:$1,0),4,1)),envTag,PrimaryRegionTag))</calculatedColumnFormula>
    </tableColumn>
    <tableColumn id="2" xr3:uid="{8A1C83ED-FD8D-47DE-9A9B-B6D5A08CA72A}" name="ResourceGroupName" dataDxfId="311">
      <calculatedColumnFormula>LOWER(_xlfn.CONCAT(VLOOKUP(tblSynapse[[#Headers],[ResourceGroupName]], tblNamingKeys[],2,FALSE),"-",Company_Tag,"-",INDIRECT(ADDRESS(ROW(),MATCH("ApplicationName", $1:$1,0),4,1)),"-",envTag,"-",PrimaryRegionTag))</calculatedColumnFormula>
    </tableColumn>
    <tableColumn id="1" xr3:uid="{FEEA6145-8690-4FC8-80B0-EBFEC213721D}" name="sqlServerName" dataDxfId="310">
      <calculatedColumnFormula>LOWER(_xlfn.CONCAT(VLOOKUP(tblSynapse[[#Headers],[sqlServerName]], tblNamingKeys[],2,FALSE),"-",Company_Tag,"-",INDIRECT(ADDRESS(ROW(),MATCH("ApplicationName", $1:$1,0),4,1)),"-",envTag,"-",PrimaryRegionTag))</calculatedColumnFormula>
    </tableColumn>
    <tableColumn id="4" xr3:uid="{BB5B9D8C-87B6-4A6B-AF8D-86799672DBC9}" name="ApplicationName" dataDxfId="309"/>
    <tableColumn id="5" xr3:uid="{2DA205CC-FFB9-440F-A1C0-176A1156E603}" name="Approver" dataDxfId="308">
      <calculatedColumnFormula>VLOOKUP(tblSynapse[[#This Row],[ApplicationName]],tblDefaultTag[],2,FALSE)</calculatedColumnFormula>
    </tableColumn>
    <tableColumn id="6" xr3:uid="{7BA4A9FC-476F-4156-B8DB-4B31A8EF7134}" name="BudgetAmount" dataDxfId="307" dataCellStyle="Currency 2 2">
      <calculatedColumnFormula>VLOOKUP(tblSynapse[[#This Row],[ApplicationName]],tblDefaultTag[],3,FALSE)</calculatedColumnFormula>
    </tableColumn>
    <tableColumn id="8" xr3:uid="{7CFDD2F2-E45F-4D42-B1E7-2946C47B6F45}" name="BusinessUnit" dataDxfId="306" dataCellStyle="Normal 2 2">
      <calculatedColumnFormula>VLOOKUP(tblSynapse[[#This Row],[ApplicationName]],tblDefaultTag[],4,FALSE)</calculatedColumnFormula>
    </tableColumn>
    <tableColumn id="9" xr3:uid="{70D6E542-4170-47B5-B00B-F61E604E3659}" name="CostCenter" dataDxfId="305" dataCellStyle="Normal 2 2">
      <calculatedColumnFormula>VLOOKUP(tblSynapse[[#This Row],[ApplicationName]],tblDefaultTag[],5,FALSE)</calculatedColumnFormula>
    </tableColumn>
    <tableColumn id="10" xr3:uid="{5FE0A6C7-E220-41F2-B0B9-F34E7C018D94}" name="DR" dataDxfId="304" dataCellStyle="Normal 2 2">
      <calculatedColumnFormula>VLOOKUP(tblSynapse[[#This Row],[ApplicationName]],tblDefaultTag[],6,FALSE)</calculatedColumnFormula>
    </tableColumn>
    <tableColumn id="11" xr3:uid="{1E368A26-FD9E-4865-B2F4-10A966A5A36F}" name="EndDate" dataDxfId="303" dataCellStyle="Normal 2 2">
      <calculatedColumnFormula>TEXT(VLOOKUP(tblSynapse[[#This Row],[ApplicationName]],tblDefaultTag[],7,FALSE), "mm/dd/yyyy")</calculatedColumnFormula>
    </tableColumn>
    <tableColumn id="12" xr3:uid="{C54CEB87-85C3-4A03-BAC5-3EEF69F26CB7}" name="Env" dataDxfId="302" dataCellStyle="Normal 2 2">
      <calculatedColumnFormula>VLOOKUP(tblSynapse[[#This Row],[ApplicationName]],tblDefaultTag[],8,FALSE)</calculatedColumnFormula>
    </tableColumn>
    <tableColumn id="13" xr3:uid="{2E5C7347-5FA9-4D75-BA47-29A20B2EE822}" name="Owner" dataDxfId="301">
      <calculatedColumnFormula>VLOOKUP(tblSynapse[[#This Row],[ApplicationName]],tblDefaultTag[],9,FALSE)</calculatedColumnFormula>
    </tableColumn>
    <tableColumn id="14" xr3:uid="{85414F39-D48E-4833-B1ED-B4DA850D3C60}" name="Requester" dataDxfId="300">
      <calculatedColumnFormula>VLOOKUP(tblSynapse[[#This Row],[ApplicationName]],tblDefaultTag[],10,FALSE)</calculatedColumnFormula>
    </tableColumn>
    <tableColumn id="15" xr3:uid="{F2C22C3C-9D7E-4491-B389-AF6CD0E79779}" name="ServiceClass" dataDxfId="299" dataCellStyle="Normal 2 2">
      <calculatedColumnFormula>VLOOKUP(tblSynapse[[#This Row],[ApplicationName]],tblDefaultTag[],11,FALSE)</calculatedColumnFormula>
    </tableColumn>
    <tableColumn id="16" xr3:uid="{3D879FFE-E831-4A2A-92BA-260AE2E21FDE}" name="StartDate" dataDxfId="298" dataCellStyle="Normal 2 2">
      <calculatedColumnFormula>TEXT(VLOOKUP(tblSynapse[[#This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LogicApps" displayName="tblLogicApps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LOWER(_xlfn.CONCAT(VLOOKUP(tblLogicApps[[#Headers],[logicAppName]], tblNamingKeys[],2,FALSE),"-",Company_Tag,"-",INDIRECT(ADDRESS(ROW(),MATCH("ApplicationName", $1:$1,0),4,1)),"-",envTag,"-",PrimaryRegionTag))</calculatedColumnFormula>
    </tableColumn>
    <tableColumn id="2" xr3:uid="{5659FB4C-0B70-45FB-9712-B77B0CA36461}" name="ResourceGroupName" dataDxfId="294">
      <calculatedColumnFormula>LOWER(_xlfn.CONCAT(VLOOKUP(tblLogicApps[[#Headers],[ResourceGroupName]], tblNamingKeys[],2,FALSE),"-",Company_Tag,"-",INDIRECT(ADDRESS(ROW(),MATCH("ApplicationName", $1:$1,0),4,1)),"-",envTag,"-",PrimaryRegionTag))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 dataCellStyle="Currency 2 2"/>
    <tableColumn id="8" xr3:uid="{BB063B75-42BB-4DE5-B253-FCD134557256}" name="BusinessUnit" dataDxfId="289" dataCellStyle="Normal 2 2"/>
    <tableColumn id="9" xr3:uid="{DE9F57F7-0CB6-4CDA-A11F-76F46E02086F}" name="CostCenter" dataDxfId="288" dataCellStyle="Normal 2 2"/>
    <tableColumn id="10" xr3:uid="{8A10B3DC-1A2B-4B1C-984D-F5BD4130802E}" name="DR" dataDxfId="287" dataCellStyle="Normal 2 2"/>
    <tableColumn id="11" xr3:uid="{1437CD11-B38A-4B79-858E-669BCAE9FD25}" name="EndDate" dataDxfId="286" dataCellStyle="Normal 2 2"/>
    <tableColumn id="12" xr3:uid="{4D7C7FFF-8BED-4FCE-BCD6-BFDD8D06E57D}" name="Env" dataDxfId="285" dataCellStyle="Normal 2 2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 dataCellStyle="Normal 2 2"/>
    <tableColumn id="16" xr3:uid="{60EEB968-815A-4C5E-ADF7-6DF5E62A631C}" name="StartDate" dataDxfId="281" dataCellStyle="Normal 2 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CosmosDB" displayName="tblCosmosDB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LOWER(_xlfn.CONCAT(VLOOKUP(tblCosmosDB[[#Headers],[CosmosDbAccountName]], tblNamingKeys[],2,FALSE),"-",Company_Tag,"-",INDIRECT(ADDRESS(ROW(),MATCH("ApplicationName", $1:$1,0),4,1)),"-",envTag,"-",PrimaryRegionTag))</calculatedColumnFormula>
    </tableColumn>
    <tableColumn id="2" xr3:uid="{A15B4815-B799-4E52-A70B-2850595108E0}" name="ResourceGroupName" dataDxfId="277">
      <calculatedColumnFormula>LOWER(_xlfn.CONCAT(VLOOKUP(tblCosmosDB[[#Headers],[ResourceGroupName]], tblNamingKeys[],2,FALSE),"-",Company_Tag,"-",INDIRECT(ADDRESS(ROW(),MATCH("ApplicationName", $1:$1,0),4,1)),"-",envTag,"-",PrimaryRegionTag))</calculatedColumnFormula>
    </tableColumn>
    <tableColumn id="1" xr3:uid="{D9ADA75A-6E94-4761-BDE0-F9ECFD31BCF6}" name="sqlServerName" dataDxfId="276">
      <calculatedColumnFormula>LOWER(_xlfn.CONCAT(VLOOKUP(tblCosmosDB[[#Headers],[sqlServerName]], tblNamingKeys[],2,FALSE),"-",Company_Tag,"-",INDIRECT(ADDRESS(ROW(),MATCH("ApplicationName", $1:$1,0),4,1)),"-",envTag,"-",PrimaryRegionTag))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 dataCellStyle="Normal 2 2"/>
    <tableColumn id="9" xr3:uid="{0A713914-577C-432B-87CB-104F1ECAA7AF}" name="CostCenter" dataDxfId="271" dataCellStyle="Normal 2 2"/>
    <tableColumn id="10" xr3:uid="{02767C2F-D1CB-4829-9945-49B4B6557BB5}" name="DR" dataDxfId="270" dataCellStyle="Normal 2 2"/>
    <tableColumn id="11" xr3:uid="{FB35C75B-A50E-4894-934F-BB83D7DD17C2}" name="EndDate" dataDxfId="269" dataCellStyle="Normal 2 2"/>
    <tableColumn id="12" xr3:uid="{F7F9C7AA-43C6-44F0-B18C-63F10AA7208A}" name="Env" dataDxfId="268" dataCellStyle="Normal 2 2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 dataCellStyle="Normal 2 2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treamAnalytics" displayName="tblStreamAnalytics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LOWER(_xlfn.CONCAT(VLOOKUP(tblStreamAnalytics[[#Headers],[streamAnalyticsName]], tblNamingKeys[],2,FALSE),"-",Company_Tag,"-",INDIRECT(ADDRESS(ROW(),MATCH("ApplicationName", $1:$1,0),4,1)),"-",envTag,"-",PrimaryRegionTag))</calculatedColumnFormula>
    </tableColumn>
    <tableColumn id="2" xr3:uid="{2D8F0AE6-D1E9-47B8-85AB-87BCBA5D6A9B}" name="ResourceGroupName" dataDxfId="260">
      <calculatedColumnFormula>LOWER(_xlfn.CONCAT(VLOOKUP(tblStreamAnalytics[[#Headers],[ResourceGroupName]], tblNamingKeys[],2,FALSE),"-",Company_Tag,"-",INDIRECT(ADDRESS(ROW(),MATCH("ApplicationName", $1:$1,0),4,1)),"-",envTag,"-",PrimaryRegionTag))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 dataCellStyle="Currency 2 2"/>
    <tableColumn id="8" xr3:uid="{0D56C04F-8C5D-4AD2-9D47-5D72FC448402}" name="BusinessUnit" dataDxfId="256" dataCellStyle="Normal 2 2"/>
    <tableColumn id="9" xr3:uid="{EF0E63C9-6BED-48A3-B20C-9CAC7524648B}" name="CostCenter" dataDxfId="255" dataCellStyle="Normal 2 2"/>
    <tableColumn id="10" xr3:uid="{29CF345B-E0D4-490C-AC6C-7D809B2F7A22}" name="DR" dataDxfId="254" dataCellStyle="Normal 2 2"/>
    <tableColumn id="11" xr3:uid="{72B20860-1EBB-4C13-BA58-168A6F00DE17}" name="EndDate" dataDxfId="253" dataCellStyle="Normal 2 2"/>
    <tableColumn id="12" xr3:uid="{0BB924C9-DAA9-482B-96BD-0D1AE7421880}" name="Env" dataDxfId="252" dataCellStyle="Normal 2 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 dataCellStyle="Normal 2 2"/>
    <tableColumn id="16" xr3:uid="{61545C3D-B80A-455D-B2AC-C9ECDC8B351C}" name="StartDate" dataDxfId="248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AnalysisServices" displayName="tblAnalysisServices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LOWER(_xlfn.CONCAT(VLOOKUP(tblAnalysisServices[[#Headers],[analysisServicesName]], tblNamingKeys[],2,FALSE),Company_Tag,INDIRECT(ADDRESS(ROW(),MATCH("ApplicationName", $1:$1,0),4,1)),envTag,PrimaryRegionTag))</calculatedColumnFormula>
    </tableColumn>
    <tableColumn id="2" xr3:uid="{93514682-6720-4960-8D96-1C12DE2385A2}" name="ResourceGroupName" dataDxfId="244">
      <calculatedColumnFormula>LOWER(_xlfn.CONCAT(VLOOKUP(tblAnalysisServices[[#Headers],[ResourceGroupName]], tblNamingKeys[],2,FALSE),"-",Company_Tag,"-",INDIRECT(ADDRESS(ROW(),MATCH("ApplicationName", $1:$1,0),4,1)),"-",envTag,"-",PrimaryRegionTag))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 dataCellStyle="Currency 2 2"/>
    <tableColumn id="8" xr3:uid="{BFE2945D-DD77-4126-AF5D-556ACA0D0402}" name="BusinessUnit" dataDxfId="239" dataCellStyle="Normal 2 2"/>
    <tableColumn id="9" xr3:uid="{C8E31A72-C97A-448A-8166-CA31EE3816FD}" name="CostCenter" dataDxfId="238" dataCellStyle="Normal 2 2"/>
    <tableColumn id="10" xr3:uid="{47ECF8C9-AD31-4DBE-9ED7-DB425F831E45}" name="DR" dataDxfId="237" dataCellStyle="Normal 2 2"/>
    <tableColumn id="11" xr3:uid="{621843D6-A00E-44F6-ADF9-1D3290B910FC}" name="EndDate" dataDxfId="236" dataCellStyle="Normal 2 2"/>
    <tableColumn id="12" xr3:uid="{25AFA2DF-1C0B-4295-808D-EFD964B573E9}" name="Env" dataDxfId="235" dataCellStyle="Normal 2 2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 dataCellStyle="Normal 2 2"/>
    <tableColumn id="16" xr3:uid="{1E02C04D-6414-423D-B526-B627D7C2A5F2}" name="StartDate" dataDxfId="231" dataCellStyle="Normal 2 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MI" displayName="tblSQLServersMI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LOWER(_xlfn.CONCAT(VLOOKUP(tblSQLServersMI[[#Headers],[managedInstanceName]], tblNamingKeys[],2,FALSE),"-",Company_Tag,"-",INDIRECT(ADDRESS(ROW(),MATCH("ApplicationName", $1:$1,0),4,1)),"-",envTag,"-",PrimaryRegionTag))</calculatedColumnFormula>
    </tableColumn>
    <tableColumn id="2" xr3:uid="{3A3B5A1E-A0CF-41C6-A713-E04D054B277F}" name="ResourceGroupName" dataDxfId="227">
      <calculatedColumnFormula>LOWER(_xlfn.CONCAT(VLOOKUP(tblSQLServersMI[[#Headers],[ResourceGroupName]], tblNamingKeys[],2,FALSE),"-",Company_Tag,"-",INDIRECT(ADDRESS(ROW(),MATCH("ApplicationName", $1:$1,0),4,1)),"-",envTag,"-",PrimaryRegionTag))</calculatedColumnFormula>
    </tableColumn>
    <tableColumn id="17" xr3:uid="{383871AC-5CD4-4F94-995F-7D099CD1F4B1}" name="virtualNetworkResourceGroupName" dataDxfId="226">
      <calculatedColumnFormula>LOWER(_xlfn.CONCAT(VLOOKUP(tblSQLServersMI[[#Headers],[ResourceGroupName]], tblNamingKeys[],2,FALSE),"-",Company_Tag,"-",INDIRECT(ADDRESS(ROW(),MATCH("ApplicationName", $1:$1,0),4,1)),"-",VLOOKUP(tblSQLServersMI[[#Headers],[virtualNetworkResourceGroupName]], tblNamingKeys[],3,FALSE),"-",envTag,"-",PrimaryRegionTag))</calculatedColumnFormula>
    </tableColumn>
    <tableColumn id="31" xr3:uid="{67E4DB32-5DE4-4DBB-AD34-6E7EEA98B925}" name="virtualNetworkName" dataDxfId="225">
      <calculatedColumnFormula>LOWER(_xlfn.CONCAT(VLOOKUP(tblSQLServersMI[[#Headers],[virtualNetworkName]], tblNamingKeys[],2,FALSE),"-",Company_Tag,"-",INDIRECT(ADDRESS(ROW(),MATCH("ApplicationName", $1:$1,0),4,1)),"-",envTag,"-",PrimaryRegionTag))</calculatedColumnFormula>
    </tableColumn>
    <tableColumn id="30" xr3:uid="{AEA17E8B-30D3-4717-A802-4BA90EABF62E}" name="subnetName" dataDxfId="224">
      <calculatedColumnFormula>LOWER(_xlfn.CONCAT(VLOOKUP(tblSQLServersMI[[#Headers],[subnetName]], tblNamingKeys[],2,FALSE),"-",Company_Tag,"-",INDIRECT(ADDRESS(2,MATCH("ApplicationName", $1:$1,0),4,1)),"-",envTag,"-",PrimaryRegionTag,"-sqlmi"))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 dataCellStyle="Currency 2 2"/>
    <tableColumn id="8" xr3:uid="{45A82F25-6B65-402C-9F06-7DB3A3DA0E59}" name="BusinessUnit" dataDxfId="218" dataCellStyle="Normal 2 2"/>
    <tableColumn id="9" xr3:uid="{BFA057E2-4648-4086-9B7B-D561C39EF962}" name="CostCenter" dataDxfId="217" dataCellStyle="Normal 2 2"/>
    <tableColumn id="10" xr3:uid="{68428CF3-8D44-4B27-80C5-0B1C9519A070}" name="DR" dataDxfId="216" dataCellStyle="Normal 2 2"/>
    <tableColumn id="11" xr3:uid="{6879C2A4-756A-4CD2-901D-8ACBB664585C}" name="EndDate" dataDxfId="215" dataCellStyle="Normal 2 2"/>
    <tableColumn id="12" xr3:uid="{A566434E-E351-4C52-97DD-FFDC716964CE}" name="Env" dataDxfId="214" dataCellStyle="Normal 2 2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 dataCellStyle="Normal 2 2"/>
    <tableColumn id="16" xr3:uid="{EA9B6BFB-FF9B-4D37-B766-3F7E3B448636}" name="StartDate" dataDxfId="210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>
      <calculatedColumnFormula>LOWER(_xlfn.CONCAT(VLOOKUP(tblStorageContainers[[#Headers],[ContainerName]], tblNamingKeys[],2,FALSE),"-",Company_Tag,"-",INDIRECT(ADDRESS(ROW(),MATCH("ApplicationName", $1:$1,0),4,1)),"-",envTag,"-",PrimaryRegionTag))</calculatedColumnFormula>
    </tableColumn>
    <tableColumn id="2" xr3:uid="{AFE437F2-D77B-4CE5-AA9D-284B9975F42E}" name="ResourceGroupName" dataDxfId="206">
      <calculatedColumnFormula>LOWER(_xlfn.CONCAT(VLOOKUP(tblStorageContainers[[#Headers],[ResourceGroupName]], tblNamingKeys[],2,FALSE),"-",Company_Tag,"-",INDIRECT(ADDRESS(ROW(),MATCH("ApplicationName", $1:$1,0),4,1)),"-",envTag,"-",PrimaryRegionTag))</calculatedColumnFormula>
    </tableColumn>
    <tableColumn id="1" xr3:uid="{F3FC7AFE-C1D5-4DE9-8951-3D7D53E20E1E}" name="StorageAccountName" dataDxfId="205">
      <calculatedColumnFormula>LOWER(_xlfn.CONCAT(VLOOKUP(tblStorageContainers[[#Headers],[StorageAccountName]], tblNamingKeys[],2,FALSE),Company_Tag,INDIRECT(ADDRESS(ROW(),MATCH("ApplicationName", $1:$1,0),4,1)),envTag,PrimaryRegionTag))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 dataCellStyle="Normal 2 2"/>
    <tableColumn id="9" xr3:uid="{72C1D578-B37B-40FA-B340-171633BE9890}" name="CostCenter" dataDxfId="199" dataCellStyle="Normal 2 2"/>
    <tableColumn id="10" xr3:uid="{201BFB2C-EF15-4356-BE5D-B5D7B688B948}" name="DR" dataDxfId="198" dataCellStyle="Normal 2 2"/>
    <tableColumn id="11" xr3:uid="{DAAEA8E7-48DD-48BD-9626-91054181DD5A}" name="EndDate" dataDxfId="197" dataCellStyle="Normal 2 2"/>
    <tableColumn id="12" xr3:uid="{D889319B-BB35-41FE-94E4-16A98DED2A2C}" name="Env" dataDxfId="196" dataCellStyle="Normal 2 2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 dataCellStyle="Normal 2 2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LOWER(_xlfn.CONCAT(VLOOKUP(tblAzureFiles[[#Headers],[ResourceGroupName]], tblNamingKeys[],2,FALSE),"-",Company_Tag,"-",INDIRECT(ADDRESS(ROW(),MATCH("ApplicationName", $1:$1,0),4,1)),"-",envTag,"-",PrimaryRegionTag))</calculatedColumnFormula>
    </tableColumn>
    <tableColumn id="2" xr3:uid="{A755B44B-4D0B-4DB0-9650-F00713C51496}" name="StorageAccountName" dataDxfId="187">
      <calculatedColumnFormula>LOWER(_xlfn.CONCAT(VLOOKUP(tblAzureFiles[[#Headers],[StorageAccountName]], tblNamingKeys[],2,FALSE),Company_Tag,INDIRECT(ADDRESS(ROW(),MATCH("ApplicationName", $1:$1,0),4,1)),envTag,PrimaryRegionTag))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 dataCellStyle="Normal 2 2"/>
    <tableColumn id="9" xr3:uid="{9BD4620F-14A9-45D0-8655-D3997B8A6BA2}" name="CostCenter" dataDxfId="181" dataCellStyle="Normal 2 2"/>
    <tableColumn id="10" xr3:uid="{BFC86A1E-C1A9-40B6-B55F-72386C5E2B96}" name="DR" dataDxfId="180" dataCellStyle="Normal 2 2"/>
    <tableColumn id="11" xr3:uid="{2D1CC82C-E720-4329-98FB-9BD1D9457E02}" name="EndDate" dataDxfId="179" dataCellStyle="Normal 2 2"/>
    <tableColumn id="12" xr3:uid="{D3A9587E-EF7D-4D79-B700-A28BEF76040D}" name="Env" dataDxfId="178" dataCellStyle="Normal 2 2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 dataCellStyle="Normal 2 2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DataFactory" displayName="tblDataFactory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LOWER(_xlfn.CONCAT(VLOOKUP(tblDataFactory[[#Headers],[DataFactoryName]], tblNamingKeys[],2,FALSE),"-",Company_Tag,"-",INDIRECT(ADDRESS(ROW(),MATCH("ApplicationName", $1:$1,0),4,1)),"-",envTag,"-",PrimaryRegionTag))</calculatedColumnFormula>
    </tableColumn>
    <tableColumn id="2" xr3:uid="{BD8A3FEC-358A-4DA0-BA47-A2056B95C1DD}" name="ResourceGroupName" dataDxfId="170">
      <calculatedColumnFormula>LOWER(_xlfn.CONCAT(VLOOKUP(tblDataFactory[[#Headers],[ResourceGroupName]], tblNamingKeys[],2,FALSE),"-",Company_Tag,"-",INDIRECT(ADDRESS(ROW(),MATCH("ApplicationName", $1:$1,0),4,1)),"-",envTag,"-",PrimaryRegionTag))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>
      <calculatedColumnFormula>VLOOKUP(tblDataFactory[[#This Row],[ApplicationName]],tblDefaultTag[],2,FALSE)</calculatedColumnFormula>
    </tableColumn>
    <tableColumn id="8" xr3:uid="{2DBD9FB9-E39E-4339-8519-511E3B94C888}" name="BudgetAmount" dataDxfId="167" dataCellStyle="Currency 2 2">
      <calculatedColumnFormula>VLOOKUP(tblSQLServersMI[[#This Row],[ApplicationName]],tblDefaultTag[],3,FALSE)</calculatedColumnFormula>
    </tableColumn>
    <tableColumn id="9" xr3:uid="{1AE023B9-F868-4ACB-AF9D-61E350EA59BC}" name="BusinessUnit" dataDxfId="166" dataCellStyle="Normal 2 2">
      <calculatedColumnFormula>VLOOKUP(tblSQLServersMI[[#This Row],[ApplicationName]],tblDefaultTag[],4,FALSE)</calculatedColumnFormula>
    </tableColumn>
    <tableColumn id="11" xr3:uid="{E1D1FC14-214E-42F5-A210-E947A7E78BFA}" name="CostCenter" dataDxfId="165" dataCellStyle="Normal 2 2">
      <calculatedColumnFormula>VLOOKUP(tblSQLServersMI[[#This Row],[ApplicationName]],tblDefaultTag[],5,FALSE)</calculatedColumnFormula>
    </tableColumn>
    <tableColumn id="12" xr3:uid="{26FBFABB-7161-4870-9151-A899A8F874C2}" name="DR" dataDxfId="164" dataCellStyle="Normal 2 2">
      <calculatedColumnFormula>VLOOKUP(tblSQLServersMI[[#This Row],[ApplicationName]],tblDefaultTag[],6,FALSE)</calculatedColumnFormula>
    </tableColumn>
    <tableColumn id="13" xr3:uid="{59181772-26F2-4BC0-919E-343B4F536F22}" name="EndDate" dataDxfId="163" dataCellStyle="Normal 2 2">
      <calculatedColumnFormula>TEXT(VLOOKUP(tblSQLServersMI[[#This Row],[ApplicationName]],tblDefaultTag[],7,FALSE), "mm/dd/yyyy")</calculatedColumnFormula>
    </tableColumn>
    <tableColumn id="14" xr3:uid="{BA20A3F0-405D-488E-A4FC-B8A7BE31AACF}" name="Env" dataDxfId="162" dataCellStyle="Normal 2 2">
      <calculatedColumnFormula>VLOOKUP(tblSQLServersMI[[#This Row],[ApplicationName]],tblDefaultTag[],8,FALSE)</calculatedColumnFormula>
    </tableColumn>
    <tableColumn id="15" xr3:uid="{24C6DE48-72D2-4570-806C-63FD9C3B81B9}" name="Owner" dataDxfId="161">
      <calculatedColumnFormula>VLOOKUP(tblSQLServersMI[[#This Row],[ApplicationName]],tblDefaultTag[],9,FALSE)</calculatedColumnFormula>
    </tableColumn>
    <tableColumn id="16" xr3:uid="{EA92DAA2-29CF-4626-86AD-DE7EAD4E4CAC}" name="Requester" dataDxfId="160">
      <calculatedColumnFormula>VLOOKUP(tblSQLServersMI[[#This Row],[ApplicationName]],tblDefaultTag[],10,FALSE)</calculatedColumnFormula>
    </tableColumn>
    <tableColumn id="17" xr3:uid="{95820F98-9DCD-4388-9C03-629BC11C2FEB}" name="ServiceClass" dataDxfId="159" dataCellStyle="Normal 2 2">
      <calculatedColumnFormula>VLOOKUP(tblSQLServersMI[[#This Row],[ApplicationName]],tblDefaultTag[],11,FALSE)</calculatedColumnFormula>
    </tableColumn>
    <tableColumn id="18" xr3:uid="{80FCE0BC-B04E-4896-ADE0-953B6526783A}" name="StartDate" dataDxfId="158" dataCellStyle="Normal 2 2">
      <calculatedColumnFormula>TEXT(VLOOKUP(tblSQLServersMI[[#This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EventHubNmSpc" displayName="tblEventHubNmSpc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LOWER(_xlfn.CONCAT(VLOOKUP(tblEventHubNmSpc[[#Headers],[EventHubNamespaceName]], tblNamingKeys[],2,FALSE),"-",Company_Tag,"-",INDIRECT(ADDRESS(ROW(),MATCH("ApplicationName", $1:$1,0),4,1)),"-",envTag,"-",PrimaryRegionTag))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LOWER(_xlfn.CONCAT(VLOOKUP(tblEventHubNmSpc[[#Headers],[ResourceGroupName]], tblNamingKeys[],2,FALSE),"-",Company_Tag,"-",INDIRECT(ADDRESS(ROW(),MATCH("ApplicationName", $1:$1,0),4,1)),"-",envTag,"-",PrimaryRegionTag))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 dataCellStyle="Currency 2 2"/>
    <tableColumn id="9" xr3:uid="{3125E8C2-C6CE-4B80-B495-00BC3EFA76AE}" name="BusinessUnit" dataDxfId="147" dataCellStyle="Normal 2 2"/>
    <tableColumn id="11" xr3:uid="{17D7019B-3FFB-4F12-A01F-683DF9D14E48}" name="CostCenter" dataDxfId="146" dataCellStyle="Normal 2 2"/>
    <tableColumn id="12" xr3:uid="{FBA0EE2D-2419-4490-A994-4C1431B55EE0}" name="DR" dataDxfId="145" dataCellStyle="Normal 2 2"/>
    <tableColumn id="13" xr3:uid="{ECD47247-52F5-47AD-9B74-A2689AFAFD38}" name="EndDate" dataDxfId="144" dataCellStyle="Normal 2 2"/>
    <tableColumn id="14" xr3:uid="{385EDBFE-B012-4EEC-B2E6-A28A5E1F2B51}" name="Env" dataDxfId="143" dataCellStyle="Normal 2 2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 dataCellStyle="Normal 2 2"/>
    <tableColumn id="18" xr3:uid="{5D302417-1671-4C91-A519-3FBD3137AFC6}" name="StartDate" dataDxfId="139" dataCellStyle="Normal 2 2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EventHubHub" displayName="tblEventHubHub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LOWER(_xlfn.CONCAT(VLOOKUP(tblEventHubHub[[#Headers],[EventHubName]], tblNamingKeys[],2,FALSE),"-",Company_Tag,"-",INDIRECT(ADDRESS(2,MATCH("ApplicationName", $1:$1,0),4,1)),"-",envTag,"-",PrimaryRegionTag))</calculatedColumnFormula>
    </tableColumn>
    <tableColumn id="5" xr3:uid="{FBD16F9A-AAC7-4CB2-864F-6FA7CB393BAB}" name="EventHubNamespaceName" dataDxfId="135">
      <calculatedColumnFormula>LOWER(_xlfn.CONCAT(VLOOKUP(tblEventHubHub[[#Headers],[EventHubNamespaceName]], tblNamingKeys[],2,FALSE),"-",Company_Tag,"-",INDIRECT(ADDRESS(ROW(),MATCH("ApplicationName", $1:$1,0),4,1)),"-",envTag,"-",PrimaryRegionTag))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LOWER(_xlfn.CONCAT(VLOOKUP(tblEventHubHub[[#Headers],[ResourceGroupName]], tblNamingKeys[],2,FALSE),"-",Company_Tag,"-",INDIRECT(ADDRESS(ROW(),MATCH("ApplicationName", $1:$1,0),4,1)),"-",envTag,"-",PrimaryRegionTag))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 dataCellStyle="Currency 2 2"/>
    <tableColumn id="9" xr3:uid="{846B7479-21CD-4A4F-939F-E4144858889C}" name="BusinessUnit" dataDxfId="128" dataCellStyle="Normal 2 2"/>
    <tableColumn id="11" xr3:uid="{287B420A-A5A8-49EA-AC97-B43D8FF60A73}" name="CostCenter" dataDxfId="127" dataCellStyle="Normal 2 2"/>
    <tableColumn id="12" xr3:uid="{3CD7AE62-256F-4482-9A4E-4410B8FF61E4}" name="DR" dataDxfId="126" dataCellStyle="Normal 2 2"/>
    <tableColumn id="13" xr3:uid="{92A9B786-411A-4468-B4D4-AD38088AF5EE}" name="EndDate" dataDxfId="125" dataCellStyle="Normal 2 2"/>
    <tableColumn id="14" xr3:uid="{9A4B2E7B-DC16-43DE-8BF3-B09DB39A50AB}" name="Env" dataDxfId="124" dataCellStyle="Normal 2 2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 dataCellStyle="Normal 2 2"/>
    <tableColumn id="18" xr3:uid="{E873DE2A-AD3D-4C6F-A0A8-934F672C2480}" name="StartDate" dataDxfId="120" dataCellStyle="Normal 2 2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ServicebusNmSpc" displayName="tblServicebusNmSpc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LOWER(_xlfn.CONCAT(VLOOKUP(tblServicebusNmSpc[[#Headers],[ServiceBusNamespaceName]], tblNamingKeys[],2,FALSE),"-",Company_Tag,"-",INDIRECT(ADDRESS(ROW(),MATCH("ApplicationName", $1:$1,0),4,1)),"-",envTag,"-",PrimaryRegionTag))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LOWER(_xlfn.CONCAT(VLOOKUP(tblServicebusNmSpc[[#Headers],[ResourceGroupName]], tblNamingKeys[],2,FALSE),"-",Company_Tag,"-",INDIRECT(ADDRESS(ROW(),MATCH("ApplicationName", $1:$1,0),4,1)),"-",envTag,"-",PrimaryRegionTag))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 dataCellStyle="Currency 2 2"/>
    <tableColumn id="9" xr3:uid="{532EC513-3206-4F36-B69E-226BCE94E7D5}" name="BusinessUnit" dataDxfId="111" dataCellStyle="Normal 2 2"/>
    <tableColumn id="11" xr3:uid="{CC1BC76A-03FB-474B-BA13-9BFC1A46C9CE}" name="CostCenter" dataDxfId="110" dataCellStyle="Normal 2 2"/>
    <tableColumn id="12" xr3:uid="{835CC9DE-7EE9-4D32-8DE5-8F887DA31486}" name="DR" dataDxfId="109" dataCellStyle="Normal 2 2"/>
    <tableColumn id="13" xr3:uid="{A7F5F467-4C29-46C3-9954-31D194169CBD}" name="EndDate" dataDxfId="108" dataCellStyle="Normal 2 2"/>
    <tableColumn id="14" xr3:uid="{800287BF-849A-4967-B653-D9E7B144CF2B}" name="Env" dataDxfId="107" dataCellStyle="Normal 2 2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 dataCellStyle="Normal 2 2"/>
    <tableColumn id="18" xr3:uid="{390D8481-1707-4F96-BA13-24F7B07EAA38}" name="StartDate" dataDxfId="103" dataCellStyle="Normal 2 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LOWER(_xlfn.CONCAT(VLOOKUP(tblServiceBusTopic[[#Headers],[ServiceBusTopicName]], tblNamingKeys[],2,FALSE),"-",Company_Tag,"-",INDIRECT(ADDRESS(ROW(),MATCH("ApplicationName", $1:$1,0),4,1)),"-",envTag,"-",PrimaryRegionTag))</calculatedColumnFormula>
    </tableColumn>
    <tableColumn id="1" xr3:uid="{1E571A85-0DB3-4A0D-8E53-3C2859CCE163}" name="ServiceBusNamespaceName" dataDxfId="99">
      <calculatedColumnFormula>LOWER(_xlfn.CONCAT(VLOOKUP(tblServiceBusTopic[[#Headers],[ServiceBusNamespaceName]], tblNamingKeys[],2,FALSE),"-",Company_Tag,"-",INDIRECT(ADDRESS(ROW(),MATCH("ApplicationName", $1:$1,0),4,1)),"-",envTag,"-",PrimaryRegionTag))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LOWER(_xlfn.CONCAT(VLOOKUP(tblServiceBusTopic[[#Headers],[ResourceGroupName]], tblNamingKeys[],2,FALSE),"-",Company_Tag,"-",INDIRECT(ADDRESS(2,MATCH("ApplicationName", $1:$1,0),4,1)),"-",envTag,"-",PrimaryRegionTag))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 dataCellStyle="Currency 2 2"/>
    <tableColumn id="9" xr3:uid="{9CC98E43-A745-4CF1-91FE-6146E3B2C54E}" name="BusinessUnit" dataDxfId="92" dataCellStyle="Normal 2 2"/>
    <tableColumn id="11" xr3:uid="{1431373B-8AF2-4541-9D47-786CC85C6B2D}" name="CostCenter" dataDxfId="91" dataCellStyle="Normal 2 2"/>
    <tableColumn id="12" xr3:uid="{D7C79025-CE77-4EDE-AA4A-0997893A81EE}" name="DR" dataDxfId="90" dataCellStyle="Normal 2 2"/>
    <tableColumn id="13" xr3:uid="{D7BE3659-BB8B-4D5E-9A00-2B2DBDAA57B5}" name="EndDate" dataDxfId="89" dataCellStyle="Normal 2 2"/>
    <tableColumn id="14" xr3:uid="{48A1B8EF-6F8B-4016-BAE3-831BA632F135}" name="Env" dataDxfId="88" dataCellStyle="Normal 2 2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 dataCellStyle="Normal 2 2"/>
    <tableColumn id="18" xr3:uid="{983A04B8-CCA7-4C25-B9CB-D5C96D074907}" name="StartDate" dataDxfId="84" dataCellStyle="Normal 2 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ServicebusTopicSub" displayName="tblServicebusTopicSub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LOWER(_xlfn.CONCAT(VLOOKUP(tblServicebusTopicSub[[#Headers],[ServiceBusTopicSubName]], tblNamingKeys[],2,FALSE),"-",Company_Tag,"-",INDIRECT(ADDRESS(ROW(),MATCH("ApplicationName", $1:$1,0),4,1)),"-",envTag,"-",PrimaryRegionTag))</calculatedColumnFormula>
    </tableColumn>
    <tableColumn id="5" xr3:uid="{C7519F53-3397-43D6-AFC5-1E967E9C7DCD}" name="ServiceBusTopicName" dataDxfId="80">
      <calculatedColumnFormula>LOWER(_xlfn.CONCAT(VLOOKUP(tblServicebusTopicSub[[#Headers],[ServiceBusTopicName]], tblNamingKeys[],2,FALSE),"-",Company_Tag,"-",INDIRECT(ADDRESS(ROW(),MATCH("ApplicationName", $1:$1,0),4,1)),"-",envTag,"-",PrimaryRegionTag))</calculatedColumnFormula>
    </tableColumn>
    <tableColumn id="1" xr3:uid="{2C11D24E-4C66-4357-B179-D7DDC3DB8B94}" name="ServiceBusNamespaceName" dataDxfId="79">
      <calculatedColumnFormula>LOWER(_xlfn.CONCAT(VLOOKUP(tblServicebusTopicSub[[#Headers],[ServiceBusNamespaceName]], tblNamingKeys[],2,FALSE),"-",Company_Tag,"-",INDIRECT(ADDRESS(ROW(),MATCH("ApplicationName", $1:$1,0),4,1)),"-",envTag,"-",PrimaryRegionTag))</calculatedColumnFormula>
    </tableColumn>
    <tableColumn id="2" xr3:uid="{D0A0A056-40A6-474C-812B-F136FCB0B39E}" name="ResourceGroupName" dataDxfId="78">
      <calculatedColumnFormula>LOWER(_xlfn.CONCAT(VLOOKUP(tblServicebusTopicSub[[#Headers],[ResourceGroupName]], tblNamingKeys[],2,FALSE),"-",Company_Tag,"-",INDIRECT(ADDRESS(ROW(),MATCH("ApplicationName", $1:$1,0),4,1)),"-",envTag,"-",PrimaryRegionTag))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 dataCellStyle="Currency 2 2"/>
    <tableColumn id="9" xr3:uid="{04CF91AC-0C86-4AED-A1A2-5DADC327AE5C}" name="BusinessUnit" dataDxfId="74" dataCellStyle="Normal 2 2"/>
    <tableColumn id="11" xr3:uid="{A9F5F7B1-13F7-4F3F-9566-E98F27859822}" name="CostCenter" dataDxfId="73" dataCellStyle="Normal 2 2"/>
    <tableColumn id="12" xr3:uid="{457AB41E-528A-41B0-9543-579CF74E1E30}" name="DR" dataDxfId="72" dataCellStyle="Normal 2 2"/>
    <tableColumn id="13" xr3:uid="{93B88411-B575-471D-A4D6-933F86BE9356}" name="EndDate" dataDxfId="71" dataCellStyle="Normal 2 2"/>
    <tableColumn id="14" xr3:uid="{B0319DB1-0922-43AF-8198-5677A4FBEE9B}" name="Env" dataDxfId="70" dataCellStyle="Normal 2 2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 dataCellStyle="Normal 2 2"/>
    <tableColumn id="18" xr3:uid="{59D7F81A-E7A1-48A4-8963-49613CC94C63}" name="StartDate" dataDxfId="66" dataCellStyle="Normal 2 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Auth" displayName="tblServiceBusTopicAuth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LOWER(_xlfn.CONCAT(VLOOKUP(tblServiceBusTopicAuth[[#Headers],[ServiceBusTopicAuthRuleName]], tblNamingKeys[],2,FALSE),"-",Company_Tag,"-",INDIRECT(ADDRESS(ROW(),MATCH("ApplicationName", $1:$1,0),4,1)),"-",envTag,"-",PrimaryRegionTag))</calculatedColumnFormula>
    </tableColumn>
    <tableColumn id="4" xr3:uid="{BFF16C01-906D-452F-8BE2-EC1B90775DBB}" name="ServiceBusTopicName" dataDxfId="62">
      <calculatedColumnFormula>LOWER(_xlfn.CONCAT(VLOOKUP(tblServiceBusTopicAuth[[#Headers],[ServiceBusTopicName]], tblNamingKeys[],2,FALSE),"-",Company_Tag,"-",INDIRECT(ADDRESS(ROW(),MATCH("ApplicationName", $1:$1,0),4,1)),"-",envTag,"-",PrimaryRegionTag))</calculatedColumnFormula>
    </tableColumn>
    <tableColumn id="1" xr3:uid="{D43A8B5B-92F1-41E3-B2B9-CD222087D45F}" name="ServiceBusNamespaceName" dataDxfId="61">
      <calculatedColumnFormula>LOWER(_xlfn.CONCAT(VLOOKUP(tblServiceBusTopicAuth[[#Headers],[ServiceBusNamespaceName]], tblNamingKeys[],2,FALSE),"-",Company_Tag,"-",INDIRECT(ADDRESS(ROW(),MATCH("ApplicationName", $1:$1,0),4,1)),"-",envTag,"-",PrimaryRegionTag))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LOWER(_xlfn.CONCAT(VLOOKUP(tblServiceBusTopicAuth[[#Headers],[ResourceGroupName]], tblNamingKeys[],2,FALSE),"-",Company_Tag,"-",INDIRECT(ADDRESS(ROW(),MATCH("ApplicationName", $1:$1,0),4,1)),"-",envTag,"-",PrimaryRegionTag))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 dataCellStyle="Currency 2 2"/>
    <tableColumn id="9" xr3:uid="{C35532D6-05CE-4E65-BD48-AB91EAA7CEC2}" name="BusinessUnit" dataDxfId="55" dataCellStyle="Normal 2 2"/>
    <tableColumn id="11" xr3:uid="{3F262104-76FA-4254-8E18-9F2A853A528B}" name="CostCenter" dataDxfId="54" dataCellStyle="Normal 2 2"/>
    <tableColumn id="12" xr3:uid="{0EB94881-3B48-4DB6-911F-BC05916E5DFF}" name="DR" dataDxfId="53" dataCellStyle="Normal 2 2"/>
    <tableColumn id="13" xr3:uid="{B66F85F7-0327-4B7C-84A7-534605FFE4C9}" name="EndDate" dataDxfId="52" dataCellStyle="Normal 2 2"/>
    <tableColumn id="14" xr3:uid="{80B1E96E-AF2D-4B38-8E3A-6D440E668C27}" name="Env" dataDxfId="51" dataCellStyle="Normal 2 2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 dataCellStyle="Normal 2 2"/>
    <tableColumn id="18" xr3:uid="{F94B78A7-95EE-47CD-8014-99A44837B039}" name="StartDate" dataDxfId="47" dataCellStyle="Normal 2 2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microsoft.com/en-us/azure/cloud-adoption-framework/ready/azure-best-practices/naming-and-tagging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tabSelected="1" zoomScaleNormal="100" zoomScalePageLayoutView="80" workbookViewId="0">
      <selection activeCell="B13" sqref="B13:J13"/>
    </sheetView>
  </sheetViews>
  <sheetFormatPr defaultColWidth="8.84375" defaultRowHeight="14.6" x14ac:dyDescent="0.3"/>
  <cols>
    <col min="1" max="1" width="17.53515625" style="198" customWidth="1"/>
    <col min="2" max="2" width="12.69140625" style="198" customWidth="1"/>
    <col min="3" max="4" width="12.69140625" style="201" customWidth="1"/>
    <col min="5" max="7" width="12.69140625" style="200" customWidth="1"/>
    <col min="8" max="8" width="12.69140625" style="202" customWidth="1"/>
    <col min="9" max="9" width="12.69140625" style="203" customWidth="1"/>
    <col min="10" max="10" width="12.69140625" style="202" customWidth="1"/>
    <col min="11" max="16384" width="8.84375" style="180"/>
  </cols>
  <sheetData>
    <row r="1" spans="1:10" ht="27.9" x14ac:dyDescent="0.3">
      <c r="A1" s="196"/>
      <c r="B1" s="281" t="s">
        <v>904</v>
      </c>
      <c r="C1" s="281"/>
      <c r="D1" s="281"/>
      <c r="E1" s="281"/>
      <c r="F1" s="281"/>
      <c r="G1" s="281"/>
      <c r="H1" s="281"/>
      <c r="I1" s="281"/>
      <c r="J1" s="281"/>
    </row>
    <row r="2" spans="1:10" ht="42" customHeight="1" x14ac:dyDescent="0.3">
      <c r="A2" s="196"/>
      <c r="B2" s="282"/>
      <c r="C2" s="282"/>
      <c r="D2" s="282"/>
      <c r="E2" s="282"/>
      <c r="F2" s="282"/>
      <c r="G2" s="282"/>
      <c r="H2" s="282"/>
      <c r="I2" s="282"/>
      <c r="J2" s="282"/>
    </row>
    <row r="3" spans="1:10" ht="141" customHeight="1" x14ac:dyDescent="0.3">
      <c r="A3" s="283" t="s">
        <v>905</v>
      </c>
      <c r="B3" s="284"/>
      <c r="C3" s="284"/>
      <c r="D3" s="284"/>
      <c r="E3" s="284"/>
      <c r="F3" s="284"/>
      <c r="G3" s="284"/>
      <c r="H3" s="284"/>
      <c r="I3" s="284"/>
      <c r="J3" s="284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85" t="s">
        <v>902</v>
      </c>
      <c r="B5" s="285"/>
      <c r="C5" s="285"/>
      <c r="D5" s="285"/>
      <c r="E5" s="285"/>
      <c r="F5" s="285"/>
      <c r="G5" s="285"/>
      <c r="H5" s="285"/>
      <c r="I5" s="285"/>
      <c r="J5" s="285"/>
    </row>
    <row r="6" spans="1:10" ht="25" customHeight="1" thickBot="1" x14ac:dyDescent="0.35">
      <c r="A6" s="260" t="s">
        <v>861</v>
      </c>
      <c r="B6" s="287" t="s">
        <v>903</v>
      </c>
      <c r="C6" s="288"/>
      <c r="D6" s="288"/>
      <c r="E6" s="288"/>
      <c r="F6" s="288"/>
      <c r="G6" s="288"/>
      <c r="H6" s="288"/>
      <c r="I6" s="288"/>
      <c r="J6" s="289"/>
    </row>
    <row r="7" spans="1:10" ht="25" customHeight="1" x14ac:dyDescent="0.3">
      <c r="A7" s="261">
        <v>43723</v>
      </c>
      <c r="B7" s="278" t="s">
        <v>906</v>
      </c>
      <c r="C7" s="279"/>
      <c r="D7" s="279"/>
      <c r="E7" s="279"/>
      <c r="F7" s="279"/>
      <c r="G7" s="279"/>
      <c r="H7" s="279"/>
      <c r="I7" s="279"/>
      <c r="J7" s="280"/>
    </row>
    <row r="8" spans="1:10" ht="25" customHeight="1" thickBot="1" x14ac:dyDescent="0.35">
      <c r="A8" s="262">
        <v>43726</v>
      </c>
      <c r="B8" s="290" t="s">
        <v>907</v>
      </c>
      <c r="C8" s="291"/>
      <c r="D8" s="291"/>
      <c r="E8" s="291"/>
      <c r="F8" s="291"/>
      <c r="G8" s="291"/>
      <c r="H8" s="291"/>
      <c r="I8" s="291"/>
      <c r="J8" s="292"/>
    </row>
    <row r="9" spans="1:10" x14ac:dyDescent="0.3">
      <c r="A9" s="261">
        <v>43876</v>
      </c>
      <c r="B9" s="278" t="s">
        <v>2019</v>
      </c>
      <c r="C9" s="279"/>
      <c r="D9" s="279"/>
      <c r="E9" s="279"/>
      <c r="F9" s="279"/>
      <c r="G9" s="279"/>
      <c r="H9" s="279"/>
      <c r="I9" s="279"/>
      <c r="J9" s="280"/>
    </row>
    <row r="10" spans="1:10" x14ac:dyDescent="0.3">
      <c r="A10" s="199">
        <v>43908</v>
      </c>
      <c r="B10" s="286" t="s">
        <v>2046</v>
      </c>
      <c r="C10" s="286"/>
      <c r="D10" s="286"/>
      <c r="E10" s="286"/>
      <c r="F10" s="286"/>
      <c r="G10" s="286"/>
      <c r="H10" s="286"/>
      <c r="I10" s="286"/>
      <c r="J10" s="286"/>
    </row>
    <row r="11" spans="1:10" x14ac:dyDescent="0.3">
      <c r="A11" s="199">
        <v>43914</v>
      </c>
      <c r="B11" s="286" t="s">
        <v>2047</v>
      </c>
      <c r="C11" s="286"/>
      <c r="D11" s="286"/>
      <c r="E11" s="286"/>
      <c r="F11" s="286"/>
      <c r="G11" s="286"/>
      <c r="H11" s="286"/>
      <c r="I11" s="286"/>
      <c r="J11" s="286"/>
    </row>
    <row r="12" spans="1:10" x14ac:dyDescent="0.3">
      <c r="A12" s="199">
        <v>43915</v>
      </c>
      <c r="B12" s="286" t="s">
        <v>2048</v>
      </c>
      <c r="C12" s="286"/>
      <c r="D12" s="286"/>
      <c r="E12" s="286"/>
      <c r="F12" s="286"/>
      <c r="G12" s="286"/>
      <c r="H12" s="286"/>
      <c r="I12" s="286"/>
      <c r="J12" s="286"/>
    </row>
    <row r="13" spans="1:10" x14ac:dyDescent="0.3">
      <c r="A13" s="199">
        <v>43916</v>
      </c>
      <c r="B13" s="286" t="s">
        <v>2049</v>
      </c>
      <c r="C13" s="286"/>
      <c r="D13" s="286"/>
      <c r="E13" s="286"/>
      <c r="F13" s="286"/>
      <c r="G13" s="286"/>
      <c r="H13" s="286"/>
      <c r="I13" s="286"/>
      <c r="J13" s="286"/>
    </row>
    <row r="14" spans="1:10" x14ac:dyDescent="0.3">
      <c r="A14" s="199"/>
      <c r="B14" s="286"/>
      <c r="C14" s="286"/>
      <c r="D14" s="286"/>
      <c r="E14" s="286"/>
      <c r="F14" s="286"/>
      <c r="G14" s="286"/>
      <c r="H14" s="286"/>
      <c r="I14" s="286"/>
      <c r="J14" s="286"/>
    </row>
    <row r="15" spans="1:10" x14ac:dyDescent="0.3">
      <c r="A15" s="199"/>
      <c r="B15" s="286"/>
      <c r="C15" s="286"/>
      <c r="D15" s="286"/>
      <c r="E15" s="286"/>
      <c r="F15" s="286"/>
      <c r="G15" s="286"/>
      <c r="H15" s="286"/>
      <c r="I15" s="286"/>
      <c r="J15" s="286"/>
    </row>
    <row r="16" spans="1:10" x14ac:dyDescent="0.3">
      <c r="A16" s="199"/>
      <c r="B16" s="286"/>
      <c r="C16" s="286"/>
      <c r="D16" s="286"/>
      <c r="E16" s="286"/>
      <c r="F16" s="286"/>
      <c r="G16" s="286"/>
      <c r="H16" s="286"/>
      <c r="I16" s="286"/>
      <c r="J16" s="286"/>
    </row>
    <row r="17" spans="1:10" x14ac:dyDescent="0.3">
      <c r="A17" s="199"/>
      <c r="B17" s="286"/>
      <c r="C17" s="286"/>
      <c r="D17" s="286"/>
      <c r="E17" s="286"/>
      <c r="F17" s="286"/>
      <c r="G17" s="286"/>
      <c r="H17" s="286"/>
      <c r="I17" s="286"/>
      <c r="J17" s="286"/>
    </row>
    <row r="18" spans="1:10" x14ac:dyDescent="0.3">
      <c r="A18" s="199"/>
      <c r="B18" s="286"/>
      <c r="C18" s="286"/>
      <c r="D18" s="286"/>
      <c r="E18" s="286"/>
      <c r="F18" s="286"/>
      <c r="G18" s="286"/>
      <c r="H18" s="286"/>
      <c r="I18" s="286"/>
      <c r="J18" s="286"/>
    </row>
    <row r="19" spans="1:10" x14ac:dyDescent="0.3">
      <c r="A19" s="199"/>
      <c r="B19" s="200"/>
    </row>
    <row r="20" spans="1:10" x14ac:dyDescent="0.3">
      <c r="A20" s="199"/>
      <c r="B20" s="200"/>
    </row>
    <row r="21" spans="1:10" x14ac:dyDescent="0.3">
      <c r="A21" s="199"/>
    </row>
    <row r="22" spans="1:10" x14ac:dyDescent="0.3">
      <c r="A22" s="199"/>
    </row>
    <row r="23" spans="1:10" x14ac:dyDescent="0.3">
      <c r="A23" s="199"/>
    </row>
    <row r="24" spans="1:10" x14ac:dyDescent="0.3">
      <c r="A24" s="199"/>
    </row>
    <row r="25" spans="1:10" x14ac:dyDescent="0.3">
      <c r="A25" s="199"/>
    </row>
    <row r="26" spans="1:10" x14ac:dyDescent="0.3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70" zoomScaleNormal="70" workbookViewId="0">
      <selection activeCell="AT73" sqref="AT73"/>
    </sheetView>
  </sheetViews>
  <sheetFormatPr defaultRowHeight="12.9" x14ac:dyDescent="0.3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/>
  </sheetViews>
  <sheetFormatPr defaultRowHeight="12.9" x14ac:dyDescent="0.35"/>
  <cols>
    <col min="1" max="1" width="30.3828125" customWidth="1"/>
    <col min="2" max="2" width="40.53515625" customWidth="1"/>
  </cols>
  <sheetData>
    <row r="7" spans="1:2" x14ac:dyDescent="0.35">
      <c r="A7" s="86" t="s">
        <v>7</v>
      </c>
      <c r="B7" s="147" t="s">
        <v>1290</v>
      </c>
    </row>
    <row r="8" spans="1:2" x14ac:dyDescent="0.35">
      <c r="A8" s="253" t="s">
        <v>817</v>
      </c>
      <c r="B8" s="147" t="s">
        <v>1934</v>
      </c>
    </row>
    <row r="9" spans="1:2" x14ac:dyDescent="0.35">
      <c r="A9" s="253" t="s">
        <v>833</v>
      </c>
      <c r="B9" s="147" t="s">
        <v>2032</v>
      </c>
    </row>
    <row r="10" spans="1:2" x14ac:dyDescent="0.35">
      <c r="A10" s="253" t="s">
        <v>818</v>
      </c>
      <c r="B10" s="147" t="s">
        <v>820</v>
      </c>
    </row>
    <row r="11" spans="1:2" x14ac:dyDescent="0.35">
      <c r="A11" s="253" t="s">
        <v>813</v>
      </c>
      <c r="B11" s="147" t="s">
        <v>822</v>
      </c>
    </row>
    <row r="12" spans="1:2" ht="14.6" x14ac:dyDescent="0.4">
      <c r="A12" s="253" t="s">
        <v>819</v>
      </c>
      <c r="B12" s="214" t="s">
        <v>821</v>
      </c>
    </row>
    <row r="13" spans="1:2" x14ac:dyDescent="0.35">
      <c r="A13" s="253" t="s">
        <v>875</v>
      </c>
      <c r="B13" s="147" t="s">
        <v>1291</v>
      </c>
    </row>
    <row r="14" spans="1:2" x14ac:dyDescent="0.35">
      <c r="A14" s="253" t="s">
        <v>917</v>
      </c>
      <c r="B14" s="147" t="s">
        <v>918</v>
      </c>
    </row>
    <row r="15" spans="1:2" x14ac:dyDescent="0.35">
      <c r="A15" s="253" t="s">
        <v>1920</v>
      </c>
      <c r="B15" s="147" t="s">
        <v>2030</v>
      </c>
    </row>
    <row r="16" spans="1:2" x14ac:dyDescent="0.35">
      <c r="A16" s="253" t="s">
        <v>1921</v>
      </c>
      <c r="B16" s="147" t="s">
        <v>2031</v>
      </c>
    </row>
    <row r="17" spans="1:2" x14ac:dyDescent="0.35">
      <c r="A17" s="253" t="s">
        <v>2043</v>
      </c>
      <c r="B17" s="147" t="s">
        <v>1887</v>
      </c>
    </row>
    <row r="20" spans="1:2" ht="14.6" x14ac:dyDescent="0.4">
      <c r="A20" s="184" t="s">
        <v>1356</v>
      </c>
      <c r="B20" s="3" t="s">
        <v>1357</v>
      </c>
    </row>
  </sheetData>
  <dataValidations count="2">
    <dataValidation allowBlank="1" showErrorMessage="1" promptTitle="Allowed Values" prompt="East US, East US2, West US, West US2" sqref="B14" xr:uid="{C91DFAD1-B0DF-49C2-AC7D-2FA37D6ABFEF}"/>
    <dataValidation type="list" allowBlank="1" showInputMessage="1" showErrorMessage="1" sqref="B17" xr:uid="{1D1F69E8-E12C-4DC6-9A3B-7EBE3940CC3C}">
      <formula1>Environment</formula1>
    </dataValidation>
  </dataValidations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9" x14ac:dyDescent="0.35"/>
  <cols>
    <col min="2" max="2" width="35" customWidth="1"/>
    <col min="3" max="26" width="5.15234375" style="1" customWidth="1"/>
    <col min="27" max="27" width="22.69140625" customWidth="1"/>
    <col min="28" max="28" width="2.15234375" customWidth="1"/>
    <col min="30" max="30" width="15.53515625" customWidth="1"/>
  </cols>
  <sheetData>
    <row r="3" spans="2:30" ht="14.6" x14ac:dyDescent="0.4">
      <c r="Q3" s="87" t="s">
        <v>594</v>
      </c>
      <c r="Z3" s="87" t="s">
        <v>595</v>
      </c>
    </row>
    <row r="4" spans="2:30" ht="13.3" thickBot="1" x14ac:dyDescent="0.4">
      <c r="Q4" s="88"/>
      <c r="Z4" s="89"/>
    </row>
    <row r="5" spans="2:30" ht="14.6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" thickBot="1" x14ac:dyDescent="0.45">
      <c r="B6" s="97" t="s">
        <v>597</v>
      </c>
      <c r="C6" s="304" t="s">
        <v>598</v>
      </c>
      <c r="D6" s="305"/>
      <c r="E6" s="306"/>
      <c r="F6" s="307" t="s">
        <v>142</v>
      </c>
      <c r="G6" s="308"/>
      <c r="H6" s="309" t="s">
        <v>599</v>
      </c>
      <c r="I6" s="310"/>
      <c r="J6" s="311"/>
      <c r="K6" s="98" t="s">
        <v>600</v>
      </c>
      <c r="L6" s="312" t="s">
        <v>601</v>
      </c>
      <c r="M6" s="313"/>
      <c r="N6" s="313"/>
      <c r="O6" s="313"/>
      <c r="P6" s="313"/>
      <c r="Q6" s="314"/>
      <c r="R6" s="315" t="s">
        <v>602</v>
      </c>
      <c r="S6" s="316"/>
      <c r="T6" s="317"/>
      <c r="U6" s="303" t="s">
        <v>603</v>
      </c>
      <c r="V6" s="296"/>
      <c r="W6" s="293" t="s">
        <v>604</v>
      </c>
      <c r="X6" s="294"/>
      <c r="Y6" s="295" t="s">
        <v>605</v>
      </c>
      <c r="Z6" s="296"/>
      <c r="AA6" s="99"/>
      <c r="AC6" s="83" t="s">
        <v>606</v>
      </c>
    </row>
    <row r="7" spans="2:30" x14ac:dyDescent="0.35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5" x14ac:dyDescent="0.4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4.6" x14ac:dyDescent="0.4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35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35">
      <c r="B11" s="145" t="s">
        <v>1508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35">
      <c r="B12" s="145" t="s">
        <v>1508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35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35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35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35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4.6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4.6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4.6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7" t="s">
        <v>142</v>
      </c>
      <c r="AE19" s="298"/>
    </row>
    <row r="20" spans="2:31" x14ac:dyDescent="0.35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35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35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35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35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35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35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35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35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35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5" x14ac:dyDescent="0.4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4.6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9" t="s">
        <v>599</v>
      </c>
      <c r="AE31" s="300"/>
    </row>
    <row r="32" spans="2:31" x14ac:dyDescent="0.35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35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4.6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35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4.6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01" t="s">
        <v>600</v>
      </c>
      <c r="AE36" s="302"/>
    </row>
    <row r="37" spans="2:31" ht="13.3" thickBot="1" x14ac:dyDescent="0.4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35">
      <c r="AD38" t="s">
        <v>662</v>
      </c>
      <c r="AE38" t="s">
        <v>663</v>
      </c>
    </row>
    <row r="39" spans="2:31" ht="14.6" x14ac:dyDescent="0.4">
      <c r="B39" s="83" t="s">
        <v>664</v>
      </c>
      <c r="C39"/>
      <c r="D39"/>
      <c r="AD39" t="s">
        <v>665</v>
      </c>
      <c r="AE39" t="s">
        <v>666</v>
      </c>
    </row>
    <row r="40" spans="2:31" ht="14.6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4.6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4.6" x14ac:dyDescent="0.4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2"/>
  <sheetViews>
    <sheetView zoomScaleNormal="100" workbookViewId="0"/>
  </sheetViews>
  <sheetFormatPr defaultRowHeight="12.9" x14ac:dyDescent="0.35"/>
  <cols>
    <col min="1" max="1" width="28.3046875" customWidth="1"/>
    <col min="2" max="2" width="42.4609375" customWidth="1"/>
    <col min="3" max="3" width="21.3046875" customWidth="1"/>
    <col min="4" max="4" width="31.3828125" customWidth="1"/>
    <col min="5" max="5" width="13.3046875" bestFit="1" customWidth="1"/>
    <col min="6" max="6" width="17.3046875" bestFit="1" customWidth="1"/>
    <col min="7" max="7" width="16" customWidth="1"/>
    <col min="8" max="8" width="6.3046875" bestFit="1" customWidth="1"/>
    <col min="9" max="9" width="20.69140625" customWidth="1"/>
    <col min="10" max="10" width="25.53515625" bestFit="1" customWidth="1"/>
    <col min="11" max="11" width="15.3828125" bestFit="1" customWidth="1"/>
    <col min="12" max="12" width="12.3046875" bestFit="1" customWidth="1"/>
  </cols>
  <sheetData>
    <row r="1" spans="1:4" ht="14.6" x14ac:dyDescent="0.4">
      <c r="A1" s="12" t="s">
        <v>1435</v>
      </c>
      <c r="B1" s="3" t="s">
        <v>1436</v>
      </c>
    </row>
    <row r="5" spans="1:4" x14ac:dyDescent="0.35">
      <c r="A5" s="267" t="s">
        <v>593</v>
      </c>
      <c r="B5" s="267" t="s">
        <v>6</v>
      </c>
      <c r="C5" s="267" t="s">
        <v>811</v>
      </c>
      <c r="D5" s="267" t="s">
        <v>1437</v>
      </c>
    </row>
    <row r="6" spans="1:4" ht="25.75" x14ac:dyDescent="0.35">
      <c r="A6" s="267" t="s">
        <v>1438</v>
      </c>
      <c r="B6" s="267" t="s">
        <v>1439</v>
      </c>
      <c r="C6" s="267" t="s">
        <v>941</v>
      </c>
      <c r="D6" s="267" t="s">
        <v>1440</v>
      </c>
    </row>
    <row r="7" spans="1:4" ht="25.75" x14ac:dyDescent="0.35">
      <c r="A7" s="267" t="s">
        <v>1441</v>
      </c>
      <c r="B7" s="267" t="s">
        <v>1442</v>
      </c>
      <c r="C7" s="267" t="s">
        <v>1443</v>
      </c>
      <c r="D7" s="267" t="s">
        <v>1444</v>
      </c>
    </row>
    <row r="8" spans="1:4" ht="25.75" x14ac:dyDescent="0.35">
      <c r="A8" s="267" t="s">
        <v>1445</v>
      </c>
      <c r="B8" s="267" t="s">
        <v>1446</v>
      </c>
      <c r="C8" s="267" t="s">
        <v>1447</v>
      </c>
      <c r="D8" s="267" t="s">
        <v>1448</v>
      </c>
    </row>
    <row r="9" spans="1:4" ht="77.150000000000006" x14ac:dyDescent="0.35">
      <c r="A9" s="267" t="s">
        <v>1449</v>
      </c>
      <c r="B9" s="267" t="s">
        <v>1450</v>
      </c>
      <c r="C9" s="267" t="s">
        <v>1451</v>
      </c>
      <c r="D9" s="267" t="s">
        <v>1452</v>
      </c>
    </row>
    <row r="10" spans="1:4" ht="25.75" x14ac:dyDescent="0.35">
      <c r="A10" s="267" t="s">
        <v>1453</v>
      </c>
      <c r="B10" s="267" t="s">
        <v>1454</v>
      </c>
      <c r="C10" s="267" t="s">
        <v>1455</v>
      </c>
      <c r="D10" s="267" t="s">
        <v>1456</v>
      </c>
    </row>
    <row r="11" spans="1:4" ht="25.75" x14ac:dyDescent="0.35">
      <c r="A11" s="267" t="s">
        <v>1457</v>
      </c>
      <c r="B11" s="267" t="s">
        <v>1458</v>
      </c>
      <c r="C11" s="267" t="s">
        <v>1459</v>
      </c>
      <c r="D11" s="267" t="s">
        <v>1460</v>
      </c>
    </row>
    <row r="12" spans="1:4" ht="25.75" x14ac:dyDescent="0.35">
      <c r="A12" s="267" t="s">
        <v>1461</v>
      </c>
      <c r="B12" s="267" t="s">
        <v>1462</v>
      </c>
      <c r="C12" s="267" t="s">
        <v>1463</v>
      </c>
      <c r="D12" s="267" t="s">
        <v>1464</v>
      </c>
    </row>
    <row r="13" spans="1:4" ht="25.75" x14ac:dyDescent="0.35">
      <c r="A13" s="267" t="s">
        <v>1465</v>
      </c>
      <c r="B13" s="267" t="s">
        <v>1466</v>
      </c>
      <c r="C13" s="267" t="s">
        <v>1467</v>
      </c>
      <c r="D13" s="267" t="s">
        <v>1891</v>
      </c>
    </row>
    <row r="14" spans="1:4" ht="25.75" x14ac:dyDescent="0.35">
      <c r="A14" s="267" t="s">
        <v>1468</v>
      </c>
      <c r="B14" s="267" t="s">
        <v>1469</v>
      </c>
      <c r="C14" s="267" t="s">
        <v>8</v>
      </c>
      <c r="D14" s="267" t="s">
        <v>1444</v>
      </c>
    </row>
    <row r="15" spans="1:4" ht="25.75" x14ac:dyDescent="0.35">
      <c r="A15" s="267" t="s">
        <v>1470</v>
      </c>
      <c r="B15" s="267" t="s">
        <v>1471</v>
      </c>
      <c r="C15" s="267" t="s">
        <v>1863</v>
      </c>
      <c r="D15" s="267" t="s">
        <v>1444</v>
      </c>
    </row>
    <row r="16" spans="1:4" ht="25.75" x14ac:dyDescent="0.35">
      <c r="A16" s="267" t="s">
        <v>1472</v>
      </c>
      <c r="B16" s="267" t="s">
        <v>1473</v>
      </c>
      <c r="C16" s="267" t="s">
        <v>1474</v>
      </c>
      <c r="D16" s="267" t="s">
        <v>1892</v>
      </c>
    </row>
    <row r="17" spans="1:12" ht="25.75" x14ac:dyDescent="0.35">
      <c r="A17" s="267" t="s">
        <v>1475</v>
      </c>
      <c r="B17" s="267" t="s">
        <v>1476</v>
      </c>
      <c r="C17" s="267" t="s">
        <v>1477</v>
      </c>
      <c r="D17" s="267" t="s">
        <v>1464</v>
      </c>
    </row>
    <row r="20" spans="1:12" x14ac:dyDescent="0.35">
      <c r="A20" t="s">
        <v>941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1863</v>
      </c>
      <c r="K20" t="s">
        <v>1474</v>
      </c>
      <c r="L20" t="s">
        <v>1477</v>
      </c>
    </row>
    <row r="21" spans="1:12" x14ac:dyDescent="0.35">
      <c r="A21" s="268" t="s">
        <v>820</v>
      </c>
      <c r="B21" s="265" t="s">
        <v>1482</v>
      </c>
      <c r="C21" s="269">
        <v>0</v>
      </c>
      <c r="D21" s="268" t="s">
        <v>824</v>
      </c>
      <c r="E21" s="268" t="s">
        <v>1478</v>
      </c>
      <c r="F21" s="268" t="s">
        <v>1479</v>
      </c>
      <c r="G21" s="270">
        <v>2958465</v>
      </c>
      <c r="H21" s="268" t="str">
        <f>Metadata!$B$17</f>
        <v>dev</v>
      </c>
      <c r="I21" s="265" t="s">
        <v>1480</v>
      </c>
      <c r="J21" s="265" t="s">
        <v>1481</v>
      </c>
      <c r="K21" s="268" t="s">
        <v>1483</v>
      </c>
      <c r="L21" s="270">
        <v>43831</v>
      </c>
    </row>
    <row r="22" spans="1:12" x14ac:dyDescent="0.35">
      <c r="A22" s="266" t="s">
        <v>1919</v>
      </c>
      <c r="B22" s="265" t="s">
        <v>2039</v>
      </c>
      <c r="C22" s="269" t="s">
        <v>2040</v>
      </c>
      <c r="D22" s="268" t="s">
        <v>1503</v>
      </c>
      <c r="E22" s="268" t="s">
        <v>1478</v>
      </c>
      <c r="F22" s="268" t="s">
        <v>1479</v>
      </c>
      <c r="G22" s="270">
        <v>2958465</v>
      </c>
      <c r="H22" s="271" t="str">
        <f>Metadata!$B$17</f>
        <v>dev</v>
      </c>
      <c r="I22" s="265" t="s">
        <v>2041</v>
      </c>
      <c r="J22" s="265" t="s">
        <v>2042</v>
      </c>
      <c r="K22" s="268" t="s">
        <v>1483</v>
      </c>
      <c r="L22" s="270">
        <v>43831</v>
      </c>
    </row>
  </sheetData>
  <dataValidations disablePrompts="1" count="4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:F22" xr:uid="{70E51273-E0D7-471B-BECB-98E8F5E72585}">
      <formula1>DisasterRecovery</formula1>
    </dataValidation>
    <dataValidation type="list" allowBlank="1" showInputMessage="1" showErrorMessage="1" sqref="D21:D22" xr:uid="{E3B640FD-C780-453C-80E9-6476969F6378}">
      <formula1>BusinessUnit</formula1>
    </dataValidation>
    <dataValidation type="list" allowBlank="1" showInputMessage="1" showErrorMessage="1" sqref="K21:K22" xr:uid="{F9578599-D440-4601-AB3A-5FC622310CE3}">
      <formula1>ServiceClass</formula1>
    </dataValidation>
  </dataValidations>
  <hyperlinks>
    <hyperlink ref="B1" r:id="rId1" location="metadata-tags" xr:uid="{1F4031EE-1EFD-4FC9-9E6F-088D935A5B6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F325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.9" x14ac:dyDescent="0.35"/>
  <cols>
    <col min="1" max="1" width="5" bestFit="1" customWidth="1"/>
    <col min="2" max="2" width="30.69140625" bestFit="1" customWidth="1"/>
    <col min="3" max="3" width="39" bestFit="1" customWidth="1"/>
    <col min="4" max="4" width="5" bestFit="1" customWidth="1"/>
    <col min="5" max="5" width="13.15234375" bestFit="1" customWidth="1"/>
    <col min="6" max="7" width="17.3046875" bestFit="1" customWidth="1"/>
    <col min="8" max="8" width="6" bestFit="1" customWidth="1"/>
    <col min="9" max="9" width="17.3046875" bestFit="1" customWidth="1"/>
    <col min="10" max="10" width="42.15234375" bestFit="1" customWidth="1"/>
    <col min="11" max="11" width="6.53515625" bestFit="1" customWidth="1"/>
    <col min="12" max="12" width="15.1523437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5234375" bestFit="1" customWidth="1"/>
    <col min="20" max="20" width="9" bestFit="1" customWidth="1"/>
    <col min="21" max="21" width="36.84375" bestFit="1" customWidth="1"/>
    <col min="22" max="22" width="10" bestFit="1" customWidth="1"/>
    <col min="23" max="23" width="17.3046875" bestFit="1" customWidth="1"/>
    <col min="24" max="24" width="36.3046875" customWidth="1"/>
    <col min="30" max="30" width="22.3046875" customWidth="1"/>
    <col min="31" max="31" width="26.69140625" customWidth="1"/>
  </cols>
  <sheetData>
    <row r="1" spans="1:32" s="216" customFormat="1" ht="129" customHeight="1" x14ac:dyDescent="0.35">
      <c r="A1" s="215" t="s">
        <v>1484</v>
      </c>
      <c r="B1" s="215" t="s">
        <v>1485</v>
      </c>
      <c r="C1" s="215" t="s">
        <v>1495</v>
      </c>
      <c r="D1" s="215" t="s">
        <v>1496</v>
      </c>
      <c r="E1" s="215" t="s">
        <v>815</v>
      </c>
      <c r="F1" s="215" t="s">
        <v>816</v>
      </c>
      <c r="G1" s="215" t="s">
        <v>12</v>
      </c>
      <c r="H1" s="215" t="s">
        <v>1281</v>
      </c>
      <c r="I1" s="215" t="s">
        <v>878</v>
      </c>
      <c r="J1" s="215" t="s">
        <v>491</v>
      </c>
      <c r="K1" s="215" t="s">
        <v>1282</v>
      </c>
      <c r="L1" s="215" t="s">
        <v>864</v>
      </c>
      <c r="M1" s="215" t="s">
        <v>1283</v>
      </c>
      <c r="N1" s="215" t="s">
        <v>869</v>
      </c>
      <c r="O1" s="215" t="s">
        <v>870</v>
      </c>
      <c r="P1" s="215" t="s">
        <v>1273</v>
      </c>
      <c r="Q1" s="215" t="s">
        <v>879</v>
      </c>
      <c r="R1" s="215" t="s">
        <v>880</v>
      </c>
      <c r="S1" s="215" t="s">
        <v>890</v>
      </c>
      <c r="T1" s="215" t="s">
        <v>1295</v>
      </c>
      <c r="U1" s="215" t="s">
        <v>1297</v>
      </c>
      <c r="V1" s="215" t="s">
        <v>1328</v>
      </c>
      <c r="W1" s="215" t="s">
        <v>1497</v>
      </c>
      <c r="X1" s="215" t="s">
        <v>1500</v>
      </c>
      <c r="Y1" s="215" t="s">
        <v>1474</v>
      </c>
      <c r="Z1" s="215" t="s">
        <v>1465</v>
      </c>
      <c r="AA1" s="215" t="s">
        <v>1881</v>
      </c>
      <c r="AB1" s="215" t="s">
        <v>1903</v>
      </c>
      <c r="AC1" s="215" t="s">
        <v>1904</v>
      </c>
      <c r="AD1" s="215" t="s">
        <v>1</v>
      </c>
      <c r="AE1" s="215" t="s">
        <v>2018</v>
      </c>
      <c r="AF1" s="215" t="s">
        <v>2033</v>
      </c>
    </row>
    <row r="2" spans="1:32" x14ac:dyDescent="0.35">
      <c r="A2" t="s">
        <v>835</v>
      </c>
      <c r="B2" s="208" t="s">
        <v>948</v>
      </c>
      <c r="C2" t="s">
        <v>1486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1479</v>
      </c>
      <c r="X2" t="s">
        <v>1501</v>
      </c>
      <c r="Y2" t="s">
        <v>1887</v>
      </c>
      <c r="Z2" t="s">
        <v>1887</v>
      </c>
      <c r="AA2" t="s">
        <v>29</v>
      </c>
      <c r="AB2">
        <v>4</v>
      </c>
      <c r="AD2" t="s">
        <v>1994</v>
      </c>
      <c r="AE2" t="s">
        <v>1995</v>
      </c>
    </row>
    <row r="3" spans="1:32" x14ac:dyDescent="0.35">
      <c r="A3" t="s">
        <v>836</v>
      </c>
      <c r="B3" s="208" t="s">
        <v>949</v>
      </c>
      <c r="C3" t="s">
        <v>1487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1498</v>
      </c>
      <c r="X3" t="s">
        <v>1502</v>
      </c>
      <c r="Y3" t="s">
        <v>1504</v>
      </c>
      <c r="Z3" t="s">
        <v>2038</v>
      </c>
      <c r="AA3" t="s">
        <v>30</v>
      </c>
      <c r="AB3">
        <v>8</v>
      </c>
      <c r="AD3" t="s">
        <v>1996</v>
      </c>
      <c r="AE3" t="s">
        <v>1997</v>
      </c>
    </row>
    <row r="4" spans="1:32" x14ac:dyDescent="0.35">
      <c r="A4" t="s">
        <v>837</v>
      </c>
      <c r="B4" s="208" t="s">
        <v>950</v>
      </c>
      <c r="C4" t="s">
        <v>1488</v>
      </c>
      <c r="D4" t="s">
        <v>825</v>
      </c>
      <c r="E4" t="s">
        <v>831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1499</v>
      </c>
      <c r="X4" t="s">
        <v>820</v>
      </c>
      <c r="Y4" t="s">
        <v>1505</v>
      </c>
      <c r="Z4" t="s">
        <v>1917</v>
      </c>
      <c r="AA4" t="s">
        <v>31</v>
      </c>
      <c r="AB4">
        <v>16</v>
      </c>
      <c r="AD4" t="s">
        <v>1964</v>
      </c>
      <c r="AE4" t="s">
        <v>1965</v>
      </c>
    </row>
    <row r="5" spans="1:32" x14ac:dyDescent="0.35">
      <c r="A5" t="s">
        <v>25</v>
      </c>
      <c r="B5" s="208" t="s">
        <v>951</v>
      </c>
      <c r="C5" t="s">
        <v>1489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1483</v>
      </c>
      <c r="Z5" t="s">
        <v>743</v>
      </c>
      <c r="AB5">
        <v>24</v>
      </c>
      <c r="AD5" t="s">
        <v>1966</v>
      </c>
      <c r="AE5" t="s">
        <v>1967</v>
      </c>
    </row>
    <row r="6" spans="1:32" x14ac:dyDescent="0.35">
      <c r="A6" t="s">
        <v>26</v>
      </c>
      <c r="B6" s="208" t="s">
        <v>952</v>
      </c>
      <c r="C6" t="s">
        <v>1490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1503</v>
      </c>
      <c r="Y6" t="s">
        <v>1506</v>
      </c>
      <c r="Z6" t="s">
        <v>1918</v>
      </c>
      <c r="AB6">
        <v>32</v>
      </c>
      <c r="AD6" t="s">
        <v>1962</v>
      </c>
      <c r="AE6" t="s">
        <v>1963</v>
      </c>
    </row>
    <row r="7" spans="1:32" x14ac:dyDescent="0.35">
      <c r="A7" t="s">
        <v>838</v>
      </c>
      <c r="B7" s="208" t="s">
        <v>953</v>
      </c>
      <c r="C7" t="s">
        <v>1491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1974</v>
      </c>
      <c r="AE7" t="s">
        <v>1975</v>
      </c>
    </row>
    <row r="8" spans="1:32" x14ac:dyDescent="0.35">
      <c r="A8" t="s">
        <v>21</v>
      </c>
      <c r="B8" s="208" t="s">
        <v>954</v>
      </c>
      <c r="C8" t="s">
        <v>1492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1976</v>
      </c>
      <c r="AE8" t="s">
        <v>1977</v>
      </c>
    </row>
    <row r="9" spans="1:32" x14ac:dyDescent="0.35">
      <c r="A9" t="s">
        <v>19</v>
      </c>
      <c r="B9" s="208" t="s">
        <v>955</v>
      </c>
      <c r="C9" t="s">
        <v>1493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1970</v>
      </c>
      <c r="AE9" t="s">
        <v>1971</v>
      </c>
    </row>
    <row r="10" spans="1:32" x14ac:dyDescent="0.35">
      <c r="A10" t="s">
        <v>20</v>
      </c>
      <c r="B10" s="208" t="s">
        <v>956</v>
      </c>
      <c r="C10" t="s">
        <v>1494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1944</v>
      </c>
      <c r="AE10" t="s">
        <v>1945</v>
      </c>
    </row>
    <row r="11" spans="1:32" x14ac:dyDescent="0.35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1940</v>
      </c>
      <c r="AE11" t="s">
        <v>1941</v>
      </c>
    </row>
    <row r="12" spans="1:32" x14ac:dyDescent="0.35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1867</v>
      </c>
      <c r="AE12" t="s">
        <v>945</v>
      </c>
      <c r="AF12" t="s">
        <v>2034</v>
      </c>
    </row>
    <row r="13" spans="1:32" x14ac:dyDescent="0.35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1946</v>
      </c>
      <c r="AE13" t="s">
        <v>1947</v>
      </c>
      <c r="AF13" t="s">
        <v>2035</v>
      </c>
    </row>
    <row r="14" spans="1:32" x14ac:dyDescent="0.35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1990</v>
      </c>
      <c r="AE14" t="s">
        <v>1991</v>
      </c>
    </row>
    <row r="15" spans="1:32" x14ac:dyDescent="0.35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1992</v>
      </c>
      <c r="AE15" t="s">
        <v>1993</v>
      </c>
    </row>
    <row r="16" spans="1:32" x14ac:dyDescent="0.35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2010</v>
      </c>
      <c r="AE16" t="s">
        <v>2011</v>
      </c>
    </row>
    <row r="17" spans="1:31" x14ac:dyDescent="0.35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2012</v>
      </c>
      <c r="AE17" t="s">
        <v>2013</v>
      </c>
    </row>
    <row r="18" spans="1:31" x14ac:dyDescent="0.35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1960</v>
      </c>
      <c r="AE18" t="s">
        <v>1961</v>
      </c>
    </row>
    <row r="19" spans="1:31" x14ac:dyDescent="0.35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1958</v>
      </c>
      <c r="AE19" t="s">
        <v>1959</v>
      </c>
    </row>
    <row r="20" spans="1:31" x14ac:dyDescent="0.35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1986</v>
      </c>
      <c r="AE20" t="s">
        <v>1987</v>
      </c>
    </row>
    <row r="21" spans="1:31" x14ac:dyDescent="0.35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1988</v>
      </c>
      <c r="AE21" t="s">
        <v>1989</v>
      </c>
    </row>
    <row r="22" spans="1:31" x14ac:dyDescent="0.35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1950</v>
      </c>
      <c r="AE22" t="s">
        <v>1951</v>
      </c>
    </row>
    <row r="23" spans="1:31" x14ac:dyDescent="0.35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1954</v>
      </c>
      <c r="AE23" t="s">
        <v>1955</v>
      </c>
    </row>
    <row r="24" spans="1:31" x14ac:dyDescent="0.35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2016</v>
      </c>
      <c r="AE24" t="s">
        <v>2017</v>
      </c>
    </row>
    <row r="25" spans="1:31" x14ac:dyDescent="0.35">
      <c r="A25" t="s">
        <v>24</v>
      </c>
      <c r="B25" s="208" t="s">
        <v>971</v>
      </c>
      <c r="J25" t="s">
        <v>515</v>
      </c>
      <c r="U25" t="s">
        <v>1319</v>
      </c>
      <c r="AD25" t="s">
        <v>2014</v>
      </c>
      <c r="AE25" t="s">
        <v>2015</v>
      </c>
    </row>
    <row r="26" spans="1:31" x14ac:dyDescent="0.35">
      <c r="A26" t="s">
        <v>850</v>
      </c>
      <c r="B26" s="208" t="s">
        <v>972</v>
      </c>
      <c r="J26" t="s">
        <v>516</v>
      </c>
      <c r="U26" t="s">
        <v>1320</v>
      </c>
      <c r="AD26" t="s">
        <v>2002</v>
      </c>
      <c r="AE26" t="s">
        <v>2003</v>
      </c>
    </row>
    <row r="27" spans="1:31" x14ac:dyDescent="0.35">
      <c r="B27" s="208" t="s">
        <v>973</v>
      </c>
      <c r="J27" t="s">
        <v>517</v>
      </c>
      <c r="U27" t="s">
        <v>1321</v>
      </c>
      <c r="AD27" t="s">
        <v>2004</v>
      </c>
      <c r="AE27" t="s">
        <v>2005</v>
      </c>
    </row>
    <row r="28" spans="1:31" x14ac:dyDescent="0.35">
      <c r="B28" s="208" t="s">
        <v>974</v>
      </c>
      <c r="J28" t="s">
        <v>518</v>
      </c>
      <c r="U28" t="s">
        <v>1322</v>
      </c>
      <c r="AD28" t="s">
        <v>1952</v>
      </c>
      <c r="AE28" t="s">
        <v>1953</v>
      </c>
    </row>
    <row r="29" spans="1:31" x14ac:dyDescent="0.35">
      <c r="B29" s="208" t="s">
        <v>975</v>
      </c>
      <c r="J29" t="s">
        <v>519</v>
      </c>
      <c r="U29" t="s">
        <v>1323</v>
      </c>
      <c r="AD29" t="s">
        <v>1942</v>
      </c>
      <c r="AE29" t="s">
        <v>1943</v>
      </c>
    </row>
    <row r="30" spans="1:31" x14ac:dyDescent="0.35">
      <c r="B30" s="208" t="s">
        <v>976</v>
      </c>
      <c r="J30" t="s">
        <v>520</v>
      </c>
      <c r="U30" t="s">
        <v>1324</v>
      </c>
      <c r="AD30" t="s">
        <v>1968</v>
      </c>
      <c r="AE30" t="s">
        <v>1969</v>
      </c>
    </row>
    <row r="31" spans="1:31" x14ac:dyDescent="0.35">
      <c r="B31" s="208" t="s">
        <v>977</v>
      </c>
      <c r="J31" t="s">
        <v>521</v>
      </c>
      <c r="U31" t="s">
        <v>1325</v>
      </c>
      <c r="AD31" t="s">
        <v>2006</v>
      </c>
      <c r="AE31" t="s">
        <v>2007</v>
      </c>
    </row>
    <row r="32" spans="1:31" x14ac:dyDescent="0.35">
      <c r="B32" s="208" t="s">
        <v>978</v>
      </c>
      <c r="J32" t="s">
        <v>522</v>
      </c>
      <c r="U32" t="s">
        <v>1326</v>
      </c>
      <c r="AD32" t="s">
        <v>2008</v>
      </c>
      <c r="AE32" t="s">
        <v>2009</v>
      </c>
    </row>
    <row r="33" spans="2:32" x14ac:dyDescent="0.35">
      <c r="B33" s="208" t="s">
        <v>979</v>
      </c>
      <c r="J33" t="s">
        <v>523</v>
      </c>
      <c r="U33" t="s">
        <v>1327</v>
      </c>
      <c r="AD33" t="s">
        <v>1998</v>
      </c>
      <c r="AE33" t="s">
        <v>1999</v>
      </c>
    </row>
    <row r="34" spans="2:32" x14ac:dyDescent="0.35">
      <c r="B34" s="208" t="s">
        <v>980</v>
      </c>
      <c r="J34" t="s">
        <v>524</v>
      </c>
      <c r="AD34" t="s">
        <v>2000</v>
      </c>
      <c r="AE34" t="s">
        <v>2001</v>
      </c>
    </row>
    <row r="35" spans="2:32" x14ac:dyDescent="0.35">
      <c r="B35" s="208" t="s">
        <v>981</v>
      </c>
      <c r="J35" t="s">
        <v>525</v>
      </c>
      <c r="AD35" t="s">
        <v>1978</v>
      </c>
      <c r="AE35" t="s">
        <v>1979</v>
      </c>
    </row>
    <row r="36" spans="2:32" x14ac:dyDescent="0.35">
      <c r="B36" s="208" t="s">
        <v>982</v>
      </c>
      <c r="J36" t="s">
        <v>526</v>
      </c>
      <c r="AD36" t="s">
        <v>1980</v>
      </c>
      <c r="AE36" t="s">
        <v>1981</v>
      </c>
    </row>
    <row r="37" spans="2:32" x14ac:dyDescent="0.35">
      <c r="B37" s="208" t="s">
        <v>983</v>
      </c>
      <c r="J37" t="s">
        <v>527</v>
      </c>
      <c r="AD37" t="s">
        <v>1982</v>
      </c>
      <c r="AE37" t="s">
        <v>1983</v>
      </c>
    </row>
    <row r="38" spans="2:32" x14ac:dyDescent="0.35">
      <c r="B38" s="208" t="s">
        <v>984</v>
      </c>
      <c r="J38" t="s">
        <v>528</v>
      </c>
      <c r="AD38" t="s">
        <v>1956</v>
      </c>
      <c r="AE38" t="s">
        <v>1957</v>
      </c>
    </row>
    <row r="39" spans="2:32" x14ac:dyDescent="0.35">
      <c r="B39" s="208" t="s">
        <v>985</v>
      </c>
      <c r="J39" t="s">
        <v>529</v>
      </c>
      <c r="AD39" t="s">
        <v>1972</v>
      </c>
      <c r="AE39" t="s">
        <v>1973</v>
      </c>
    </row>
    <row r="40" spans="2:32" x14ac:dyDescent="0.35">
      <c r="B40" s="208" t="s">
        <v>986</v>
      </c>
      <c r="J40" t="s">
        <v>530</v>
      </c>
      <c r="AD40" t="s">
        <v>1948</v>
      </c>
      <c r="AE40" t="s">
        <v>1949</v>
      </c>
      <c r="AF40" t="s">
        <v>2036</v>
      </c>
    </row>
    <row r="41" spans="2:32" x14ac:dyDescent="0.35">
      <c r="B41" s="208" t="s">
        <v>987</v>
      </c>
      <c r="J41" t="s">
        <v>531</v>
      </c>
      <c r="AD41" t="s">
        <v>1984</v>
      </c>
      <c r="AE41" t="s">
        <v>1985</v>
      </c>
      <c r="AF41" t="s">
        <v>2037</v>
      </c>
    </row>
    <row r="42" spans="2:32" x14ac:dyDescent="0.35">
      <c r="B42" s="208" t="s">
        <v>988</v>
      </c>
      <c r="J42" t="s">
        <v>1896</v>
      </c>
    </row>
    <row r="43" spans="2:32" x14ac:dyDescent="0.35">
      <c r="B43" s="208" t="s">
        <v>989</v>
      </c>
      <c r="J43" t="s">
        <v>1897</v>
      </c>
    </row>
    <row r="44" spans="2:32" x14ac:dyDescent="0.35">
      <c r="B44" s="208" t="s">
        <v>990</v>
      </c>
      <c r="J44" t="s">
        <v>532</v>
      </c>
    </row>
    <row r="45" spans="2:32" x14ac:dyDescent="0.35">
      <c r="B45" s="208" t="s">
        <v>991</v>
      </c>
      <c r="J45" t="s">
        <v>533</v>
      </c>
    </row>
    <row r="46" spans="2:32" x14ac:dyDescent="0.35">
      <c r="B46" s="208" t="s">
        <v>992</v>
      </c>
      <c r="J46" t="s">
        <v>534</v>
      </c>
    </row>
    <row r="47" spans="2:32" x14ac:dyDescent="0.35">
      <c r="B47" s="208" t="s">
        <v>993</v>
      </c>
      <c r="J47" t="s">
        <v>535</v>
      </c>
    </row>
    <row r="48" spans="2:32" x14ac:dyDescent="0.35">
      <c r="B48" s="208" t="s">
        <v>994</v>
      </c>
      <c r="J48" t="s">
        <v>536</v>
      </c>
    </row>
    <row r="49" spans="2:10" x14ac:dyDescent="0.35">
      <c r="B49" s="208" t="s">
        <v>995</v>
      </c>
      <c r="J49" t="s">
        <v>537</v>
      </c>
    </row>
    <row r="50" spans="2:10" x14ac:dyDescent="0.35">
      <c r="B50" s="208" t="s">
        <v>996</v>
      </c>
      <c r="J50" t="s">
        <v>538</v>
      </c>
    </row>
    <row r="51" spans="2:10" x14ac:dyDescent="0.35">
      <c r="B51" s="208" t="s">
        <v>997</v>
      </c>
      <c r="J51" t="s">
        <v>539</v>
      </c>
    </row>
    <row r="52" spans="2:10" x14ac:dyDescent="0.35">
      <c r="B52" s="208" t="s">
        <v>998</v>
      </c>
      <c r="J52" t="s">
        <v>540</v>
      </c>
    </row>
    <row r="53" spans="2:10" x14ac:dyDescent="0.35">
      <c r="B53" s="208" t="s">
        <v>999</v>
      </c>
      <c r="J53" t="s">
        <v>541</v>
      </c>
    </row>
    <row r="54" spans="2:10" x14ac:dyDescent="0.35">
      <c r="B54" s="208" t="s">
        <v>1000</v>
      </c>
      <c r="J54" t="s">
        <v>542</v>
      </c>
    </row>
    <row r="55" spans="2:10" x14ac:dyDescent="0.35">
      <c r="B55" s="208" t="s">
        <v>1001</v>
      </c>
      <c r="J55" t="s">
        <v>543</v>
      </c>
    </row>
    <row r="56" spans="2:10" x14ac:dyDescent="0.35">
      <c r="B56" s="208" t="s">
        <v>1002</v>
      </c>
      <c r="J56" t="s">
        <v>544</v>
      </c>
    </row>
    <row r="57" spans="2:10" x14ac:dyDescent="0.35">
      <c r="B57" s="208" t="s">
        <v>1003</v>
      </c>
      <c r="J57" t="s">
        <v>545</v>
      </c>
    </row>
    <row r="58" spans="2:10" x14ac:dyDescent="0.35">
      <c r="B58" s="208" t="s">
        <v>1004</v>
      </c>
      <c r="J58" t="s">
        <v>546</v>
      </c>
    </row>
    <row r="59" spans="2:10" x14ac:dyDescent="0.35">
      <c r="B59" s="208" t="s">
        <v>1005</v>
      </c>
      <c r="J59" t="s">
        <v>547</v>
      </c>
    </row>
    <row r="60" spans="2:10" x14ac:dyDescent="0.35">
      <c r="B60" s="208" t="s">
        <v>1006</v>
      </c>
      <c r="J60" t="s">
        <v>548</v>
      </c>
    </row>
    <row r="61" spans="2:10" x14ac:dyDescent="0.35">
      <c r="B61" s="208" t="s">
        <v>1007</v>
      </c>
      <c r="J61" t="s">
        <v>549</v>
      </c>
    </row>
    <row r="62" spans="2:10" x14ac:dyDescent="0.35">
      <c r="B62" s="208" t="s">
        <v>1008</v>
      </c>
      <c r="J62" t="s">
        <v>550</v>
      </c>
    </row>
    <row r="63" spans="2:10" x14ac:dyDescent="0.35">
      <c r="B63" s="208" t="s">
        <v>1009</v>
      </c>
      <c r="J63" t="s">
        <v>551</v>
      </c>
    </row>
    <row r="64" spans="2:10" x14ac:dyDescent="0.35">
      <c r="B64" s="208" t="s">
        <v>1010</v>
      </c>
      <c r="J64" t="s">
        <v>552</v>
      </c>
    </row>
    <row r="65" spans="2:10" x14ac:dyDescent="0.35">
      <c r="B65" s="208" t="s">
        <v>1011</v>
      </c>
      <c r="J65" t="s">
        <v>553</v>
      </c>
    </row>
    <row r="66" spans="2:10" x14ac:dyDescent="0.35">
      <c r="B66" s="208" t="s">
        <v>1012</v>
      </c>
      <c r="J66" t="s">
        <v>554</v>
      </c>
    </row>
    <row r="67" spans="2:10" x14ac:dyDescent="0.35">
      <c r="B67" s="208" t="s">
        <v>1013</v>
      </c>
      <c r="J67" t="s">
        <v>555</v>
      </c>
    </row>
    <row r="68" spans="2:10" x14ac:dyDescent="0.35">
      <c r="B68" s="208" t="s">
        <v>1014</v>
      </c>
      <c r="J68" t="s">
        <v>556</v>
      </c>
    </row>
    <row r="69" spans="2:10" x14ac:dyDescent="0.35">
      <c r="B69" s="208" t="s">
        <v>1015</v>
      </c>
      <c r="J69" t="s">
        <v>557</v>
      </c>
    </row>
    <row r="70" spans="2:10" x14ac:dyDescent="0.35">
      <c r="B70" s="208" t="s">
        <v>1016</v>
      </c>
      <c r="J70" t="s">
        <v>558</v>
      </c>
    </row>
    <row r="71" spans="2:10" x14ac:dyDescent="0.35">
      <c r="B71" s="208" t="s">
        <v>1017</v>
      </c>
      <c r="J71" t="s">
        <v>559</v>
      </c>
    </row>
    <row r="72" spans="2:10" x14ac:dyDescent="0.35">
      <c r="B72" s="208" t="s">
        <v>1018</v>
      </c>
      <c r="J72" t="s">
        <v>560</v>
      </c>
    </row>
    <row r="73" spans="2:10" x14ac:dyDescent="0.35">
      <c r="B73" s="208" t="s">
        <v>1019</v>
      </c>
      <c r="J73" t="s">
        <v>561</v>
      </c>
    </row>
    <row r="74" spans="2:10" x14ac:dyDescent="0.35">
      <c r="B74" s="208" t="s">
        <v>1020</v>
      </c>
      <c r="J74" t="s">
        <v>562</v>
      </c>
    </row>
    <row r="75" spans="2:10" x14ac:dyDescent="0.35">
      <c r="B75" s="208" t="s">
        <v>1021</v>
      </c>
      <c r="J75" t="s">
        <v>563</v>
      </c>
    </row>
    <row r="76" spans="2:10" x14ac:dyDescent="0.35">
      <c r="B76" s="208" t="s">
        <v>1022</v>
      </c>
      <c r="J76" t="s">
        <v>564</v>
      </c>
    </row>
    <row r="77" spans="2:10" x14ac:dyDescent="0.35">
      <c r="B77" s="208" t="s">
        <v>1023</v>
      </c>
      <c r="J77" t="s">
        <v>565</v>
      </c>
    </row>
    <row r="78" spans="2:10" x14ac:dyDescent="0.35">
      <c r="B78" s="208" t="s">
        <v>1024</v>
      </c>
      <c r="J78" t="s">
        <v>566</v>
      </c>
    </row>
    <row r="79" spans="2:10" x14ac:dyDescent="0.35">
      <c r="B79" s="208" t="s">
        <v>1025</v>
      </c>
      <c r="J79" t="s">
        <v>567</v>
      </c>
    </row>
    <row r="80" spans="2:10" x14ac:dyDescent="0.35">
      <c r="B80" s="208" t="s">
        <v>1026</v>
      </c>
      <c r="J80" t="s">
        <v>568</v>
      </c>
    </row>
    <row r="81" spans="2:10" x14ac:dyDescent="0.35">
      <c r="B81" s="208" t="s">
        <v>1027</v>
      </c>
      <c r="J81" t="s">
        <v>569</v>
      </c>
    </row>
    <row r="82" spans="2:10" x14ac:dyDescent="0.35">
      <c r="B82" s="208" t="s">
        <v>1028</v>
      </c>
      <c r="J82" t="s">
        <v>570</v>
      </c>
    </row>
    <row r="83" spans="2:10" x14ac:dyDescent="0.35">
      <c r="B83" s="208" t="s">
        <v>1029</v>
      </c>
      <c r="J83" t="s">
        <v>571</v>
      </c>
    </row>
    <row r="84" spans="2:10" x14ac:dyDescent="0.35">
      <c r="B84" s="208" t="s">
        <v>1030</v>
      </c>
      <c r="J84" t="s">
        <v>572</v>
      </c>
    </row>
    <row r="85" spans="2:10" x14ac:dyDescent="0.35">
      <c r="B85" s="208" t="s">
        <v>1031</v>
      </c>
      <c r="J85" t="s">
        <v>573</v>
      </c>
    </row>
    <row r="86" spans="2:10" x14ac:dyDescent="0.35">
      <c r="B86" s="208" t="s">
        <v>1032</v>
      </c>
      <c r="J86" t="s">
        <v>574</v>
      </c>
    </row>
    <row r="87" spans="2:10" x14ac:dyDescent="0.35">
      <c r="B87" s="208" t="s">
        <v>1033</v>
      </c>
      <c r="J87" t="s">
        <v>575</v>
      </c>
    </row>
    <row r="88" spans="2:10" x14ac:dyDescent="0.35">
      <c r="B88" s="208" t="s">
        <v>1034</v>
      </c>
      <c r="J88" t="s">
        <v>576</v>
      </c>
    </row>
    <row r="89" spans="2:10" x14ac:dyDescent="0.35">
      <c r="B89" s="208" t="s">
        <v>1035</v>
      </c>
      <c r="J89" t="s">
        <v>577</v>
      </c>
    </row>
    <row r="90" spans="2:10" x14ac:dyDescent="0.35">
      <c r="B90" s="208" t="s">
        <v>1036</v>
      </c>
      <c r="J90" t="s">
        <v>578</v>
      </c>
    </row>
    <row r="91" spans="2:10" x14ac:dyDescent="0.35">
      <c r="B91" s="208" t="s">
        <v>1037</v>
      </c>
      <c r="J91" t="s">
        <v>579</v>
      </c>
    </row>
    <row r="92" spans="2:10" x14ac:dyDescent="0.35">
      <c r="B92" s="208" t="s">
        <v>1038</v>
      </c>
      <c r="J92" t="s">
        <v>580</v>
      </c>
    </row>
    <row r="93" spans="2:10" x14ac:dyDescent="0.35">
      <c r="B93" s="208" t="s">
        <v>1039</v>
      </c>
      <c r="J93" t="s">
        <v>581</v>
      </c>
    </row>
    <row r="94" spans="2:10" x14ac:dyDescent="0.35">
      <c r="B94" s="208" t="s">
        <v>1040</v>
      </c>
      <c r="J94" t="s">
        <v>582</v>
      </c>
    </row>
    <row r="95" spans="2:10" x14ac:dyDescent="0.35">
      <c r="B95" s="208" t="s">
        <v>1041</v>
      </c>
      <c r="J95" t="s">
        <v>583</v>
      </c>
    </row>
    <row r="96" spans="2:10" x14ac:dyDescent="0.35">
      <c r="B96" s="208" t="s">
        <v>1042</v>
      </c>
      <c r="J96" t="s">
        <v>584</v>
      </c>
    </row>
    <row r="97" spans="2:10" x14ac:dyDescent="0.35">
      <c r="B97" s="208" t="s">
        <v>1043</v>
      </c>
      <c r="J97" t="s">
        <v>585</v>
      </c>
    </row>
    <row r="98" spans="2:10" x14ac:dyDescent="0.35">
      <c r="B98" s="208" t="s">
        <v>1044</v>
      </c>
      <c r="J98" t="s">
        <v>586</v>
      </c>
    </row>
    <row r="99" spans="2:10" x14ac:dyDescent="0.35">
      <c r="B99" s="208" t="s">
        <v>1045</v>
      </c>
      <c r="J99" t="s">
        <v>587</v>
      </c>
    </row>
    <row r="100" spans="2:10" x14ac:dyDescent="0.35">
      <c r="B100" s="208" t="s">
        <v>1046</v>
      </c>
      <c r="J100" t="s">
        <v>588</v>
      </c>
    </row>
    <row r="101" spans="2:10" x14ac:dyDescent="0.35">
      <c r="B101" s="208" t="s">
        <v>1047</v>
      </c>
      <c r="J101" t="s">
        <v>589</v>
      </c>
    </row>
    <row r="102" spans="2:10" x14ac:dyDescent="0.35">
      <c r="B102" s="208" t="s">
        <v>1048</v>
      </c>
      <c r="J102" t="s">
        <v>590</v>
      </c>
    </row>
    <row r="103" spans="2:10" x14ac:dyDescent="0.35">
      <c r="B103" s="208" t="s">
        <v>1049</v>
      </c>
      <c r="J103" t="s">
        <v>591</v>
      </c>
    </row>
    <row r="104" spans="2:10" x14ac:dyDescent="0.35">
      <c r="B104" s="208" t="s">
        <v>1050</v>
      </c>
    </row>
    <row r="105" spans="2:10" x14ac:dyDescent="0.35">
      <c r="B105" s="208" t="s">
        <v>1051</v>
      </c>
    </row>
    <row r="106" spans="2:10" x14ac:dyDescent="0.35">
      <c r="B106" s="208" t="s">
        <v>1052</v>
      </c>
    </row>
    <row r="107" spans="2:10" x14ac:dyDescent="0.35">
      <c r="B107" s="208" t="s">
        <v>1053</v>
      </c>
    </row>
    <row r="108" spans="2:10" x14ac:dyDescent="0.35">
      <c r="B108" s="208" t="s">
        <v>1054</v>
      </c>
    </row>
    <row r="109" spans="2:10" x14ac:dyDescent="0.35">
      <c r="B109" s="208" t="s">
        <v>1055</v>
      </c>
    </row>
    <row r="110" spans="2:10" x14ac:dyDescent="0.35">
      <c r="B110" s="208" t="s">
        <v>1056</v>
      </c>
    </row>
    <row r="111" spans="2:10" x14ac:dyDescent="0.35">
      <c r="B111" s="208" t="s">
        <v>1057</v>
      </c>
    </row>
    <row r="112" spans="2:10" x14ac:dyDescent="0.35">
      <c r="B112" s="208" t="s">
        <v>1058</v>
      </c>
    </row>
    <row r="113" spans="2:2" x14ac:dyDescent="0.35">
      <c r="B113" s="208" t="s">
        <v>1059</v>
      </c>
    </row>
    <row r="114" spans="2:2" x14ac:dyDescent="0.35">
      <c r="B114" s="208" t="s">
        <v>1060</v>
      </c>
    </row>
    <row r="115" spans="2:2" x14ac:dyDescent="0.35">
      <c r="B115" s="208" t="s">
        <v>1061</v>
      </c>
    </row>
    <row r="116" spans="2:2" x14ac:dyDescent="0.35">
      <c r="B116" s="208" t="s">
        <v>1062</v>
      </c>
    </row>
    <row r="117" spans="2:2" x14ac:dyDescent="0.35">
      <c r="B117" s="208" t="s">
        <v>1063</v>
      </c>
    </row>
    <row r="118" spans="2:2" x14ac:dyDescent="0.35">
      <c r="B118" s="208" t="s">
        <v>1064</v>
      </c>
    </row>
    <row r="119" spans="2:2" x14ac:dyDescent="0.35">
      <c r="B119" s="208" t="s">
        <v>1065</v>
      </c>
    </row>
    <row r="120" spans="2:2" x14ac:dyDescent="0.35">
      <c r="B120" s="208" t="s">
        <v>1066</v>
      </c>
    </row>
    <row r="121" spans="2:2" x14ac:dyDescent="0.35">
      <c r="B121" s="208" t="s">
        <v>1067</v>
      </c>
    </row>
    <row r="122" spans="2:2" x14ac:dyDescent="0.35">
      <c r="B122" s="208" t="s">
        <v>1068</v>
      </c>
    </row>
    <row r="123" spans="2:2" x14ac:dyDescent="0.35">
      <c r="B123" s="208" t="s">
        <v>1069</v>
      </c>
    </row>
    <row r="124" spans="2:2" x14ac:dyDescent="0.35">
      <c r="B124" s="208" t="s">
        <v>1070</v>
      </c>
    </row>
    <row r="125" spans="2:2" x14ac:dyDescent="0.35">
      <c r="B125" s="208" t="s">
        <v>1071</v>
      </c>
    </row>
    <row r="126" spans="2:2" x14ac:dyDescent="0.35">
      <c r="B126" s="208" t="s">
        <v>1072</v>
      </c>
    </row>
    <row r="127" spans="2:2" x14ac:dyDescent="0.35">
      <c r="B127" s="208" t="s">
        <v>1073</v>
      </c>
    </row>
    <row r="128" spans="2:2" x14ac:dyDescent="0.35">
      <c r="B128" s="208" t="s">
        <v>1074</v>
      </c>
    </row>
    <row r="129" spans="2:2" x14ac:dyDescent="0.35">
      <c r="B129" s="208" t="s">
        <v>1075</v>
      </c>
    </row>
    <row r="130" spans="2:2" x14ac:dyDescent="0.35">
      <c r="B130" s="208" t="s">
        <v>1076</v>
      </c>
    </row>
    <row r="131" spans="2:2" x14ac:dyDescent="0.35">
      <c r="B131" s="208" t="s">
        <v>1077</v>
      </c>
    </row>
    <row r="132" spans="2:2" x14ac:dyDescent="0.35">
      <c r="B132" s="208" t="s">
        <v>1078</v>
      </c>
    </row>
    <row r="133" spans="2:2" x14ac:dyDescent="0.35">
      <c r="B133" s="208" t="s">
        <v>1079</v>
      </c>
    </row>
    <row r="134" spans="2:2" x14ac:dyDescent="0.35">
      <c r="B134" s="208" t="s">
        <v>1080</v>
      </c>
    </row>
    <row r="135" spans="2:2" x14ac:dyDescent="0.35">
      <c r="B135" s="208" t="s">
        <v>1081</v>
      </c>
    </row>
    <row r="136" spans="2:2" x14ac:dyDescent="0.35">
      <c r="B136" s="208" t="s">
        <v>1082</v>
      </c>
    </row>
    <row r="137" spans="2:2" x14ac:dyDescent="0.35">
      <c r="B137" s="208" t="s">
        <v>1083</v>
      </c>
    </row>
    <row r="138" spans="2:2" x14ac:dyDescent="0.35">
      <c r="B138" s="208" t="s">
        <v>1084</v>
      </c>
    </row>
    <row r="139" spans="2:2" x14ac:dyDescent="0.35">
      <c r="B139" s="208" t="s">
        <v>1085</v>
      </c>
    </row>
    <row r="140" spans="2:2" x14ac:dyDescent="0.35">
      <c r="B140" s="208" t="s">
        <v>1086</v>
      </c>
    </row>
    <row r="141" spans="2:2" x14ac:dyDescent="0.35">
      <c r="B141" s="208" t="s">
        <v>1087</v>
      </c>
    </row>
    <row r="142" spans="2:2" x14ac:dyDescent="0.35">
      <c r="B142" s="208" t="s">
        <v>1088</v>
      </c>
    </row>
    <row r="143" spans="2:2" x14ac:dyDescent="0.35">
      <c r="B143" s="208" t="s">
        <v>1089</v>
      </c>
    </row>
    <row r="144" spans="2:2" x14ac:dyDescent="0.35">
      <c r="B144" s="208" t="s">
        <v>1090</v>
      </c>
    </row>
    <row r="145" spans="2:2" x14ac:dyDescent="0.35">
      <c r="B145" s="208" t="s">
        <v>1091</v>
      </c>
    </row>
    <row r="146" spans="2:2" x14ac:dyDescent="0.35">
      <c r="B146" s="208" t="s">
        <v>1092</v>
      </c>
    </row>
    <row r="147" spans="2:2" x14ac:dyDescent="0.35">
      <c r="B147" s="208" t="s">
        <v>1093</v>
      </c>
    </row>
    <row r="148" spans="2:2" x14ac:dyDescent="0.35">
      <c r="B148" s="208" t="s">
        <v>1094</v>
      </c>
    </row>
    <row r="149" spans="2:2" x14ac:dyDescent="0.35">
      <c r="B149" s="208" t="s">
        <v>1095</v>
      </c>
    </row>
    <row r="150" spans="2:2" x14ac:dyDescent="0.35">
      <c r="B150" s="208" t="s">
        <v>1096</v>
      </c>
    </row>
    <row r="151" spans="2:2" x14ac:dyDescent="0.35">
      <c r="B151" s="208" t="s">
        <v>1097</v>
      </c>
    </row>
    <row r="152" spans="2:2" x14ac:dyDescent="0.35">
      <c r="B152" s="208" t="s">
        <v>1098</v>
      </c>
    </row>
    <row r="153" spans="2:2" x14ac:dyDescent="0.35">
      <c r="B153" s="208" t="s">
        <v>1099</v>
      </c>
    </row>
    <row r="154" spans="2:2" x14ac:dyDescent="0.35">
      <c r="B154" s="208" t="s">
        <v>1100</v>
      </c>
    </row>
    <row r="155" spans="2:2" x14ac:dyDescent="0.35">
      <c r="B155" s="208" t="s">
        <v>1101</v>
      </c>
    </row>
    <row r="156" spans="2:2" x14ac:dyDescent="0.35">
      <c r="B156" s="208" t="s">
        <v>1102</v>
      </c>
    </row>
    <row r="157" spans="2:2" x14ac:dyDescent="0.35">
      <c r="B157" s="208" t="s">
        <v>1103</v>
      </c>
    </row>
    <row r="158" spans="2:2" x14ac:dyDescent="0.35">
      <c r="B158" s="208" t="s">
        <v>1104</v>
      </c>
    </row>
    <row r="159" spans="2:2" x14ac:dyDescent="0.35">
      <c r="B159" s="208" t="s">
        <v>1105</v>
      </c>
    </row>
    <row r="160" spans="2:2" x14ac:dyDescent="0.35">
      <c r="B160" s="208" t="s">
        <v>1106</v>
      </c>
    </row>
    <row r="161" spans="2:2" x14ac:dyDescent="0.35">
      <c r="B161" s="208" t="s">
        <v>1107</v>
      </c>
    </row>
    <row r="162" spans="2:2" x14ac:dyDescent="0.35">
      <c r="B162" s="208" t="s">
        <v>1108</v>
      </c>
    </row>
    <row r="163" spans="2:2" x14ac:dyDescent="0.35">
      <c r="B163" s="208" t="s">
        <v>1109</v>
      </c>
    </row>
    <row r="164" spans="2:2" x14ac:dyDescent="0.35">
      <c r="B164" s="208" t="s">
        <v>1110</v>
      </c>
    </row>
    <row r="165" spans="2:2" x14ac:dyDescent="0.35">
      <c r="B165" s="208" t="s">
        <v>1111</v>
      </c>
    </row>
    <row r="166" spans="2:2" x14ac:dyDescent="0.35">
      <c r="B166" s="208" t="s">
        <v>1112</v>
      </c>
    </row>
    <row r="167" spans="2:2" x14ac:dyDescent="0.35">
      <c r="B167" s="208" t="s">
        <v>1113</v>
      </c>
    </row>
    <row r="168" spans="2:2" x14ac:dyDescent="0.35">
      <c r="B168" s="208" t="s">
        <v>1114</v>
      </c>
    </row>
    <row r="169" spans="2:2" x14ac:dyDescent="0.35">
      <c r="B169" s="208" t="s">
        <v>1115</v>
      </c>
    </row>
    <row r="170" spans="2:2" x14ac:dyDescent="0.35">
      <c r="B170" s="208" t="s">
        <v>1116</v>
      </c>
    </row>
    <row r="171" spans="2:2" x14ac:dyDescent="0.35">
      <c r="B171" s="208" t="s">
        <v>1117</v>
      </c>
    </row>
    <row r="172" spans="2:2" x14ac:dyDescent="0.35">
      <c r="B172" s="208" t="s">
        <v>1118</v>
      </c>
    </row>
    <row r="173" spans="2:2" x14ac:dyDescent="0.35">
      <c r="B173" s="208" t="s">
        <v>1119</v>
      </c>
    </row>
    <row r="174" spans="2:2" x14ac:dyDescent="0.35">
      <c r="B174" s="208" t="s">
        <v>1120</v>
      </c>
    </row>
    <row r="175" spans="2:2" x14ac:dyDescent="0.35">
      <c r="B175" s="208" t="s">
        <v>1121</v>
      </c>
    </row>
    <row r="176" spans="2:2" x14ac:dyDescent="0.35">
      <c r="B176" s="208" t="s">
        <v>1122</v>
      </c>
    </row>
    <row r="177" spans="2:2" x14ac:dyDescent="0.35">
      <c r="B177" s="208" t="s">
        <v>1123</v>
      </c>
    </row>
    <row r="178" spans="2:2" x14ac:dyDescent="0.35">
      <c r="B178" s="208" t="s">
        <v>1124</v>
      </c>
    </row>
    <row r="179" spans="2:2" x14ac:dyDescent="0.35">
      <c r="B179" s="208" t="s">
        <v>1125</v>
      </c>
    </row>
    <row r="180" spans="2:2" x14ac:dyDescent="0.35">
      <c r="B180" s="208" t="s">
        <v>1126</v>
      </c>
    </row>
    <row r="181" spans="2:2" x14ac:dyDescent="0.35">
      <c r="B181" s="208" t="s">
        <v>1127</v>
      </c>
    </row>
    <row r="182" spans="2:2" x14ac:dyDescent="0.35">
      <c r="B182" s="208" t="s">
        <v>1128</v>
      </c>
    </row>
    <row r="183" spans="2:2" x14ac:dyDescent="0.35">
      <c r="B183" s="208" t="s">
        <v>1129</v>
      </c>
    </row>
    <row r="184" spans="2:2" x14ac:dyDescent="0.35">
      <c r="B184" s="208" t="s">
        <v>1130</v>
      </c>
    </row>
    <row r="185" spans="2:2" x14ac:dyDescent="0.35">
      <c r="B185" s="208" t="s">
        <v>1131</v>
      </c>
    </row>
    <row r="186" spans="2:2" x14ac:dyDescent="0.35">
      <c r="B186" s="208" t="s">
        <v>1132</v>
      </c>
    </row>
    <row r="187" spans="2:2" x14ac:dyDescent="0.35">
      <c r="B187" s="208" t="s">
        <v>1133</v>
      </c>
    </row>
    <row r="188" spans="2:2" x14ac:dyDescent="0.35">
      <c r="B188" s="208" t="s">
        <v>1134</v>
      </c>
    </row>
    <row r="189" spans="2:2" x14ac:dyDescent="0.35">
      <c r="B189" s="208" t="s">
        <v>1135</v>
      </c>
    </row>
    <row r="190" spans="2:2" x14ac:dyDescent="0.35">
      <c r="B190" s="208" t="s">
        <v>1136</v>
      </c>
    </row>
    <row r="191" spans="2:2" x14ac:dyDescent="0.35">
      <c r="B191" s="208" t="s">
        <v>1137</v>
      </c>
    </row>
    <row r="192" spans="2:2" x14ac:dyDescent="0.35">
      <c r="B192" s="208" t="s">
        <v>1138</v>
      </c>
    </row>
    <row r="193" spans="2:2" x14ac:dyDescent="0.35">
      <c r="B193" s="208" t="s">
        <v>1139</v>
      </c>
    </row>
    <row r="194" spans="2:2" x14ac:dyDescent="0.35">
      <c r="B194" s="208" t="s">
        <v>1140</v>
      </c>
    </row>
    <row r="195" spans="2:2" x14ac:dyDescent="0.35">
      <c r="B195" s="208" t="s">
        <v>1141</v>
      </c>
    </row>
    <row r="196" spans="2:2" x14ac:dyDescent="0.35">
      <c r="B196" s="208" t="s">
        <v>1142</v>
      </c>
    </row>
    <row r="197" spans="2:2" x14ac:dyDescent="0.35">
      <c r="B197" s="208" t="s">
        <v>1143</v>
      </c>
    </row>
    <row r="198" spans="2:2" x14ac:dyDescent="0.35">
      <c r="B198" s="208" t="s">
        <v>1144</v>
      </c>
    </row>
    <row r="199" spans="2:2" x14ac:dyDescent="0.35">
      <c r="B199" s="208" t="s">
        <v>1145</v>
      </c>
    </row>
    <row r="200" spans="2:2" x14ac:dyDescent="0.35">
      <c r="B200" s="208" t="s">
        <v>1146</v>
      </c>
    </row>
    <row r="201" spans="2:2" x14ac:dyDescent="0.35">
      <c r="B201" s="208" t="s">
        <v>1147</v>
      </c>
    </row>
    <row r="202" spans="2:2" x14ac:dyDescent="0.35">
      <c r="B202" s="208" t="s">
        <v>1148</v>
      </c>
    </row>
    <row r="203" spans="2:2" x14ac:dyDescent="0.35">
      <c r="B203" s="208" t="s">
        <v>1149</v>
      </c>
    </row>
    <row r="204" spans="2:2" x14ac:dyDescent="0.35">
      <c r="B204" s="208" t="s">
        <v>1150</v>
      </c>
    </row>
    <row r="205" spans="2:2" x14ac:dyDescent="0.35">
      <c r="B205" s="208" t="s">
        <v>1151</v>
      </c>
    </row>
    <row r="206" spans="2:2" x14ac:dyDescent="0.35">
      <c r="B206" s="208" t="s">
        <v>1152</v>
      </c>
    </row>
    <row r="207" spans="2:2" x14ac:dyDescent="0.35">
      <c r="B207" s="208" t="s">
        <v>1153</v>
      </c>
    </row>
    <row r="208" spans="2:2" x14ac:dyDescent="0.35">
      <c r="B208" s="208" t="s">
        <v>1154</v>
      </c>
    </row>
    <row r="209" spans="2:2" x14ac:dyDescent="0.35">
      <c r="B209" s="208" t="s">
        <v>1155</v>
      </c>
    </row>
    <row r="210" spans="2:2" x14ac:dyDescent="0.35">
      <c r="B210" s="208" t="s">
        <v>1156</v>
      </c>
    </row>
    <row r="211" spans="2:2" x14ac:dyDescent="0.35">
      <c r="B211" s="208" t="s">
        <v>1157</v>
      </c>
    </row>
    <row r="212" spans="2:2" x14ac:dyDescent="0.35">
      <c r="B212" s="208" t="s">
        <v>1158</v>
      </c>
    </row>
    <row r="213" spans="2:2" x14ac:dyDescent="0.35">
      <c r="B213" s="208" t="s">
        <v>1159</v>
      </c>
    </row>
    <row r="214" spans="2:2" x14ac:dyDescent="0.35">
      <c r="B214" s="208" t="s">
        <v>1160</v>
      </c>
    </row>
    <row r="215" spans="2:2" x14ac:dyDescent="0.35">
      <c r="B215" s="208" t="s">
        <v>1161</v>
      </c>
    </row>
    <row r="216" spans="2:2" x14ac:dyDescent="0.35">
      <c r="B216" s="208" t="s">
        <v>1162</v>
      </c>
    </row>
    <row r="217" spans="2:2" x14ac:dyDescent="0.35">
      <c r="B217" s="208" t="s">
        <v>1163</v>
      </c>
    </row>
    <row r="218" spans="2:2" x14ac:dyDescent="0.35">
      <c r="B218" s="208" t="s">
        <v>1164</v>
      </c>
    </row>
    <row r="219" spans="2:2" x14ac:dyDescent="0.35">
      <c r="B219" s="208" t="s">
        <v>1165</v>
      </c>
    </row>
    <row r="220" spans="2:2" x14ac:dyDescent="0.35">
      <c r="B220" s="208" t="s">
        <v>1166</v>
      </c>
    </row>
    <row r="221" spans="2:2" x14ac:dyDescent="0.35">
      <c r="B221" s="208" t="s">
        <v>1167</v>
      </c>
    </row>
    <row r="222" spans="2:2" x14ac:dyDescent="0.35">
      <c r="B222" s="208" t="s">
        <v>1168</v>
      </c>
    </row>
    <row r="223" spans="2:2" x14ac:dyDescent="0.35">
      <c r="B223" s="208" t="s">
        <v>1169</v>
      </c>
    </row>
    <row r="224" spans="2:2" x14ac:dyDescent="0.35">
      <c r="B224" s="208" t="s">
        <v>1170</v>
      </c>
    </row>
    <row r="225" spans="2:2" x14ac:dyDescent="0.35">
      <c r="B225" s="208" t="s">
        <v>1171</v>
      </c>
    </row>
    <row r="226" spans="2:2" x14ac:dyDescent="0.35">
      <c r="B226" s="208" t="s">
        <v>1172</v>
      </c>
    </row>
    <row r="227" spans="2:2" x14ac:dyDescent="0.35">
      <c r="B227" s="208" t="s">
        <v>1173</v>
      </c>
    </row>
    <row r="228" spans="2:2" x14ac:dyDescent="0.35">
      <c r="B228" s="208" t="s">
        <v>1174</v>
      </c>
    </row>
    <row r="229" spans="2:2" x14ac:dyDescent="0.35">
      <c r="B229" s="208" t="s">
        <v>1175</v>
      </c>
    </row>
    <row r="230" spans="2:2" x14ac:dyDescent="0.35">
      <c r="B230" s="208" t="s">
        <v>1176</v>
      </c>
    </row>
    <row r="231" spans="2:2" x14ac:dyDescent="0.35">
      <c r="B231" s="208" t="s">
        <v>1177</v>
      </c>
    </row>
    <row r="232" spans="2:2" x14ac:dyDescent="0.35">
      <c r="B232" s="208" t="s">
        <v>1178</v>
      </c>
    </row>
    <row r="233" spans="2:2" x14ac:dyDescent="0.35">
      <c r="B233" s="208" t="s">
        <v>1179</v>
      </c>
    </row>
    <row r="234" spans="2:2" x14ac:dyDescent="0.35">
      <c r="B234" s="208" t="s">
        <v>1180</v>
      </c>
    </row>
    <row r="235" spans="2:2" x14ac:dyDescent="0.35">
      <c r="B235" s="208" t="s">
        <v>1181</v>
      </c>
    </row>
    <row r="236" spans="2:2" x14ac:dyDescent="0.35">
      <c r="B236" s="208" t="s">
        <v>1182</v>
      </c>
    </row>
    <row r="237" spans="2:2" x14ac:dyDescent="0.35">
      <c r="B237" s="208" t="s">
        <v>1183</v>
      </c>
    </row>
    <row r="238" spans="2:2" x14ac:dyDescent="0.35">
      <c r="B238" s="208" t="s">
        <v>1184</v>
      </c>
    </row>
    <row r="239" spans="2:2" x14ac:dyDescent="0.35">
      <c r="B239" s="208" t="s">
        <v>1185</v>
      </c>
    </row>
    <row r="240" spans="2:2" x14ac:dyDescent="0.35">
      <c r="B240" s="208" t="s">
        <v>1186</v>
      </c>
    </row>
    <row r="241" spans="2:2" x14ac:dyDescent="0.35">
      <c r="B241" s="208" t="s">
        <v>1187</v>
      </c>
    </row>
    <row r="242" spans="2:2" x14ac:dyDescent="0.35">
      <c r="B242" s="208" t="s">
        <v>1188</v>
      </c>
    </row>
    <row r="243" spans="2:2" x14ac:dyDescent="0.35">
      <c r="B243" s="208" t="s">
        <v>1189</v>
      </c>
    </row>
    <row r="244" spans="2:2" x14ac:dyDescent="0.35">
      <c r="B244" s="208" t="s">
        <v>1190</v>
      </c>
    </row>
    <row r="245" spans="2:2" x14ac:dyDescent="0.35">
      <c r="B245" s="208" t="s">
        <v>1191</v>
      </c>
    </row>
    <row r="246" spans="2:2" x14ac:dyDescent="0.35">
      <c r="B246" s="208" t="s">
        <v>1192</v>
      </c>
    </row>
    <row r="247" spans="2:2" x14ac:dyDescent="0.35">
      <c r="B247" s="208" t="s">
        <v>1193</v>
      </c>
    </row>
    <row r="248" spans="2:2" x14ac:dyDescent="0.35">
      <c r="B248" s="208" t="s">
        <v>1194</v>
      </c>
    </row>
    <row r="249" spans="2:2" x14ac:dyDescent="0.35">
      <c r="B249" s="208" t="s">
        <v>1195</v>
      </c>
    </row>
    <row r="250" spans="2:2" x14ac:dyDescent="0.35">
      <c r="B250" s="208" t="s">
        <v>1196</v>
      </c>
    </row>
    <row r="251" spans="2:2" x14ac:dyDescent="0.35">
      <c r="B251" s="208" t="s">
        <v>1197</v>
      </c>
    </row>
    <row r="252" spans="2:2" x14ac:dyDescent="0.35">
      <c r="B252" s="208" t="s">
        <v>1198</v>
      </c>
    </row>
    <row r="253" spans="2:2" x14ac:dyDescent="0.35">
      <c r="B253" s="208" t="s">
        <v>1199</v>
      </c>
    </row>
    <row r="254" spans="2:2" x14ac:dyDescent="0.35">
      <c r="B254" s="208" t="s">
        <v>1200</v>
      </c>
    </row>
    <row r="255" spans="2:2" x14ac:dyDescent="0.35">
      <c r="B255" s="208" t="s">
        <v>1201</v>
      </c>
    </row>
    <row r="256" spans="2:2" x14ac:dyDescent="0.35">
      <c r="B256" s="208" t="s">
        <v>1202</v>
      </c>
    </row>
    <row r="257" spans="2:2" x14ac:dyDescent="0.35">
      <c r="B257" s="208" t="s">
        <v>1203</v>
      </c>
    </row>
    <row r="258" spans="2:2" x14ac:dyDescent="0.35">
      <c r="B258" s="208" t="s">
        <v>1204</v>
      </c>
    </row>
    <row r="259" spans="2:2" x14ac:dyDescent="0.35">
      <c r="B259" s="208" t="s">
        <v>1205</v>
      </c>
    </row>
    <row r="260" spans="2:2" x14ac:dyDescent="0.35">
      <c r="B260" s="208" t="s">
        <v>1206</v>
      </c>
    </row>
    <row r="261" spans="2:2" x14ac:dyDescent="0.35">
      <c r="B261" s="208" t="s">
        <v>1207</v>
      </c>
    </row>
    <row r="262" spans="2:2" x14ac:dyDescent="0.35">
      <c r="B262" s="208" t="s">
        <v>1208</v>
      </c>
    </row>
    <row r="263" spans="2:2" x14ac:dyDescent="0.35">
      <c r="B263" s="208" t="s">
        <v>1209</v>
      </c>
    </row>
    <row r="264" spans="2:2" x14ac:dyDescent="0.35">
      <c r="B264" s="208" t="s">
        <v>1210</v>
      </c>
    </row>
    <row r="265" spans="2:2" x14ac:dyDescent="0.35">
      <c r="B265" s="208" t="s">
        <v>1211</v>
      </c>
    </row>
    <row r="266" spans="2:2" x14ac:dyDescent="0.35">
      <c r="B266" s="208" t="s">
        <v>1212</v>
      </c>
    </row>
    <row r="267" spans="2:2" x14ac:dyDescent="0.35">
      <c r="B267" s="208" t="s">
        <v>1213</v>
      </c>
    </row>
    <row r="268" spans="2:2" x14ac:dyDescent="0.35">
      <c r="B268" s="208" t="s">
        <v>1214</v>
      </c>
    </row>
    <row r="269" spans="2:2" x14ac:dyDescent="0.35">
      <c r="B269" s="208" t="s">
        <v>1215</v>
      </c>
    </row>
    <row r="270" spans="2:2" x14ac:dyDescent="0.35">
      <c r="B270" s="208" t="s">
        <v>1216</v>
      </c>
    </row>
    <row r="271" spans="2:2" x14ac:dyDescent="0.35">
      <c r="B271" s="208" t="s">
        <v>1217</v>
      </c>
    </row>
    <row r="272" spans="2:2" x14ac:dyDescent="0.35">
      <c r="B272" s="208" t="s">
        <v>1218</v>
      </c>
    </row>
    <row r="273" spans="2:2" x14ac:dyDescent="0.35">
      <c r="B273" s="208" t="s">
        <v>1219</v>
      </c>
    </row>
    <row r="274" spans="2:2" x14ac:dyDescent="0.35">
      <c r="B274" s="208" t="s">
        <v>1220</v>
      </c>
    </row>
    <row r="275" spans="2:2" x14ac:dyDescent="0.35">
      <c r="B275" s="208" t="s">
        <v>1221</v>
      </c>
    </row>
    <row r="276" spans="2:2" x14ac:dyDescent="0.35">
      <c r="B276" s="208" t="s">
        <v>1222</v>
      </c>
    </row>
    <row r="277" spans="2:2" x14ac:dyDescent="0.35">
      <c r="B277" s="208" t="s">
        <v>1223</v>
      </c>
    </row>
    <row r="278" spans="2:2" x14ac:dyDescent="0.35">
      <c r="B278" s="208" t="s">
        <v>1224</v>
      </c>
    </row>
    <row r="279" spans="2:2" x14ac:dyDescent="0.35">
      <c r="B279" s="208" t="s">
        <v>1225</v>
      </c>
    </row>
    <row r="280" spans="2:2" x14ac:dyDescent="0.35">
      <c r="B280" s="208" t="s">
        <v>1226</v>
      </c>
    </row>
    <row r="281" spans="2:2" x14ac:dyDescent="0.35">
      <c r="B281" s="208" t="s">
        <v>1227</v>
      </c>
    </row>
    <row r="282" spans="2:2" x14ac:dyDescent="0.35">
      <c r="B282" s="208" t="s">
        <v>1228</v>
      </c>
    </row>
    <row r="283" spans="2:2" x14ac:dyDescent="0.35">
      <c r="B283" s="208" t="s">
        <v>1229</v>
      </c>
    </row>
    <row r="284" spans="2:2" x14ac:dyDescent="0.35">
      <c r="B284" s="208" t="s">
        <v>1230</v>
      </c>
    </row>
    <row r="285" spans="2:2" x14ac:dyDescent="0.35">
      <c r="B285" s="208" t="s">
        <v>1231</v>
      </c>
    </row>
    <row r="286" spans="2:2" x14ac:dyDescent="0.35">
      <c r="B286" s="208" t="s">
        <v>1232</v>
      </c>
    </row>
    <row r="287" spans="2:2" x14ac:dyDescent="0.35">
      <c r="B287" s="208" t="s">
        <v>1233</v>
      </c>
    </row>
    <row r="288" spans="2:2" x14ac:dyDescent="0.35">
      <c r="B288" s="208" t="s">
        <v>1234</v>
      </c>
    </row>
    <row r="289" spans="2:2" x14ac:dyDescent="0.35">
      <c r="B289" s="208" t="s">
        <v>1235</v>
      </c>
    </row>
    <row r="290" spans="2:2" x14ac:dyDescent="0.35">
      <c r="B290" s="208" t="s">
        <v>1236</v>
      </c>
    </row>
    <row r="291" spans="2:2" x14ac:dyDescent="0.35">
      <c r="B291" s="208" t="s">
        <v>1237</v>
      </c>
    </row>
    <row r="292" spans="2:2" x14ac:dyDescent="0.35">
      <c r="B292" s="208" t="s">
        <v>1238</v>
      </c>
    </row>
    <row r="293" spans="2:2" x14ac:dyDescent="0.35">
      <c r="B293" s="208" t="s">
        <v>1239</v>
      </c>
    </row>
    <row r="294" spans="2:2" x14ac:dyDescent="0.35">
      <c r="B294" s="208" t="s">
        <v>1240</v>
      </c>
    </row>
    <row r="295" spans="2:2" x14ac:dyDescent="0.35">
      <c r="B295" s="208" t="s">
        <v>1241</v>
      </c>
    </row>
    <row r="296" spans="2:2" x14ac:dyDescent="0.35">
      <c r="B296" s="208" t="s">
        <v>1242</v>
      </c>
    </row>
    <row r="297" spans="2:2" x14ac:dyDescent="0.35">
      <c r="B297" s="208" t="s">
        <v>1243</v>
      </c>
    </row>
    <row r="298" spans="2:2" x14ac:dyDescent="0.35">
      <c r="B298" s="208" t="s">
        <v>1244</v>
      </c>
    </row>
    <row r="299" spans="2:2" x14ac:dyDescent="0.35">
      <c r="B299" s="208" t="s">
        <v>1245</v>
      </c>
    </row>
    <row r="300" spans="2:2" x14ac:dyDescent="0.35">
      <c r="B300" s="208" t="s">
        <v>1246</v>
      </c>
    </row>
    <row r="301" spans="2:2" x14ac:dyDescent="0.35">
      <c r="B301" s="208" t="s">
        <v>1247</v>
      </c>
    </row>
    <row r="302" spans="2:2" x14ac:dyDescent="0.35">
      <c r="B302" s="208" t="s">
        <v>1248</v>
      </c>
    </row>
    <row r="303" spans="2:2" x14ac:dyDescent="0.35">
      <c r="B303" s="208" t="s">
        <v>1249</v>
      </c>
    </row>
    <row r="304" spans="2:2" x14ac:dyDescent="0.35">
      <c r="B304" s="208" t="s">
        <v>1250</v>
      </c>
    </row>
    <row r="305" spans="2:2" x14ac:dyDescent="0.35">
      <c r="B305" s="208" t="s">
        <v>1251</v>
      </c>
    </row>
    <row r="306" spans="2:2" x14ac:dyDescent="0.35">
      <c r="B306" s="208" t="s">
        <v>1252</v>
      </c>
    </row>
    <row r="307" spans="2:2" x14ac:dyDescent="0.35">
      <c r="B307" s="208" t="s">
        <v>1253</v>
      </c>
    </row>
    <row r="308" spans="2:2" x14ac:dyDescent="0.35">
      <c r="B308" s="208" t="s">
        <v>1254</v>
      </c>
    </row>
    <row r="309" spans="2:2" x14ac:dyDescent="0.35">
      <c r="B309" s="208" t="s">
        <v>1255</v>
      </c>
    </row>
    <row r="310" spans="2:2" x14ac:dyDescent="0.35">
      <c r="B310" s="208" t="s">
        <v>1256</v>
      </c>
    </row>
    <row r="311" spans="2:2" x14ac:dyDescent="0.35">
      <c r="B311" s="208" t="s">
        <v>1257</v>
      </c>
    </row>
    <row r="312" spans="2:2" x14ac:dyDescent="0.35">
      <c r="B312" s="208" t="s">
        <v>1258</v>
      </c>
    </row>
    <row r="313" spans="2:2" x14ac:dyDescent="0.35">
      <c r="B313" s="208" t="s">
        <v>1259</v>
      </c>
    </row>
    <row r="314" spans="2:2" x14ac:dyDescent="0.35">
      <c r="B314" s="208" t="s">
        <v>1260</v>
      </c>
    </row>
    <row r="315" spans="2:2" x14ac:dyDescent="0.35">
      <c r="B315" s="208" t="s">
        <v>1261</v>
      </c>
    </row>
    <row r="316" spans="2:2" x14ac:dyDescent="0.35">
      <c r="B316" s="208" t="s">
        <v>1262</v>
      </c>
    </row>
    <row r="317" spans="2:2" x14ac:dyDescent="0.35">
      <c r="B317" s="208" t="s">
        <v>1263</v>
      </c>
    </row>
    <row r="318" spans="2:2" x14ac:dyDescent="0.35">
      <c r="B318" s="208" t="s">
        <v>1264</v>
      </c>
    </row>
    <row r="319" spans="2:2" x14ac:dyDescent="0.35">
      <c r="B319" s="208" t="s">
        <v>1265</v>
      </c>
    </row>
    <row r="320" spans="2:2" x14ac:dyDescent="0.35">
      <c r="B320" s="208" t="s">
        <v>1266</v>
      </c>
    </row>
    <row r="321" spans="2:2" x14ac:dyDescent="0.35">
      <c r="B321" s="208" t="s">
        <v>1267</v>
      </c>
    </row>
    <row r="322" spans="2:2" x14ac:dyDescent="0.35">
      <c r="B322" s="208" t="s">
        <v>1268</v>
      </c>
    </row>
    <row r="323" spans="2:2" x14ac:dyDescent="0.35">
      <c r="B323" s="208" t="s">
        <v>1269</v>
      </c>
    </row>
    <row r="324" spans="2:2" x14ac:dyDescent="0.35">
      <c r="B324" s="208" t="s">
        <v>1270</v>
      </c>
    </row>
    <row r="325" spans="2:2" x14ac:dyDescent="0.35">
      <c r="B325" s="208" t="s">
        <v>1271</v>
      </c>
    </row>
  </sheetData>
  <sortState xmlns:xlrd2="http://schemas.microsoft.com/office/spreadsheetml/2017/richdata2"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93"/>
  <sheetViews>
    <sheetView workbookViewId="0">
      <pane ySplit="2" topLeftCell="A3" activePane="bottomLeft" state="frozen"/>
      <selection pane="bottomLeft"/>
    </sheetView>
  </sheetViews>
  <sheetFormatPr defaultColWidth="9.15234375" defaultRowHeight="12.9" x14ac:dyDescent="0.35"/>
  <cols>
    <col min="1" max="1" width="39.15234375" style="179" customWidth="1"/>
    <col min="2" max="2" width="22.84375" style="179" customWidth="1"/>
    <col min="3" max="3" width="10.3828125" style="179" customWidth="1"/>
    <col min="4" max="5" width="9.15234375" style="179"/>
    <col min="6" max="6" width="26.15234375" style="179" customWidth="1"/>
    <col min="7" max="8" width="9.15234375" style="179"/>
    <col min="9" max="9" width="24" style="179" customWidth="1"/>
    <col min="10" max="16384" width="9.15234375" style="179"/>
  </cols>
  <sheetData>
    <row r="1" spans="1:6" ht="14.6" x14ac:dyDescent="0.4">
      <c r="A1" s="184" t="s">
        <v>1356</v>
      </c>
      <c r="B1" s="3" t="s">
        <v>1357</v>
      </c>
    </row>
    <row r="2" spans="1:6" s="177" customFormat="1" ht="125.15" customHeight="1" x14ac:dyDescent="0.4">
      <c r="A2" s="181" t="s">
        <v>1912</v>
      </c>
      <c r="B2" s="181" t="s">
        <v>1913</v>
      </c>
      <c r="C2" s="181" t="s">
        <v>1914</v>
      </c>
      <c r="D2" s="181" t="s">
        <v>1915</v>
      </c>
      <c r="E2" s="181" t="s">
        <v>1916</v>
      </c>
      <c r="F2" s="181" t="s">
        <v>670</v>
      </c>
    </row>
    <row r="3" spans="1:6" x14ac:dyDescent="0.35">
      <c r="A3" s="178" t="s">
        <v>1929</v>
      </c>
      <c r="B3" s="178" t="s">
        <v>791</v>
      </c>
      <c r="C3" s="178"/>
      <c r="D3" s="178" t="s">
        <v>791</v>
      </c>
      <c r="E3" s="178" t="s">
        <v>790</v>
      </c>
      <c r="F3" s="178"/>
    </row>
    <row r="4" spans="1:6" x14ac:dyDescent="0.35">
      <c r="A4" s="178" t="s">
        <v>671</v>
      </c>
      <c r="B4" s="178" t="s">
        <v>672</v>
      </c>
      <c r="C4" s="178"/>
      <c r="D4" s="178" t="s">
        <v>672</v>
      </c>
      <c r="E4" s="178" t="s">
        <v>673</v>
      </c>
      <c r="F4" s="178"/>
    </row>
    <row r="5" spans="1:6" x14ac:dyDescent="0.35">
      <c r="A5" s="178" t="s">
        <v>674</v>
      </c>
      <c r="B5" s="178" t="s">
        <v>675</v>
      </c>
      <c r="C5" s="178"/>
      <c r="D5" s="178" t="s">
        <v>675</v>
      </c>
      <c r="E5" s="178" t="s">
        <v>676</v>
      </c>
      <c r="F5" s="178"/>
    </row>
    <row r="6" spans="1:6" x14ac:dyDescent="0.35">
      <c r="A6" s="178" t="s">
        <v>1394</v>
      </c>
      <c r="B6" s="178" t="s">
        <v>677</v>
      </c>
      <c r="C6" s="178"/>
      <c r="D6" s="178" t="s">
        <v>677</v>
      </c>
      <c r="E6" s="178" t="s">
        <v>678</v>
      </c>
      <c r="F6" s="178"/>
    </row>
    <row r="7" spans="1:6" x14ac:dyDescent="0.35">
      <c r="A7" s="178" t="s">
        <v>644</v>
      </c>
      <c r="B7" s="178" t="s">
        <v>679</v>
      </c>
      <c r="C7" s="178"/>
      <c r="D7" s="178" t="s">
        <v>679</v>
      </c>
      <c r="E7" s="178" t="s">
        <v>680</v>
      </c>
      <c r="F7" s="178"/>
    </row>
    <row r="8" spans="1:6" x14ac:dyDescent="0.35">
      <c r="A8" s="178" t="s">
        <v>1395</v>
      </c>
      <c r="B8" s="178" t="s">
        <v>681</v>
      </c>
      <c r="C8" s="178"/>
      <c r="D8" s="178" t="s">
        <v>681</v>
      </c>
      <c r="E8" s="178" t="s">
        <v>682</v>
      </c>
      <c r="F8" s="178"/>
    </row>
    <row r="9" spans="1:6" x14ac:dyDescent="0.35">
      <c r="A9" s="178" t="s">
        <v>794</v>
      </c>
      <c r="B9" s="178" t="s">
        <v>683</v>
      </c>
      <c r="C9" s="178"/>
      <c r="D9" s="178" t="s">
        <v>683</v>
      </c>
      <c r="E9" s="178" t="s">
        <v>684</v>
      </c>
      <c r="F9" s="178" t="s">
        <v>685</v>
      </c>
    </row>
    <row r="10" spans="1:6" x14ac:dyDescent="0.35">
      <c r="A10" s="179" t="s">
        <v>1396</v>
      </c>
      <c r="B10" s="179" t="s">
        <v>1362</v>
      </c>
    </row>
    <row r="11" spans="1:6" x14ac:dyDescent="0.35">
      <c r="A11" s="179" t="s">
        <v>1397</v>
      </c>
      <c r="B11" s="179" t="s">
        <v>1369</v>
      </c>
    </row>
    <row r="12" spans="1:6" x14ac:dyDescent="0.35">
      <c r="A12" s="179" t="s">
        <v>1364</v>
      </c>
      <c r="B12" s="179" t="s">
        <v>1365</v>
      </c>
    </row>
    <row r="13" spans="1:6" x14ac:dyDescent="0.35">
      <c r="A13" s="179" t="s">
        <v>1377</v>
      </c>
      <c r="B13" s="179" t="s">
        <v>1378</v>
      </c>
    </row>
    <row r="14" spans="1:6" x14ac:dyDescent="0.35">
      <c r="A14" s="179" t="s">
        <v>1387</v>
      </c>
      <c r="B14" s="179" t="s">
        <v>1388</v>
      </c>
    </row>
    <row r="15" spans="1:6" x14ac:dyDescent="0.35">
      <c r="A15" s="179" t="s">
        <v>1380</v>
      </c>
      <c r="B15" s="179" t="s">
        <v>691</v>
      </c>
      <c r="D15" s="178" t="s">
        <v>691</v>
      </c>
      <c r="E15" s="178" t="s">
        <v>692</v>
      </c>
    </row>
    <row r="16" spans="1:6" x14ac:dyDescent="0.35">
      <c r="A16" s="179" t="s">
        <v>1433</v>
      </c>
      <c r="B16" s="179" t="s">
        <v>1370</v>
      </c>
    </row>
    <row r="17" spans="1:6" x14ac:dyDescent="0.35">
      <c r="A17" s="179" t="s">
        <v>1389</v>
      </c>
      <c r="B17" s="179" t="s">
        <v>693</v>
      </c>
    </row>
    <row r="18" spans="1:6" x14ac:dyDescent="0.35">
      <c r="A18" s="179" t="s">
        <v>1398</v>
      </c>
      <c r="B18" s="179" t="s">
        <v>1363</v>
      </c>
    </row>
    <row r="19" spans="1:6" x14ac:dyDescent="0.35">
      <c r="A19" s="179" t="s">
        <v>1425</v>
      </c>
      <c r="B19" s="179" t="s">
        <v>1382</v>
      </c>
    </row>
    <row r="20" spans="1:6" x14ac:dyDescent="0.35">
      <c r="A20" s="179" t="s">
        <v>1426</v>
      </c>
      <c r="B20" s="179" t="s">
        <v>1384</v>
      </c>
    </row>
    <row r="21" spans="1:6" x14ac:dyDescent="0.35">
      <c r="A21" s="179" t="s">
        <v>1427</v>
      </c>
      <c r="B21" s="179" t="s">
        <v>1383</v>
      </c>
    </row>
    <row r="22" spans="1:6" x14ac:dyDescent="0.35">
      <c r="A22" s="179" t="s">
        <v>1428</v>
      </c>
      <c r="B22" s="179" t="s">
        <v>1381</v>
      </c>
    </row>
    <row r="23" spans="1:6" x14ac:dyDescent="0.35">
      <c r="A23" s="179" t="s">
        <v>1399</v>
      </c>
      <c r="B23" s="179" t="s">
        <v>1390</v>
      </c>
    </row>
    <row r="24" spans="1:6" x14ac:dyDescent="0.35">
      <c r="A24" s="179" t="s">
        <v>1358</v>
      </c>
      <c r="B24" s="179" t="s">
        <v>1359</v>
      </c>
    </row>
    <row r="25" spans="1:6" x14ac:dyDescent="0.35">
      <c r="A25" s="178" t="s">
        <v>1400</v>
      </c>
      <c r="B25" s="178" t="s">
        <v>1350</v>
      </c>
      <c r="C25" s="179" t="s">
        <v>1350</v>
      </c>
      <c r="D25" s="178" t="s">
        <v>1351</v>
      </c>
      <c r="E25" s="178" t="s">
        <v>1352</v>
      </c>
    </row>
    <row r="26" spans="1:6" x14ac:dyDescent="0.35">
      <c r="A26" s="179" t="s">
        <v>1401</v>
      </c>
      <c r="B26" s="179" t="s">
        <v>1379</v>
      </c>
    </row>
    <row r="27" spans="1:6" x14ac:dyDescent="0.35">
      <c r="A27" s="179" t="s">
        <v>1391</v>
      </c>
      <c r="B27" s="179" t="s">
        <v>1392</v>
      </c>
    </row>
    <row r="28" spans="1:6" x14ac:dyDescent="0.35">
      <c r="A28" s="179" t="s">
        <v>1402</v>
      </c>
      <c r="B28" s="179" t="s">
        <v>1393</v>
      </c>
    </row>
    <row r="29" spans="1:6" x14ac:dyDescent="0.35">
      <c r="A29" s="178" t="s">
        <v>1376</v>
      </c>
      <c r="B29" s="178" t="s">
        <v>853</v>
      </c>
      <c r="C29" s="179" t="s">
        <v>855</v>
      </c>
      <c r="D29" s="178" t="s">
        <v>854</v>
      </c>
      <c r="E29" s="178" t="s">
        <v>853</v>
      </c>
    </row>
    <row r="30" spans="1:6" x14ac:dyDescent="0.35">
      <c r="A30" s="178" t="s">
        <v>856</v>
      </c>
      <c r="B30" s="178" t="s">
        <v>857</v>
      </c>
      <c r="C30" s="179" t="s">
        <v>858</v>
      </c>
      <c r="D30" s="178" t="s">
        <v>857</v>
      </c>
      <c r="E30" s="178" t="s">
        <v>859</v>
      </c>
      <c r="F30" s="178" t="s">
        <v>860</v>
      </c>
    </row>
    <row r="31" spans="1:6" x14ac:dyDescent="0.35">
      <c r="A31" s="179" t="s">
        <v>1403</v>
      </c>
      <c r="B31" s="179" t="s">
        <v>1361</v>
      </c>
    </row>
    <row r="32" spans="1:6" x14ac:dyDescent="0.35">
      <c r="A32" s="179" t="s">
        <v>1366</v>
      </c>
      <c r="B32" s="179" t="s">
        <v>1367</v>
      </c>
    </row>
    <row r="33" spans="1:6" x14ac:dyDescent="0.35">
      <c r="A33" s="179" t="s">
        <v>1373</v>
      </c>
      <c r="B33" s="179" t="s">
        <v>1374</v>
      </c>
    </row>
    <row r="34" spans="1:6" x14ac:dyDescent="0.35">
      <c r="A34" s="179" t="s">
        <v>1404</v>
      </c>
      <c r="B34" s="179" t="s">
        <v>1375</v>
      </c>
    </row>
    <row r="35" spans="1:6" x14ac:dyDescent="0.35">
      <c r="A35" s="178" t="s">
        <v>1513</v>
      </c>
      <c r="B35" s="178" t="s">
        <v>2045</v>
      </c>
      <c r="C35" s="178"/>
      <c r="D35" s="178"/>
      <c r="E35" s="178"/>
      <c r="F35" s="178"/>
    </row>
    <row r="36" spans="1:6" x14ac:dyDescent="0.35">
      <c r="A36" s="179" t="s">
        <v>1939</v>
      </c>
      <c r="B36" s="179" t="s">
        <v>1368</v>
      </c>
    </row>
    <row r="37" spans="1:6" x14ac:dyDescent="0.35">
      <c r="A37" s="178" t="s">
        <v>783</v>
      </c>
      <c r="B37" s="178" t="s">
        <v>784</v>
      </c>
      <c r="C37" s="178"/>
      <c r="D37" s="178" t="s">
        <v>784</v>
      </c>
      <c r="E37" s="178" t="s">
        <v>785</v>
      </c>
      <c r="F37" s="178"/>
    </row>
    <row r="38" spans="1:6" x14ac:dyDescent="0.35">
      <c r="A38" s="178" t="s">
        <v>1864</v>
      </c>
      <c r="B38" s="178" t="s">
        <v>686</v>
      </c>
      <c r="C38" s="178"/>
      <c r="D38" s="178" t="s">
        <v>686</v>
      </c>
      <c r="E38" s="178" t="s">
        <v>687</v>
      </c>
      <c r="F38" s="178"/>
    </row>
    <row r="39" spans="1:6" x14ac:dyDescent="0.35">
      <c r="A39" s="179" t="s">
        <v>2020</v>
      </c>
      <c r="B39" s="179" t="s">
        <v>689</v>
      </c>
      <c r="D39" s="178" t="s">
        <v>688</v>
      </c>
      <c r="E39" s="178" t="s">
        <v>689</v>
      </c>
    </row>
    <row r="40" spans="1:6" x14ac:dyDescent="0.35">
      <c r="A40" s="178" t="s">
        <v>1871</v>
      </c>
      <c r="B40" s="178" t="s">
        <v>810</v>
      </c>
      <c r="C40" s="178" t="s">
        <v>810</v>
      </c>
      <c r="D40" s="178" t="s">
        <v>693</v>
      </c>
      <c r="E40" s="178" t="s">
        <v>694</v>
      </c>
      <c r="F40" s="178"/>
    </row>
    <row r="41" spans="1:6" x14ac:dyDescent="0.35">
      <c r="A41" s="178" t="s">
        <v>1866</v>
      </c>
      <c r="B41" s="178" t="s">
        <v>809</v>
      </c>
      <c r="C41" s="178"/>
      <c r="D41" s="178" t="s">
        <v>695</v>
      </c>
      <c r="E41" s="178" t="s">
        <v>809</v>
      </c>
      <c r="F41" s="178"/>
    </row>
    <row r="42" spans="1:6" x14ac:dyDescent="0.35">
      <c r="A42" s="178" t="s">
        <v>1405</v>
      </c>
      <c r="B42" s="178" t="s">
        <v>696</v>
      </c>
      <c r="C42" s="178"/>
      <c r="D42" s="178" t="s">
        <v>696</v>
      </c>
      <c r="E42" s="178" t="s">
        <v>697</v>
      </c>
      <c r="F42" s="178"/>
    </row>
    <row r="43" spans="1:6" x14ac:dyDescent="0.35">
      <c r="A43" s="178" t="s">
        <v>1406</v>
      </c>
      <c r="B43" s="178" t="s">
        <v>1338</v>
      </c>
      <c r="C43" s="178"/>
      <c r="D43" s="178" t="s">
        <v>1339</v>
      </c>
      <c r="E43" s="178" t="s">
        <v>1340</v>
      </c>
      <c r="F43" s="178" t="s">
        <v>698</v>
      </c>
    </row>
    <row r="44" spans="1:6" x14ac:dyDescent="0.35">
      <c r="A44" s="178" t="s">
        <v>1407</v>
      </c>
      <c r="B44" s="178" t="s">
        <v>699</v>
      </c>
      <c r="C44" s="178"/>
      <c r="D44" s="178" t="s">
        <v>699</v>
      </c>
      <c r="E44" s="178" t="s">
        <v>700</v>
      </c>
      <c r="F44" s="178" t="s">
        <v>701</v>
      </c>
    </row>
    <row r="45" spans="1:6" x14ac:dyDescent="0.35">
      <c r="A45" s="178" t="s">
        <v>1408</v>
      </c>
      <c r="B45" s="178" t="s">
        <v>702</v>
      </c>
      <c r="C45" s="178"/>
      <c r="D45" s="178" t="s">
        <v>702</v>
      </c>
      <c r="E45" s="178" t="s">
        <v>703</v>
      </c>
      <c r="F45" s="178"/>
    </row>
    <row r="46" spans="1:6" x14ac:dyDescent="0.35">
      <c r="A46" s="178" t="s">
        <v>1507</v>
      </c>
      <c r="B46" s="178" t="s">
        <v>1353</v>
      </c>
      <c r="C46" s="178" t="s">
        <v>1353</v>
      </c>
      <c r="D46" s="178" t="s">
        <v>1354</v>
      </c>
      <c r="E46" s="178" t="s">
        <v>1355</v>
      </c>
      <c r="F46" s="178"/>
    </row>
    <row r="47" spans="1:6" x14ac:dyDescent="0.35">
      <c r="A47" s="178" t="s">
        <v>1409</v>
      </c>
      <c r="B47" s="178" t="s">
        <v>704</v>
      </c>
      <c r="C47" s="178"/>
      <c r="D47" s="178" t="s">
        <v>704</v>
      </c>
      <c r="E47" s="178" t="s">
        <v>705</v>
      </c>
      <c r="F47" s="178" t="s">
        <v>706</v>
      </c>
    </row>
    <row r="48" spans="1:6" x14ac:dyDescent="0.35">
      <c r="A48" s="178" t="s">
        <v>1410</v>
      </c>
      <c r="B48" s="178" t="s">
        <v>709</v>
      </c>
      <c r="C48" s="178"/>
      <c r="D48" s="178" t="s">
        <v>709</v>
      </c>
      <c r="E48" s="178" t="s">
        <v>710</v>
      </c>
      <c r="F48" s="178" t="s">
        <v>706</v>
      </c>
    </row>
    <row r="49" spans="1:6" x14ac:dyDescent="0.35">
      <c r="A49" s="178" t="s">
        <v>1429</v>
      </c>
      <c r="B49" s="178" t="s">
        <v>711</v>
      </c>
      <c r="C49" s="178"/>
      <c r="D49" s="178" t="s">
        <v>711</v>
      </c>
      <c r="E49" s="178" t="s">
        <v>712</v>
      </c>
      <c r="F49" s="178"/>
    </row>
    <row r="50" spans="1:6" x14ac:dyDescent="0.35">
      <c r="A50" s="178" t="s">
        <v>1932</v>
      </c>
      <c r="B50" s="178" t="s">
        <v>707</v>
      </c>
      <c r="C50" s="178"/>
      <c r="D50" s="178" t="s">
        <v>707</v>
      </c>
      <c r="E50" s="178" t="s">
        <v>708</v>
      </c>
      <c r="F50" s="178"/>
    </row>
    <row r="51" spans="1:6" x14ac:dyDescent="0.35">
      <c r="A51" s="178" t="s">
        <v>1911</v>
      </c>
      <c r="B51" s="178" t="s">
        <v>1922</v>
      </c>
      <c r="C51" s="178" t="s">
        <v>1923</v>
      </c>
      <c r="D51" s="178" t="s">
        <v>1924</v>
      </c>
      <c r="E51" s="178" t="s">
        <v>1925</v>
      </c>
      <c r="F51" s="178"/>
    </row>
    <row r="52" spans="1:6" x14ac:dyDescent="0.35">
      <c r="A52" s="178" t="s">
        <v>1411</v>
      </c>
      <c r="B52" s="178" t="s">
        <v>713</v>
      </c>
      <c r="C52" s="178"/>
      <c r="D52" s="178" t="s">
        <v>713</v>
      </c>
      <c r="E52" s="178" t="s">
        <v>714</v>
      </c>
      <c r="F52" s="178"/>
    </row>
    <row r="53" spans="1:6" x14ac:dyDescent="0.35">
      <c r="A53" s="178" t="s">
        <v>715</v>
      </c>
      <c r="B53" s="178" t="s">
        <v>716</v>
      </c>
      <c r="C53" s="178"/>
      <c r="D53" s="178" t="s">
        <v>716</v>
      </c>
      <c r="E53" s="178" t="s">
        <v>717</v>
      </c>
      <c r="F53" s="178" t="s">
        <v>685</v>
      </c>
    </row>
    <row r="54" spans="1:6" x14ac:dyDescent="0.35">
      <c r="A54" s="178" t="s">
        <v>796</v>
      </c>
      <c r="B54" s="178" t="s">
        <v>718</v>
      </c>
      <c r="C54" s="178"/>
      <c r="D54" s="178" t="s">
        <v>718</v>
      </c>
      <c r="E54" s="178" t="s">
        <v>719</v>
      </c>
      <c r="F54" s="178"/>
    </row>
    <row r="55" spans="1:6" x14ac:dyDescent="0.35">
      <c r="A55" s="178" t="s">
        <v>1412</v>
      </c>
      <c r="B55" s="178" t="s">
        <v>720</v>
      </c>
      <c r="C55" s="178"/>
      <c r="D55" s="178" t="s">
        <v>720</v>
      </c>
      <c r="E55" s="178" t="s">
        <v>721</v>
      </c>
      <c r="F55" s="178" t="s">
        <v>701</v>
      </c>
    </row>
    <row r="56" spans="1:6" x14ac:dyDescent="0.35">
      <c r="A56" s="179" t="s">
        <v>1385</v>
      </c>
      <c r="B56" s="179" t="s">
        <v>1386</v>
      </c>
    </row>
    <row r="57" spans="1:6" x14ac:dyDescent="0.35">
      <c r="A57" s="178" t="s">
        <v>1434</v>
      </c>
      <c r="B57" s="178" t="s">
        <v>774</v>
      </c>
      <c r="C57" s="178" t="s">
        <v>1349</v>
      </c>
      <c r="D57" s="178" t="s">
        <v>774</v>
      </c>
      <c r="E57" s="178" t="s">
        <v>1348</v>
      </c>
      <c r="F57" s="178"/>
    </row>
    <row r="58" spans="1:6" x14ac:dyDescent="0.35">
      <c r="A58" s="178" t="s">
        <v>1413</v>
      </c>
      <c r="B58" s="178" t="s">
        <v>722</v>
      </c>
      <c r="C58" s="178"/>
      <c r="D58" s="178" t="s">
        <v>722</v>
      </c>
      <c r="E58" s="178" t="s">
        <v>723</v>
      </c>
      <c r="F58" s="178"/>
    </row>
    <row r="59" spans="1:6" x14ac:dyDescent="0.35">
      <c r="A59" s="178" t="s">
        <v>1508</v>
      </c>
      <c r="B59" s="178" t="s">
        <v>808</v>
      </c>
      <c r="C59" s="178"/>
      <c r="D59" s="178" t="s">
        <v>724</v>
      </c>
      <c r="E59" s="178" t="s">
        <v>725</v>
      </c>
      <c r="F59" s="178"/>
    </row>
    <row r="60" spans="1:6" x14ac:dyDescent="0.35">
      <c r="A60" s="178" t="s">
        <v>1414</v>
      </c>
      <c r="B60" s="178" t="s">
        <v>1344</v>
      </c>
      <c r="C60" s="178"/>
      <c r="D60" s="178" t="s">
        <v>726</v>
      </c>
      <c r="E60" s="178" t="s">
        <v>727</v>
      </c>
      <c r="F60" s="178"/>
    </row>
    <row r="61" spans="1:6" x14ac:dyDescent="0.35">
      <c r="A61" s="178" t="s">
        <v>1415</v>
      </c>
      <c r="B61" s="178" t="s">
        <v>728</v>
      </c>
      <c r="C61" s="178"/>
      <c r="D61" s="178" t="s">
        <v>728</v>
      </c>
      <c r="E61" s="178" t="s">
        <v>729</v>
      </c>
      <c r="F61" s="178"/>
    </row>
    <row r="62" spans="1:6" x14ac:dyDescent="0.35">
      <c r="A62" s="178" t="s">
        <v>730</v>
      </c>
      <c r="B62" s="178" t="s">
        <v>731</v>
      </c>
      <c r="C62" s="178"/>
      <c r="D62" s="178" t="s">
        <v>731</v>
      </c>
      <c r="E62" s="178" t="s">
        <v>732</v>
      </c>
      <c r="F62" s="178"/>
    </row>
    <row r="63" spans="1:6" x14ac:dyDescent="0.35">
      <c r="A63" s="178" t="s">
        <v>733</v>
      </c>
      <c r="B63" s="178" t="s">
        <v>734</v>
      </c>
      <c r="C63" s="178"/>
      <c r="D63" s="178" t="s">
        <v>734</v>
      </c>
      <c r="E63" s="178"/>
      <c r="F63" s="178"/>
    </row>
    <row r="64" spans="1:6" x14ac:dyDescent="0.35">
      <c r="A64" s="178" t="s">
        <v>735</v>
      </c>
      <c r="B64" s="178" t="s">
        <v>736</v>
      </c>
      <c r="C64" s="178"/>
      <c r="D64" s="178" t="s">
        <v>736</v>
      </c>
      <c r="E64" s="178" t="s">
        <v>737</v>
      </c>
      <c r="F64" s="178"/>
    </row>
    <row r="65" spans="1:6" x14ac:dyDescent="0.35">
      <c r="A65" s="179" t="s">
        <v>1880</v>
      </c>
      <c r="B65" s="179" t="s">
        <v>1360</v>
      </c>
    </row>
    <row r="66" spans="1:6" x14ac:dyDescent="0.35">
      <c r="A66" s="179" t="s">
        <v>1900</v>
      </c>
      <c r="B66" s="179" t="s">
        <v>1928</v>
      </c>
    </row>
    <row r="67" spans="1:6" x14ac:dyDescent="0.35">
      <c r="A67" s="179" t="s">
        <v>1882</v>
      </c>
      <c r="B67" s="179" t="s">
        <v>1926</v>
      </c>
    </row>
    <row r="68" spans="1:6" x14ac:dyDescent="0.35">
      <c r="A68" s="179" t="s">
        <v>1898</v>
      </c>
      <c r="B68" s="179" t="s">
        <v>1927</v>
      </c>
    </row>
    <row r="69" spans="1:6" x14ac:dyDescent="0.35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35">
      <c r="A70" s="179" t="s">
        <v>1371</v>
      </c>
      <c r="B70" s="179" t="s">
        <v>1372</v>
      </c>
    </row>
    <row r="71" spans="1:6" x14ac:dyDescent="0.35">
      <c r="A71" s="178" t="s">
        <v>1276</v>
      </c>
      <c r="B71" s="178" t="s">
        <v>741</v>
      </c>
      <c r="C71" s="178"/>
      <c r="D71" s="178" t="s">
        <v>741</v>
      </c>
      <c r="E71" s="178" t="s">
        <v>742</v>
      </c>
      <c r="F71" s="178"/>
    </row>
    <row r="72" spans="1:6" x14ac:dyDescent="0.35">
      <c r="A72" s="178" t="s">
        <v>1509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35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35">
      <c r="A74" s="179" t="s">
        <v>1937</v>
      </c>
      <c r="B74" s="179" t="s">
        <v>1938</v>
      </c>
    </row>
    <row r="75" spans="1:6" x14ac:dyDescent="0.35">
      <c r="A75" s="178" t="s">
        <v>1910</v>
      </c>
      <c r="B75" s="178" t="s">
        <v>1341</v>
      </c>
      <c r="C75" s="178"/>
      <c r="D75" s="178"/>
      <c r="E75" s="178"/>
      <c r="F75" s="178"/>
    </row>
    <row r="76" spans="1:6" x14ac:dyDescent="0.35">
      <c r="A76" s="179" t="s">
        <v>1935</v>
      </c>
      <c r="B76" s="179" t="s">
        <v>1936</v>
      </c>
    </row>
    <row r="77" spans="1:6" x14ac:dyDescent="0.35">
      <c r="A77" s="178" t="s">
        <v>747</v>
      </c>
      <c r="B77" s="178" t="s">
        <v>748</v>
      </c>
      <c r="C77" s="178"/>
      <c r="D77" s="178" t="s">
        <v>748</v>
      </c>
      <c r="E77" s="178" t="s">
        <v>749</v>
      </c>
      <c r="F77" s="178"/>
    </row>
    <row r="78" spans="1:6" x14ac:dyDescent="0.35">
      <c r="A78" s="178" t="s">
        <v>1430</v>
      </c>
      <c r="B78" s="178" t="s">
        <v>750</v>
      </c>
      <c r="C78" s="178"/>
      <c r="D78" s="178" t="s">
        <v>750</v>
      </c>
      <c r="E78" s="178" t="s">
        <v>751</v>
      </c>
      <c r="F78" s="178" t="s">
        <v>685</v>
      </c>
    </row>
    <row r="79" spans="1:6" x14ac:dyDescent="0.35">
      <c r="A79" s="178" t="s">
        <v>1431</v>
      </c>
      <c r="B79" s="178" t="s">
        <v>752</v>
      </c>
      <c r="C79" s="178"/>
      <c r="D79" s="178" t="s">
        <v>752</v>
      </c>
      <c r="E79" s="178" t="s">
        <v>753</v>
      </c>
      <c r="F79" s="178" t="s">
        <v>754</v>
      </c>
    </row>
    <row r="80" spans="1:6" x14ac:dyDescent="0.35">
      <c r="A80" s="178" t="s">
        <v>1432</v>
      </c>
      <c r="B80" s="178" t="s">
        <v>755</v>
      </c>
      <c r="C80" s="178"/>
      <c r="D80" s="178" t="s">
        <v>755</v>
      </c>
      <c r="E80" s="178" t="s">
        <v>756</v>
      </c>
      <c r="F80" s="178" t="s">
        <v>706</v>
      </c>
    </row>
    <row r="81" spans="1:6" x14ac:dyDescent="0.35">
      <c r="A81" s="178" t="s">
        <v>1416</v>
      </c>
      <c r="B81" s="178" t="s">
        <v>757</v>
      </c>
      <c r="C81" s="178"/>
      <c r="D81" s="178" t="s">
        <v>757</v>
      </c>
      <c r="E81" s="178" t="s">
        <v>758</v>
      </c>
      <c r="F81" s="178"/>
    </row>
    <row r="82" spans="1:6" x14ac:dyDescent="0.35">
      <c r="A82" s="178" t="s">
        <v>1417</v>
      </c>
      <c r="B82" s="178" t="s">
        <v>759</v>
      </c>
      <c r="C82" s="178"/>
      <c r="D82" s="178" t="s">
        <v>759</v>
      </c>
      <c r="E82" s="178" t="s">
        <v>760</v>
      </c>
      <c r="F82" s="178" t="s">
        <v>706</v>
      </c>
    </row>
    <row r="83" spans="1:6" x14ac:dyDescent="0.35">
      <c r="A83" s="178" t="s">
        <v>1418</v>
      </c>
      <c r="B83" s="178" t="s">
        <v>761</v>
      </c>
      <c r="C83" s="178"/>
      <c r="D83" s="178" t="s">
        <v>761</v>
      </c>
      <c r="E83" s="178" t="s">
        <v>762</v>
      </c>
      <c r="F83" s="178" t="s">
        <v>706</v>
      </c>
    </row>
    <row r="84" spans="1:6" x14ac:dyDescent="0.35">
      <c r="A84" s="178" t="s">
        <v>629</v>
      </c>
      <c r="B84" s="178" t="s">
        <v>1345</v>
      </c>
      <c r="C84" s="178"/>
      <c r="D84" s="178" t="s">
        <v>763</v>
      </c>
      <c r="E84" s="178" t="s">
        <v>764</v>
      </c>
      <c r="F84" s="178"/>
    </row>
    <row r="85" spans="1:6" x14ac:dyDescent="0.35">
      <c r="A85" s="178" t="s">
        <v>1419</v>
      </c>
      <c r="B85" s="178" t="s">
        <v>765</v>
      </c>
      <c r="C85" s="178"/>
      <c r="D85" s="178" t="s">
        <v>765</v>
      </c>
      <c r="E85" s="178" t="s">
        <v>766</v>
      </c>
      <c r="F85" s="178"/>
    </row>
    <row r="86" spans="1:6" x14ac:dyDescent="0.35">
      <c r="A86" s="178" t="s">
        <v>1420</v>
      </c>
      <c r="B86" s="178" t="s">
        <v>1346</v>
      </c>
      <c r="D86" s="178" t="s">
        <v>1347</v>
      </c>
      <c r="E86" s="178" t="s">
        <v>1346</v>
      </c>
    </row>
    <row r="87" spans="1:6" x14ac:dyDescent="0.35">
      <c r="A87" s="178" t="s">
        <v>626</v>
      </c>
      <c r="B87" s="178" t="s">
        <v>768</v>
      </c>
      <c r="C87" s="178"/>
      <c r="D87" s="178" t="s">
        <v>767</v>
      </c>
      <c r="E87" s="178" t="s">
        <v>768</v>
      </c>
      <c r="F87" s="178"/>
    </row>
    <row r="88" spans="1:6" x14ac:dyDescent="0.35">
      <c r="A88" s="178" t="s">
        <v>1421</v>
      </c>
      <c r="B88" s="178" t="s">
        <v>1334</v>
      </c>
      <c r="C88" s="178" t="s">
        <v>1335</v>
      </c>
      <c r="D88" s="178" t="s">
        <v>1336</v>
      </c>
      <c r="E88" s="178" t="s">
        <v>1337</v>
      </c>
      <c r="F88" s="178"/>
    </row>
    <row r="89" spans="1:6" x14ac:dyDescent="0.35">
      <c r="A89" s="178" t="s">
        <v>1422</v>
      </c>
      <c r="B89" s="178" t="s">
        <v>769</v>
      </c>
      <c r="C89" s="178"/>
      <c r="D89" s="178" t="s">
        <v>769</v>
      </c>
      <c r="E89" s="178" t="s">
        <v>770</v>
      </c>
      <c r="F89" s="178" t="s">
        <v>771</v>
      </c>
    </row>
    <row r="90" spans="1:6" x14ac:dyDescent="0.35">
      <c r="A90" s="178" t="s">
        <v>1423</v>
      </c>
      <c r="B90" s="178" t="s">
        <v>1341</v>
      </c>
      <c r="C90" s="178" t="s">
        <v>1342</v>
      </c>
      <c r="D90" s="178" t="s">
        <v>1343</v>
      </c>
      <c r="E90" s="178" t="s">
        <v>1341</v>
      </c>
      <c r="F90" s="178" t="s">
        <v>771</v>
      </c>
    </row>
    <row r="91" spans="1:6" x14ac:dyDescent="0.35">
      <c r="A91" s="178" t="s">
        <v>1424</v>
      </c>
      <c r="B91" s="178" t="s">
        <v>772</v>
      </c>
      <c r="C91" s="178"/>
      <c r="D91" s="178" t="s">
        <v>772</v>
      </c>
      <c r="E91" s="178" t="s">
        <v>773</v>
      </c>
      <c r="F91" s="178"/>
    </row>
    <row r="92" spans="1:6" x14ac:dyDescent="0.35">
      <c r="A92" s="178" t="s">
        <v>1909</v>
      </c>
      <c r="B92" s="178" t="s">
        <v>768</v>
      </c>
      <c r="C92" s="178"/>
      <c r="D92" s="178"/>
      <c r="E92" s="178"/>
      <c r="F92" s="178"/>
    </row>
    <row r="93" spans="1:6" x14ac:dyDescent="0.35">
      <c r="A93" s="178" t="s">
        <v>1908</v>
      </c>
      <c r="B93" s="178" t="s">
        <v>808</v>
      </c>
      <c r="C93" s="178" t="s">
        <v>2044</v>
      </c>
      <c r="D93" s="178"/>
      <c r="E93" s="178"/>
      <c r="F93" s="178"/>
    </row>
  </sheetData>
  <sortState xmlns:xlrd2="http://schemas.microsoft.com/office/spreadsheetml/2017/richdata2" ref="A3:F90">
    <sortCondition ref="A3:A90"/>
  </sortState>
  <conditionalFormatting sqref="D55:E1048576 F58 D2:E52">
    <cfRule type="duplicateValues" dxfId="480" priority="8"/>
  </conditionalFormatting>
  <conditionalFormatting sqref="D53:E54">
    <cfRule type="duplicateValues" dxfId="479" priority="6"/>
  </conditionalFormatting>
  <conditionalFormatting sqref="D53:E54">
    <cfRule type="duplicateValues" dxfId="478" priority="5"/>
  </conditionalFormatting>
  <conditionalFormatting sqref="B53:B54">
    <cfRule type="duplicateValues" dxfId="477" priority="2"/>
  </conditionalFormatting>
  <conditionalFormatting sqref="B53:B54">
    <cfRule type="duplicateValues" dxfId="476" priority="1"/>
  </conditionalFormatting>
  <conditionalFormatting sqref="D3:E52">
    <cfRule type="duplicateValues" dxfId="475" priority="46"/>
  </conditionalFormatting>
  <conditionalFormatting sqref="B3:B52">
    <cfRule type="duplicateValues" dxfId="474" priority="48"/>
  </conditionalFormatting>
  <conditionalFormatting sqref="B55:B59 B3:B52">
    <cfRule type="duplicateValues" dxfId="473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3046875" defaultRowHeight="12.9" x14ac:dyDescent="0.35"/>
  <cols>
    <col min="1" max="1" width="41.53515625" customWidth="1"/>
    <col min="2" max="3" width="38.15234375" customWidth="1"/>
  </cols>
  <sheetData>
    <row r="1" spans="1:3" ht="125.15" customHeight="1" x14ac:dyDescent="0.35">
      <c r="A1" s="212" t="s">
        <v>37</v>
      </c>
      <c r="B1" s="212" t="s">
        <v>38</v>
      </c>
      <c r="C1" s="212" t="s">
        <v>934</v>
      </c>
    </row>
    <row r="2" spans="1:3" x14ac:dyDescent="0.35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/>
    </sheetView>
  </sheetViews>
  <sheetFormatPr defaultRowHeight="12.9" x14ac:dyDescent="0.35"/>
  <cols>
    <col min="1" max="1" width="36.84375" customWidth="1"/>
    <col min="2" max="2" width="27.53515625" customWidth="1"/>
    <col min="3" max="6" width="12.3828125" customWidth="1"/>
    <col min="7" max="7" width="23.3046875" customWidth="1"/>
    <col min="8" max="9" width="16" customWidth="1"/>
    <col min="10" max="10" width="7" customWidth="1"/>
    <col min="11" max="12" width="9.53515625" customWidth="1"/>
  </cols>
  <sheetData>
    <row r="1" spans="1:12" s="182" customFormat="1" ht="182.25" customHeight="1" x14ac:dyDescent="0.35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35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1763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35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1763</v>
      </c>
      <c r="E3" t="s">
        <v>1764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35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1763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35">
      <c r="B5" s="2"/>
    </row>
    <row r="6" spans="1:12" x14ac:dyDescent="0.35">
      <c r="B6" s="2"/>
    </row>
    <row r="7" spans="1:12" x14ac:dyDescent="0.35">
      <c r="B7" s="2"/>
    </row>
    <row r="8" spans="1:12" x14ac:dyDescent="0.35">
      <c r="B8" s="2"/>
    </row>
    <row r="9" spans="1:12" x14ac:dyDescent="0.35">
      <c r="B9" s="2"/>
    </row>
    <row r="10" spans="1:12" x14ac:dyDescent="0.35">
      <c r="B10" s="2"/>
    </row>
    <row r="11" spans="1:12" x14ac:dyDescent="0.35">
      <c r="B11" s="2"/>
    </row>
    <row r="12" spans="1:12" x14ac:dyDescent="0.35">
      <c r="B12" s="2"/>
    </row>
    <row r="13" spans="1:12" x14ac:dyDescent="0.35">
      <c r="B13" s="2"/>
    </row>
    <row r="14" spans="1:12" x14ac:dyDescent="0.35">
      <c r="B14" s="2"/>
    </row>
    <row r="15" spans="1:12" x14ac:dyDescent="0.35">
      <c r="B15" s="2"/>
    </row>
    <row r="16" spans="1:12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/>
    </sheetView>
  </sheetViews>
  <sheetFormatPr defaultRowHeight="12.9" x14ac:dyDescent="0.35"/>
  <cols>
    <col min="1" max="1" width="51.69140625" customWidth="1"/>
    <col min="2" max="2" width="83.84375" customWidth="1"/>
    <col min="3" max="3" width="32.84375" customWidth="1"/>
    <col min="4" max="4" width="16.53515625" customWidth="1"/>
    <col min="5" max="5" width="20.15234375" customWidth="1"/>
    <col min="8" max="8" width="9.15234375" customWidth="1"/>
  </cols>
  <sheetData>
    <row r="1" spans="1:5" s="182" customFormat="1" ht="125.15" customHeight="1" x14ac:dyDescent="0.35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35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35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35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35">
      <c r="A5" s="206" t="s">
        <v>1774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35">
      <c r="A6" s="206" t="s">
        <v>1775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35">
      <c r="A7" s="206" t="s">
        <v>1776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35">
      <c r="A8" s="206" t="s">
        <v>1777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35">
      <c r="A9" s="206" t="s">
        <v>1778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35">
      <c r="A10" s="206" t="s">
        <v>1779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35">
      <c r="A11" s="206" t="s">
        <v>1853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35">
      <c r="A12" s="206" t="s">
        <v>1854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35">
      <c r="A13" s="206" t="s">
        <v>1855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35">
      <c r="A14" s="206" t="s">
        <v>1780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35">
      <c r="A15" s="206" t="s">
        <v>1781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35">
      <c r="A16" s="206" t="s">
        <v>1782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35">
      <c r="A17" s="206" t="s">
        <v>1783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35">
      <c r="A18" s="206" t="s">
        <v>1784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35">
      <c r="A19" s="206" t="s">
        <v>1785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35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35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35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35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35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35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35">
      <c r="A26" s="206" t="s">
        <v>1771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35">
      <c r="A27" s="206" t="s">
        <v>1772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35">
      <c r="A28" s="206" t="s">
        <v>1773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35">
      <c r="A29" s="206" t="s">
        <v>1769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35">
      <c r="A30" s="206" t="s">
        <v>1770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35">
      <c r="A31" s="206" t="s">
        <v>1766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35">
      <c r="A32" s="206" t="s">
        <v>1765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35">
      <c r="A33" s="206" t="s">
        <v>1767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35">
      <c r="A34" s="206" t="s">
        <v>1768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35">
      <c r="A35" s="240" t="s">
        <v>2021</v>
      </c>
      <c r="B35" s="263" t="str">
        <f t="shared" ref="B35:B43" si="3">_xlfn.CONCAT("AD Security Group for Azure Role ", A35)</f>
        <v>AD Security Group for Azure Role az.actiongroup.critical.bi</v>
      </c>
      <c r="C35" s="240" t="str">
        <f t="shared" ref="C35:C43" si="4">A35</f>
        <v>az.actiongroup.critical.bi</v>
      </c>
      <c r="D35" s="240" t="b">
        <v>1</v>
      </c>
      <c r="E35" s="240" t="b">
        <v>1</v>
      </c>
    </row>
    <row r="36" spans="1:5" x14ac:dyDescent="0.35">
      <c r="A36" s="240" t="s">
        <v>2023</v>
      </c>
      <c r="B36" s="263" t="str">
        <f t="shared" si="3"/>
        <v>AD Security Group for Azure Role az.actiongroup.warn.bi</v>
      </c>
      <c r="C36" s="240" t="str">
        <f t="shared" si="4"/>
        <v>az.actiongroup.warn.bi</v>
      </c>
      <c r="D36" s="240" t="b">
        <v>1</v>
      </c>
      <c r="E36" s="240" t="b">
        <v>1</v>
      </c>
    </row>
    <row r="37" spans="1:5" x14ac:dyDescent="0.35">
      <c r="A37" s="240" t="s">
        <v>2022</v>
      </c>
      <c r="B37" s="263" t="str">
        <f t="shared" si="3"/>
        <v>AD Security Group for Azure Role az.actiongroup.info.bi</v>
      </c>
      <c r="C37" s="240" t="str">
        <f t="shared" si="4"/>
        <v>az.actiongroup.info.bi</v>
      </c>
      <c r="D37" s="240" t="b">
        <v>1</v>
      </c>
      <c r="E37" s="240" t="b">
        <v>1</v>
      </c>
    </row>
    <row r="38" spans="1:5" x14ac:dyDescent="0.35">
      <c r="A38" s="240" t="s">
        <v>2024</v>
      </c>
      <c r="B38" s="263" t="str">
        <f t="shared" si="3"/>
        <v>AD Security Group for Azure Role az.actiongroup.critical.infra</v>
      </c>
      <c r="C38" s="240" t="str">
        <f t="shared" si="4"/>
        <v>az.actiongroup.critical.infra</v>
      </c>
      <c r="D38" s="240" t="b">
        <v>1</v>
      </c>
      <c r="E38" s="240" t="b">
        <v>1</v>
      </c>
    </row>
    <row r="39" spans="1:5" x14ac:dyDescent="0.35">
      <c r="A39" s="240" t="s">
        <v>2025</v>
      </c>
      <c r="B39" s="263" t="str">
        <f t="shared" si="3"/>
        <v>AD Security Group for Azure Role az.actiongroup.warn.infra</v>
      </c>
      <c r="C39" s="240" t="str">
        <f t="shared" si="4"/>
        <v>az.actiongroup.warn.infra</v>
      </c>
      <c r="D39" s="240" t="b">
        <v>1</v>
      </c>
      <c r="E39" s="240" t="b">
        <v>1</v>
      </c>
    </row>
    <row r="40" spans="1:5" x14ac:dyDescent="0.35">
      <c r="A40" s="240" t="s">
        <v>2026</v>
      </c>
      <c r="B40" s="263" t="str">
        <f t="shared" si="3"/>
        <v>AD Security Group for Azure Role az.actiongroup.info.infra</v>
      </c>
      <c r="C40" s="240" t="str">
        <f t="shared" si="4"/>
        <v>az.actiongroup.info.infra</v>
      </c>
      <c r="D40" s="240" t="b">
        <v>1</v>
      </c>
      <c r="E40" s="240" t="b">
        <v>1</v>
      </c>
    </row>
    <row r="41" spans="1:5" x14ac:dyDescent="0.35">
      <c r="A41" s="240" t="s">
        <v>2027</v>
      </c>
      <c r="B41" s="263" t="str">
        <f t="shared" si="3"/>
        <v>AD Security Group for Azure Role az.actiongroup.critical.sec</v>
      </c>
      <c r="C41" s="240" t="str">
        <f t="shared" si="4"/>
        <v>az.actiongroup.critical.sec</v>
      </c>
      <c r="D41" s="240" t="b">
        <v>1</v>
      </c>
      <c r="E41" s="240" t="b">
        <v>1</v>
      </c>
    </row>
    <row r="42" spans="1:5" x14ac:dyDescent="0.35">
      <c r="A42" s="240" t="s">
        <v>2028</v>
      </c>
      <c r="B42" s="263" t="str">
        <f t="shared" si="3"/>
        <v>AD Security Group for Azure Role az.actiongroup.warn.sec</v>
      </c>
      <c r="C42" s="240" t="str">
        <f t="shared" si="4"/>
        <v>az.actiongroup.warn.sec</v>
      </c>
      <c r="D42" s="240" t="b">
        <v>1</v>
      </c>
      <c r="E42" s="240" t="b">
        <v>1</v>
      </c>
    </row>
    <row r="43" spans="1:5" x14ac:dyDescent="0.35">
      <c r="A43" s="240" t="s">
        <v>2029</v>
      </c>
      <c r="B43" s="263" t="str">
        <f t="shared" si="3"/>
        <v>AD Security Group for Azure Role az.actiongroup.info.sec</v>
      </c>
      <c r="C43" s="240" t="str">
        <f t="shared" si="4"/>
        <v>az.actiongroup.info.sec</v>
      </c>
      <c r="D43" s="240" t="b">
        <v>1</v>
      </c>
      <c r="E43" s="240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/>
    </sheetView>
  </sheetViews>
  <sheetFormatPr defaultRowHeight="12.9" x14ac:dyDescent="0.35"/>
  <cols>
    <col min="1" max="1" width="30.15234375" customWidth="1"/>
    <col min="2" max="2" width="36.84375" customWidth="1"/>
    <col min="3" max="3" width="27.53515625" customWidth="1"/>
    <col min="4" max="7" width="12.3828125" customWidth="1"/>
    <col min="8" max="8" width="9.15234375" style="179"/>
  </cols>
  <sheetData>
    <row r="1" spans="1:8" s="182" customFormat="1" ht="182.25" customHeight="1" x14ac:dyDescent="0.35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35">
      <c r="A2" t="s">
        <v>947</v>
      </c>
      <c r="B2" s="2" t="s">
        <v>946</v>
      </c>
      <c r="C2" s="2" t="s">
        <v>1888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35">
      <c r="C3" s="2"/>
    </row>
    <row r="4" spans="1:8" x14ac:dyDescent="0.35">
      <c r="C4" s="2"/>
    </row>
    <row r="5" spans="1:8" x14ac:dyDescent="0.35">
      <c r="C5" s="2"/>
    </row>
    <row r="6" spans="1:8" x14ac:dyDescent="0.35">
      <c r="C6" s="2"/>
    </row>
    <row r="7" spans="1:8" x14ac:dyDescent="0.35">
      <c r="C7" s="2"/>
    </row>
    <row r="8" spans="1:8" x14ac:dyDescent="0.35">
      <c r="C8" s="2"/>
    </row>
    <row r="9" spans="1:8" x14ac:dyDescent="0.35">
      <c r="C9" s="2"/>
    </row>
    <row r="10" spans="1:8" x14ac:dyDescent="0.35">
      <c r="C10" s="2"/>
    </row>
    <row r="11" spans="1:8" x14ac:dyDescent="0.35">
      <c r="C11" s="2"/>
    </row>
    <row r="12" spans="1:8" x14ac:dyDescent="0.35">
      <c r="C12" s="2"/>
    </row>
    <row r="13" spans="1:8" x14ac:dyDescent="0.35">
      <c r="C13" s="2"/>
    </row>
    <row r="14" spans="1:8" x14ac:dyDescent="0.35">
      <c r="C14" s="2"/>
    </row>
    <row r="15" spans="1:8" x14ac:dyDescent="0.35">
      <c r="C15" s="2"/>
    </row>
    <row r="16" spans="1:8" x14ac:dyDescent="0.35">
      <c r="C16" s="2"/>
    </row>
    <row r="17" spans="3:3" x14ac:dyDescent="0.35">
      <c r="C17" s="2"/>
    </row>
    <row r="18" spans="3:3" x14ac:dyDescent="0.35">
      <c r="C18" s="2"/>
    </row>
    <row r="19" spans="3:3" x14ac:dyDescent="0.35">
      <c r="C19" s="2"/>
    </row>
    <row r="20" spans="3:3" x14ac:dyDescent="0.35">
      <c r="C20" s="2"/>
    </row>
    <row r="21" spans="3:3" x14ac:dyDescent="0.35">
      <c r="C21" s="2"/>
    </row>
    <row r="22" spans="3:3" x14ac:dyDescent="0.35">
      <c r="C22" s="2"/>
    </row>
    <row r="23" spans="3:3" x14ac:dyDescent="0.35">
      <c r="C23" s="2"/>
    </row>
    <row r="24" spans="3:3" x14ac:dyDescent="0.35">
      <c r="C24" s="2"/>
    </row>
    <row r="25" spans="3:3" x14ac:dyDescent="0.35">
      <c r="C25" s="2"/>
    </row>
    <row r="26" spans="3:3" x14ac:dyDescent="0.35">
      <c r="C26" s="2"/>
    </row>
    <row r="27" spans="3:3" x14ac:dyDescent="0.35">
      <c r="C27" s="2"/>
    </row>
    <row r="28" spans="3:3" x14ac:dyDescent="0.35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9.3828125" style="179" bestFit="1" customWidth="1"/>
    <col min="2" max="2" width="26.84375" style="179" bestFit="1" customWidth="1"/>
    <col min="3" max="3" width="20.69140625" style="179" bestFit="1" customWidth="1"/>
    <col min="4" max="4" width="37.15234375" style="179" bestFit="1" customWidth="1"/>
    <col min="5" max="5" width="31" style="179" bestFit="1" customWidth="1"/>
    <col min="6" max="7" width="19.69140625" style="179" customWidth="1"/>
    <col min="8" max="16384" width="9.15234375" style="179"/>
  </cols>
  <sheetData>
    <row r="1" spans="1:8" s="189" customFormat="1" ht="125.15" customHeight="1" x14ac:dyDescent="0.35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35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/>
    </sheetView>
  </sheetViews>
  <sheetFormatPr defaultColWidth="9.15234375" defaultRowHeight="12.9" x14ac:dyDescent="0.35"/>
  <cols>
    <col min="1" max="2" width="26.15234375" style="186" bestFit="1" customWidth="1"/>
    <col min="3" max="3" width="6" style="187" bestFit="1" customWidth="1"/>
    <col min="4" max="4" width="5.4609375" style="186" bestFit="1" customWidth="1"/>
    <col min="5" max="5" width="21.07421875" style="186" bestFit="1" customWidth="1"/>
    <col min="6" max="6" width="3.4609375" style="186" bestFit="1" customWidth="1"/>
    <col min="7" max="7" width="5.4609375" style="186" bestFit="1" customWidth="1"/>
    <col min="8" max="8" width="8.3046875" style="186" bestFit="1" customWidth="1"/>
    <col min="9" max="9" width="13.3828125" style="186" bestFit="1" customWidth="1"/>
    <col min="10" max="10" width="10.23046875" style="186" bestFit="1" customWidth="1"/>
    <col min="11" max="11" width="3.61328125" style="186" bestFit="1" customWidth="1"/>
    <col min="12" max="12" width="18" style="186" bestFit="1" customWidth="1"/>
    <col min="13" max="13" width="22.07421875" style="186" bestFit="1" customWidth="1"/>
    <col min="14" max="14" width="4.53515625" style="186" bestFit="1" customWidth="1"/>
    <col min="15" max="15" width="10.23046875" style="186" bestFit="1" customWidth="1"/>
    <col min="16" max="16384" width="9.15234375" style="186"/>
  </cols>
  <sheetData>
    <row r="1" spans="1:15" s="188" customFormat="1" ht="125.15" customHeight="1" x14ac:dyDescent="0.4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1863</v>
      </c>
      <c r="N1" s="176" t="s">
        <v>1474</v>
      </c>
      <c r="O1" s="176" t="s">
        <v>1477</v>
      </c>
    </row>
    <row r="2" spans="1:15" x14ac:dyDescent="0.35">
      <c r="A2" s="179" t="s">
        <v>1856</v>
      </c>
      <c r="B2" s="179" t="s">
        <v>1857</v>
      </c>
      <c r="C2" s="179"/>
      <c r="D2" s="220" t="s">
        <v>820</v>
      </c>
      <c r="E2" s="175" t="str">
        <f>VLOOKUP(tblResourceGroups[[#This Row],[ApplicationName]],tblDefaultTag[],2,FALSE)</f>
        <v>approver@company.org</v>
      </c>
      <c r="F2" s="225">
        <f>VLOOKUP(tblResourceGroups[[#This Row],[ApplicationName]],tblDefaultTag[],3,FALSE)</f>
        <v>0</v>
      </c>
      <c r="G2" s="245" t="str">
        <f>VLOOKUP(tblResourceGroups[[#This Row],[ApplicationName]],tblDefaultTag[],4,FALSE)</f>
        <v>CORP</v>
      </c>
      <c r="H2" s="245" t="str">
        <f>VLOOKUP(tblResourceGroups[[#This Row],[ApplicationName]],tblDefaultTag[],5,FALSE)</f>
        <v>8675-309</v>
      </c>
      <c r="I2" s="245" t="str">
        <f>VLOOKUP(tblResourceGroups[[#This Row],[ApplicationName]],tblDefaultTag[],6,FALSE)</f>
        <v>Mission-Critical</v>
      </c>
      <c r="J2" s="245" t="str">
        <f>TEXT(VLOOKUP(tblResourceGroups[[#This Row],[ApplicationName]],tblDefaultTag[],7,FALSE), "mm/dd/yyyy")</f>
        <v>12/31/9999</v>
      </c>
      <c r="K2" s="245" t="str">
        <f>VLOOKUP(tblResourceGroups[[#This Row],[ApplicationName]],tblDefaultTag[],8,FALSE)</f>
        <v>dev</v>
      </c>
      <c r="L2" s="259" t="str">
        <f>VLOOKUP(tblResourceGroups[[#This Row],[ApplicationName]],tblDefaultTag[],9,FALSE)</f>
        <v>owner@company.org</v>
      </c>
      <c r="M2" s="259" t="str">
        <f>VLOOKUP(tblResourceGroups[[#This Row],[ApplicationName]],tblDefaultTag[],10,FALSE)</f>
        <v>requester@company.org</v>
      </c>
      <c r="N2" s="245" t="str">
        <f>VLOOKUP(tblResourceGroups[[#This Row],[ApplicationName]],tblDefaultTag[],11,FALSE)</f>
        <v>Gold</v>
      </c>
      <c r="O2" s="245" t="str">
        <f>TEXT(VLOOKUP(tblResourceGroups[[#This Row],[ApplicationName]],tblDefaultTag[],12,FALSE), "mm/dd/yyyy")</f>
        <v>01/01/2020</v>
      </c>
    </row>
    <row r="3" spans="1:15" x14ac:dyDescent="0.35">
      <c r="A3" s="179"/>
      <c r="B3" s="179"/>
      <c r="C3" s="179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N3"/>
  <sheetViews>
    <sheetView zoomScale="90" zoomScaleNormal="90" workbookViewId="0">
      <pane ySplit="1" topLeftCell="A2" activePane="bottomLeft" state="frozen"/>
      <selection pane="bottomLeft"/>
    </sheetView>
  </sheetViews>
  <sheetFormatPr defaultColWidth="9.15234375" defaultRowHeight="12.9" x14ac:dyDescent="0.35"/>
  <cols>
    <col min="1" max="1" width="40.15234375" style="186" customWidth="1"/>
    <col min="2" max="2" width="20.69140625" style="187" customWidth="1"/>
    <col min="3" max="3" width="10.3828125" style="186" customWidth="1"/>
    <col min="4" max="4" width="25.15234375" style="186" bestFit="1" customWidth="1"/>
    <col min="5" max="5" width="16.69140625" style="186" customWidth="1"/>
    <col min="6" max="6" width="6.3828125" style="186" bestFit="1" customWidth="1"/>
    <col min="7" max="7" width="9.3046875" style="186" bestFit="1" customWidth="1"/>
    <col min="8" max="8" width="15.53515625" style="186" bestFit="1" customWidth="1"/>
    <col min="9" max="9" width="10.84375" style="186" bestFit="1" customWidth="1"/>
    <col min="10" max="10" width="5.3046875" style="186" bestFit="1" customWidth="1"/>
    <col min="11" max="11" width="22.3046875" style="186" bestFit="1" customWidth="1"/>
    <col min="12" max="12" width="25.53515625" style="186" bestFit="1" customWidth="1"/>
    <col min="13" max="13" width="5.3046875" style="186" bestFit="1" customWidth="1"/>
    <col min="14" max="14" width="10.84375" style="186" bestFit="1" customWidth="1"/>
    <col min="15" max="16384" width="9.15234375" style="186"/>
  </cols>
  <sheetData>
    <row r="1" spans="1:14" s="188" customFormat="1" ht="125.15" customHeight="1" x14ac:dyDescent="0.4">
      <c r="A1" s="205" t="s">
        <v>1508</v>
      </c>
      <c r="B1" s="205" t="s">
        <v>897</v>
      </c>
      <c r="C1" s="264" t="s">
        <v>941</v>
      </c>
      <c r="D1" s="264" t="s">
        <v>1443</v>
      </c>
      <c r="E1" s="264" t="s">
        <v>1447</v>
      </c>
      <c r="F1" s="264" t="s">
        <v>1451</v>
      </c>
      <c r="G1" s="264" t="s">
        <v>1455</v>
      </c>
      <c r="H1" s="264" t="s">
        <v>1459</v>
      </c>
      <c r="I1" s="264" t="s">
        <v>1463</v>
      </c>
      <c r="J1" s="264" t="s">
        <v>1467</v>
      </c>
      <c r="K1" s="264" t="s">
        <v>8</v>
      </c>
      <c r="L1" s="264" t="s">
        <v>1863</v>
      </c>
      <c r="M1" s="264" t="s">
        <v>1474</v>
      </c>
      <c r="N1" s="264" t="s">
        <v>1477</v>
      </c>
    </row>
    <row r="2" spans="1:14" x14ac:dyDescent="0.35">
      <c r="A2" s="272" t="str">
        <f ca="1">LOWER(_xlfn.CONCAT(VLOOKUP(tblStorageAccounts[[#Headers],[ResourceGroupName]], tblNamingKeys[],2,FALSE),"-",Company_Tag,"-",INDIRECT(ADDRESS(ROW(),MATCH("ApplicationName", $1:$1,0),4,1)),"-",envTag,"-",PrimaryRegionTag))</f>
        <v>rg-qui-adap-dev-eus</v>
      </c>
      <c r="B2" s="186" t="str">
        <f t="shared" ref="B2:B3" si="0">PrimaryRegionTag</f>
        <v>eus</v>
      </c>
      <c r="C2" s="266" t="s">
        <v>820</v>
      </c>
      <c r="D2" s="186" t="str">
        <f>VLOOKUP(tblResourceGroups[[#This Row],[ApplicationName]],tblDefaultTag[],2,FALSE)</f>
        <v>approver@company.org</v>
      </c>
      <c r="E2" s="186">
        <f>VLOOKUP(tblResourceGroups[[#This Row],[ApplicationName]],tblDefaultTag[],3,FALSE)</f>
        <v>0</v>
      </c>
      <c r="F2" s="245" t="str">
        <f>VLOOKUP(tblResourceGroups[[#This Row],[ApplicationName]],tblDefaultTag[],4,FALSE)</f>
        <v>CORP</v>
      </c>
      <c r="G2" s="245" t="str">
        <f>VLOOKUP(tblResourceGroups[[#This Row],[ApplicationName]],tblDefaultTag[],5,FALSE)</f>
        <v>8675-309</v>
      </c>
      <c r="H2" s="245" t="str">
        <f>VLOOKUP(tblResourceGroups[[#This Row],[ApplicationName]],tblDefaultTag[],6,FALSE)</f>
        <v>Mission-Critical</v>
      </c>
      <c r="I2" s="245" t="str">
        <f>TEXT(VLOOKUP(tblResourceGroups[[#This Row],[ApplicationName]],tblDefaultTag[],7,FALSE), "mm/dd/yyyy")</f>
        <v>12/31/9999</v>
      </c>
      <c r="J2" s="245" t="str">
        <f>VLOOKUP(tblResourceGroups[[#This Row],[ApplicationName]],tblDefaultTag[],8,FALSE)</f>
        <v>dev</v>
      </c>
      <c r="K2" s="245" t="str">
        <f>VLOOKUP(tblResourceGroups[[#This Row],[ApplicationName]],tblDefaultTag[],9,FALSE)</f>
        <v>owner@company.org</v>
      </c>
      <c r="L2" s="245" t="str">
        <f>VLOOKUP(tblResourceGroups[[#This Row],[ApplicationName]],tblDefaultTag[],10,FALSE)</f>
        <v>requester@company.org</v>
      </c>
      <c r="M2" s="245" t="str">
        <f>VLOOKUP(tblResourceGroups[[#This Row],[ApplicationName]],tblDefaultTag[],11,FALSE)</f>
        <v>Gold</v>
      </c>
      <c r="N2" s="245" t="str">
        <f>TEXT(VLOOKUP(tblResourceGroups[[#This Row],[ApplicationName]],tblDefaultTag[],12,FALSE), "mm/dd/yyyy")</f>
        <v>01/01/2020</v>
      </c>
    </row>
    <row r="3" spans="1:14" x14ac:dyDescent="0.35">
      <c r="A3" s="272" t="str">
        <f ca="1">LOWER(_xlfn.CONCAT(VLOOKUP(tblStorageAccounts[[#Headers],[ResourceGroupName]], tblNamingKeys[],2,FALSE),"-",Company_Tag,"-",INDIRECT(ADDRESS(ROW(),MATCH("ApplicationName", $1:$1,0),4,1)),"-",envTag,"-",PrimaryRegionTag))</f>
        <v>rg-qui-mgmt-dev-eus</v>
      </c>
      <c r="B3" s="186" t="str">
        <f t="shared" si="0"/>
        <v>eus</v>
      </c>
      <c r="C3" s="266" t="s">
        <v>1919</v>
      </c>
      <c r="D3" s="274" t="str">
        <f>VLOOKUP(tblResourceGroups[[#This Row],[ApplicationName]],tblDefaultTag[],2,FALSE)</f>
        <v>MgmtApprover@company.org</v>
      </c>
      <c r="E3" s="252" t="str">
        <f>VLOOKUP(tblResourceGroups[[#This Row],[ApplicationName]],tblDefaultTag[],3,FALSE)</f>
        <v>150</v>
      </c>
      <c r="F3" s="245" t="str">
        <f>VLOOKUP(tblResourceGroups[[#This Row],[ApplicationName]],tblDefaultTag[],4,FALSE)</f>
        <v>SHARED</v>
      </c>
      <c r="G3" s="245" t="str">
        <f>VLOOKUP(tblResourceGroups[[#This Row],[ApplicationName]],tblDefaultTag[],5,FALSE)</f>
        <v>8675-309</v>
      </c>
      <c r="H3" s="245" t="str">
        <f>VLOOKUP(tblResourceGroups[[#This Row],[ApplicationName]],tblDefaultTag[],6,FALSE)</f>
        <v>Mission-Critical</v>
      </c>
      <c r="I3" s="245" t="str">
        <f>TEXT(VLOOKUP(tblResourceGroups[[#This Row],[ApplicationName]],tblDefaultTag[],7,FALSE), "mm/dd/yyyy")</f>
        <v>12/31/9999</v>
      </c>
      <c r="J3" s="245" t="str">
        <f>VLOOKUP(tblResourceGroups[[#This Row],[ApplicationName]],tblDefaultTag[],8,FALSE)</f>
        <v>dev</v>
      </c>
      <c r="K3" s="245" t="str">
        <f>VLOOKUP(tblResourceGroups[[#This Row],[ApplicationName]],tblDefaultTag[],9,FALSE)</f>
        <v>MgmtOwner@company.org</v>
      </c>
      <c r="L3" s="245" t="str">
        <f>VLOOKUP(tblResourceGroups[[#This Row],[ApplicationName]],tblDefaultTag[],10,FALSE)</f>
        <v>MgmtRequester@company.org</v>
      </c>
      <c r="M3" s="245" t="str">
        <f>VLOOKUP(tblResourceGroups[[#This Row],[ApplicationName]],tblDefaultTag[],11,FALSE)</f>
        <v>Gold</v>
      </c>
      <c r="N3" s="245" t="str">
        <f>TEXT(VLOOKUP(tblResourceGroups[[#This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H2:H3" xr:uid="{0FA63D25-5333-4704-9A0A-1462FFCB60EF}">
      <formula1>DisasterRecovery</formula1>
    </dataValidation>
    <dataValidation type="list" allowBlank="1" showInputMessage="1" showErrorMessage="1" sqref="F3" xr:uid="{5258552C-2296-460B-AC05-2E742D912E6C}">
      <formula1>BusinessUnit</formula1>
    </dataValidation>
    <dataValidation type="list" allowBlank="1" showInputMessage="1" showErrorMessage="1" sqref="M2:M3" xr:uid="{449B5265-F71B-417A-BC53-1F1205316CC3}">
      <formula1>ServiceClass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/>
    </sheetView>
  </sheetViews>
  <sheetFormatPr defaultRowHeight="12.9" x14ac:dyDescent="0.35"/>
  <cols>
    <col min="1" max="1" width="39.15234375" customWidth="1"/>
    <col min="2" max="2" width="33.53515625" customWidth="1"/>
    <col min="3" max="3" width="30" customWidth="1"/>
    <col min="4" max="4" width="20.84375" customWidth="1"/>
  </cols>
  <sheetData>
    <row r="1" spans="1:4" ht="125.15" customHeight="1" x14ac:dyDescent="0.35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35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 x14ac:dyDescent="0.35">
      <c r="A3" t="s">
        <v>915</v>
      </c>
      <c r="B3" t="s">
        <v>9</v>
      </c>
      <c r="C3" t="str">
        <f t="shared" si="0"/>
        <v/>
      </c>
      <c r="D3" t="s">
        <v>219</v>
      </c>
    </row>
    <row r="4" spans="1:4" x14ac:dyDescent="0.35">
      <c r="A4" t="s">
        <v>916</v>
      </c>
      <c r="B4" t="s">
        <v>10</v>
      </c>
      <c r="C4" t="str">
        <f t="shared" si="0"/>
        <v/>
      </c>
      <c r="D4" t="s">
        <v>219</v>
      </c>
    </row>
    <row r="5" spans="1:4" x14ac:dyDescent="0.35">
      <c r="A5" t="s">
        <v>1774</v>
      </c>
      <c r="B5" t="s">
        <v>8</v>
      </c>
      <c r="C5" t="str">
        <f t="shared" si="0"/>
        <v>rg-qui-adap-dev-eus</v>
      </c>
      <c r="D5" t="s">
        <v>220</v>
      </c>
    </row>
    <row r="6" spans="1:4" x14ac:dyDescent="0.35">
      <c r="A6" t="s">
        <v>1775</v>
      </c>
      <c r="B6" t="s">
        <v>9</v>
      </c>
      <c r="C6" t="str">
        <f t="shared" si="0"/>
        <v>rg-qui-adap-dev-eus</v>
      </c>
      <c r="D6" t="s">
        <v>220</v>
      </c>
    </row>
    <row r="7" spans="1:4" x14ac:dyDescent="0.35">
      <c r="A7" t="s">
        <v>1776</v>
      </c>
      <c r="B7" t="s">
        <v>10</v>
      </c>
      <c r="C7" t="str">
        <f t="shared" si="0"/>
        <v>rg-qui-adap-dev-eus</v>
      </c>
      <c r="D7" t="s">
        <v>220</v>
      </c>
    </row>
    <row r="8" spans="1:4" x14ac:dyDescent="0.35">
      <c r="A8" t="s">
        <v>1777</v>
      </c>
      <c r="B8" t="s">
        <v>8</v>
      </c>
      <c r="C8" t="str">
        <f t="shared" si="0"/>
        <v>rg-qui-mgmt-dev-eus</v>
      </c>
      <c r="D8" t="s">
        <v>220</v>
      </c>
    </row>
    <row r="9" spans="1:4" x14ac:dyDescent="0.35">
      <c r="A9" t="s">
        <v>1778</v>
      </c>
      <c r="B9" t="s">
        <v>9</v>
      </c>
      <c r="C9" t="str">
        <f t="shared" si="0"/>
        <v>rg-qui-mgmt-dev-eus</v>
      </c>
      <c r="D9" t="s">
        <v>220</v>
      </c>
    </row>
    <row r="10" spans="1:4" x14ac:dyDescent="0.35">
      <c r="A10" t="s">
        <v>1779</v>
      </c>
      <c r="B10" t="s">
        <v>10</v>
      </c>
      <c r="C10" t="str">
        <f t="shared" si="0"/>
        <v>rg-qui-mgmt-dev-eus</v>
      </c>
      <c r="D10" t="s">
        <v>220</v>
      </c>
    </row>
    <row r="11" spans="1:4" x14ac:dyDescent="0.35">
      <c r="A11" t="s">
        <v>1853</v>
      </c>
      <c r="B11" t="s">
        <v>8</v>
      </c>
      <c r="C11" t="str">
        <f t="shared" si="0"/>
        <v>rg-qui-shared-dev-eus</v>
      </c>
      <c r="D11" t="s">
        <v>220</v>
      </c>
    </row>
    <row r="12" spans="1:4" x14ac:dyDescent="0.35">
      <c r="A12" t="s">
        <v>1854</v>
      </c>
      <c r="B12" t="s">
        <v>9</v>
      </c>
      <c r="C12" t="str">
        <f t="shared" si="0"/>
        <v>rg-qui-shared-dev-eus</v>
      </c>
      <c r="D12" t="s">
        <v>220</v>
      </c>
    </row>
    <row r="13" spans="1:4" x14ac:dyDescent="0.35">
      <c r="A13" t="s">
        <v>1855</v>
      </c>
      <c r="B13" t="s">
        <v>10</v>
      </c>
      <c r="C13" t="str">
        <f t="shared" si="0"/>
        <v>rg-qui-shared-dev-eus</v>
      </c>
      <c r="D13" t="s">
        <v>220</v>
      </c>
    </row>
    <row r="14" spans="1:4" x14ac:dyDescent="0.35">
      <c r="A14" t="s">
        <v>1783</v>
      </c>
      <c r="B14" t="s">
        <v>8</v>
      </c>
      <c r="C14" t="str">
        <f t="shared" si="0"/>
        <v>rg-qui-network-dev-eus</v>
      </c>
      <c r="D14" t="s">
        <v>220</v>
      </c>
    </row>
    <row r="15" spans="1:4" x14ac:dyDescent="0.35">
      <c r="A15" t="s">
        <v>1784</v>
      </c>
      <c r="B15" t="s">
        <v>9</v>
      </c>
      <c r="C15" t="str">
        <f t="shared" si="0"/>
        <v>rg-qui-network-dev-eus</v>
      </c>
      <c r="D15" t="s">
        <v>220</v>
      </c>
    </row>
    <row r="16" spans="1:4" x14ac:dyDescent="0.35">
      <c r="A16" t="s">
        <v>1785</v>
      </c>
      <c r="B16" t="s">
        <v>10</v>
      </c>
      <c r="C16" t="str">
        <f t="shared" si="0"/>
        <v>rg-qui-network-dev-eus</v>
      </c>
      <c r="D16" t="s">
        <v>220</v>
      </c>
    </row>
    <row r="17" spans="1:4" x14ac:dyDescent="0.35">
      <c r="A17" t="s">
        <v>908</v>
      </c>
      <c r="B17" t="s">
        <v>1787</v>
      </c>
      <c r="C17" t="str">
        <f t="shared" si="0"/>
        <v/>
      </c>
      <c r="D17" t="s">
        <v>219</v>
      </c>
    </row>
    <row r="18" spans="1:4" x14ac:dyDescent="0.35">
      <c r="A18" t="s">
        <v>909</v>
      </c>
      <c r="B18" t="s">
        <v>1788</v>
      </c>
      <c r="C18" t="str">
        <f t="shared" si="0"/>
        <v/>
      </c>
      <c r="D18" t="s">
        <v>219</v>
      </c>
    </row>
    <row r="19" spans="1:4" x14ac:dyDescent="0.35">
      <c r="A19" t="s">
        <v>910</v>
      </c>
      <c r="B19" t="s">
        <v>1790</v>
      </c>
      <c r="C19" t="str">
        <f t="shared" si="0"/>
        <v/>
      </c>
      <c r="D19" t="s">
        <v>219</v>
      </c>
    </row>
    <row r="20" spans="1:4" x14ac:dyDescent="0.35">
      <c r="A20" t="s">
        <v>911</v>
      </c>
      <c r="B20" t="s">
        <v>1794</v>
      </c>
      <c r="C20" t="str">
        <f t="shared" si="0"/>
        <v/>
      </c>
      <c r="D20" t="s">
        <v>219</v>
      </c>
    </row>
    <row r="21" spans="1:4" x14ac:dyDescent="0.35">
      <c r="A21" t="s">
        <v>912</v>
      </c>
      <c r="B21" t="s">
        <v>1796</v>
      </c>
      <c r="C21" t="str">
        <f t="shared" si="0"/>
        <v/>
      </c>
      <c r="D21" t="s">
        <v>219</v>
      </c>
    </row>
    <row r="22" spans="1:4" x14ac:dyDescent="0.35">
      <c r="A22" t="s">
        <v>913</v>
      </c>
      <c r="B22" t="s">
        <v>1798</v>
      </c>
      <c r="C22" t="str">
        <f t="shared" si="0"/>
        <v/>
      </c>
      <c r="D22" t="s">
        <v>219</v>
      </c>
    </row>
    <row r="23" spans="1:4" x14ac:dyDescent="0.35">
      <c r="A23" t="s">
        <v>1771</v>
      </c>
      <c r="B23" t="s">
        <v>1862</v>
      </c>
      <c r="C23" t="str">
        <f t="shared" si="0"/>
        <v/>
      </c>
      <c r="D23" t="s">
        <v>219</v>
      </c>
    </row>
    <row r="24" spans="1:4" x14ac:dyDescent="0.35">
      <c r="A24" t="s">
        <v>1772</v>
      </c>
      <c r="B24" t="s">
        <v>1801</v>
      </c>
      <c r="C24" t="str">
        <f t="shared" si="0"/>
        <v/>
      </c>
      <c r="D24" t="s">
        <v>219</v>
      </c>
    </row>
    <row r="25" spans="1:4" x14ac:dyDescent="0.35">
      <c r="A25" t="s">
        <v>1773</v>
      </c>
      <c r="B25" t="s">
        <v>1803</v>
      </c>
      <c r="C25" t="str">
        <f t="shared" si="0"/>
        <v/>
      </c>
      <c r="D25" t="s">
        <v>219</v>
      </c>
    </row>
    <row r="26" spans="1:4" x14ac:dyDescent="0.35">
      <c r="A26" t="s">
        <v>1769</v>
      </c>
      <c r="B26" t="s">
        <v>1805</v>
      </c>
      <c r="C26" t="str">
        <f t="shared" si="0"/>
        <v/>
      </c>
      <c r="D26" t="s">
        <v>219</v>
      </c>
    </row>
    <row r="27" spans="1:4" x14ac:dyDescent="0.35">
      <c r="A27" t="s">
        <v>1770</v>
      </c>
      <c r="B27" t="s">
        <v>1807</v>
      </c>
      <c r="C27" t="str">
        <f t="shared" si="0"/>
        <v/>
      </c>
      <c r="D27" t="s">
        <v>219</v>
      </c>
    </row>
    <row r="28" spans="1:4" x14ac:dyDescent="0.35">
      <c r="A28" t="s">
        <v>1766</v>
      </c>
      <c r="B28" t="s">
        <v>1792</v>
      </c>
      <c r="C28" t="str">
        <f t="shared" si="0"/>
        <v/>
      </c>
      <c r="D28" t="s">
        <v>219</v>
      </c>
    </row>
    <row r="29" spans="1:4" x14ac:dyDescent="0.35">
      <c r="A29" t="s">
        <v>1765</v>
      </c>
      <c r="B29" t="s">
        <v>1800</v>
      </c>
      <c r="C29" t="str">
        <f t="shared" si="0"/>
        <v/>
      </c>
      <c r="D29" t="s">
        <v>219</v>
      </c>
    </row>
    <row r="30" spans="1:4" x14ac:dyDescent="0.35">
      <c r="A30" t="s">
        <v>1767</v>
      </c>
      <c r="B30" t="s">
        <v>1860</v>
      </c>
      <c r="C30" t="str">
        <f t="shared" si="0"/>
        <v/>
      </c>
      <c r="D30" t="s">
        <v>219</v>
      </c>
    </row>
    <row r="31" spans="1:4" x14ac:dyDescent="0.35">
      <c r="A31" t="s">
        <v>1768</v>
      </c>
      <c r="B31" t="s">
        <v>1858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zoomScale="90" zoomScaleNormal="90" workbookViewId="0"/>
  </sheetViews>
  <sheetFormatPr defaultRowHeight="12.9" x14ac:dyDescent="0.35"/>
  <cols>
    <col min="1" max="1" width="53.3828125" style="84" bestFit="1" customWidth="1"/>
    <col min="2" max="2" width="10" style="228" customWidth="1"/>
    <col min="3" max="3" width="77.84375" style="84" bestFit="1" customWidth="1"/>
    <col min="4" max="7" width="3.3046875" bestFit="1" customWidth="1"/>
  </cols>
  <sheetData>
    <row r="1" spans="1:7" ht="83.15" x14ac:dyDescent="0.35">
      <c r="A1" s="227" t="s">
        <v>1515</v>
      </c>
      <c r="B1" s="229" t="s">
        <v>1786</v>
      </c>
      <c r="C1" s="227" t="s">
        <v>6</v>
      </c>
      <c r="D1" s="226" t="s">
        <v>1516</v>
      </c>
      <c r="E1" s="226" t="s">
        <v>1518</v>
      </c>
      <c r="F1" s="226" t="s">
        <v>1517</v>
      </c>
      <c r="G1" s="226" t="s">
        <v>1519</v>
      </c>
    </row>
    <row r="2" spans="1:7" x14ac:dyDescent="0.35">
      <c r="A2" s="84" t="s">
        <v>1787</v>
      </c>
      <c r="B2" s="228" t="b">
        <v>1</v>
      </c>
      <c r="C2" s="84" t="s">
        <v>1520</v>
      </c>
    </row>
    <row r="3" spans="1:7" ht="25.75" x14ac:dyDescent="0.35">
      <c r="A3" s="84" t="s">
        <v>1788</v>
      </c>
      <c r="B3" s="228" t="b">
        <v>1</v>
      </c>
      <c r="C3" s="84" t="s">
        <v>1789</v>
      </c>
    </row>
    <row r="4" spans="1:7" x14ac:dyDescent="0.35">
      <c r="A4" s="84" t="s">
        <v>1790</v>
      </c>
      <c r="B4" s="228" t="b">
        <v>1</v>
      </c>
      <c r="C4" s="84" t="s">
        <v>1791</v>
      </c>
    </row>
    <row r="5" spans="1:7" x14ac:dyDescent="0.35">
      <c r="A5" s="84" t="s">
        <v>1792</v>
      </c>
      <c r="B5" s="228" t="b">
        <v>1</v>
      </c>
      <c r="C5" s="84" t="s">
        <v>1793</v>
      </c>
    </row>
    <row r="6" spans="1:7" ht="25.75" x14ac:dyDescent="0.35">
      <c r="A6" s="84" t="s">
        <v>1794</v>
      </c>
      <c r="B6" s="228" t="b">
        <v>1</v>
      </c>
      <c r="C6" s="84" t="s">
        <v>1795</v>
      </c>
    </row>
    <row r="7" spans="1:7" x14ac:dyDescent="0.35">
      <c r="A7" s="84" t="s">
        <v>1796</v>
      </c>
      <c r="B7" s="228" t="b">
        <v>1</v>
      </c>
      <c r="C7" s="84" t="s">
        <v>1797</v>
      </c>
    </row>
    <row r="8" spans="1:7" x14ac:dyDescent="0.35">
      <c r="A8" s="84" t="s">
        <v>1798</v>
      </c>
      <c r="B8" s="228" t="b">
        <v>1</v>
      </c>
      <c r="C8" s="84" t="s">
        <v>1799</v>
      </c>
    </row>
    <row r="9" spans="1:7" x14ac:dyDescent="0.35">
      <c r="A9" s="84" t="s">
        <v>1800</v>
      </c>
      <c r="B9" s="228" t="b">
        <v>1</v>
      </c>
      <c r="C9" s="84" t="s">
        <v>1799</v>
      </c>
    </row>
    <row r="10" spans="1:7" x14ac:dyDescent="0.35">
      <c r="A10" s="84" t="s">
        <v>1862</v>
      </c>
      <c r="B10" s="228" t="b">
        <v>1</v>
      </c>
      <c r="C10" s="84" t="s">
        <v>1802</v>
      </c>
    </row>
    <row r="11" spans="1:7" x14ac:dyDescent="0.35">
      <c r="A11" s="84" t="s">
        <v>1801</v>
      </c>
      <c r="B11" s="228" t="b">
        <v>1</v>
      </c>
      <c r="C11" s="84" t="s">
        <v>1802</v>
      </c>
    </row>
    <row r="12" spans="1:7" x14ac:dyDescent="0.35">
      <c r="A12" s="84" t="s">
        <v>1803</v>
      </c>
      <c r="B12" s="228" t="b">
        <v>1</v>
      </c>
      <c r="C12" s="84" t="s">
        <v>1804</v>
      </c>
    </row>
    <row r="13" spans="1:7" x14ac:dyDescent="0.35">
      <c r="A13" s="84" t="s">
        <v>1805</v>
      </c>
      <c r="B13" s="228" t="b">
        <v>1</v>
      </c>
      <c r="C13" s="84" t="s">
        <v>1806</v>
      </c>
    </row>
    <row r="14" spans="1:7" x14ac:dyDescent="0.35">
      <c r="A14" s="84" t="s">
        <v>1860</v>
      </c>
      <c r="B14" s="228" t="b">
        <v>1</v>
      </c>
      <c r="C14" s="84" t="s">
        <v>1861</v>
      </c>
    </row>
    <row r="15" spans="1:7" x14ac:dyDescent="0.35">
      <c r="A15" s="84" t="s">
        <v>1807</v>
      </c>
      <c r="B15" s="228" t="b">
        <v>1</v>
      </c>
      <c r="C15" s="84" t="s">
        <v>1806</v>
      </c>
    </row>
    <row r="16" spans="1:7" x14ac:dyDescent="0.35">
      <c r="A16" s="84" t="s">
        <v>1858</v>
      </c>
      <c r="B16" s="228" t="b">
        <v>1</v>
      </c>
      <c r="C16" s="84" t="s">
        <v>1859</v>
      </c>
    </row>
    <row r="17" spans="1:3" x14ac:dyDescent="0.35">
      <c r="A17" s="84" t="s">
        <v>1529</v>
      </c>
      <c r="B17" s="228" t="b">
        <v>0</v>
      </c>
      <c r="C17" s="84" t="s">
        <v>1530</v>
      </c>
    </row>
    <row r="18" spans="1:3" x14ac:dyDescent="0.35">
      <c r="A18" s="84" t="s">
        <v>1527</v>
      </c>
      <c r="B18" s="228" t="b">
        <v>0</v>
      </c>
      <c r="C18" s="84" t="s">
        <v>1528</v>
      </c>
    </row>
    <row r="19" spans="1:3" x14ac:dyDescent="0.35">
      <c r="A19" s="84" t="s">
        <v>1525</v>
      </c>
      <c r="B19" s="228" t="b">
        <v>0</v>
      </c>
      <c r="C19" s="84" t="s">
        <v>1526</v>
      </c>
    </row>
    <row r="20" spans="1:3" x14ac:dyDescent="0.35">
      <c r="A20" s="84" t="s">
        <v>1521</v>
      </c>
      <c r="B20" s="228" t="b">
        <v>0</v>
      </c>
      <c r="C20" s="84" t="s">
        <v>1522</v>
      </c>
    </row>
    <row r="21" spans="1:3" x14ac:dyDescent="0.35">
      <c r="A21" s="84" t="s">
        <v>1531</v>
      </c>
      <c r="B21" s="228" t="b">
        <v>0</v>
      </c>
      <c r="C21" s="84" t="s">
        <v>1532</v>
      </c>
    </row>
    <row r="22" spans="1:3" x14ac:dyDescent="0.35">
      <c r="A22" s="84" t="s">
        <v>1533</v>
      </c>
      <c r="B22" s="228" t="b">
        <v>0</v>
      </c>
      <c r="C22" s="84" t="s">
        <v>1534</v>
      </c>
    </row>
    <row r="23" spans="1:3" x14ac:dyDescent="0.35">
      <c r="A23" s="84" t="s">
        <v>1523</v>
      </c>
      <c r="B23" s="228" t="b">
        <v>0</v>
      </c>
      <c r="C23" s="84" t="s">
        <v>1524</v>
      </c>
    </row>
    <row r="24" spans="1:3" x14ac:dyDescent="0.35">
      <c r="A24" s="84" t="s">
        <v>1535</v>
      </c>
      <c r="B24" s="228" t="b">
        <v>0</v>
      </c>
      <c r="C24" s="84" t="s">
        <v>1536</v>
      </c>
    </row>
    <row r="25" spans="1:3" x14ac:dyDescent="0.35">
      <c r="A25" s="84" t="s">
        <v>1537</v>
      </c>
      <c r="B25" s="228" t="b">
        <v>0</v>
      </c>
      <c r="C25" s="84" t="s">
        <v>1538</v>
      </c>
    </row>
    <row r="26" spans="1:3" x14ac:dyDescent="0.35">
      <c r="A26" s="84" t="s">
        <v>1721</v>
      </c>
      <c r="B26" s="228" t="b">
        <v>0</v>
      </c>
      <c r="C26" s="84" t="s">
        <v>1722</v>
      </c>
    </row>
    <row r="27" spans="1:3" x14ac:dyDescent="0.35">
      <c r="A27" s="84" t="s">
        <v>1723</v>
      </c>
      <c r="B27" s="228" t="b">
        <v>0</v>
      </c>
      <c r="C27" s="84" t="s">
        <v>1724</v>
      </c>
    </row>
    <row r="28" spans="1:3" x14ac:dyDescent="0.35">
      <c r="A28" s="84" t="s">
        <v>1539</v>
      </c>
      <c r="B28" s="228" t="b">
        <v>0</v>
      </c>
      <c r="C28" s="84" t="s">
        <v>1540</v>
      </c>
    </row>
    <row r="29" spans="1:3" ht="25.75" x14ac:dyDescent="0.35">
      <c r="A29" s="84" t="s">
        <v>1541</v>
      </c>
      <c r="B29" s="228" t="b">
        <v>0</v>
      </c>
      <c r="C29" s="84" t="s">
        <v>1731</v>
      </c>
    </row>
    <row r="30" spans="1:3" x14ac:dyDescent="0.35">
      <c r="A30" s="84" t="s">
        <v>1680</v>
      </c>
      <c r="B30" s="228" t="b">
        <v>0</v>
      </c>
      <c r="C30" s="84" t="s">
        <v>1681</v>
      </c>
    </row>
    <row r="31" spans="1:3" x14ac:dyDescent="0.35">
      <c r="A31" s="84" t="s">
        <v>1542</v>
      </c>
      <c r="B31" s="228" t="b">
        <v>0</v>
      </c>
      <c r="C31" s="84" t="s">
        <v>1543</v>
      </c>
    </row>
    <row r="32" spans="1:3" x14ac:dyDescent="0.35">
      <c r="A32" s="84" t="s">
        <v>1544</v>
      </c>
      <c r="B32" s="228" t="b">
        <v>0</v>
      </c>
      <c r="C32" s="84" t="s">
        <v>1545</v>
      </c>
    </row>
    <row r="33" spans="1:3" x14ac:dyDescent="0.35">
      <c r="A33" s="84" t="s">
        <v>1547</v>
      </c>
      <c r="B33" s="228" t="b">
        <v>0</v>
      </c>
      <c r="C33" s="84" t="s">
        <v>1733</v>
      </c>
    </row>
    <row r="34" spans="1:3" x14ac:dyDescent="0.35">
      <c r="A34" s="84" t="s">
        <v>1546</v>
      </c>
      <c r="B34" s="228" t="b">
        <v>0</v>
      </c>
      <c r="C34" s="84" t="s">
        <v>1732</v>
      </c>
    </row>
    <row r="35" spans="1:3" x14ac:dyDescent="0.35">
      <c r="A35" s="84" t="s">
        <v>1548</v>
      </c>
      <c r="B35" s="228" t="b">
        <v>0</v>
      </c>
      <c r="C35" s="84" t="s">
        <v>1549</v>
      </c>
    </row>
    <row r="36" spans="1:3" x14ac:dyDescent="0.35">
      <c r="A36" s="84" t="s">
        <v>1550</v>
      </c>
      <c r="B36" s="228" t="b">
        <v>0</v>
      </c>
      <c r="C36" s="84" t="s">
        <v>1551</v>
      </c>
    </row>
    <row r="37" spans="1:3" x14ac:dyDescent="0.35">
      <c r="A37" s="84" t="s">
        <v>1717</v>
      </c>
      <c r="B37" s="228" t="b">
        <v>0</v>
      </c>
      <c r="C37" s="84" t="s">
        <v>1718</v>
      </c>
    </row>
    <row r="38" spans="1:3" x14ac:dyDescent="0.35">
      <c r="A38" s="84" t="s">
        <v>1719</v>
      </c>
      <c r="B38" s="228" t="b">
        <v>0</v>
      </c>
      <c r="C38" s="84" t="s">
        <v>1762</v>
      </c>
    </row>
    <row r="39" spans="1:3" x14ac:dyDescent="0.35">
      <c r="A39" s="84" t="s">
        <v>1678</v>
      </c>
      <c r="B39" s="228" t="b">
        <v>0</v>
      </c>
      <c r="C39" s="84" t="s">
        <v>1679</v>
      </c>
    </row>
    <row r="40" spans="1:3" x14ac:dyDescent="0.35">
      <c r="A40" s="84" t="s">
        <v>1687</v>
      </c>
      <c r="B40" s="228" t="b">
        <v>0</v>
      </c>
      <c r="C40" s="84" t="s">
        <v>1688</v>
      </c>
    </row>
    <row r="41" spans="1:3" x14ac:dyDescent="0.35">
      <c r="A41" s="84" t="s">
        <v>1689</v>
      </c>
      <c r="B41" s="228" t="b">
        <v>0</v>
      </c>
      <c r="C41" s="84" t="s">
        <v>1690</v>
      </c>
    </row>
    <row r="42" spans="1:3" x14ac:dyDescent="0.35">
      <c r="A42" s="84" t="s">
        <v>1552</v>
      </c>
      <c r="B42" s="228" t="b">
        <v>0</v>
      </c>
      <c r="C42" s="84" t="s">
        <v>1553</v>
      </c>
    </row>
    <row r="43" spans="1:3" x14ac:dyDescent="0.35">
      <c r="A43" s="84" t="s">
        <v>1554</v>
      </c>
      <c r="B43" s="228" t="b">
        <v>0</v>
      </c>
      <c r="C43" s="84" t="s">
        <v>1555</v>
      </c>
    </row>
    <row r="44" spans="1:3" x14ac:dyDescent="0.35">
      <c r="A44" s="84" t="s">
        <v>1556</v>
      </c>
      <c r="B44" s="228" t="b">
        <v>0</v>
      </c>
      <c r="C44" s="84" t="s">
        <v>1734</v>
      </c>
    </row>
    <row r="45" spans="1:3" x14ac:dyDescent="0.35">
      <c r="A45" s="84" t="s">
        <v>1705</v>
      </c>
      <c r="B45" s="228" t="b">
        <v>0</v>
      </c>
      <c r="C45" s="84" t="s">
        <v>1705</v>
      </c>
    </row>
    <row r="46" spans="1:3" x14ac:dyDescent="0.35">
      <c r="A46" s="84" t="s">
        <v>1707</v>
      </c>
      <c r="B46" s="228" t="b">
        <v>0</v>
      </c>
      <c r="C46" s="84" t="s">
        <v>1707</v>
      </c>
    </row>
    <row r="47" spans="1:3" x14ac:dyDescent="0.35">
      <c r="A47" s="84" t="s">
        <v>1706</v>
      </c>
      <c r="B47" s="228" t="b">
        <v>0</v>
      </c>
      <c r="C47" s="84" t="s">
        <v>1706</v>
      </c>
    </row>
    <row r="48" spans="1:3" x14ac:dyDescent="0.35">
      <c r="A48" s="84" t="s">
        <v>1676</v>
      </c>
      <c r="B48" s="228" t="b">
        <v>0</v>
      </c>
      <c r="C48" s="84" t="s">
        <v>1677</v>
      </c>
    </row>
    <row r="49" spans="1:3" x14ac:dyDescent="0.35">
      <c r="A49" s="84" t="s">
        <v>1691</v>
      </c>
      <c r="B49" s="228" t="b">
        <v>0</v>
      </c>
      <c r="C49" s="84" t="s">
        <v>1692</v>
      </c>
    </row>
    <row r="50" spans="1:3" x14ac:dyDescent="0.35">
      <c r="A50" s="84" t="s">
        <v>1693</v>
      </c>
      <c r="B50" s="228" t="b">
        <v>0</v>
      </c>
      <c r="C50" s="84" t="s">
        <v>1694</v>
      </c>
    </row>
    <row r="51" spans="1:3" x14ac:dyDescent="0.35">
      <c r="A51" s="84" t="s">
        <v>1557</v>
      </c>
      <c r="B51" s="228" t="b">
        <v>0</v>
      </c>
      <c r="C51" s="84" t="s">
        <v>1558</v>
      </c>
    </row>
    <row r="52" spans="1:3" ht="25.75" x14ac:dyDescent="0.35">
      <c r="A52" s="84" t="s">
        <v>1559</v>
      </c>
      <c r="B52" s="228" t="b">
        <v>0</v>
      </c>
      <c r="C52" s="84" t="s">
        <v>1808</v>
      </c>
    </row>
    <row r="53" spans="1:3" ht="25.75" x14ac:dyDescent="0.35">
      <c r="A53" s="84" t="s">
        <v>1561</v>
      </c>
      <c r="B53" s="228" t="b">
        <v>0</v>
      </c>
      <c r="C53" s="84" t="s">
        <v>1809</v>
      </c>
    </row>
    <row r="54" spans="1:3" x14ac:dyDescent="0.35">
      <c r="A54" s="84" t="s">
        <v>1562</v>
      </c>
      <c r="B54" s="228" t="b">
        <v>0</v>
      </c>
      <c r="C54" s="84" t="s">
        <v>1563</v>
      </c>
    </row>
    <row r="55" spans="1:3" x14ac:dyDescent="0.35">
      <c r="A55" s="84" t="s">
        <v>1560</v>
      </c>
      <c r="B55" s="228" t="b">
        <v>0</v>
      </c>
      <c r="C55" s="84" t="s">
        <v>1520</v>
      </c>
    </row>
    <row r="56" spans="1:3" x14ac:dyDescent="0.35">
      <c r="A56" s="84" t="s">
        <v>1566</v>
      </c>
      <c r="B56" s="228" t="b">
        <v>0</v>
      </c>
      <c r="C56" s="84" t="s">
        <v>1567</v>
      </c>
    </row>
    <row r="57" spans="1:3" x14ac:dyDescent="0.35">
      <c r="A57" s="84" t="s">
        <v>1564</v>
      </c>
      <c r="B57" s="228" t="b">
        <v>0</v>
      </c>
      <c r="C57" s="84" t="s">
        <v>1565</v>
      </c>
    </row>
    <row r="58" spans="1:3" x14ac:dyDescent="0.35">
      <c r="A58" s="84" t="s">
        <v>1702</v>
      </c>
      <c r="B58" s="228" t="b">
        <v>0</v>
      </c>
      <c r="C58" s="84" t="s">
        <v>1703</v>
      </c>
    </row>
    <row r="59" spans="1:3" ht="25.75" x14ac:dyDescent="0.35">
      <c r="A59" s="84" t="s">
        <v>1704</v>
      </c>
      <c r="B59" s="228" t="b">
        <v>0</v>
      </c>
      <c r="C59" s="84" t="s">
        <v>1848</v>
      </c>
    </row>
    <row r="60" spans="1:3" x14ac:dyDescent="0.35">
      <c r="A60" s="84" t="s">
        <v>1568</v>
      </c>
      <c r="B60" s="228" t="b">
        <v>0</v>
      </c>
      <c r="C60" s="84" t="s">
        <v>1735</v>
      </c>
    </row>
    <row r="61" spans="1:3" x14ac:dyDescent="0.35">
      <c r="A61" s="84" t="s">
        <v>1569</v>
      </c>
      <c r="B61" s="228" t="b">
        <v>0</v>
      </c>
      <c r="C61" s="84" t="s">
        <v>1570</v>
      </c>
    </row>
    <row r="62" spans="1:3" ht="25.75" x14ac:dyDescent="0.35">
      <c r="A62" s="84" t="s">
        <v>1571</v>
      </c>
      <c r="B62" s="228" t="b">
        <v>0</v>
      </c>
      <c r="C62" s="84" t="s">
        <v>1810</v>
      </c>
    </row>
    <row r="63" spans="1:3" x14ac:dyDescent="0.35">
      <c r="A63" s="84" t="s">
        <v>1572</v>
      </c>
      <c r="B63" s="228" t="b">
        <v>0</v>
      </c>
      <c r="C63" s="84" t="s">
        <v>1736</v>
      </c>
    </row>
    <row r="64" spans="1:3" x14ac:dyDescent="0.35">
      <c r="A64" s="84" t="s">
        <v>1573</v>
      </c>
      <c r="B64" s="228" t="b">
        <v>0</v>
      </c>
      <c r="C64" s="84" t="s">
        <v>1574</v>
      </c>
    </row>
    <row r="65" spans="1:3" x14ac:dyDescent="0.35">
      <c r="A65" s="84" t="s">
        <v>1575</v>
      </c>
      <c r="B65" s="228" t="b">
        <v>0</v>
      </c>
      <c r="C65" s="84" t="s">
        <v>1737</v>
      </c>
    </row>
    <row r="66" spans="1:3" ht="25.75" x14ac:dyDescent="0.35">
      <c r="A66" s="84" t="s">
        <v>1576</v>
      </c>
      <c r="B66" s="228" t="b">
        <v>0</v>
      </c>
      <c r="C66" s="84" t="s">
        <v>1811</v>
      </c>
    </row>
    <row r="67" spans="1:3" ht="25.75" x14ac:dyDescent="0.35">
      <c r="A67" s="84" t="s">
        <v>1578</v>
      </c>
      <c r="B67" s="228" t="b">
        <v>0</v>
      </c>
      <c r="C67" s="84" t="s">
        <v>1812</v>
      </c>
    </row>
    <row r="68" spans="1:3" x14ac:dyDescent="0.35">
      <c r="A68" s="84" t="s">
        <v>1577</v>
      </c>
      <c r="B68" s="228" t="b">
        <v>0</v>
      </c>
      <c r="C68" s="84" t="s">
        <v>1738</v>
      </c>
    </row>
    <row r="69" spans="1:3" ht="25.75" x14ac:dyDescent="0.35">
      <c r="A69" s="84" t="s">
        <v>1583</v>
      </c>
      <c r="B69" s="228" t="b">
        <v>0</v>
      </c>
      <c r="C69" s="84" t="s">
        <v>1739</v>
      </c>
    </row>
    <row r="70" spans="1:3" x14ac:dyDescent="0.35">
      <c r="A70" s="84" t="s">
        <v>1581</v>
      </c>
      <c r="B70" s="228" t="b">
        <v>0</v>
      </c>
      <c r="C70" s="84" t="s">
        <v>1582</v>
      </c>
    </row>
    <row r="71" spans="1:3" x14ac:dyDescent="0.35">
      <c r="A71" s="84" t="s">
        <v>1579</v>
      </c>
      <c r="B71" s="228" t="b">
        <v>0</v>
      </c>
      <c r="C71" s="84" t="s">
        <v>1580</v>
      </c>
    </row>
    <row r="72" spans="1:3" x14ac:dyDescent="0.35">
      <c r="A72" s="84" t="s">
        <v>9</v>
      </c>
      <c r="B72" s="228" t="b">
        <v>0</v>
      </c>
      <c r="C72" s="84" t="s">
        <v>1585</v>
      </c>
    </row>
    <row r="73" spans="1:3" x14ac:dyDescent="0.35">
      <c r="A73" s="84" t="s">
        <v>1586</v>
      </c>
      <c r="B73" s="228" t="b">
        <v>0</v>
      </c>
      <c r="C73" s="84" t="s">
        <v>1587</v>
      </c>
    </row>
    <row r="74" spans="1:3" ht="25.75" x14ac:dyDescent="0.35">
      <c r="A74" s="84" t="s">
        <v>1684</v>
      </c>
      <c r="B74" s="228" t="b">
        <v>0</v>
      </c>
      <c r="C74" s="84" t="s">
        <v>1842</v>
      </c>
    </row>
    <row r="75" spans="1:3" ht="25.75" x14ac:dyDescent="0.35">
      <c r="A75" s="84" t="s">
        <v>1584</v>
      </c>
      <c r="B75" s="228" t="b">
        <v>0</v>
      </c>
      <c r="C75" s="84" t="s">
        <v>1813</v>
      </c>
    </row>
    <row r="76" spans="1:3" x14ac:dyDescent="0.35">
      <c r="A76" s="84" t="s">
        <v>1588</v>
      </c>
      <c r="B76" s="228" t="b">
        <v>0</v>
      </c>
      <c r="C76" s="84" t="s">
        <v>1740</v>
      </c>
    </row>
    <row r="77" spans="1:3" x14ac:dyDescent="0.35">
      <c r="A77" s="84" t="s">
        <v>1589</v>
      </c>
      <c r="B77" s="228" t="b">
        <v>0</v>
      </c>
      <c r="C77" s="84" t="s">
        <v>1741</v>
      </c>
    </row>
    <row r="78" spans="1:3" ht="25.75" x14ac:dyDescent="0.35">
      <c r="A78" s="84" t="s">
        <v>1590</v>
      </c>
      <c r="B78" s="228" t="b">
        <v>0</v>
      </c>
      <c r="C78" s="84" t="s">
        <v>1814</v>
      </c>
    </row>
    <row r="79" spans="1:3" ht="25.75" x14ac:dyDescent="0.35">
      <c r="A79" s="84" t="s">
        <v>1591</v>
      </c>
      <c r="B79" s="228" t="b">
        <v>0</v>
      </c>
      <c r="C79" s="84" t="s">
        <v>1815</v>
      </c>
    </row>
    <row r="80" spans="1:3" x14ac:dyDescent="0.35">
      <c r="A80" s="84" t="s">
        <v>1592</v>
      </c>
      <c r="B80" s="228" t="b">
        <v>0</v>
      </c>
      <c r="C80" s="84" t="s">
        <v>1742</v>
      </c>
    </row>
    <row r="81" spans="1:3" ht="25.75" x14ac:dyDescent="0.35">
      <c r="A81" s="84" t="s">
        <v>1889</v>
      </c>
      <c r="B81" s="228" t="b">
        <v>0</v>
      </c>
      <c r="C81" s="84" t="s">
        <v>1816</v>
      </c>
    </row>
    <row r="82" spans="1:3" x14ac:dyDescent="0.35">
      <c r="A82" s="84" t="s">
        <v>1593</v>
      </c>
      <c r="B82" s="228" t="b">
        <v>0</v>
      </c>
      <c r="C82" s="84" t="s">
        <v>1594</v>
      </c>
    </row>
    <row r="83" spans="1:3" x14ac:dyDescent="0.35">
      <c r="A83" s="84" t="s">
        <v>1700</v>
      </c>
      <c r="B83" s="228" t="b">
        <v>0</v>
      </c>
      <c r="C83" s="84" t="s">
        <v>1761</v>
      </c>
    </row>
    <row r="84" spans="1:3" ht="25.75" x14ac:dyDescent="0.35">
      <c r="A84" s="84" t="s">
        <v>1890</v>
      </c>
      <c r="B84" s="228" t="b">
        <v>0</v>
      </c>
      <c r="C84" s="84" t="s">
        <v>1817</v>
      </c>
    </row>
    <row r="85" spans="1:3" ht="25.75" x14ac:dyDescent="0.35">
      <c r="A85" s="84" t="s">
        <v>1596</v>
      </c>
      <c r="B85" s="228" t="b">
        <v>0</v>
      </c>
      <c r="C85" s="84" t="s">
        <v>1818</v>
      </c>
    </row>
    <row r="86" spans="1:3" x14ac:dyDescent="0.35">
      <c r="A86" s="84" t="s">
        <v>1595</v>
      </c>
      <c r="B86" s="228" t="b">
        <v>0</v>
      </c>
      <c r="C86" s="84" t="s">
        <v>1743</v>
      </c>
    </row>
    <row r="87" spans="1:3" x14ac:dyDescent="0.35">
      <c r="A87" s="84" t="s">
        <v>1597</v>
      </c>
      <c r="B87" s="228" t="b">
        <v>0</v>
      </c>
      <c r="C87" s="84" t="s">
        <v>1598</v>
      </c>
    </row>
    <row r="88" spans="1:3" x14ac:dyDescent="0.35">
      <c r="A88" s="84" t="s">
        <v>1599</v>
      </c>
      <c r="B88" s="228" t="b">
        <v>0</v>
      </c>
      <c r="C88" s="84" t="s">
        <v>1600</v>
      </c>
    </row>
    <row r="89" spans="1:3" x14ac:dyDescent="0.35">
      <c r="A89" s="84" t="s">
        <v>1730</v>
      </c>
      <c r="B89" s="228" t="b">
        <v>0</v>
      </c>
      <c r="C89" s="84" t="s">
        <v>1730</v>
      </c>
    </row>
    <row r="90" spans="1:3" x14ac:dyDescent="0.35">
      <c r="A90" s="84" t="s">
        <v>1727</v>
      </c>
      <c r="B90" s="228" t="b">
        <v>0</v>
      </c>
      <c r="C90" s="84" t="s">
        <v>1727</v>
      </c>
    </row>
    <row r="91" spans="1:3" ht="25.75" x14ac:dyDescent="0.35">
      <c r="A91" s="84" t="s">
        <v>1601</v>
      </c>
      <c r="B91" s="228" t="b">
        <v>0</v>
      </c>
      <c r="C91" s="84" t="s">
        <v>1819</v>
      </c>
    </row>
    <row r="92" spans="1:3" x14ac:dyDescent="0.35">
      <c r="A92" s="84" t="s">
        <v>1682</v>
      </c>
      <c r="B92" s="228" t="b">
        <v>0</v>
      </c>
      <c r="C92" s="84" t="s">
        <v>1683</v>
      </c>
    </row>
    <row r="93" spans="1:3" ht="25.75" x14ac:dyDescent="0.35">
      <c r="A93" s="84" t="s">
        <v>1602</v>
      </c>
      <c r="B93" s="228" t="b">
        <v>0</v>
      </c>
      <c r="C93" s="84" t="s">
        <v>1820</v>
      </c>
    </row>
    <row r="94" spans="1:3" x14ac:dyDescent="0.35">
      <c r="A94" s="84" t="s">
        <v>1686</v>
      </c>
      <c r="B94" s="228" t="b">
        <v>0</v>
      </c>
      <c r="C94" s="84" t="s">
        <v>1760</v>
      </c>
    </row>
    <row r="95" spans="1:3" ht="25.75" x14ac:dyDescent="0.35">
      <c r="A95" s="84" t="s">
        <v>1685</v>
      </c>
      <c r="B95" s="228" t="b">
        <v>0</v>
      </c>
      <c r="C95" s="84" t="s">
        <v>1843</v>
      </c>
    </row>
    <row r="96" spans="1:3" x14ac:dyDescent="0.35">
      <c r="A96" s="84" t="s">
        <v>1603</v>
      </c>
      <c r="B96" s="228" t="b">
        <v>0</v>
      </c>
      <c r="C96" s="84" t="s">
        <v>1744</v>
      </c>
    </row>
    <row r="97" spans="1:3" x14ac:dyDescent="0.35">
      <c r="A97" s="84" t="s">
        <v>1604</v>
      </c>
      <c r="B97" s="228" t="b">
        <v>0</v>
      </c>
      <c r="C97" s="84" t="s">
        <v>1605</v>
      </c>
    </row>
    <row r="98" spans="1:3" ht="25.75" x14ac:dyDescent="0.35">
      <c r="A98" s="84" t="s">
        <v>1606</v>
      </c>
      <c r="B98" s="228" t="b">
        <v>0</v>
      </c>
      <c r="C98" s="84" t="s">
        <v>1821</v>
      </c>
    </row>
    <row r="99" spans="1:3" ht="25.75" x14ac:dyDescent="0.35">
      <c r="A99" s="84" t="s">
        <v>1725</v>
      </c>
      <c r="B99" s="228" t="b">
        <v>0</v>
      </c>
      <c r="C99" s="84" t="s">
        <v>1851</v>
      </c>
    </row>
    <row r="100" spans="1:3" ht="25.75" x14ac:dyDescent="0.35">
      <c r="A100" s="84" t="s">
        <v>1607</v>
      </c>
      <c r="B100" s="228" t="b">
        <v>0</v>
      </c>
      <c r="C100" s="84" t="s">
        <v>1822</v>
      </c>
    </row>
    <row r="101" spans="1:3" ht="25.75" x14ac:dyDescent="0.35">
      <c r="A101" s="84" t="s">
        <v>1609</v>
      </c>
      <c r="B101" s="228" t="b">
        <v>0</v>
      </c>
      <c r="C101" s="84" t="s">
        <v>1824</v>
      </c>
    </row>
    <row r="102" spans="1:3" ht="25.75" x14ac:dyDescent="0.35">
      <c r="A102" s="84" t="s">
        <v>1608</v>
      </c>
      <c r="B102" s="228" t="b">
        <v>0</v>
      </c>
      <c r="C102" s="84" t="s">
        <v>1823</v>
      </c>
    </row>
    <row r="103" spans="1:3" x14ac:dyDescent="0.35">
      <c r="A103" s="84" t="s">
        <v>1612</v>
      </c>
      <c r="B103" s="228" t="b">
        <v>0</v>
      </c>
      <c r="C103" s="84" t="s">
        <v>1613</v>
      </c>
    </row>
    <row r="104" spans="1:3" x14ac:dyDescent="0.35">
      <c r="A104" s="84" t="s">
        <v>1610</v>
      </c>
      <c r="B104" s="228" t="b">
        <v>0</v>
      </c>
      <c r="C104" s="84" t="s">
        <v>1611</v>
      </c>
    </row>
    <row r="105" spans="1:3" x14ac:dyDescent="0.35">
      <c r="A105" s="84" t="s">
        <v>1614</v>
      </c>
      <c r="B105" s="228" t="b">
        <v>0</v>
      </c>
      <c r="C105" s="84" t="s">
        <v>1745</v>
      </c>
    </row>
    <row r="106" spans="1:3" x14ac:dyDescent="0.35">
      <c r="A106" s="84" t="s">
        <v>1615</v>
      </c>
      <c r="B106" s="228" t="b">
        <v>0</v>
      </c>
      <c r="C106" s="84" t="s">
        <v>1746</v>
      </c>
    </row>
    <row r="107" spans="1:3" x14ac:dyDescent="0.35">
      <c r="A107" s="84" t="s">
        <v>1618</v>
      </c>
      <c r="B107" s="228" t="b">
        <v>0</v>
      </c>
      <c r="C107" s="84" t="s">
        <v>1619</v>
      </c>
    </row>
    <row r="108" spans="1:3" x14ac:dyDescent="0.35">
      <c r="A108" s="84" t="s">
        <v>1616</v>
      </c>
      <c r="B108" s="228" t="b">
        <v>0</v>
      </c>
      <c r="C108" s="84" t="s">
        <v>1617</v>
      </c>
    </row>
    <row r="109" spans="1:3" ht="25.75" x14ac:dyDescent="0.35">
      <c r="A109" s="84" t="s">
        <v>1720</v>
      </c>
      <c r="B109" s="228" t="b">
        <v>0</v>
      </c>
      <c r="C109" s="84" t="s">
        <v>1850</v>
      </c>
    </row>
    <row r="110" spans="1:3" x14ac:dyDescent="0.35">
      <c r="A110" s="84" t="s">
        <v>1620</v>
      </c>
      <c r="B110" s="228" t="b">
        <v>0</v>
      </c>
      <c r="C110" s="84" t="s">
        <v>1621</v>
      </c>
    </row>
    <row r="111" spans="1:3" x14ac:dyDescent="0.35">
      <c r="A111" s="84" t="s">
        <v>1622</v>
      </c>
      <c r="B111" s="228" t="b">
        <v>0</v>
      </c>
      <c r="C111" s="84" t="s">
        <v>1623</v>
      </c>
    </row>
    <row r="112" spans="1:3" ht="25.75" x14ac:dyDescent="0.35">
      <c r="A112" s="84" t="s">
        <v>1726</v>
      </c>
      <c r="B112" s="228" t="b">
        <v>0</v>
      </c>
      <c r="C112" s="84" t="s">
        <v>1852</v>
      </c>
    </row>
    <row r="113" spans="1:3" x14ac:dyDescent="0.35">
      <c r="A113" s="84" t="s">
        <v>1630</v>
      </c>
      <c r="B113" s="228" t="b">
        <v>0</v>
      </c>
      <c r="C113" s="84" t="s">
        <v>1747</v>
      </c>
    </row>
    <row r="114" spans="1:3" x14ac:dyDescent="0.35">
      <c r="A114" s="84" t="s">
        <v>1624</v>
      </c>
      <c r="B114" s="228" t="b">
        <v>0</v>
      </c>
      <c r="C114" s="84" t="s">
        <v>1625</v>
      </c>
    </row>
    <row r="115" spans="1:3" x14ac:dyDescent="0.35">
      <c r="A115" s="84" t="s">
        <v>1626</v>
      </c>
      <c r="B115" s="228" t="b">
        <v>0</v>
      </c>
      <c r="C115" s="84" t="s">
        <v>1627</v>
      </c>
    </row>
    <row r="116" spans="1:3" x14ac:dyDescent="0.35">
      <c r="A116" s="84" t="s">
        <v>1628</v>
      </c>
      <c r="B116" s="228" t="b">
        <v>0</v>
      </c>
      <c r="C116" s="84" t="s">
        <v>1629</v>
      </c>
    </row>
    <row r="117" spans="1:3" ht="25.75" x14ac:dyDescent="0.35">
      <c r="A117" s="84" t="s">
        <v>1631</v>
      </c>
      <c r="B117" s="228" t="b">
        <v>0</v>
      </c>
      <c r="C117" s="84" t="s">
        <v>1825</v>
      </c>
    </row>
    <row r="118" spans="1:3" x14ac:dyDescent="0.35">
      <c r="A118" s="84" t="s">
        <v>8</v>
      </c>
      <c r="B118" s="228" t="b">
        <v>0</v>
      </c>
      <c r="C118" s="84" t="s">
        <v>1632</v>
      </c>
    </row>
    <row r="119" spans="1:3" ht="25.75" x14ac:dyDescent="0.35">
      <c r="A119" s="84" t="s">
        <v>1712</v>
      </c>
      <c r="B119" s="228" t="b">
        <v>0</v>
      </c>
      <c r="C119" s="84" t="s">
        <v>1849</v>
      </c>
    </row>
    <row r="120" spans="1:3" ht="25.75" x14ac:dyDescent="0.35">
      <c r="A120" s="84" t="s">
        <v>1698</v>
      </c>
      <c r="B120" s="228" t="b">
        <v>0</v>
      </c>
      <c r="C120" s="84" t="s">
        <v>1845</v>
      </c>
    </row>
    <row r="121" spans="1:3" x14ac:dyDescent="0.35">
      <c r="A121" s="84" t="s">
        <v>1729</v>
      </c>
      <c r="B121" s="228" t="b">
        <v>0</v>
      </c>
    </row>
    <row r="122" spans="1:3" x14ac:dyDescent="0.35">
      <c r="A122" s="84" t="s">
        <v>1728</v>
      </c>
      <c r="B122" s="228" t="b">
        <v>0</v>
      </c>
    </row>
    <row r="123" spans="1:3" x14ac:dyDescent="0.35">
      <c r="A123" s="84" t="s">
        <v>10</v>
      </c>
      <c r="B123" s="228" t="b">
        <v>0</v>
      </c>
      <c r="C123" s="84" t="s">
        <v>1633</v>
      </c>
    </row>
    <row r="124" spans="1:3" ht="25.75" x14ac:dyDescent="0.35">
      <c r="A124" s="84" t="s">
        <v>1636</v>
      </c>
      <c r="B124" s="228" t="b">
        <v>0</v>
      </c>
      <c r="C124" s="84" t="s">
        <v>1826</v>
      </c>
    </row>
    <row r="125" spans="1:3" x14ac:dyDescent="0.35">
      <c r="A125" s="84" t="s">
        <v>1634</v>
      </c>
      <c r="B125" s="228" t="b">
        <v>0</v>
      </c>
      <c r="C125" s="84" t="s">
        <v>1635</v>
      </c>
    </row>
    <row r="126" spans="1:3" ht="25.75" x14ac:dyDescent="0.35">
      <c r="A126" s="84" t="s">
        <v>1637</v>
      </c>
      <c r="B126" s="228" t="b">
        <v>0</v>
      </c>
      <c r="C126" s="84" t="s">
        <v>1827</v>
      </c>
    </row>
    <row r="127" spans="1:3" x14ac:dyDescent="0.35">
      <c r="A127" s="84" t="s">
        <v>1638</v>
      </c>
      <c r="B127" s="228" t="b">
        <v>0</v>
      </c>
      <c r="C127" s="84" t="s">
        <v>1748</v>
      </c>
    </row>
    <row r="128" spans="1:3" x14ac:dyDescent="0.35">
      <c r="A128" s="84" t="s">
        <v>1639</v>
      </c>
      <c r="B128" s="228" t="b">
        <v>0</v>
      </c>
      <c r="C128" s="84" t="s">
        <v>1640</v>
      </c>
    </row>
    <row r="129" spans="1:3" x14ac:dyDescent="0.35">
      <c r="A129" s="84" t="s">
        <v>1641</v>
      </c>
      <c r="B129" s="228" t="b">
        <v>0</v>
      </c>
      <c r="C129" s="84" t="s">
        <v>1642</v>
      </c>
    </row>
    <row r="130" spans="1:3" x14ac:dyDescent="0.35">
      <c r="A130" s="84" t="s">
        <v>1643</v>
      </c>
      <c r="B130" s="228" t="b">
        <v>0</v>
      </c>
      <c r="C130" s="84" t="s">
        <v>1749</v>
      </c>
    </row>
    <row r="131" spans="1:3" x14ac:dyDescent="0.35">
      <c r="A131" s="84" t="s">
        <v>1644</v>
      </c>
      <c r="B131" s="228" t="b">
        <v>0</v>
      </c>
      <c r="C131" s="84" t="s">
        <v>1645</v>
      </c>
    </row>
    <row r="132" spans="1:3" x14ac:dyDescent="0.35">
      <c r="A132" s="84" t="s">
        <v>1713</v>
      </c>
      <c r="B132" s="228" t="b">
        <v>0</v>
      </c>
      <c r="C132" s="84" t="s">
        <v>1714</v>
      </c>
    </row>
    <row r="133" spans="1:3" x14ac:dyDescent="0.35">
      <c r="A133" s="84" t="s">
        <v>1715</v>
      </c>
      <c r="B133" s="228" t="b">
        <v>0</v>
      </c>
      <c r="C133" s="84" t="s">
        <v>1716</v>
      </c>
    </row>
    <row r="134" spans="1:3" ht="25.75" x14ac:dyDescent="0.35">
      <c r="A134" s="84" t="s">
        <v>1647</v>
      </c>
      <c r="B134" s="228" t="b">
        <v>0</v>
      </c>
      <c r="C134" s="84" t="s">
        <v>1828</v>
      </c>
    </row>
    <row r="135" spans="1:3" ht="25.75" x14ac:dyDescent="0.35">
      <c r="A135" s="84" t="s">
        <v>1648</v>
      </c>
      <c r="B135" s="228" t="b">
        <v>0</v>
      </c>
      <c r="C135" s="84" t="s">
        <v>1829</v>
      </c>
    </row>
    <row r="136" spans="1:3" ht="25.75" x14ac:dyDescent="0.35">
      <c r="A136" s="84" t="s">
        <v>1650</v>
      </c>
      <c r="B136" s="228" t="b">
        <v>0</v>
      </c>
      <c r="C136" s="84" t="s">
        <v>1830</v>
      </c>
    </row>
    <row r="137" spans="1:3" x14ac:dyDescent="0.35">
      <c r="A137" s="84" t="s">
        <v>1646</v>
      </c>
      <c r="B137" s="228" t="b">
        <v>0</v>
      </c>
      <c r="C137" s="84" t="s">
        <v>1750</v>
      </c>
    </row>
    <row r="138" spans="1:3" x14ac:dyDescent="0.35">
      <c r="A138" s="84" t="s">
        <v>1651</v>
      </c>
      <c r="B138" s="228" t="b">
        <v>0</v>
      </c>
      <c r="C138" s="84" t="s">
        <v>1752</v>
      </c>
    </row>
    <row r="139" spans="1:3" x14ac:dyDescent="0.35">
      <c r="A139" s="84" t="s">
        <v>1649</v>
      </c>
      <c r="B139" s="228" t="b">
        <v>0</v>
      </c>
      <c r="C139" s="84" t="s">
        <v>1751</v>
      </c>
    </row>
    <row r="140" spans="1:3" ht="25.75" x14ac:dyDescent="0.35">
      <c r="A140" s="84" t="s">
        <v>1653</v>
      </c>
      <c r="B140" s="228" t="b">
        <v>0</v>
      </c>
      <c r="C140" s="84" t="s">
        <v>1832</v>
      </c>
    </row>
    <row r="141" spans="1:3" ht="25.75" x14ac:dyDescent="0.35">
      <c r="A141" s="84" t="s">
        <v>1652</v>
      </c>
      <c r="B141" s="228" t="b">
        <v>0</v>
      </c>
      <c r="C141" s="84" t="s">
        <v>1831</v>
      </c>
    </row>
    <row r="142" spans="1:3" ht="25.75" x14ac:dyDescent="0.35">
      <c r="A142" s="84" t="s">
        <v>1654</v>
      </c>
      <c r="B142" s="228" t="b">
        <v>0</v>
      </c>
      <c r="C142" s="84" t="s">
        <v>1833</v>
      </c>
    </row>
    <row r="143" spans="1:3" ht="25.75" x14ac:dyDescent="0.35">
      <c r="A143" s="84" t="s">
        <v>1656</v>
      </c>
      <c r="B143" s="228" t="b">
        <v>0</v>
      </c>
      <c r="C143" s="84" t="s">
        <v>1835</v>
      </c>
    </row>
    <row r="144" spans="1:3" ht="25.75" x14ac:dyDescent="0.35">
      <c r="A144" s="84" t="s">
        <v>1655</v>
      </c>
      <c r="B144" s="228" t="b">
        <v>0</v>
      </c>
      <c r="C144" s="84" t="s">
        <v>1834</v>
      </c>
    </row>
    <row r="145" spans="1:3" ht="25.75" x14ac:dyDescent="0.35">
      <c r="A145" s="84" t="s">
        <v>1657</v>
      </c>
      <c r="B145" s="228" t="b">
        <v>0</v>
      </c>
      <c r="C145" s="84" t="s">
        <v>1836</v>
      </c>
    </row>
    <row r="146" spans="1:3" ht="25.75" x14ac:dyDescent="0.35">
      <c r="A146" s="84" t="s">
        <v>1658</v>
      </c>
      <c r="B146" s="228" t="b">
        <v>0</v>
      </c>
      <c r="C146" s="84" t="s">
        <v>1837</v>
      </c>
    </row>
    <row r="147" spans="1:3" ht="25.75" x14ac:dyDescent="0.35">
      <c r="A147" s="84" t="s">
        <v>1659</v>
      </c>
      <c r="B147" s="228" t="b">
        <v>0</v>
      </c>
      <c r="C147" s="84" t="s">
        <v>1838</v>
      </c>
    </row>
    <row r="148" spans="1:3" x14ac:dyDescent="0.35">
      <c r="A148" s="84" t="s">
        <v>1660</v>
      </c>
      <c r="B148" s="228" t="b">
        <v>0</v>
      </c>
      <c r="C148" s="84" t="s">
        <v>1753</v>
      </c>
    </row>
    <row r="149" spans="1:3" ht="25.75" x14ac:dyDescent="0.35">
      <c r="A149" s="84" t="s">
        <v>1699</v>
      </c>
      <c r="B149" s="228" t="b">
        <v>0</v>
      </c>
      <c r="C149" s="84" t="s">
        <v>1846</v>
      </c>
    </row>
    <row r="150" spans="1:3" ht="25.75" x14ac:dyDescent="0.35">
      <c r="A150" s="84" t="s">
        <v>1697</v>
      </c>
      <c r="B150" s="228" t="b">
        <v>0</v>
      </c>
      <c r="C150" s="84" t="s">
        <v>1844</v>
      </c>
    </row>
    <row r="151" spans="1:3" ht="25.75" x14ac:dyDescent="0.35">
      <c r="A151" s="84" t="s">
        <v>1701</v>
      </c>
      <c r="B151" s="228" t="b">
        <v>0</v>
      </c>
      <c r="C151" s="84" t="s">
        <v>1847</v>
      </c>
    </row>
    <row r="152" spans="1:3" x14ac:dyDescent="0.35">
      <c r="A152" s="84" t="s">
        <v>1695</v>
      </c>
      <c r="B152" s="228" t="b">
        <v>0</v>
      </c>
      <c r="C152" s="84" t="s">
        <v>1696</v>
      </c>
    </row>
    <row r="153" spans="1:3" ht="25.75" x14ac:dyDescent="0.35">
      <c r="A153" s="84" t="s">
        <v>1661</v>
      </c>
      <c r="B153" s="228" t="b">
        <v>0</v>
      </c>
      <c r="C153" s="84" t="s">
        <v>1839</v>
      </c>
    </row>
    <row r="154" spans="1:3" x14ac:dyDescent="0.35">
      <c r="A154" s="84" t="s">
        <v>1662</v>
      </c>
      <c r="B154" s="228" t="b">
        <v>0</v>
      </c>
      <c r="C154" s="84" t="s">
        <v>1754</v>
      </c>
    </row>
    <row r="155" spans="1:3" x14ac:dyDescent="0.35">
      <c r="A155" s="84" t="s">
        <v>1663</v>
      </c>
      <c r="B155" s="228" t="b">
        <v>0</v>
      </c>
      <c r="C155" s="84" t="s">
        <v>1664</v>
      </c>
    </row>
    <row r="156" spans="1:3" x14ac:dyDescent="0.35">
      <c r="A156" s="84" t="s">
        <v>1665</v>
      </c>
      <c r="B156" s="228" t="b">
        <v>0</v>
      </c>
      <c r="C156" s="84" t="s">
        <v>1755</v>
      </c>
    </row>
    <row r="157" spans="1:3" x14ac:dyDescent="0.35">
      <c r="A157" s="84" t="s">
        <v>1666</v>
      </c>
      <c r="B157" s="228" t="b">
        <v>0</v>
      </c>
      <c r="C157" s="84" t="s">
        <v>1667</v>
      </c>
    </row>
    <row r="158" spans="1:3" ht="25.75" x14ac:dyDescent="0.35">
      <c r="A158" s="84" t="s">
        <v>1668</v>
      </c>
      <c r="B158" s="228" t="b">
        <v>0</v>
      </c>
      <c r="C158" s="84" t="s">
        <v>1840</v>
      </c>
    </row>
    <row r="159" spans="1:3" x14ac:dyDescent="0.35">
      <c r="A159" s="84" t="s">
        <v>1670</v>
      </c>
      <c r="B159" s="228" t="b">
        <v>0</v>
      </c>
      <c r="C159" s="84" t="s">
        <v>1671</v>
      </c>
    </row>
    <row r="160" spans="1:3" x14ac:dyDescent="0.35">
      <c r="A160" s="84" t="s">
        <v>1669</v>
      </c>
      <c r="B160" s="228" t="b">
        <v>0</v>
      </c>
      <c r="C160" s="84" t="s">
        <v>1756</v>
      </c>
    </row>
    <row r="161" spans="1:3" ht="25.75" x14ac:dyDescent="0.35">
      <c r="A161" s="84" t="s">
        <v>1673</v>
      </c>
      <c r="B161" s="228" t="b">
        <v>0</v>
      </c>
      <c r="C161" s="84" t="s">
        <v>1841</v>
      </c>
    </row>
    <row r="162" spans="1:3" x14ac:dyDescent="0.35">
      <c r="A162" s="84" t="s">
        <v>1672</v>
      </c>
      <c r="B162" s="228" t="b">
        <v>0</v>
      </c>
      <c r="C162" s="84" t="s">
        <v>1757</v>
      </c>
    </row>
    <row r="163" spans="1:3" x14ac:dyDescent="0.35">
      <c r="A163" s="84" t="s">
        <v>1674</v>
      </c>
      <c r="B163" s="228" t="b">
        <v>0</v>
      </c>
      <c r="C163" s="84" t="s">
        <v>1758</v>
      </c>
    </row>
    <row r="164" spans="1:3" x14ac:dyDescent="0.35">
      <c r="A164" s="84" t="s">
        <v>1675</v>
      </c>
      <c r="B164" s="228" t="b">
        <v>0</v>
      </c>
      <c r="C164" s="84" t="s">
        <v>1759</v>
      </c>
    </row>
    <row r="165" spans="1:3" x14ac:dyDescent="0.35">
      <c r="A165" s="84" t="s">
        <v>1710</v>
      </c>
      <c r="B165" s="228" t="b">
        <v>0</v>
      </c>
      <c r="C165" s="84" t="s">
        <v>1711</v>
      </c>
    </row>
    <row r="166" spans="1:3" x14ac:dyDescent="0.35">
      <c r="A166" s="84" t="s">
        <v>1708</v>
      </c>
      <c r="B166" s="228" t="b">
        <v>0</v>
      </c>
      <c r="C166" s="84" t="s">
        <v>1709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2"/>
  <sheetViews>
    <sheetView zoomScaleNormal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26.15234375" style="245" customWidth="1"/>
    <col min="2" max="2" width="56.69140625" style="245" customWidth="1"/>
    <col min="3" max="3" width="5.84375" style="219" customWidth="1"/>
    <col min="4" max="4" width="24.3046875" style="219" bestFit="1" customWidth="1"/>
    <col min="5" max="6" width="5.84375" style="219" customWidth="1"/>
    <col min="7" max="7" width="10" style="219" bestFit="1" customWidth="1"/>
    <col min="8" max="8" width="19.15234375" style="219" bestFit="1" customWidth="1"/>
    <col min="9" max="9" width="12.15234375" style="219" bestFit="1" customWidth="1"/>
    <col min="10" max="10" width="5.84375" style="219" customWidth="1"/>
    <col min="11" max="11" width="20.69140625" style="219" bestFit="1" customWidth="1"/>
    <col min="12" max="12" width="25.53515625" style="219" bestFit="1" customWidth="1"/>
    <col min="13" max="13" width="5.84375" style="219" customWidth="1"/>
    <col min="14" max="14" width="12.15234375" style="219" bestFit="1" customWidth="1"/>
    <col min="15" max="16384" width="9.15234375" style="219"/>
  </cols>
  <sheetData>
    <row r="1" spans="1:14" s="217" customFormat="1" ht="125.15" customHeight="1" x14ac:dyDescent="0.4">
      <c r="A1" s="256" t="s">
        <v>1507</v>
      </c>
      <c r="B1" s="257" t="s">
        <v>1508</v>
      </c>
      <c r="C1" s="258" t="s">
        <v>941</v>
      </c>
      <c r="D1" s="258" t="s">
        <v>1443</v>
      </c>
      <c r="E1" s="258" t="s">
        <v>1447</v>
      </c>
      <c r="F1" s="258" t="s">
        <v>1451</v>
      </c>
      <c r="G1" s="258" t="s">
        <v>1455</v>
      </c>
      <c r="H1" s="258" t="s">
        <v>1459</v>
      </c>
      <c r="I1" s="258" t="s">
        <v>1463</v>
      </c>
      <c r="J1" s="258" t="s">
        <v>1467</v>
      </c>
      <c r="K1" s="258" t="s">
        <v>8</v>
      </c>
      <c r="L1" s="258" t="s">
        <v>1863</v>
      </c>
      <c r="M1" s="258" t="s">
        <v>1474</v>
      </c>
      <c r="N1" s="258" t="s">
        <v>1477</v>
      </c>
    </row>
    <row r="2" spans="1:14" s="218" customFormat="1" x14ac:dyDescent="0.35">
      <c r="A2" s="272" t="str">
        <f ca="1">LOWER(_xlfn.CONCAT(VLOOKUP(tblKeyVault[[#Headers],[KeyVaultName]], tblNamingKeys[],2,FALSE),"-",Company_Tag,"-",INDIRECT(ADDRESS(ROW(),MATCH("ApplicationName", $1:$1,0),4,1)),"-",envTag,"-",PrimaryRegionTag))</f>
        <v>kv-qui-adap-dev-eus</v>
      </c>
      <c r="B2" s="272" t="str">
        <f ca="1">LOWER(_xlfn.CONCAT(VLOOKUP(tblKeyVault[[#Headers],[ResourceGroupName]], tblNamingKeys[],2,FALSE),"-",Company_Tag,"-",INDIRECT(ADDRESS(ROW(),MATCH("ApplicationName", $1:$1,0),4,1)),"-",envTag,"-",PrimaryRegionTag))</f>
        <v>rg-qui-adap-dev-eus</v>
      </c>
      <c r="C2" s="220" t="s">
        <v>820</v>
      </c>
      <c r="D2" s="259" t="str">
        <f>VLOOKUP(tblKeyVault[[#This Row],[ApplicationName]],tblDefaultTag[],2,FALSE)</f>
        <v>approver@company.org</v>
      </c>
      <c r="E2" s="252">
        <f>VLOOKUP(tblKeyVault[[#This Row],[ApplicationName]],tblDefaultTag[],3,FALSE)</f>
        <v>0</v>
      </c>
      <c r="F2" s="245" t="str">
        <f>VLOOKUP(tblKeyVault[[#This Row],[ApplicationName]],tblDefaultTag[],4,FALSE)</f>
        <v>CORP</v>
      </c>
      <c r="G2" s="245" t="str">
        <f>VLOOKUP(tblKeyVault[[#This Row],[ApplicationName]],tblDefaultTag[],5,FALSE)</f>
        <v>8675-309</v>
      </c>
      <c r="H2" s="245" t="str">
        <f>VLOOKUP(tblKeyVault[[#This Row],[ApplicationName]],tblDefaultTag[],6,FALSE)</f>
        <v>Mission-Critical</v>
      </c>
      <c r="I2" s="245" t="str">
        <f>TEXT(VLOOKUP(tblKeyVault[[#This Row],[ApplicationName]],tblDefaultTag[],7,FALSE), "mm/dd/yyyy")</f>
        <v>12/31/9999</v>
      </c>
      <c r="J2" s="245" t="str">
        <f>VLOOKUP(tblKeyVault[[#This Row],[ApplicationName]],tblDefaultTag[],8,FALSE)</f>
        <v>dev</v>
      </c>
      <c r="K2" s="245" t="str">
        <f>VLOOKUP(tblKeyVault[[#This Row],[ApplicationName]],tblDefaultTag[],9,FALSE)</f>
        <v>owner@company.org</v>
      </c>
      <c r="L2" s="245" t="str">
        <f>VLOOKUP(tblKeyVault[[#This Row],[ApplicationName]],tblDefaultTag[],10,FALSE)</f>
        <v>requester@company.org</v>
      </c>
      <c r="M2" s="245" t="str">
        <f>VLOOKUP(tblKeyVault[[#This Row],[ApplicationName]],tblDefaultTag[],11,FALSE)</f>
        <v>Gold</v>
      </c>
      <c r="N2" s="245" t="str">
        <f>TEXT(VLOOKUP(tblKeyVault[[#This Row],[ApplicationName]],tblDefaultTag[],12,FALSE), "mm/dd/yyyy")</f>
        <v>01/01/2020</v>
      </c>
    </row>
  </sheetData>
  <phoneticPr fontId="17" type="noConversion"/>
  <hyperlinks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5234375" defaultRowHeight="12.9" x14ac:dyDescent="0.35"/>
  <cols>
    <col min="1" max="1" width="19" style="224" bestFit="1" customWidth="1"/>
    <col min="2" max="2" width="22.07421875" style="241" bestFit="1" customWidth="1"/>
    <col min="3" max="3" width="12.921875" style="224" bestFit="1" customWidth="1"/>
    <col min="4" max="4" width="9.84375" style="224" bestFit="1" customWidth="1"/>
    <col min="5" max="5" width="3.84375" style="224" bestFit="1" customWidth="1"/>
    <col min="6" max="6" width="4.84375" style="224" bestFit="1" customWidth="1"/>
    <col min="7" max="7" width="25.15234375" style="224" bestFit="1" customWidth="1"/>
    <col min="8" max="8" width="3.84375" style="224" bestFit="1" customWidth="1"/>
    <col min="9" max="9" width="6.84375" style="224" bestFit="1" customWidth="1"/>
    <col min="10" max="10" width="8.84375" style="224" bestFit="1" customWidth="1"/>
    <col min="11" max="11" width="17" style="224" bestFit="1" customWidth="1"/>
    <col min="12" max="12" width="10.84375" style="224" bestFit="1" customWidth="1"/>
    <col min="13" max="13" width="3.84375" style="224" bestFit="1" customWidth="1"/>
    <col min="14" max="14" width="22.07421875" style="224" bestFit="1" customWidth="1"/>
    <col min="15" max="15" width="26.15234375" style="224" bestFit="1" customWidth="1"/>
    <col min="16" max="16" width="4.84375" style="224" bestFit="1" customWidth="1"/>
    <col min="17" max="17" width="10.84375" style="224" bestFit="1" customWidth="1"/>
    <col min="18" max="16384" width="9.15234375" style="224"/>
  </cols>
  <sheetData>
    <row r="1" spans="1:17" s="223" customFormat="1" ht="125.15" customHeight="1" x14ac:dyDescent="0.4">
      <c r="A1" s="221" t="s">
        <v>1509</v>
      </c>
      <c r="B1" s="242" t="s">
        <v>1508</v>
      </c>
      <c r="C1" s="221" t="s">
        <v>1510</v>
      </c>
      <c r="D1" s="221" t="s">
        <v>1511</v>
      </c>
      <c r="E1" s="221" t="s">
        <v>1512</v>
      </c>
      <c r="F1" s="222" t="s">
        <v>941</v>
      </c>
      <c r="G1" s="222" t="s">
        <v>1443</v>
      </c>
      <c r="H1" s="222" t="s">
        <v>1447</v>
      </c>
      <c r="I1" s="222" t="s">
        <v>1451</v>
      </c>
      <c r="J1" s="222" t="s">
        <v>1455</v>
      </c>
      <c r="K1" s="222" t="s">
        <v>1459</v>
      </c>
      <c r="L1" s="222" t="s">
        <v>1463</v>
      </c>
      <c r="M1" s="222" t="s">
        <v>1467</v>
      </c>
      <c r="N1" s="222" t="s">
        <v>8</v>
      </c>
      <c r="O1" s="222" t="s">
        <v>1863</v>
      </c>
      <c r="P1" s="222" t="s">
        <v>1474</v>
      </c>
      <c r="Q1" s="222" t="s">
        <v>1477</v>
      </c>
    </row>
    <row r="2" spans="1:17" x14ac:dyDescent="0.35">
      <c r="A2" s="186" t="str">
        <f ca="1">LOWER(_xlfn.CONCAT(VLOOKUP(tblStorageAccounts[[#Headers],[StorageAccountName]], tblNamingKeys[],2,FALSE),Company_Tag,INDIRECT(ADDRESS(ROW(),MATCH("ApplicationName", $1:$1,0),4,1)),envTag,PrimaryRegionTag))</f>
        <v>stgquiadapdeveus</v>
      </c>
      <c r="B2" s="272" t="str">
        <f ca="1">LOWER(_xlfn.CONCAT(VLOOKUP(tblStorageAccounts[[#Headers],[ResourceGroupName]], tblNamingKeys[],2,FALSE),"-",Company_Tag,"-",INDIRECT(ADDRESS(ROW(),MATCH("ApplicationName", $1:$1,0),4,1)),"-",envTag,"-",PrimaryRegionTag))</f>
        <v>rg-qui-adap-dev-eus</v>
      </c>
      <c r="C2" s="186" t="s">
        <v>776</v>
      </c>
      <c r="D2" s="186" t="s">
        <v>863</v>
      </c>
      <c r="E2" s="186" t="s">
        <v>862</v>
      </c>
      <c r="F2" s="273" t="str">
        <f>IF(Tags!A21&gt; "", Tags!A21, "")</f>
        <v>ADAP</v>
      </c>
      <c r="G2" s="274" t="str">
        <f>VLOOKUP(tblStorageAccounts[[#This Row],[ApplicationName]],tblDefaultTag[],2,FALSE)</f>
        <v>approver@company.org</v>
      </c>
      <c r="H2" s="275">
        <f>VLOOKUP(tblStorageAccounts[[#This Row],[ApplicationName]],tblDefaultTag[],3,FALSE)</f>
        <v>0</v>
      </c>
      <c r="I2" s="276" t="str">
        <f>VLOOKUP(tblStorageAccounts[[#This Row],[ApplicationName]],tblDefaultTag[],4,FALSE)</f>
        <v>CORP</v>
      </c>
      <c r="J2" s="276" t="str">
        <f>VLOOKUP(tblStorageAccounts[[#This Row],[ApplicationName]],tblDefaultTag[],5,FALSE)</f>
        <v>8675-309</v>
      </c>
      <c r="K2" s="276" t="str">
        <f>VLOOKUP(tblStorageAccounts[[#This Row],[ApplicationName]],tblDefaultTag[],6,FALSE)</f>
        <v>Mission-Critical</v>
      </c>
      <c r="L2" s="276" t="str">
        <f>TEXT(VLOOKUP(tblStorageAccounts[[#This Row],[ApplicationName]],tblDefaultTag[],7,FALSE), "mm/dd/yyyy")</f>
        <v>12/31/9999</v>
      </c>
      <c r="M2" s="276" t="str">
        <f>VLOOKUP(tblStorageAccounts[[#This Row],[ApplicationName]],tblDefaultTag[],8,FALSE)</f>
        <v>dev</v>
      </c>
      <c r="N2" s="276" t="str">
        <f>VLOOKUP(tblStorageAccounts[[#This Row],[ApplicationName]],tblDefaultTag[],9,FALSE)</f>
        <v>owner@company.org</v>
      </c>
      <c r="O2" s="276" t="str">
        <f>VLOOKUP(tblStorageAccounts[[#This Row],[ApplicationName]],tblDefaultTag[],10,FALSE)</f>
        <v>requester@company.org</v>
      </c>
      <c r="P2" s="276" t="str">
        <f>VLOOKUP(tblStorageAccounts[[#This Row],[ApplicationName]],tblDefaultTag[],11,FALSE)</f>
        <v>Gold</v>
      </c>
      <c r="Q2" s="276" t="str">
        <f>TEXT(VLOOKUP(tblStorageAccounts[[#This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D2" xr:uid="{7B04E39F-4B7D-47E3-8775-01F65C244EAD}">
      <formula1>StorageKind</formula1>
    </dataValidation>
    <dataValidation type="list" allowBlank="1" showInputMessage="1" showErrorMessage="1" sqref="C2" xr:uid="{2F274917-544A-4BDF-83D9-04368706CDA4}">
      <formula1>StorageAccountType</formula1>
    </dataValidation>
  </dataValidations>
  <hyperlinks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5234375" defaultRowHeight="12.9" x14ac:dyDescent="0.35"/>
  <cols>
    <col min="1" max="1" width="20" style="224" bestFit="1" customWidth="1"/>
    <col min="2" max="2" width="22.07421875" style="241" bestFit="1" customWidth="1"/>
    <col min="3" max="3" width="12" style="224" bestFit="1" customWidth="1"/>
    <col min="4" max="4" width="9.23046875" style="224" bestFit="1" customWidth="1"/>
    <col min="5" max="5" width="3.69140625" style="224" bestFit="1" customWidth="1"/>
    <col min="6" max="6" width="5.4609375" style="224" bestFit="1" customWidth="1"/>
    <col min="7" max="7" width="21.07421875" style="224" bestFit="1" customWidth="1"/>
    <col min="8" max="8" width="3.3828125" style="224" bestFit="1" customWidth="1"/>
    <col min="9" max="9" width="4.84375" style="224" bestFit="1" customWidth="1"/>
    <col min="10" max="10" width="8.84375" style="224" bestFit="1" customWidth="1"/>
    <col min="11" max="11" width="17" style="224" bestFit="1" customWidth="1"/>
    <col min="12" max="12" width="10.84375" style="224" bestFit="1" customWidth="1"/>
    <col min="13" max="13" width="3.84375" style="224" bestFit="1" customWidth="1"/>
    <col min="14" max="14" width="18" style="224" bestFit="1" customWidth="1"/>
    <col min="15" max="15" width="22.07421875" style="224" bestFit="1" customWidth="1"/>
    <col min="16" max="16" width="4.84375" style="224" bestFit="1" customWidth="1"/>
    <col min="17" max="17" width="10.84375" style="224" bestFit="1" customWidth="1"/>
    <col min="18" max="16384" width="9.15234375" style="224"/>
  </cols>
  <sheetData>
    <row r="1" spans="1:17" s="223" customFormat="1" ht="125.15" customHeight="1" x14ac:dyDescent="0.4">
      <c r="A1" s="221" t="s">
        <v>2020</v>
      </c>
      <c r="B1" s="242" t="s">
        <v>1508</v>
      </c>
      <c r="C1" s="221" t="s">
        <v>1510</v>
      </c>
      <c r="D1" s="221" t="s">
        <v>1511</v>
      </c>
      <c r="E1" s="221" t="s">
        <v>1512</v>
      </c>
      <c r="F1" s="222" t="s">
        <v>941</v>
      </c>
      <c r="G1" s="222" t="s">
        <v>1443</v>
      </c>
      <c r="H1" s="222" t="s">
        <v>1447</v>
      </c>
      <c r="I1" s="222" t="s">
        <v>1451</v>
      </c>
      <c r="J1" s="222" t="s">
        <v>1455</v>
      </c>
      <c r="K1" s="222" t="s">
        <v>1459</v>
      </c>
      <c r="L1" s="222" t="s">
        <v>1463</v>
      </c>
      <c r="M1" s="222" t="s">
        <v>1467</v>
      </c>
      <c r="N1" s="222" t="s">
        <v>8</v>
      </c>
      <c r="O1" s="222" t="s">
        <v>1863</v>
      </c>
      <c r="P1" s="222" t="s">
        <v>1474</v>
      </c>
      <c r="Q1" s="222" t="s">
        <v>1477</v>
      </c>
    </row>
    <row r="2" spans="1:17" x14ac:dyDescent="0.35">
      <c r="A2" s="272" t="str">
        <f ca="1">LOWER(_xlfn.CONCAT(VLOOKUP(tblDataLake[[#Headers],[DataLakeStoreName]], tblNamingKeys[],2,FALSE),Company_Tag,INDIRECT(ADDRESS(ROW(),MATCH("ApplicationName", $1:$1,0),4,1)),envTag,PrimaryRegionTag))</f>
        <v>adlsquiadapdeveus</v>
      </c>
      <c r="B2" s="272" t="str">
        <f ca="1">LOWER(_xlfn.CONCAT(VLOOKUP(tblDataLake[[#Headers],[ResourceGroupName]], tblNamingKeys[],2,FALSE),"-",Company_Tag,"-",INDIRECT(ADDRESS(ROW(),MATCH("ApplicationName", $1:$1,0),4,1)),"-",envTag,"-",PrimaryRegionTag))</f>
        <v>rg-qui-adap-dev-eus</v>
      </c>
      <c r="C2" s="224" t="s">
        <v>776</v>
      </c>
      <c r="D2" s="224" t="s">
        <v>863</v>
      </c>
      <c r="E2" s="224" t="s">
        <v>862</v>
      </c>
      <c r="F2" s="220" t="s">
        <v>820</v>
      </c>
      <c r="G2" s="274" t="str">
        <f>VLOOKUP(tblDataLake[[#This Row],[ApplicationName]],tblDefaultTag[],2,FALSE)</f>
        <v>approver@company.org</v>
      </c>
      <c r="H2" s="275">
        <f>VLOOKUP(tblDataLake[[#This Row],[ApplicationName]],tblDefaultTag[],3,FALSE)</f>
        <v>0</v>
      </c>
      <c r="I2" s="276" t="str">
        <f>VLOOKUP(tblDataLake[[#This Row],[ApplicationName]],tblDefaultTag[],4,FALSE)</f>
        <v>CORP</v>
      </c>
      <c r="J2" s="276" t="str">
        <f>VLOOKUP(tblDataLake[[#This Row],[ApplicationName]],tblDefaultTag[],5,FALSE)</f>
        <v>8675-309</v>
      </c>
      <c r="K2" s="276" t="str">
        <f>VLOOKUP(tblDataLake[[#This Row],[ApplicationName]],tblDefaultTag[],6,FALSE)</f>
        <v>Mission-Critical</v>
      </c>
      <c r="L2" s="276" t="str">
        <f>TEXT(VLOOKUP(tblDataLake[[#This Row],[ApplicationName]],tblDefaultTag[],7,FALSE), "mm/dd/yyyy")</f>
        <v>12/31/9999</v>
      </c>
      <c r="M2" s="276" t="str">
        <f>VLOOKUP(tblDataLake[[#This Row],[ApplicationName]],tblDefaultTag[],8,FALSE)</f>
        <v>dev</v>
      </c>
      <c r="N2" s="276" t="str">
        <f>VLOOKUP(tblDataLake[[#This Row],[ApplicationName]],tblDefaultTag[],9,FALSE)</f>
        <v>owner@company.org</v>
      </c>
      <c r="O2" s="276" t="str">
        <f>VLOOKUP(tblDataLake[[#This Row],[ApplicationName]],tblDefaultTag[],10,FALSE)</f>
        <v>requester@company.org</v>
      </c>
      <c r="P2" s="276" t="str">
        <f>VLOOKUP(tblDataLake[[#This Row],[ApplicationName]],tblDefaultTag[],11,FALSE)</f>
        <v>Gold</v>
      </c>
      <c r="Q2" s="276" t="str">
        <f>TEXT(VLOOKUP(tblDataLake[[#This Row],[ApplicationName]],tblDefaultTag[],12,FALSE), "mm/dd/yyyy")</f>
        <v>01/01/2020</v>
      </c>
    </row>
  </sheetData>
  <dataValidations disablePrompts="1" count="2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R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21.07421875" style="230" bestFit="1" customWidth="1"/>
    <col min="2" max="2" width="20" style="241" bestFit="1" customWidth="1"/>
    <col min="3" max="3" width="8.3828125" style="230" bestFit="1" customWidth="1"/>
    <col min="4" max="4" width="15.921875" style="230" bestFit="1" customWidth="1"/>
    <col min="5" max="5" width="5.4609375" style="224" bestFit="1" customWidth="1"/>
    <col min="6" max="6" width="21.07421875" style="224" bestFit="1" customWidth="1"/>
    <col min="7" max="7" width="3.4609375" style="224" bestFit="1" customWidth="1"/>
    <col min="8" max="8" width="5.4609375" style="224" bestFit="1" customWidth="1"/>
    <col min="9" max="9" width="8.3046875" style="224" bestFit="1" customWidth="1"/>
    <col min="10" max="10" width="13.3828125" style="224" bestFit="1" customWidth="1"/>
    <col min="11" max="11" width="10.23046875" style="224" bestFit="1" customWidth="1"/>
    <col min="12" max="12" width="3.61328125" style="224" bestFit="1" customWidth="1"/>
    <col min="13" max="13" width="18" style="224" bestFit="1" customWidth="1"/>
    <col min="14" max="14" width="22.07421875" style="224" bestFit="1" customWidth="1"/>
    <col min="15" max="15" width="4.53515625" style="224" bestFit="1" customWidth="1"/>
    <col min="16" max="16" width="10.23046875" style="224" bestFit="1" customWidth="1"/>
    <col min="17" max="17" width="9.15234375" style="230"/>
    <col min="18" max="18" width="19.3046875" style="230" bestFit="1" customWidth="1"/>
    <col min="19" max="19" width="5.4609375" style="230" bestFit="1" customWidth="1"/>
    <col min="20" max="20" width="3.61328125" style="230" bestFit="1" customWidth="1"/>
    <col min="21" max="21" width="13.15234375" style="230" bestFit="1" customWidth="1"/>
    <col min="22" max="16384" width="9.15234375" style="230"/>
  </cols>
  <sheetData>
    <row r="1" spans="1:18" s="233" customFormat="1" ht="143.25" customHeight="1" x14ac:dyDescent="0.35">
      <c r="A1" s="231" t="s">
        <v>1276</v>
      </c>
      <c r="B1" s="242" t="s">
        <v>1508</v>
      </c>
      <c r="C1" s="231" t="s">
        <v>1288</v>
      </c>
      <c r="D1" s="231" t="s">
        <v>1289</v>
      </c>
      <c r="E1" s="232" t="s">
        <v>941</v>
      </c>
      <c r="F1" s="232" t="s">
        <v>1443</v>
      </c>
      <c r="G1" s="232" t="s">
        <v>1447</v>
      </c>
      <c r="H1" s="232" t="s">
        <v>1451</v>
      </c>
      <c r="I1" s="232" t="s">
        <v>1455</v>
      </c>
      <c r="J1" s="232" t="s">
        <v>1459</v>
      </c>
      <c r="K1" s="232" t="s">
        <v>1463</v>
      </c>
      <c r="L1" s="232" t="s">
        <v>1467</v>
      </c>
      <c r="M1" s="232" t="s">
        <v>8</v>
      </c>
      <c r="N1" s="232" t="s">
        <v>1863</v>
      </c>
      <c r="O1" s="232" t="s">
        <v>1474</v>
      </c>
      <c r="P1" s="232" t="s">
        <v>1477</v>
      </c>
    </row>
    <row r="2" spans="1:18" x14ac:dyDescent="0.35">
      <c r="A2" s="272" t="str">
        <f ca="1">LOWER(_xlfn.CONCAT(VLOOKUP(tblSQLServers[[#Headers],[sqlServerName]], tblNamingKeys[],2,FALSE),"-",Company_Tag,"-",INDIRECT(ADDRESS(ROW(),MATCH("ApplicationName", $1:$1,0),4,1)),"-",envTag,"-",PrimaryRegionTag))</f>
        <v>sql-qui-adap-dev-eus</v>
      </c>
      <c r="B2" s="272" t="str">
        <f ca="1">LOWER(_xlfn.CONCAT(VLOOKUP(tblSQLServers[[#Headers],[ResourceGroupName]], tblNamingKeys[],2,FALSE),"-",Company_Tag,"-",INDIRECT(ADDRESS(ROW(),MATCH("ApplicationName", $1:$1,0),4,1)),"-",envTag,"-",PrimaryRegionTag))</f>
        <v>rg-qui-adap-dev-eus</v>
      </c>
      <c r="C2" s="230" t="s">
        <v>873</v>
      </c>
      <c r="D2" s="230" t="s">
        <v>1905</v>
      </c>
      <c r="E2" s="220" t="s">
        <v>820</v>
      </c>
      <c r="F2" s="175" t="str">
        <f>VLOOKUP(tblSQLServers[[#This Row],[ApplicationName]],tblDefaultTag[],2,FALSE)</f>
        <v>approver@company.org</v>
      </c>
      <c r="G2" s="225">
        <f>VLOOKUP(tblSQLServers[[#This Row],[ApplicationName]],tblDefaultTag[],3,FALSE)</f>
        <v>0</v>
      </c>
      <c r="H2" s="245" t="str">
        <f>VLOOKUP(tblSQLServers[[#This Row],[ApplicationName]],tblDefaultTag[],4,FALSE)</f>
        <v>CORP</v>
      </c>
      <c r="I2" s="245" t="str">
        <f>VLOOKUP(tblSQLServers[[#This Row],[ApplicationName]],tblDefaultTag[],5,FALSE)</f>
        <v>8675-309</v>
      </c>
      <c r="J2" s="245" t="str">
        <f>VLOOKUP(tblSQLServers[[#This Row],[ApplicationName]],tblDefaultTag[],6,FALSE)</f>
        <v>Mission-Critical</v>
      </c>
      <c r="K2" s="245" t="str">
        <f>TEXT(VLOOKUP(tblSQLServers[[#This Row],[ApplicationName]],tblDefaultTag[],7,FALSE), "mm/dd/yyyy")</f>
        <v>12/31/9999</v>
      </c>
      <c r="L2" s="245" t="str">
        <f>VLOOKUP(tblSQLServers[[#This Row],[ApplicationName]],tblDefaultTag[],8,FALSE)</f>
        <v>dev</v>
      </c>
      <c r="M2" s="259" t="str">
        <f>VLOOKUP(tblSQLServers[[#This Row],[ApplicationName]],tblDefaultTag[],9,FALSE)</f>
        <v>owner@company.org</v>
      </c>
      <c r="N2" s="259" t="str">
        <f>VLOOKUP(tblSQLServers[[#This Row],[ApplicationName]],tblDefaultTag[],10,FALSE)</f>
        <v>requester@company.org</v>
      </c>
      <c r="O2" s="245" t="str">
        <f>VLOOKUP(tblSQLServers[[#This Row],[ApplicationName]],tblDefaultTag[],11,FALSE)</f>
        <v>Gold</v>
      </c>
      <c r="P2" s="245" t="str">
        <f>TEXT(VLOOKUP(tblSQLServers[[#This Row],[ApplicationName]],tblDefaultTag[],12,FALSE), "mm/dd/yyyy")</f>
        <v>01/01/2020</v>
      </c>
      <c r="R2" s="246"/>
    </row>
  </sheetData>
  <hyperlinks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5234375" defaultRowHeight="12.9" x14ac:dyDescent="0.35"/>
  <cols>
    <col min="1" max="1" width="25.69140625" style="259" customWidth="1"/>
    <col min="2" max="2" width="35" style="241" customWidth="1"/>
    <col min="3" max="3" width="27.84375" style="248" customWidth="1"/>
    <col min="4" max="4" width="6.3046875" style="238" bestFit="1" customWidth="1"/>
    <col min="5" max="5" width="25.15234375" style="238" bestFit="1" customWidth="1"/>
    <col min="6" max="6" width="3.84375" style="238" bestFit="1" customWidth="1"/>
    <col min="7" max="7" width="6.3828125" style="238" bestFit="1" customWidth="1"/>
    <col min="8" max="8" width="9.3046875" style="238" bestFit="1" customWidth="1"/>
    <col min="9" max="9" width="15.53515625" style="238" bestFit="1" customWidth="1"/>
    <col min="10" max="10" width="10.84375" style="238" bestFit="1" customWidth="1"/>
    <col min="11" max="11" width="5.3046875" style="238" bestFit="1" customWidth="1"/>
    <col min="12" max="12" width="22.3046875" style="238" bestFit="1" customWidth="1"/>
    <col min="13" max="13" width="25.53515625" style="238" bestFit="1" customWidth="1"/>
    <col min="14" max="14" width="5.3046875" style="238" bestFit="1" customWidth="1"/>
    <col min="15" max="15" width="10.84375" style="238" bestFit="1" customWidth="1"/>
    <col min="16" max="16384" width="9.15234375" style="237"/>
  </cols>
  <sheetData>
    <row r="1" spans="1:15" s="183" customFormat="1" ht="125.15" customHeight="1" x14ac:dyDescent="0.4">
      <c r="A1" s="247" t="s">
        <v>1935</v>
      </c>
      <c r="B1" s="242" t="s">
        <v>1508</v>
      </c>
      <c r="C1" s="247" t="s">
        <v>1276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1863</v>
      </c>
      <c r="N1" s="236" t="s">
        <v>1474</v>
      </c>
      <c r="O1" s="236" t="s">
        <v>1477</v>
      </c>
    </row>
    <row r="2" spans="1:15" x14ac:dyDescent="0.35">
      <c r="A2" s="272" t="str">
        <f ca="1">LOWER(_xlfn.CONCAT(VLOOKUP(tblSynapse[[#Headers],[synapseDWName]], tblNamingKeys[],2,FALSE),Company_Tag,INDIRECT(ADDRESS(ROW(),MATCH("ApplicationName", $1:$1,0),4,1)),envTag,PrimaryRegionTag))</f>
        <v>syndwquiadapdeveus</v>
      </c>
      <c r="B2" s="272" t="str">
        <f ca="1">LOWER(_xlfn.CONCAT(VLOOKUP(tblSynapse[[#Headers],[ResourceGroupName]], tblNamingKeys[],2,FALSE),"-",Company_Tag,"-",INDIRECT(ADDRESS(ROW(),MATCH("ApplicationName", $1:$1,0),4,1)),"-",envTag,"-",PrimaryRegionTag))</f>
        <v>rg-qui-adap-dev-eus</v>
      </c>
      <c r="C2" s="272" t="str">
        <f ca="1">LOWER(_xlfn.CONCAT(VLOOKUP(tblSynapse[[#Headers],[sqlServerName]], tblNamingKeys[],2,FALSE),"-",Company_Tag,"-",INDIRECT(ADDRESS(ROW(),MATCH("ApplicationName", $1:$1,0),4,1)),"-",envTag,"-",PrimaryRegionTag))</f>
        <v>sql-qui-adap-dev-eus</v>
      </c>
      <c r="D2" s="220" t="s">
        <v>820</v>
      </c>
      <c r="E2" s="259" t="str">
        <f>VLOOKUP(tblSynapse[[#This Row],[ApplicationName]],tblDefaultTag[],2,FALSE)</f>
        <v>approver@company.org</v>
      </c>
      <c r="F2" s="252">
        <f>VLOOKUP(tblSynapse[[#This Row],[ApplicationName]],tblDefaultTag[],3,FALSE)</f>
        <v>0</v>
      </c>
      <c r="G2" s="245" t="str">
        <f>VLOOKUP(tblSynapse[[#This Row],[ApplicationName]],tblDefaultTag[],4,FALSE)</f>
        <v>CORP</v>
      </c>
      <c r="H2" s="245" t="str">
        <f>VLOOKUP(tblSynapse[[#This Row],[ApplicationName]],tblDefaultTag[],5,FALSE)</f>
        <v>8675-309</v>
      </c>
      <c r="I2" s="245" t="str">
        <f>VLOOKUP(tblSynapse[[#This Row],[ApplicationName]],tblDefaultTag[],6,FALSE)</f>
        <v>Mission-Critical</v>
      </c>
      <c r="J2" s="245" t="str">
        <f>TEXT(VLOOKUP(tblSynapse[[#This Row],[ApplicationName]],tblDefaultTag[],7,FALSE), "mm/dd/yyyy")</f>
        <v>12/31/9999</v>
      </c>
      <c r="K2" s="245" t="str">
        <f>VLOOKUP(tblSynapse[[#This Row],[ApplicationName]],tblDefaultTag[],8,FALSE)</f>
        <v>dev</v>
      </c>
      <c r="L2" s="259" t="str">
        <f>VLOOKUP(tblSynapse[[#This Row],[ApplicationName]],tblDefaultTag[],9,FALSE)</f>
        <v>owner@company.org</v>
      </c>
      <c r="M2" s="259" t="str">
        <f>VLOOKUP(tblSynapse[[#This Row],[ApplicationName]],tblDefaultTag[],10,FALSE)</f>
        <v>requester@company.org</v>
      </c>
      <c r="N2" s="245" t="str">
        <f>VLOOKUP(tblSynapse[[#This Row],[ApplicationName]],tblDefaultTag[],11,FALSE)</f>
        <v>Gold</v>
      </c>
      <c r="O2" s="245" t="str">
        <f>TEXT(VLOOKUP(tblSynapse[[#This Row],[ApplicationName]],tblDefaultTag[],12,FALSE), "mm/dd/yyyy")</f>
        <v>01/01/2020</v>
      </c>
    </row>
  </sheetData>
  <hyperlinks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Q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23.69140625" style="230" customWidth="1"/>
    <col min="2" max="2" width="24.15234375" style="241" customWidth="1"/>
    <col min="3" max="3" width="11.69140625" style="255" customWidth="1"/>
    <col min="4" max="4" width="6.3046875" style="224" bestFit="1" customWidth="1"/>
    <col min="5" max="5" width="25.15234375" style="224" bestFit="1" customWidth="1"/>
    <col min="6" max="6" width="16.69140625" style="224" customWidth="1"/>
    <col min="7" max="7" width="6.3828125" style="224" bestFit="1" customWidth="1"/>
    <col min="8" max="8" width="9.3046875" style="224" bestFit="1" customWidth="1"/>
    <col min="9" max="9" width="15.53515625" style="224" bestFit="1" customWidth="1"/>
    <col min="10" max="10" width="10.84375" style="224" bestFit="1" customWidth="1"/>
    <col min="11" max="11" width="5.3046875" style="224" bestFit="1" customWidth="1"/>
    <col min="12" max="12" width="22.3046875" style="224" bestFit="1" customWidth="1"/>
    <col min="13" max="13" width="25.53515625" style="224" bestFit="1" customWidth="1"/>
    <col min="14" max="14" width="5.3046875" style="224" bestFit="1" customWidth="1"/>
    <col min="15" max="15" width="10.84375" style="224" bestFit="1" customWidth="1"/>
    <col min="16" max="16" width="9.15234375" style="230"/>
    <col min="17" max="17" width="42.15234375" style="230" customWidth="1"/>
    <col min="18" max="19" width="9.15234375" style="230"/>
    <col min="20" max="20" width="24.15234375" style="230" customWidth="1"/>
    <col min="21" max="16384" width="9.15234375" style="230"/>
  </cols>
  <sheetData>
    <row r="1" spans="1:17" s="233" customFormat="1" ht="143.25" customHeight="1" x14ac:dyDescent="0.35">
      <c r="A1" s="231" t="s">
        <v>1932</v>
      </c>
      <c r="B1" s="242" t="s">
        <v>1508</v>
      </c>
      <c r="C1" s="254" t="s">
        <v>1865</v>
      </c>
      <c r="D1" s="232" t="s">
        <v>941</v>
      </c>
      <c r="E1" s="232" t="s">
        <v>1443</v>
      </c>
      <c r="F1" s="232" t="s">
        <v>1447</v>
      </c>
      <c r="G1" s="232" t="s">
        <v>1451</v>
      </c>
      <c r="H1" s="232" t="s">
        <v>1455</v>
      </c>
      <c r="I1" s="232" t="s">
        <v>1459</v>
      </c>
      <c r="J1" s="232" t="s">
        <v>1463</v>
      </c>
      <c r="K1" s="232" t="s">
        <v>1467</v>
      </c>
      <c r="L1" s="232" t="s">
        <v>8</v>
      </c>
      <c r="M1" s="232" t="s">
        <v>1863</v>
      </c>
      <c r="N1" s="232" t="s">
        <v>1474</v>
      </c>
      <c r="O1" s="232" t="s">
        <v>1477</v>
      </c>
    </row>
    <row r="2" spans="1:17" x14ac:dyDescent="0.35">
      <c r="A2" s="272" t="str">
        <f ca="1">LOWER(_xlfn.CONCAT(VLOOKUP(tblLogicApps[[#Headers],[logicAppName]], tblNamingKeys[],2,FALSE),"-",Company_Tag,"-",INDIRECT(ADDRESS(ROW(),MATCH("ApplicationName", $1:$1,0),4,1)),"-",envTag,"-",PrimaryRegionTag))</f>
        <v>log-qui-adap-dev-eus</v>
      </c>
      <c r="B2" s="272" t="str">
        <f ca="1">LOWER(_xlfn.CONCAT(VLOOKUP(tblLogicApps[[#Headers],[ResourceGroupName]], tblNamingKeys[],2,FALSE),"-",Company_Tag,"-",INDIRECT(ADDRESS(ROW(),MATCH("ApplicationName", $1:$1,0),4,1)),"-",envTag,"-",PrimaryRegionTag))</f>
        <v>rg-qui-adap-dev-eus</v>
      </c>
      <c r="C2" s="255" t="s">
        <v>1933</v>
      </c>
      <c r="D2" s="220" t="s">
        <v>820</v>
      </c>
      <c r="E2" s="259" t="str">
        <f>VLOOKUP(tblLogicApps[[#This Row],[ApplicationName]],tblDefaultTag[],2,FALSE)</f>
        <v>approver@company.org</v>
      </c>
      <c r="F2" s="252">
        <f>VLOOKUP(tblLogicApps[[#This Row],[ApplicationName]],tblDefaultTag[],3,FALSE)</f>
        <v>0</v>
      </c>
      <c r="G2" s="245" t="str">
        <f>VLOOKUP(tblLogicApps[[#This Row],[ApplicationName]],tblDefaultTag[],4,FALSE)</f>
        <v>CORP</v>
      </c>
      <c r="H2" s="245" t="str">
        <f>VLOOKUP(tblLogicApps[[#This Row],[ApplicationName]],tblDefaultTag[],5,FALSE)</f>
        <v>8675-309</v>
      </c>
      <c r="I2" s="245" t="str">
        <f>VLOOKUP(tblLogicApps[[#This Row],[ApplicationName]],tblDefaultTag[],6,FALSE)</f>
        <v>Mission-Critical</v>
      </c>
      <c r="J2" s="245" t="str">
        <f>TEXT(VLOOKUP(tblLogicApps[[#This Row],[ApplicationName]],tblDefaultTag[],7,FALSE), "mm/dd/yyyy")</f>
        <v>12/31/9999</v>
      </c>
      <c r="K2" s="245" t="str">
        <f>VLOOKUP(tblLogicApps[[#This Row],[ApplicationName]],tblDefaultTag[],8,FALSE)</f>
        <v>dev</v>
      </c>
      <c r="L2" s="259" t="str">
        <f>VLOOKUP(tblLogicApps[[#This Row],[ApplicationName]],tblDefaultTag[],9,FALSE)</f>
        <v>owner@company.org</v>
      </c>
      <c r="M2" s="259" t="str">
        <f>VLOOKUP(tblLogicApps[[#This Row],[ApplicationName]],tblDefaultTag[],10,FALSE)</f>
        <v>requester@company.org</v>
      </c>
      <c r="N2" s="245" t="str">
        <f>VLOOKUP(tblLogicApps[[#This Row],[ApplicationName]],tblDefaultTag[],11,FALSE)</f>
        <v>Gold</v>
      </c>
      <c r="O2" s="245" t="str">
        <f>TEXT(VLOOKUP(tblLogicApps[[#This Row],[ApplicationName]],tblDefaultTag[],12,FALSE), "mm/dd/yyyy")</f>
        <v>01/01/2020</v>
      </c>
      <c r="Q2" s="246"/>
    </row>
  </sheetData>
  <hyperlinks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32.84375" style="259" customWidth="1"/>
    <col min="2" max="2" width="35" style="241" customWidth="1"/>
    <col min="3" max="3" width="27.84375" style="248" customWidth="1"/>
    <col min="4" max="4" width="6.3046875" style="238" bestFit="1" customWidth="1"/>
    <col min="5" max="5" width="25.15234375" style="238" bestFit="1" customWidth="1"/>
    <col min="6" max="6" width="3.84375" style="238" bestFit="1" customWidth="1"/>
    <col min="7" max="7" width="6.3828125" style="238" bestFit="1" customWidth="1"/>
    <col min="8" max="8" width="9.3046875" style="238" bestFit="1" customWidth="1"/>
    <col min="9" max="9" width="15.53515625" style="238" bestFit="1" customWidth="1"/>
    <col min="10" max="10" width="10.84375" style="238" bestFit="1" customWidth="1"/>
    <col min="11" max="11" width="5.3046875" style="238" bestFit="1" customWidth="1"/>
    <col min="12" max="12" width="22.3046875" style="238" bestFit="1" customWidth="1"/>
    <col min="13" max="13" width="25.53515625" style="238" bestFit="1" customWidth="1"/>
    <col min="14" max="14" width="5.3046875" style="238" bestFit="1" customWidth="1"/>
    <col min="15" max="15" width="10.84375" style="238" bestFit="1" customWidth="1"/>
    <col min="16" max="16384" width="9.15234375" style="237"/>
  </cols>
  <sheetData>
    <row r="1" spans="1:15" s="183" customFormat="1" ht="125.15" customHeight="1" x14ac:dyDescent="0.4">
      <c r="A1" s="247" t="s">
        <v>1939</v>
      </c>
      <c r="B1" s="242" t="s">
        <v>1508</v>
      </c>
      <c r="C1" s="247" t="s">
        <v>1276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1863</v>
      </c>
      <c r="N1" s="236" t="s">
        <v>1474</v>
      </c>
      <c r="O1" s="236" t="s">
        <v>1477</v>
      </c>
    </row>
    <row r="2" spans="1:15" x14ac:dyDescent="0.35">
      <c r="A2" s="272" t="str">
        <f ca="1">LOWER(_xlfn.CONCAT(VLOOKUP(tblCosmosDB[[#Headers],[CosmosDbAccountName]], tblNamingKeys[],2,FALSE),"-",Company_Tag,"-",INDIRECT(ADDRESS(ROW(),MATCH("ApplicationName", $1:$1,0),4,1)),"-",envTag,"-",PrimaryRegionTag))</f>
        <v>cosdb-qui-adap-dev-eus</v>
      </c>
      <c r="B2" s="272" t="str">
        <f ca="1">LOWER(_xlfn.CONCAT(VLOOKUP(tblCosmosDB[[#Headers],[ResourceGroupName]], tblNamingKeys[],2,FALSE),"-",Company_Tag,"-",INDIRECT(ADDRESS(ROW(),MATCH("ApplicationName", $1:$1,0),4,1)),"-",envTag,"-",PrimaryRegionTag))</f>
        <v>rg-qui-adap-dev-eus</v>
      </c>
      <c r="C2" s="272" t="str">
        <f ca="1">LOWER(_xlfn.CONCAT(VLOOKUP(tblCosmosDB[[#Headers],[sqlServerName]], tblNamingKeys[],2,FALSE),"-",Company_Tag,"-",INDIRECT(ADDRESS(ROW(),MATCH("ApplicationName", $1:$1,0),4,1)),"-",envTag,"-",PrimaryRegionTag))</f>
        <v>sql-qui-adap-dev-eus</v>
      </c>
      <c r="D2" s="220" t="s">
        <v>820</v>
      </c>
      <c r="E2" s="259" t="str">
        <f>VLOOKUP(tblCosmosDB[[#This Row],[ApplicationName]],tblDefaultTag[],2,FALSE)</f>
        <v>approver@company.org</v>
      </c>
      <c r="F2" s="252">
        <f>VLOOKUP(tblCosmosDB[[#This Row],[ApplicationName]],tblDefaultTag[],3,FALSE)</f>
        <v>0</v>
      </c>
      <c r="G2" s="245" t="str">
        <f>VLOOKUP(tblCosmosDB[[#This Row],[ApplicationName]],tblDefaultTag[],4,FALSE)</f>
        <v>CORP</v>
      </c>
      <c r="H2" s="245" t="str">
        <f>VLOOKUP(tblCosmosDB[[#This Row],[ApplicationName]],tblDefaultTag[],5,FALSE)</f>
        <v>8675-309</v>
      </c>
      <c r="I2" s="245" t="str">
        <f>VLOOKUP(tblCosmosDB[[#This Row],[ApplicationName]],tblDefaultTag[],6,FALSE)</f>
        <v>Mission-Critical</v>
      </c>
      <c r="J2" s="245" t="str">
        <f>TEXT(VLOOKUP(tblCosmosDB[[#This Row],[ApplicationName]],tblDefaultTag[],7,FALSE), "mm/dd/yyyy")</f>
        <v>12/31/9999</v>
      </c>
      <c r="K2" s="245" t="str">
        <f>VLOOKUP(tblCosmosDB[[#This Row],[ApplicationName]],tblDefaultTag[],8,FALSE)</f>
        <v>dev</v>
      </c>
      <c r="L2" s="259" t="str">
        <f>VLOOKUP(tblCosmosDB[[#This Row],[ApplicationName]],tblDefaultTag[],9,FALSE)</f>
        <v>owner@company.org</v>
      </c>
      <c r="M2" s="259" t="str">
        <f>VLOOKUP(tblCosmosDB[[#This Row],[ApplicationName]],tblDefaultTag[],10,FALSE)</f>
        <v>requester@company.org</v>
      </c>
      <c r="N2" s="245" t="str">
        <f>VLOOKUP(tblCosmosDB[[#This Row],[ApplicationName]],tblDefaultTag[],11,FALSE)</f>
        <v>Gold</v>
      </c>
      <c r="O2" s="245" t="str">
        <f>TEXT(VLOOKUP(tblCosmosDB[[#This Row],[ApplicationName]],tblDefaultTag[],12,FALSE), "mm/dd/yyyy")</f>
        <v>01/01/2020</v>
      </c>
    </row>
  </sheetData>
  <hyperlinks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P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22.07421875" style="230" bestFit="1" customWidth="1"/>
    <col min="2" max="2" width="20" style="241" bestFit="1" customWidth="1"/>
    <col min="3" max="3" width="5.4609375" style="224" bestFit="1" customWidth="1"/>
    <col min="4" max="4" width="21.07421875" style="224" bestFit="1" customWidth="1"/>
    <col min="5" max="5" width="3.07421875" style="224" bestFit="1" customWidth="1"/>
    <col min="6" max="6" width="5.4609375" style="224" bestFit="1" customWidth="1"/>
    <col min="7" max="7" width="8.3046875" style="224" bestFit="1" customWidth="1"/>
    <col min="8" max="8" width="13.3828125" style="224" bestFit="1" customWidth="1"/>
    <col min="9" max="9" width="10.23046875" style="224" bestFit="1" customWidth="1"/>
    <col min="10" max="10" width="3.61328125" style="224" bestFit="1" customWidth="1"/>
    <col min="11" max="11" width="18" style="224" bestFit="1" customWidth="1"/>
    <col min="12" max="12" width="22.07421875" style="224" bestFit="1" customWidth="1"/>
    <col min="13" max="13" width="4.53515625" style="224" bestFit="1" customWidth="1"/>
    <col min="14" max="14" width="10.23046875" style="224" bestFit="1" customWidth="1"/>
    <col min="15" max="15" width="9.15234375" style="230"/>
    <col min="16" max="16" width="42.15234375" style="230" customWidth="1"/>
    <col min="17" max="18" width="9.15234375" style="230"/>
    <col min="19" max="19" width="24.15234375" style="230" customWidth="1"/>
    <col min="20" max="16384" width="9.15234375" style="230"/>
  </cols>
  <sheetData>
    <row r="1" spans="1:16" s="233" customFormat="1" ht="143.25" customHeight="1" x14ac:dyDescent="0.35">
      <c r="A1" s="231" t="s">
        <v>1937</v>
      </c>
      <c r="B1" s="242" t="s">
        <v>1508</v>
      </c>
      <c r="C1" s="232" t="s">
        <v>941</v>
      </c>
      <c r="D1" s="232" t="s">
        <v>1443</v>
      </c>
      <c r="E1" s="232" t="s">
        <v>1447</v>
      </c>
      <c r="F1" s="232" t="s">
        <v>1451</v>
      </c>
      <c r="G1" s="232" t="s">
        <v>1455</v>
      </c>
      <c r="H1" s="232" t="s">
        <v>1459</v>
      </c>
      <c r="I1" s="232" t="s">
        <v>1463</v>
      </c>
      <c r="J1" s="232" t="s">
        <v>1467</v>
      </c>
      <c r="K1" s="232" t="s">
        <v>8</v>
      </c>
      <c r="L1" s="232" t="s">
        <v>1863</v>
      </c>
      <c r="M1" s="232" t="s">
        <v>1474</v>
      </c>
      <c r="N1" s="232" t="s">
        <v>1477</v>
      </c>
    </row>
    <row r="2" spans="1:16" x14ac:dyDescent="0.35">
      <c r="A2" s="272" t="str">
        <f ca="1">LOWER(_xlfn.CONCAT(VLOOKUP(tblStreamAnalytics[[#Headers],[streamAnalyticsName]], tblNamingKeys[],2,FALSE),"-",Company_Tag,"-",INDIRECT(ADDRESS(ROW(),MATCH("ApplicationName", $1:$1,0),4,1)),"-",envTag,"-",PrimaryRegionTag))</f>
        <v>asaj-qui-adap-dev-eus</v>
      </c>
      <c r="B2" s="272" t="str">
        <f ca="1">LOWER(_xlfn.CONCAT(VLOOKUP(tblStreamAnalytics[[#Headers],[ResourceGroupName]], tblNamingKeys[],2,FALSE),"-",Company_Tag,"-",INDIRECT(ADDRESS(ROW(),MATCH("ApplicationName", $1:$1,0),4,1)),"-",envTag,"-",PrimaryRegionTag))</f>
        <v>rg-qui-adap-dev-eus</v>
      </c>
      <c r="C2" s="220" t="s">
        <v>820</v>
      </c>
      <c r="D2" s="259" t="str">
        <f>VLOOKUP(tblStreamAnalytics[[#This Row],[ApplicationName]],tblDefaultTag[],2,FALSE)</f>
        <v>approver@company.org</v>
      </c>
      <c r="E2" s="252">
        <f>VLOOKUP(tblStreamAnalytics[[#This Row],[ApplicationName]],tblDefaultTag[],3,FALSE)</f>
        <v>0</v>
      </c>
      <c r="F2" s="245" t="str">
        <f>VLOOKUP(tblStreamAnalytics[[#This Row],[ApplicationName]],tblDefaultTag[],4,FALSE)</f>
        <v>CORP</v>
      </c>
      <c r="G2" s="245" t="str">
        <f>VLOOKUP(tblStreamAnalytics[[#This Row],[ApplicationName]],tblDefaultTag[],5,FALSE)</f>
        <v>8675-309</v>
      </c>
      <c r="H2" s="245" t="str">
        <f>VLOOKUP(tblStreamAnalytics[[#This Row],[ApplicationName]],tblDefaultTag[],6,FALSE)</f>
        <v>Mission-Critical</v>
      </c>
      <c r="I2" s="245" t="str">
        <f>TEXT(VLOOKUP(tblStreamAnalytics[[#This Row],[ApplicationName]],tblDefaultTag[],7,FALSE), "mm/dd/yyyy")</f>
        <v>12/31/9999</v>
      </c>
      <c r="J2" s="245" t="str">
        <f>VLOOKUP(tblStreamAnalytics[[#This Row],[ApplicationName]],tblDefaultTag[],8,FALSE)</f>
        <v>dev</v>
      </c>
      <c r="K2" s="259" t="str">
        <f>VLOOKUP(tblStreamAnalytics[[#This Row],[ApplicationName]],tblDefaultTag[],9,FALSE)</f>
        <v>owner@company.org</v>
      </c>
      <c r="L2" s="259" t="str">
        <f>VLOOKUP(tblStreamAnalytics[[#This Row],[ApplicationName]],tblDefaultTag[],10,FALSE)</f>
        <v>requester@company.org</v>
      </c>
      <c r="M2" s="245" t="str">
        <f>VLOOKUP(tblStreamAnalytics[[#This Row],[ApplicationName]],tblDefaultTag[],11,FALSE)</f>
        <v>Gold</v>
      </c>
      <c r="N2" s="245" t="str">
        <f>TEXT(VLOOKUP(tblStreamAnalytics[[#This Row],[ApplicationName]],tblDefaultTag[],12,FALSE), "mm/dd/yyyy")</f>
        <v>01/01/2020</v>
      </c>
      <c r="P2" s="246"/>
    </row>
  </sheetData>
  <hyperlinks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17" style="230" bestFit="1" customWidth="1"/>
    <col min="2" max="2" width="20" style="241" bestFit="1" customWidth="1"/>
    <col min="3" max="3" width="18.3828125" style="230" bestFit="1" customWidth="1"/>
    <col min="4" max="4" width="5.4609375" style="224" bestFit="1" customWidth="1"/>
    <col min="5" max="5" width="21.07421875" style="224" bestFit="1" customWidth="1"/>
    <col min="6" max="6" width="3.07421875" style="224" bestFit="1" customWidth="1"/>
    <col min="7" max="7" width="5.4609375" style="224" bestFit="1" customWidth="1"/>
    <col min="8" max="8" width="8.3046875" style="224" bestFit="1" customWidth="1"/>
    <col min="9" max="9" width="13.3828125" style="224" bestFit="1" customWidth="1"/>
    <col min="10" max="10" width="10.23046875" style="224" bestFit="1" customWidth="1"/>
    <col min="11" max="11" width="3.61328125" style="224" bestFit="1" customWidth="1"/>
    <col min="12" max="12" width="18" style="224" bestFit="1" customWidth="1"/>
    <col min="13" max="13" width="22.07421875" style="224" bestFit="1" customWidth="1"/>
    <col min="14" max="14" width="4.53515625" style="224" bestFit="1" customWidth="1"/>
    <col min="15" max="15" width="10.23046875" style="224" bestFit="1" customWidth="1"/>
    <col min="16" max="16384" width="9.15234375" style="230"/>
  </cols>
  <sheetData>
    <row r="1" spans="1:15" s="233" customFormat="1" ht="143.25" customHeight="1" x14ac:dyDescent="0.35">
      <c r="A1" s="231" t="s">
        <v>1929</v>
      </c>
      <c r="B1" s="249" t="s">
        <v>1508</v>
      </c>
      <c r="C1" s="231" t="s">
        <v>1931</v>
      </c>
      <c r="D1" s="232" t="s">
        <v>941</v>
      </c>
      <c r="E1" s="232" t="s">
        <v>1443</v>
      </c>
      <c r="F1" s="232" t="s">
        <v>1447</v>
      </c>
      <c r="G1" s="232" t="s">
        <v>1451</v>
      </c>
      <c r="H1" s="232" t="s">
        <v>1455</v>
      </c>
      <c r="I1" s="232" t="s">
        <v>1459</v>
      </c>
      <c r="J1" s="232" t="s">
        <v>1463</v>
      </c>
      <c r="K1" s="232" t="s">
        <v>1467</v>
      </c>
      <c r="L1" s="232" t="s">
        <v>8</v>
      </c>
      <c r="M1" s="232" t="s">
        <v>1863</v>
      </c>
      <c r="N1" s="232" t="s">
        <v>1474</v>
      </c>
      <c r="O1" s="232" t="s">
        <v>1477</v>
      </c>
    </row>
    <row r="2" spans="1:15" ht="14.6" x14ac:dyDescent="0.4">
      <c r="A2" s="272" t="str">
        <f ca="1">LOWER(_xlfn.CONCAT(VLOOKUP(tblAnalysisServices[[#Headers],[analysisServicesName]], tblNamingKeys[],2,FALSE),Company_Tag,INDIRECT(ADDRESS(ROW(),MATCH("ApplicationName", $1:$1,0),4,1)),envTag,PrimaryRegionTag))</f>
        <v>aasquiadapdeveus</v>
      </c>
      <c r="B2" s="272" t="str">
        <f ca="1">LOWER(_xlfn.CONCAT(VLOOKUP(tblAnalysisServices[[#Headers],[ResourceGroupName]], tblNamingKeys[],2,FALSE),"-",Company_Tag,"-",INDIRECT(ADDRESS(ROW(),MATCH("ApplicationName", $1:$1,0),4,1)),"-",envTag,"-",PrimaryRegionTag))</f>
        <v>rg-qui-adap-dev-eus</v>
      </c>
      <c r="C2" s="250" t="s">
        <v>1930</v>
      </c>
      <c r="D2" s="220" t="s">
        <v>820</v>
      </c>
      <c r="E2" s="259" t="str">
        <f>VLOOKUP(tblAnalysisServices[[#This Row],[ApplicationName]],tblDefaultTag[],2,FALSE)</f>
        <v>approver@company.org</v>
      </c>
      <c r="F2" s="252">
        <f>VLOOKUP(tblAnalysisServices[[#This Row],[ApplicationName]],tblDefaultTag[],3,FALSE)</f>
        <v>0</v>
      </c>
      <c r="G2" s="245" t="str">
        <f>VLOOKUP(tblAnalysisServices[[#This Row],[ApplicationName]],tblDefaultTag[],4,FALSE)</f>
        <v>CORP</v>
      </c>
      <c r="H2" s="245" t="str">
        <f>VLOOKUP(tblAnalysisServices[[#This Row],[ApplicationName]],tblDefaultTag[],5,FALSE)</f>
        <v>8675-309</v>
      </c>
      <c r="I2" s="245" t="str">
        <f>VLOOKUP(tblAnalysisServices[[#This Row],[ApplicationName]],tblDefaultTag[],6,FALSE)</f>
        <v>Mission-Critical</v>
      </c>
      <c r="J2" s="245" t="str">
        <f>TEXT(VLOOKUP(tblAnalysisServices[[#This Row],[ApplicationName]],tblDefaultTag[],7,FALSE), "mm/dd/yyyy")</f>
        <v>12/31/9999</v>
      </c>
      <c r="K2" s="245" t="str">
        <f>VLOOKUP(tblAnalysisServices[[#This Row],[ApplicationName]],tblDefaultTag[],8,FALSE)</f>
        <v>dev</v>
      </c>
      <c r="L2" s="259" t="str">
        <f>VLOOKUP(tblAnalysisServices[[#This Row],[ApplicationName]],tblDefaultTag[],9,FALSE)</f>
        <v>owner@company.org</v>
      </c>
      <c r="M2" s="259" t="str">
        <f>VLOOKUP(tblAnalysisServices[[#This Row],[ApplicationName]],tblDefaultTag[],10,FALSE)</f>
        <v>requester@company.org</v>
      </c>
      <c r="N2" s="245" t="str">
        <f>VLOOKUP(tblAnalysisServices[[#This Row],[ApplicationName]],tblDefaultTag[],11,FALSE)</f>
        <v>Gold</v>
      </c>
      <c r="O2" s="245" t="str">
        <f>TEXT(VLOOKUP(tblAnalysisServices[[#This Row],[ApplicationName]],tblDefaultTag[],12,FALSE), "mm/dd/yyyy")</f>
        <v>01/01/2020</v>
      </c>
    </row>
  </sheetData>
  <hyperlinks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1" xr:uid="{671C6C5C-68F4-41E8-AC8A-2F3F14502454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9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5234375" defaultRowHeight="12.9" x14ac:dyDescent="0.35"/>
  <cols>
    <col min="1" max="1" width="25.15234375" style="230" bestFit="1" customWidth="1"/>
    <col min="2" max="2" width="22.07421875" style="241" bestFit="1" customWidth="1"/>
    <col min="3" max="3" width="36.15234375" style="224" customWidth="1"/>
    <col min="4" max="4" width="24.07421875" style="224" bestFit="1" customWidth="1"/>
    <col min="5" max="5" width="30.23046875" style="224" bestFit="1" customWidth="1"/>
    <col min="6" max="6" width="8.53515625" style="230" bestFit="1" customWidth="1"/>
    <col min="7" max="7" width="15.53515625" style="230" bestFit="1" customWidth="1"/>
    <col min="8" max="8" width="5.69140625" style="224" bestFit="1" customWidth="1"/>
    <col min="9" max="9" width="20.3828125" style="224" bestFit="1" customWidth="1"/>
    <col min="10" max="10" width="10.69140625" style="224" bestFit="1" customWidth="1"/>
    <col min="11" max="11" width="5.69140625" style="224" bestFit="1" customWidth="1"/>
    <col min="12" max="12" width="8.53515625" style="224" bestFit="1" customWidth="1"/>
    <col min="13" max="13" width="13.69140625" style="224" bestFit="1" customWidth="1"/>
    <col min="14" max="14" width="10.15234375" style="224" bestFit="1" customWidth="1"/>
    <col min="15" max="15" width="3.84375" style="224" bestFit="1" customWidth="1"/>
    <col min="16" max="16" width="18.3828125" style="224" bestFit="1" customWidth="1"/>
    <col min="17" max="17" width="21.15234375" style="224" bestFit="1" customWidth="1"/>
    <col min="18" max="18" width="4.69140625" style="224" bestFit="1" customWidth="1"/>
    <col min="19" max="19" width="8.15234375" style="224" bestFit="1" customWidth="1"/>
    <col min="20" max="16384" width="9.15234375" style="230"/>
  </cols>
  <sheetData>
    <row r="1" spans="1:19" s="233" customFormat="1" ht="204.9" customHeight="1" x14ac:dyDescent="0.35">
      <c r="A1" s="231" t="s">
        <v>1911</v>
      </c>
      <c r="B1" s="242" t="s">
        <v>1508</v>
      </c>
      <c r="C1" s="221" t="s">
        <v>1908</v>
      </c>
      <c r="D1" s="221" t="s">
        <v>1909</v>
      </c>
      <c r="E1" s="221" t="s">
        <v>1910</v>
      </c>
      <c r="F1" s="231" t="s">
        <v>1906</v>
      </c>
      <c r="G1" s="231" t="s">
        <v>1907</v>
      </c>
      <c r="H1" s="232" t="s">
        <v>941</v>
      </c>
      <c r="I1" s="232" t="s">
        <v>1443</v>
      </c>
      <c r="J1" s="232" t="s">
        <v>1447</v>
      </c>
      <c r="K1" s="232" t="s">
        <v>1451</v>
      </c>
      <c r="L1" s="232" t="s">
        <v>1455</v>
      </c>
      <c r="M1" s="232" t="s">
        <v>1459</v>
      </c>
      <c r="N1" s="232" t="s">
        <v>1463</v>
      </c>
      <c r="O1" s="232" t="s">
        <v>1467</v>
      </c>
      <c r="P1" s="232" t="s">
        <v>8</v>
      </c>
      <c r="Q1" s="232" t="s">
        <v>1863</v>
      </c>
      <c r="R1" s="232" t="s">
        <v>1474</v>
      </c>
      <c r="S1" s="232" t="s">
        <v>1477</v>
      </c>
    </row>
    <row r="2" spans="1:19" x14ac:dyDescent="0.35">
      <c r="A2" s="272" t="str">
        <f ca="1">LOWER(_xlfn.CONCAT(VLOOKUP(tblSQLServersMI[[#Headers],[managedInstanceName]], tblNamingKeys[],2,FALSE),"-",Company_Tag,"-",INDIRECT(ADDRESS(ROW(),MATCH("ApplicationName", $1:$1,0),4,1)),"-",envTag,"-",PrimaryRegionTag))</f>
        <v>sqlmi-qui-adap-dev-eus</v>
      </c>
      <c r="B2" s="272" t="str">
        <f ca="1">LOWER(_xlfn.CONCAT(VLOOKUP(tblSQLServersMI[[#Headers],[ResourceGroupName]], tblNamingKeys[],2,FALSE),"-",Company_Tag,"-",INDIRECT(ADDRESS(ROW(),MATCH("ApplicationName", $1:$1,0),4,1)),"-",envTag,"-",PrimaryRegionTag))</f>
        <v>rg-qui-adap-dev-eus</v>
      </c>
      <c r="C2" s="277" t="str">
        <f ca="1">LOWER(_xlfn.CONCAT(VLOOKUP(tblSQLServersMI[[#Headers],[ResourceGroupName]], tblNamingKeys[],2,FALSE),"-",Company_Tag,"-",INDIRECT(ADDRESS(ROW(),MATCH("ApplicationName", $1:$1,0),4,1)),"-",VLOOKUP(tblSQLServersMI[[#Headers],[virtualNetworkResourceGroupName]], tblNamingKeys[],3,FALSE),"-",envTag,"-",PrimaryRegionTag))</f>
        <v>rg-qui-adap-network-dev-eus</v>
      </c>
      <c r="D2" s="277" t="str">
        <f ca="1">LOWER(_xlfn.CONCAT(VLOOKUP(tblSQLServersMI[[#Headers],[virtualNetworkName]], tblNamingKeys[],2,FALSE),"-",Company_Tag,"-",INDIRECT(ADDRESS(ROW(),MATCH("ApplicationName", $1:$1,0),4,1)),"-",envTag,"-",PrimaryRegionTag))</f>
        <v>vnet-qui-adap-dev-eus</v>
      </c>
      <c r="E2" s="277" t="str">
        <f ca="1">LOWER(_xlfn.CONCAT(VLOOKUP(tblSQLServersMI[[#Headers],[subnetName]], tblNamingKeys[],2,FALSE),"-",Company_Tag,"-",INDIRECT(ADDRESS(2,MATCH("ApplicationName", $1:$1,0),4,1)),"-",envTag,"-",PrimaryRegionTag,"-sqlmi"))</f>
        <v>snet-qui-adap-dev-eus-sqlmi</v>
      </c>
      <c r="F2" s="230" t="s">
        <v>873</v>
      </c>
      <c r="G2" s="230" t="s">
        <v>874</v>
      </c>
      <c r="H2" s="220" t="s">
        <v>820</v>
      </c>
      <c r="I2" s="259" t="str">
        <f>VLOOKUP(tblSQLServersMI[[#This Row],[ApplicationName]],tblDefaultTag[],2,FALSE)</f>
        <v>approver@company.org</v>
      </c>
      <c r="J2" s="252">
        <f>VLOOKUP(tblSQLServersMI[[#This Row],[ApplicationName]],tblDefaultTag[],3,FALSE)</f>
        <v>0</v>
      </c>
      <c r="K2" s="245" t="str">
        <f>VLOOKUP(tblSQLServersMI[[#This Row],[ApplicationName]],tblDefaultTag[],4,FALSE)</f>
        <v>CORP</v>
      </c>
      <c r="L2" s="245" t="str">
        <f>VLOOKUP(tblSQLServersMI[[#This Row],[ApplicationName]],tblDefaultTag[],5,FALSE)</f>
        <v>8675-309</v>
      </c>
      <c r="M2" s="245" t="str">
        <f>VLOOKUP(tblSQLServersMI[[#This Row],[ApplicationName]],tblDefaultTag[],6,FALSE)</f>
        <v>Mission-Critical</v>
      </c>
      <c r="N2" s="245" t="str">
        <f>TEXT(VLOOKUP(tblSQLServersMI[[#This Row],[ApplicationName]],tblDefaultTag[],7,FALSE), "mm/dd/yyyy")</f>
        <v>12/31/9999</v>
      </c>
      <c r="O2" s="245" t="str">
        <f>VLOOKUP(tblSQLServersMI[[#This Row],[ApplicationName]],tblDefaultTag[],8,FALSE)</f>
        <v>dev</v>
      </c>
      <c r="P2" s="259" t="str">
        <f>VLOOKUP(tblSQLServersMI[[#This Row],[ApplicationName]],tblDefaultTag[],9,FALSE)</f>
        <v>owner@company.org</v>
      </c>
      <c r="Q2" s="259" t="str">
        <f>VLOOKUP(tblSQLServersMI[[#This Row],[ApplicationName]],tblDefaultTag[],10,FALSE)</f>
        <v>requester@company.org</v>
      </c>
      <c r="R2" s="245" t="str">
        <f>VLOOKUP(tblSQLServersMI[[#This Row],[ApplicationName]],tblDefaultTag[],11,FALSE)</f>
        <v>Gold</v>
      </c>
      <c r="S2" s="245" t="str">
        <f>TEXT(VLOOKUP(tblSQLServersMI[[#This Row],[ApplicationName]],tblDefaultTag[],12,FALSE), "mm/dd/yyyy")</f>
        <v>01/01/2020</v>
      </c>
    </row>
    <row r="3" spans="1:19" s="224" customFormat="1" x14ac:dyDescent="0.35">
      <c r="B3" s="241"/>
    </row>
    <row r="4" spans="1:19" s="224" customFormat="1" x14ac:dyDescent="0.35">
      <c r="B4" s="241"/>
      <c r="C4" s="272"/>
      <c r="D4" s="272"/>
      <c r="E4" s="272"/>
    </row>
    <row r="5" spans="1:19" s="224" customFormat="1" x14ac:dyDescent="0.35">
      <c r="B5" s="241"/>
    </row>
    <row r="6" spans="1:19" s="224" customFormat="1" x14ac:dyDescent="0.35">
      <c r="B6" s="241"/>
    </row>
    <row r="7" spans="1:19" s="224" customFormat="1" x14ac:dyDescent="0.35">
      <c r="B7" s="241"/>
    </row>
    <row r="8" spans="1:19" s="224" customFormat="1" x14ac:dyDescent="0.35">
      <c r="B8" s="241"/>
    </row>
    <row r="9" spans="1:19" s="224" customFormat="1" x14ac:dyDescent="0.35">
      <c r="B9" s="241"/>
    </row>
  </sheetData>
  <hyperlinks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9.23046875" style="239" bestFit="1" customWidth="1"/>
    <col min="2" max="2" width="35" style="241" customWidth="1"/>
    <col min="3" max="3" width="21" style="248" customWidth="1"/>
    <col min="4" max="4" width="5" style="237" bestFit="1" customWidth="1"/>
    <col min="5" max="5" width="6.3046875" style="238" bestFit="1" customWidth="1"/>
    <col min="6" max="6" width="25.15234375" style="238" bestFit="1" customWidth="1"/>
    <col min="7" max="7" width="3.84375" style="238" bestFit="1" customWidth="1"/>
    <col min="8" max="8" width="6.3828125" style="238" bestFit="1" customWidth="1"/>
    <col min="9" max="9" width="9.3046875" style="238" bestFit="1" customWidth="1"/>
    <col min="10" max="10" width="15.53515625" style="238" bestFit="1" customWidth="1"/>
    <col min="11" max="11" width="10.84375" style="238" bestFit="1" customWidth="1"/>
    <col min="12" max="12" width="5.3046875" style="238" bestFit="1" customWidth="1"/>
    <col min="13" max="13" width="22.3046875" style="238" bestFit="1" customWidth="1"/>
    <col min="14" max="14" width="25.53515625" style="238" bestFit="1" customWidth="1"/>
    <col min="15" max="15" width="5.3046875" style="238" bestFit="1" customWidth="1"/>
    <col min="16" max="16" width="10.84375" style="238" bestFit="1" customWidth="1"/>
    <col min="17" max="16384" width="9.15234375" style="237"/>
  </cols>
  <sheetData>
    <row r="1" spans="1:16" s="183" customFormat="1" ht="125.15" customHeight="1" x14ac:dyDescent="0.4">
      <c r="A1" s="234" t="s">
        <v>1513</v>
      </c>
      <c r="B1" s="242" t="s">
        <v>1508</v>
      </c>
      <c r="C1" s="247" t="s">
        <v>1509</v>
      </c>
      <c r="D1" s="234" t="s">
        <v>1514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1863</v>
      </c>
      <c r="O1" s="236" t="s">
        <v>1474</v>
      </c>
      <c r="P1" s="236" t="s">
        <v>1477</v>
      </c>
    </row>
    <row r="2" spans="1:16" x14ac:dyDescent="0.35">
      <c r="A2" s="272" t="str">
        <f ca="1">LOWER(_xlfn.CONCAT(VLOOKUP(tblStorageContainers[[#Headers],[ContainerName]], tblNamingKeys[],2,FALSE),"-",Company_Tag,"-",INDIRECT(ADDRESS(ROW(),MATCH("ApplicationName", $1:$1,0),4,1)),"-",envTag,"-",PrimaryRegionTag))</f>
        <v>aci-qui-adap-dev-eus</v>
      </c>
      <c r="B2" s="272" t="str">
        <f ca="1">LOWER(_xlfn.CONCAT(VLOOKUP(tblStorageContainers[[#Headers],[ResourceGroupName]], tblNamingKeys[],2,FALSE),"-",Company_Tag,"-",INDIRECT(ADDRESS(ROW(),MATCH("ApplicationName", $1:$1,0),4,1)),"-",envTag,"-",PrimaryRegionTag))</f>
        <v>rg-qui-adap-dev-eus</v>
      </c>
      <c r="C2" s="272" t="str">
        <f ca="1">LOWER(_xlfn.CONCAT(VLOOKUP(tblStorageContainers[[#Headers],[StorageAccountName]], tblNamingKeys[],2,FALSE),Company_Tag,INDIRECT(ADDRESS(ROW(),MATCH("ApplicationName", $1:$1,0),4,1)),envTag,PrimaryRegionTag))</f>
        <v>stgquiadapdeveus</v>
      </c>
      <c r="D2" s="237" t="s">
        <v>1329</v>
      </c>
      <c r="E2" s="220" t="s">
        <v>820</v>
      </c>
      <c r="F2" s="259" t="str">
        <f>VLOOKUP(tblStorageContainers[[#This Row],[ApplicationName]],tblDefaultTag[],2,FALSE)</f>
        <v>approver@company.org</v>
      </c>
      <c r="G2" s="252">
        <f>VLOOKUP(tblStorageContainers[[#This Row],[ApplicationName]],tblDefaultTag[],3,FALSE)</f>
        <v>0</v>
      </c>
      <c r="H2" s="245" t="str">
        <f>VLOOKUP(tblStorageContainers[[#This Row],[ApplicationName]],tblDefaultTag[],4,FALSE)</f>
        <v>CORP</v>
      </c>
      <c r="I2" s="245" t="str">
        <f>VLOOKUP(tblStorageContainers[[#This Row],[ApplicationName]],tblDefaultTag[],5,FALSE)</f>
        <v>8675-309</v>
      </c>
      <c r="J2" s="245" t="str">
        <f>VLOOKUP(tblStorageContainers[[#This Row],[ApplicationName]],tblDefaultTag[],6,FALSE)</f>
        <v>Mission-Critical</v>
      </c>
      <c r="K2" s="245" t="str">
        <f>TEXT(VLOOKUP(tblStorageContainers[[#This Row],[ApplicationName]],tblDefaultTag[],7,FALSE), "mm/dd/yyyy")</f>
        <v>12/31/9999</v>
      </c>
      <c r="L2" s="245" t="str">
        <f>VLOOKUP(tblStorageContainers[[#This Row],[ApplicationName]],tblDefaultTag[],8,FALSE)</f>
        <v>dev</v>
      </c>
      <c r="M2" s="259" t="str">
        <f>VLOOKUP(tblStorageContainers[[#This Row],[ApplicationName]],tblDefaultTag[],9,FALSE)</f>
        <v>owner@company.org</v>
      </c>
      <c r="N2" s="259" t="str">
        <f>VLOOKUP(tblStorageContainers[[#This Row],[ApplicationName]],tblDefaultTag[],10,FALSE)</f>
        <v>requester@company.org</v>
      </c>
      <c r="O2" s="245" t="str">
        <f>VLOOKUP(tblStorageContainers[[#This Row],[ApplicationName]],tblDefaultTag[],11,FALSE)</f>
        <v>Gold</v>
      </c>
      <c r="P2" s="245" t="str">
        <f>TEXT(VLOOKUP(tblStorageContainers[[#This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46559AB6-CBA4-4EDD-B24C-C0274C483E51}">
      <formula1>publicAccess</formula1>
    </dataValidation>
  </dataValidations>
  <hyperlinks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7" style="248" bestFit="1" customWidth="1"/>
    <col min="2" max="2" width="22.07421875" style="241" bestFit="1" customWidth="1"/>
    <col min="3" max="3" width="22.3046875" style="248" customWidth="1"/>
    <col min="4" max="4" width="5" style="237" bestFit="1" customWidth="1"/>
    <col min="5" max="5" width="5.69140625" style="238" bestFit="1" customWidth="1"/>
    <col min="6" max="6" width="24" style="238" bestFit="1" customWidth="1"/>
    <col min="7" max="7" width="3.69140625" style="238" bestFit="1" customWidth="1"/>
    <col min="8" max="8" width="5.69140625" style="238" bestFit="1" customWidth="1"/>
    <col min="9" max="9" width="8.53515625" style="238" bestFit="1" customWidth="1"/>
    <col min="10" max="10" width="13.69140625" style="238" bestFit="1" customWidth="1"/>
    <col min="11" max="11" width="10.15234375" style="238" bestFit="1" customWidth="1"/>
    <col min="12" max="12" width="4.15234375" style="238" bestFit="1" customWidth="1"/>
    <col min="13" max="13" width="21.53515625" style="238" bestFit="1" customWidth="1"/>
    <col min="14" max="14" width="24.84375" style="238" bestFit="1" customWidth="1"/>
    <col min="15" max="15" width="4.69140625" style="238" bestFit="1" customWidth="1"/>
    <col min="16" max="16" width="10.15234375" style="238" bestFit="1" customWidth="1"/>
    <col min="17" max="16384" width="9.15234375" style="237"/>
  </cols>
  <sheetData>
    <row r="1" spans="1:16" ht="125.15" customHeight="1" x14ac:dyDescent="0.35">
      <c r="A1" s="247" t="s">
        <v>1331</v>
      </c>
      <c r="B1" s="242" t="s">
        <v>1508</v>
      </c>
      <c r="C1" s="247" t="s">
        <v>1509</v>
      </c>
      <c r="D1" s="234" t="s">
        <v>1328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1863</v>
      </c>
      <c r="O1" s="236" t="s">
        <v>1474</v>
      </c>
      <c r="P1" s="236" t="s">
        <v>1477</v>
      </c>
    </row>
    <row r="2" spans="1:16" x14ac:dyDescent="0.35">
      <c r="A2" s="248" t="s">
        <v>1332</v>
      </c>
      <c r="B2" s="272" t="str">
        <f ca="1">LOWER(_xlfn.CONCAT(VLOOKUP(tblAzureFiles[[#Headers],[ResourceGroupName]], tblNamingKeys[],2,FALSE),"-",Company_Tag,"-",INDIRECT(ADDRESS(ROW(),MATCH("ApplicationName", $1:$1,0),4,1)),"-",envTag,"-",PrimaryRegionTag))</f>
        <v>rg-qui-adap-dev-eus</v>
      </c>
      <c r="C2" s="272" t="str">
        <f ca="1">LOWER(_xlfn.CONCAT(VLOOKUP(tblAzureFiles[[#Headers],[StorageAccountName]], tblNamingKeys[],2,FALSE),Company_Tag,INDIRECT(ADDRESS(ROW(),MATCH("ApplicationName", $1:$1,0),4,1)),envTag,PrimaryRegionTag))</f>
        <v>stgquiadapdeveus</v>
      </c>
      <c r="D2" s="237" t="s">
        <v>1329</v>
      </c>
      <c r="E2" s="220" t="s">
        <v>820</v>
      </c>
      <c r="F2" s="259" t="str">
        <f>VLOOKUP(tblAzureFiles[[#This Row],[ApplicationName]],tblDefaultTag[],2,FALSE)</f>
        <v>approver@company.org</v>
      </c>
      <c r="G2" s="252">
        <f>VLOOKUP(tblAzureFiles[[#This Row],[ApplicationName]],tblDefaultTag[],3,FALSE)</f>
        <v>0</v>
      </c>
      <c r="H2" s="245" t="str">
        <f>VLOOKUP(tblAzureFiles[[#This Row],[ApplicationName]],tblDefaultTag[],4,FALSE)</f>
        <v>CORP</v>
      </c>
      <c r="I2" s="245" t="str">
        <f>VLOOKUP(tblAzureFiles[[#This Row],[ApplicationName]],tblDefaultTag[],5,FALSE)</f>
        <v>8675-309</v>
      </c>
      <c r="J2" s="245" t="str">
        <f>VLOOKUP(tblAzureFiles[[#This Row],[ApplicationName]],tblDefaultTag[],6,FALSE)</f>
        <v>Mission-Critical</v>
      </c>
      <c r="K2" s="245" t="str">
        <f>TEXT(VLOOKUP(tblAzureFiles[[#This Row],[ApplicationName]],tblDefaultTag[],7,FALSE), "mm/dd/yyyy")</f>
        <v>12/31/9999</v>
      </c>
      <c r="L2" s="245" t="str">
        <f>VLOOKUP(tblAzureFiles[[#This Row],[ApplicationName]],tblDefaultTag[],8,FALSE)</f>
        <v>dev</v>
      </c>
      <c r="M2" s="259" t="str">
        <f>VLOOKUP(tblAzureFiles[[#This Row],[ApplicationName]],tblDefaultTag[],9,FALSE)</f>
        <v>owner@company.org</v>
      </c>
      <c r="N2" s="259" t="str">
        <f>VLOOKUP(tblAzureFiles[[#This Row],[ApplicationName]],tblDefaultTag[],10,FALSE)</f>
        <v>requester@company.org</v>
      </c>
      <c r="O2" s="245" t="str">
        <f>VLOOKUP(tblAzureFiles[[#This Row],[ApplicationName]],tblDefaultTag[],11,FALSE)</f>
        <v>Gold</v>
      </c>
      <c r="P2" s="245" t="str">
        <f>TEXT(VLOOKUP(tblAzureFiles[[#This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FEA3B897-C989-4EE2-BA0B-58B08E95741F}">
      <formula1>publicAccess</formula1>
    </dataValidation>
  </dataValidations>
  <hyperlinks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8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3.07421875" style="241" bestFit="1" customWidth="1"/>
    <col min="2" max="2" width="22.07421875" style="241" bestFit="1" customWidth="1"/>
    <col min="3" max="3" width="6.23046875" style="238" bestFit="1" customWidth="1"/>
    <col min="4" max="4" width="25.15234375" style="238" bestFit="1" customWidth="1"/>
    <col min="5" max="5" width="3.84375" style="238" bestFit="1" customWidth="1"/>
    <col min="6" max="6" width="7.53515625" style="238" bestFit="1" customWidth="1"/>
    <col min="7" max="7" width="8.3046875" style="238" bestFit="1" customWidth="1"/>
    <col min="8" max="8" width="13.3828125" style="238" bestFit="1" customWidth="1"/>
    <col min="9" max="9" width="10.23046875" style="238" bestFit="1" customWidth="1"/>
    <col min="10" max="10" width="3.61328125" style="238" bestFit="1" customWidth="1"/>
    <col min="11" max="11" width="22.07421875" style="238" bestFit="1" customWidth="1"/>
    <col min="12" max="12" width="26.15234375" style="238" bestFit="1" customWidth="1"/>
    <col min="13" max="13" width="4.53515625" style="238" bestFit="1" customWidth="1"/>
    <col min="14" max="14" width="10.23046875" style="238" bestFit="1" customWidth="1"/>
    <col min="15" max="16384" width="9.15234375" style="238"/>
  </cols>
  <sheetData>
    <row r="1" spans="1:14" s="223" customFormat="1" ht="125.15" customHeight="1" x14ac:dyDescent="0.4">
      <c r="A1" s="242" t="s">
        <v>1864</v>
      </c>
      <c r="B1" s="242" t="s">
        <v>1508</v>
      </c>
      <c r="C1" s="236" t="s">
        <v>941</v>
      </c>
      <c r="D1" s="236" t="s">
        <v>1443</v>
      </c>
      <c r="E1" s="236" t="s">
        <v>1447</v>
      </c>
      <c r="F1" s="236" t="s">
        <v>1451</v>
      </c>
      <c r="G1" s="236" t="s">
        <v>1455</v>
      </c>
      <c r="H1" s="236" t="s">
        <v>1459</v>
      </c>
      <c r="I1" s="236" t="s">
        <v>1463</v>
      </c>
      <c r="J1" s="236" t="s">
        <v>1467</v>
      </c>
      <c r="K1" s="236" t="s">
        <v>8</v>
      </c>
      <c r="L1" s="236" t="s">
        <v>1863</v>
      </c>
      <c r="M1" s="236" t="s">
        <v>1474</v>
      </c>
      <c r="N1" s="236" t="s">
        <v>1477</v>
      </c>
    </row>
    <row r="2" spans="1:14" x14ac:dyDescent="0.35">
      <c r="A2" s="272" t="str">
        <f ca="1">LOWER(_xlfn.CONCAT(VLOOKUP(tblDataFactory[[#Headers],[DataFactoryName]], tblNamingKeys[],2,FALSE),"-",Company_Tag,"-",INDIRECT(ADDRESS(ROW(),MATCH("ApplicationName", $1:$1,0),4,1)),"-",envTag,"-",PrimaryRegionTag))</f>
        <v>dfa-qui-adap-dev-eus</v>
      </c>
      <c r="B2" s="272" t="str">
        <f ca="1">LOWER(_xlfn.CONCAT(VLOOKUP(tblDataFactory[[#Headers],[ResourceGroupName]], tblNamingKeys[],2,FALSE),"-",Company_Tag,"-",INDIRECT(ADDRESS(ROW(),MATCH("ApplicationName", $1:$1,0),4,1)),"-",envTag,"-",PrimaryRegionTag))</f>
        <v>rg-qui-adap-dev-eus</v>
      </c>
      <c r="C2" s="220" t="s">
        <v>820</v>
      </c>
      <c r="D2" s="259" t="str">
        <f>VLOOKUP(tblDataFactory[[#This Row],[ApplicationName]],tblDefaultTag[],2,FALSE)</f>
        <v>approver@company.org</v>
      </c>
      <c r="E2" s="252">
        <f>VLOOKUP(tblSQLServersMI[[#This Row],[ApplicationName]],tblDefaultTag[],3,FALSE)</f>
        <v>0</v>
      </c>
      <c r="F2" s="245" t="str">
        <f>VLOOKUP(tblSQLServersMI[[#This Row],[ApplicationName]],tblDefaultTag[],4,FALSE)</f>
        <v>CORP</v>
      </c>
      <c r="G2" s="245" t="str">
        <f>VLOOKUP(tblSQLServersMI[[#This Row],[ApplicationName]],tblDefaultTag[],5,FALSE)</f>
        <v>8675-309</v>
      </c>
      <c r="H2" s="245" t="str">
        <f>VLOOKUP(tblSQLServersMI[[#This Row],[ApplicationName]],tblDefaultTag[],6,FALSE)</f>
        <v>Mission-Critical</v>
      </c>
      <c r="I2" s="245" t="str">
        <f>TEXT(VLOOKUP(tblSQLServersMI[[#This Row],[ApplicationName]],tblDefaultTag[],7,FALSE), "mm/dd/yyyy")</f>
        <v>12/31/9999</v>
      </c>
      <c r="J2" s="245" t="str">
        <f>VLOOKUP(tblSQLServersMI[[#This Row],[ApplicationName]],tblDefaultTag[],8,FALSE)</f>
        <v>dev</v>
      </c>
      <c r="K2" s="259" t="str">
        <f>VLOOKUP(tblSQLServersMI[[#This Row],[ApplicationName]],tblDefaultTag[],9,FALSE)</f>
        <v>owner@company.org</v>
      </c>
      <c r="L2" s="259" t="str">
        <f>VLOOKUP(tblSQLServersMI[[#This Row],[ApplicationName]],tblDefaultTag[],10,FALSE)</f>
        <v>requester@company.org</v>
      </c>
      <c r="M2" s="245" t="str">
        <f>VLOOKUP(tblSQLServersMI[[#This Row],[ApplicationName]],tblDefaultTag[],11,FALSE)</f>
        <v>Gold</v>
      </c>
      <c r="N2" s="245" t="str">
        <f>TEXT(VLOOKUP(tblSQLServersMI[[#This Row],[ApplicationName]],tblDefaultTag[],12,FALSE), "mm/dd/yyyy")</f>
        <v>01/01/2020</v>
      </c>
    </row>
    <row r="8" spans="1:14" x14ac:dyDescent="0.35">
      <c r="D8" s="241"/>
    </row>
  </sheetData>
  <phoneticPr fontId="17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4.07421875" style="241" bestFit="1" customWidth="1"/>
    <col min="2" max="3" width="5.23046875" style="238" bestFit="1" customWidth="1"/>
    <col min="4" max="4" width="3.3828125" style="238" bestFit="1" customWidth="1"/>
    <col min="5" max="5" width="22.07421875" style="241" bestFit="1" customWidth="1"/>
    <col min="6" max="6" width="5.4609375" style="238" bestFit="1" customWidth="1"/>
    <col min="7" max="7" width="21.07421875" style="238" bestFit="1" customWidth="1"/>
    <col min="8" max="8" width="3.3828125" style="238" bestFit="1" customWidth="1"/>
    <col min="9" max="9" width="5.4609375" style="238" bestFit="1" customWidth="1"/>
    <col min="10" max="10" width="8.3046875" style="238" bestFit="1" customWidth="1"/>
    <col min="11" max="11" width="13.3828125" style="238" bestFit="1" customWidth="1"/>
    <col min="12" max="12" width="10.23046875" style="238" bestFit="1" customWidth="1"/>
    <col min="13" max="13" width="3.61328125" style="238" bestFit="1" customWidth="1"/>
    <col min="14" max="14" width="18" style="238" bestFit="1" customWidth="1"/>
    <col min="15" max="15" width="22.07421875" style="238" bestFit="1" customWidth="1"/>
    <col min="16" max="16" width="4.53515625" style="238" bestFit="1" customWidth="1"/>
    <col min="17" max="17" width="10.23046875" style="238" bestFit="1" customWidth="1"/>
    <col min="18" max="16384" width="9.15234375" style="238"/>
  </cols>
  <sheetData>
    <row r="1" spans="1:17" s="223" customFormat="1" ht="156.75" customHeight="1" x14ac:dyDescent="0.4">
      <c r="A1" s="242" t="s">
        <v>1866</v>
      </c>
      <c r="B1" s="235" t="s">
        <v>1868</v>
      </c>
      <c r="C1" s="235" t="s">
        <v>1869</v>
      </c>
      <c r="D1" s="235" t="s">
        <v>1870</v>
      </c>
      <c r="E1" s="242" t="s">
        <v>1508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1863</v>
      </c>
      <c r="P1" s="236" t="s">
        <v>1474</v>
      </c>
      <c r="Q1" s="236" t="s">
        <v>1477</v>
      </c>
    </row>
    <row r="2" spans="1:17" x14ac:dyDescent="0.35">
      <c r="A2" s="272" t="str">
        <f ca="1">LOWER(_xlfn.CONCAT(VLOOKUP(tblEventHubNmSpc[[#Headers],[EventHubNamespaceName]], tblNamingKeys[],2,FALSE),"-",Company_Tag,"-",INDIRECT(ADDRESS(ROW(),MATCH("ApplicationName", $1:$1,0),4,1)),"-",envTag,"-",PrimaryRegionTag))</f>
        <v>ehns-qui-adap-dev-eus</v>
      </c>
      <c r="B2" s="238" t="s">
        <v>29</v>
      </c>
      <c r="C2" s="238" t="s">
        <v>29</v>
      </c>
      <c r="D2" s="238" t="s">
        <v>658</v>
      </c>
      <c r="E2" s="272" t="str">
        <f ca="1">LOWER(_xlfn.CONCAT(VLOOKUP(tblEventHubNmSpc[[#Headers],[ResourceGroupName]], tblNamingKeys[],2,FALSE),"-",Company_Tag,"-",INDIRECT(ADDRESS(ROW(),MATCH("ApplicationName", $1:$1,0),4,1)),"-",envTag,"-",PrimaryRegionTag))</f>
        <v>rg-qui-adap-dev-eus</v>
      </c>
      <c r="F2" s="220" t="s">
        <v>820</v>
      </c>
      <c r="G2" s="259" t="str">
        <f>VLOOKUP(tblEventHubNmSpc[[#This Row],[ApplicationName]],tblDefaultTag[],2,FALSE)</f>
        <v>approver@company.org</v>
      </c>
      <c r="H2" s="252">
        <f>VLOOKUP(tblEventHubNmSpc[[#This Row],[ApplicationName]],tblDefaultTag[],3,FALSE)</f>
        <v>0</v>
      </c>
      <c r="I2" s="245" t="str">
        <f>VLOOKUP(tblEventHubNmSpc[[#This Row],[ApplicationName]],tblDefaultTag[],4,FALSE)</f>
        <v>CORP</v>
      </c>
      <c r="J2" s="245" t="str">
        <f>VLOOKUP(tblEventHubNmSpc[[#This Row],[ApplicationName]],tblDefaultTag[],5,FALSE)</f>
        <v>8675-309</v>
      </c>
      <c r="K2" s="245" t="str">
        <f>VLOOKUP(tblEventHubNmSpc[[#This Row],[ApplicationName]],tblDefaultTag[],6,FALSE)</f>
        <v>Mission-Critical</v>
      </c>
      <c r="L2" s="245" t="str">
        <f>TEXT(VLOOKUP(tblEventHubNmSpc[[#This Row],[ApplicationName]],tblDefaultTag[],7,FALSE), "mm/dd/yyyy")</f>
        <v>12/31/9999</v>
      </c>
      <c r="M2" s="245" t="str">
        <f>VLOOKUP(tblEventHubNmSpc[[#This Row],[ApplicationName]],tblDefaultTag[],8,FALSE)</f>
        <v>dev</v>
      </c>
      <c r="N2" s="259" t="str">
        <f>VLOOKUP(tblEventHubNmSpc[[#This Row],[ApplicationName]],tblDefaultTag[],9,FALSE)</f>
        <v>owner@company.org</v>
      </c>
      <c r="O2" s="259" t="str">
        <f>VLOOKUP(tblEventHubNmSpc[[#This Row],[ApplicationName]],tblDefaultTag[],10,FALSE)</f>
        <v>requester@company.org</v>
      </c>
      <c r="P2" s="245" t="str">
        <f>VLOOKUP(tblEventHubNmSpc[[#This Row],[ApplicationName]],tblDefaultTag[],11,FALSE)</f>
        <v>Gold</v>
      </c>
      <c r="Q2" s="245" t="str">
        <f>TEXT(VLOOKUP(tblEventHubNmSpc[[#This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0" style="241" bestFit="1" customWidth="1"/>
    <col min="2" max="2" width="22.07421875" style="241" bestFit="1" customWidth="1"/>
    <col min="3" max="4" width="3.3828125" style="238" bestFit="1" customWidth="1"/>
    <col min="5" max="5" width="20" style="241" bestFit="1" customWidth="1"/>
    <col min="6" max="6" width="5.4609375" style="238" bestFit="1" customWidth="1"/>
    <col min="7" max="7" width="21.07421875" style="238" bestFit="1" customWidth="1"/>
    <col min="8" max="8" width="3.3828125" style="238" bestFit="1" customWidth="1"/>
    <col min="9" max="9" width="5.4609375" style="238" bestFit="1" customWidth="1"/>
    <col min="10" max="10" width="8.3046875" style="238" bestFit="1" customWidth="1"/>
    <col min="11" max="11" width="13.3828125" style="238" bestFit="1" customWidth="1"/>
    <col min="12" max="12" width="10.23046875" style="238" bestFit="1" customWidth="1"/>
    <col min="13" max="13" width="3.61328125" style="238" bestFit="1" customWidth="1"/>
    <col min="14" max="14" width="18" style="238" bestFit="1" customWidth="1"/>
    <col min="15" max="15" width="22.07421875" style="238" bestFit="1" customWidth="1"/>
    <col min="16" max="16" width="4.53515625" style="238" bestFit="1" customWidth="1"/>
    <col min="17" max="17" width="10.23046875" style="238" bestFit="1" customWidth="1"/>
    <col min="18" max="16384" width="9.15234375" style="238"/>
  </cols>
  <sheetData>
    <row r="1" spans="1:17" s="223" customFormat="1" ht="156.75" customHeight="1" x14ac:dyDescent="0.4">
      <c r="A1" s="242" t="s">
        <v>1871</v>
      </c>
      <c r="B1" s="242" t="s">
        <v>1866</v>
      </c>
      <c r="C1" s="242" t="s">
        <v>1873</v>
      </c>
      <c r="D1" s="242" t="s">
        <v>1872</v>
      </c>
      <c r="E1" s="242" t="s">
        <v>1508</v>
      </c>
      <c r="F1" s="251" t="s">
        <v>941</v>
      </c>
      <c r="G1" s="251" t="s">
        <v>1443</v>
      </c>
      <c r="H1" s="251" t="s">
        <v>1447</v>
      </c>
      <c r="I1" s="251" t="s">
        <v>1451</v>
      </c>
      <c r="J1" s="251" t="s">
        <v>1455</v>
      </c>
      <c r="K1" s="251" t="s">
        <v>1459</v>
      </c>
      <c r="L1" s="251" t="s">
        <v>1463</v>
      </c>
      <c r="M1" s="251" t="s">
        <v>1467</v>
      </c>
      <c r="N1" s="251" t="s">
        <v>8</v>
      </c>
      <c r="O1" s="251" t="s">
        <v>1863</v>
      </c>
      <c r="P1" s="251" t="s">
        <v>1474</v>
      </c>
      <c r="Q1" s="251" t="s">
        <v>1477</v>
      </c>
    </row>
    <row r="2" spans="1:17" x14ac:dyDescent="0.35">
      <c r="A2" s="272" t="str">
        <f ca="1">LOWER(_xlfn.CONCAT(VLOOKUP(tblEventHubHub[[#Headers],[EventHubName]], tblNamingKeys[],2,FALSE),"-",Company_Tag,"-",INDIRECT(ADDRESS(2,MATCH("ApplicationName", $1:$1,0),4,1)),"-",envTag,"-",PrimaryRegionTag))</f>
        <v>eh-qui-adap-dev-eus</v>
      </c>
      <c r="B2" s="272" t="str">
        <f ca="1">LOWER(_xlfn.CONCAT(VLOOKUP(tblEventHubHub[[#Headers],[EventHubNamespaceName]], tblNamingKeys[],2,FALSE),"-",Company_Tag,"-",INDIRECT(ADDRESS(ROW(),MATCH("ApplicationName", $1:$1,0),4,1)),"-",envTag,"-",PrimaryRegionTag))</f>
        <v>ehns-qui-adap-dev-eus</v>
      </c>
      <c r="C2" s="241" t="s">
        <v>1899</v>
      </c>
      <c r="D2" s="241" t="s">
        <v>658</v>
      </c>
      <c r="E2" s="272" t="str">
        <f ca="1">LOWER(_xlfn.CONCAT(VLOOKUP(tblEventHubHub[[#Headers],[ResourceGroupName]], tblNamingKeys[],2,FALSE),"-",Company_Tag,"-",INDIRECT(ADDRESS(ROW(),MATCH("ApplicationName", $1:$1,0),4,1)),"-",envTag,"-",PrimaryRegionTag))</f>
        <v>rg-qui-adap-dev-eus</v>
      </c>
      <c r="F2" s="245" t="s">
        <v>820</v>
      </c>
      <c r="G2" s="259" t="str">
        <f>VLOOKUP(tblEventHubHub[[#This Row],[ApplicationName]],tblDefaultTag[],2,FALSE)</f>
        <v>approver@company.org</v>
      </c>
      <c r="H2" s="252">
        <f>VLOOKUP(tblEventHubHub[[#This Row],[ApplicationName]],tblDefaultTag[],3,FALSE)</f>
        <v>0</v>
      </c>
      <c r="I2" s="245" t="str">
        <f>VLOOKUP(tblEventHubHub[[#This Row],[ApplicationName]],tblDefaultTag[],4,FALSE)</f>
        <v>CORP</v>
      </c>
      <c r="J2" s="245" t="str">
        <f>VLOOKUP(tblEventHubHub[[#This Row],[ApplicationName]],tblDefaultTag[],5,FALSE)</f>
        <v>8675-309</v>
      </c>
      <c r="K2" s="245" t="str">
        <f>VLOOKUP(tblEventHubHub[[#This Row],[ApplicationName]],tblDefaultTag[],6,FALSE)</f>
        <v>Mission-Critical</v>
      </c>
      <c r="L2" s="245" t="str">
        <f>TEXT(VLOOKUP(tblEventHubHub[[#This Row],[ApplicationName]],tblDefaultTag[],7,FALSE), "mm/dd/yyyy")</f>
        <v>12/31/9999</v>
      </c>
      <c r="M2" s="245" t="str">
        <f>VLOOKUP(tblEventHubHub[[#This Row],[ApplicationName]],tblDefaultTag[],8,FALSE)</f>
        <v>dev</v>
      </c>
      <c r="N2" s="259" t="str">
        <f>VLOOKUP(tblEventHubHub[[#This Row],[ApplicationName]],tblDefaultTag[],9,FALSE)</f>
        <v>owner@company.org</v>
      </c>
      <c r="O2" s="259" t="str">
        <f>VLOOKUP(tblEventHubHub[[#This Row],[ApplicationName]],tblDefaultTag[],10,FALSE)</f>
        <v>requester@company.org</v>
      </c>
      <c r="P2" s="245" t="str">
        <f>VLOOKUP(tblEventHubHub[[#This Row],[ApplicationName]],tblDefaultTag[],11,FALSE)</f>
        <v>Gold</v>
      </c>
      <c r="Q2" s="245" t="str">
        <f>TEXT(VLOOKUP(tblEventHubHub[[#This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0" style="241" bestFit="1" customWidth="1"/>
    <col min="2" max="2" width="8.15234375" style="241" bestFit="1" customWidth="1"/>
    <col min="3" max="3" width="20" style="241" bestFit="1" customWidth="1"/>
    <col min="4" max="4" width="5.4609375" style="238" bestFit="1" customWidth="1"/>
    <col min="5" max="5" width="21.07421875" style="238" bestFit="1" customWidth="1"/>
    <col min="6" max="6" width="3.3828125" style="238" bestFit="1" customWidth="1"/>
    <col min="7" max="7" width="5.4609375" style="238" bestFit="1" customWidth="1"/>
    <col min="8" max="8" width="8.3046875" style="238" bestFit="1" customWidth="1"/>
    <col min="9" max="9" width="13.3828125" style="238" bestFit="1" customWidth="1"/>
    <col min="10" max="10" width="10.23046875" style="238" bestFit="1" customWidth="1"/>
    <col min="11" max="11" width="3.61328125" style="238" bestFit="1" customWidth="1"/>
    <col min="12" max="12" width="18" style="238" bestFit="1" customWidth="1"/>
    <col min="13" max="13" width="22.07421875" style="238" bestFit="1" customWidth="1"/>
    <col min="14" max="14" width="4.53515625" style="238" bestFit="1" customWidth="1"/>
    <col min="15" max="15" width="10.23046875" style="238" bestFit="1" customWidth="1"/>
    <col min="16" max="16384" width="9.15234375" style="238"/>
  </cols>
  <sheetData>
    <row r="1" spans="1:15" s="223" customFormat="1" ht="163.5" customHeight="1" x14ac:dyDescent="0.4">
      <c r="A1" s="242" t="s">
        <v>1880</v>
      </c>
      <c r="B1" s="242" t="s">
        <v>1881</v>
      </c>
      <c r="C1" s="242" t="s">
        <v>1508</v>
      </c>
      <c r="D1" s="236" t="s">
        <v>941</v>
      </c>
      <c r="E1" s="236" t="s">
        <v>1443</v>
      </c>
      <c r="F1" s="236" t="s">
        <v>1447</v>
      </c>
      <c r="G1" s="236" t="s">
        <v>1451</v>
      </c>
      <c r="H1" s="236" t="s">
        <v>1455</v>
      </c>
      <c r="I1" s="236" t="s">
        <v>1459</v>
      </c>
      <c r="J1" s="236" t="s">
        <v>1463</v>
      </c>
      <c r="K1" s="236" t="s">
        <v>1467</v>
      </c>
      <c r="L1" s="236" t="s">
        <v>8</v>
      </c>
      <c r="M1" s="236" t="s">
        <v>1863</v>
      </c>
      <c r="N1" s="236" t="s">
        <v>1474</v>
      </c>
      <c r="O1" s="236" t="s">
        <v>1477</v>
      </c>
    </row>
    <row r="2" spans="1:15" x14ac:dyDescent="0.35">
      <c r="A2" s="272" t="str">
        <f ca="1">LOWER(_xlfn.CONCAT(VLOOKUP(tblServicebusNmSpc[[#Headers],[ServiceBusNamespaceName]], tblNamingKeys[],2,FALSE),"-",Company_Tag,"-",INDIRECT(ADDRESS(ROW(),MATCH("ApplicationName", $1:$1,0),4,1)),"-",envTag,"-",PrimaryRegionTag))</f>
        <v>sb-qui-adap-dev-eus</v>
      </c>
      <c r="B2" s="241" t="s">
        <v>30</v>
      </c>
      <c r="C2" s="272" t="str">
        <f ca="1">LOWER(_xlfn.CONCAT(VLOOKUP(tblServicebusNmSpc[[#Headers],[ResourceGroupName]], tblNamingKeys[],2,FALSE),"-",Company_Tag,"-",INDIRECT(ADDRESS(ROW(),MATCH("ApplicationName", $1:$1,0),4,1)),"-",envTag,"-",PrimaryRegionTag))</f>
        <v>rg-qui-adap-dev-eus</v>
      </c>
      <c r="D2" s="220" t="s">
        <v>820</v>
      </c>
      <c r="E2" s="259" t="str">
        <f>VLOOKUP(tblServicebusNmSpc[[#This Row],[ApplicationName]],tblDefaultTag[],2,FALSE)</f>
        <v>approver@company.org</v>
      </c>
      <c r="F2" s="252">
        <f>VLOOKUP(tblServicebusNmSpc[[#This Row],[ApplicationName]],tblDefaultTag[],3,FALSE)</f>
        <v>0</v>
      </c>
      <c r="G2" s="245" t="str">
        <f>VLOOKUP(tblServicebusNmSpc[[#This Row],[ApplicationName]],tblDefaultTag[],4,FALSE)</f>
        <v>CORP</v>
      </c>
      <c r="H2" s="245" t="str">
        <f>VLOOKUP(tblServicebusNmSpc[[#This Row],[ApplicationName]],tblDefaultTag[],5,FALSE)</f>
        <v>8675-309</v>
      </c>
      <c r="I2" s="245" t="str">
        <f>VLOOKUP(tblServicebusNmSpc[[#This Row],[ApplicationName]],tblDefaultTag[],6,FALSE)</f>
        <v>Mission-Critical</v>
      </c>
      <c r="J2" s="245" t="str">
        <f>TEXT(VLOOKUP(tblServicebusNmSpc[[#This Row],[ApplicationName]],tblDefaultTag[],7,FALSE), "mm/dd/yyyy")</f>
        <v>12/31/9999</v>
      </c>
      <c r="K2" s="245" t="str">
        <f>VLOOKUP(tblServicebusNmSpc[[#This Row],[ApplicationName]],tblDefaultTag[],8,FALSE)</f>
        <v>dev</v>
      </c>
      <c r="L2" s="259" t="str">
        <f>VLOOKUP(tblServicebusNmSpc[[#This Row],[ApplicationName]],tblDefaultTag[],9,FALSE)</f>
        <v>owner@company.org</v>
      </c>
      <c r="M2" s="259" t="str">
        <f>VLOOKUP(tblServicebusNmSpc[[#This Row],[ApplicationName]],tblDefaultTag[],10,FALSE)</f>
        <v>requester@company.org</v>
      </c>
      <c r="N2" s="245" t="str">
        <f>VLOOKUP(tblServicebusNmSpc[[#This Row],[ApplicationName]],tblDefaultTag[],11,FALSE)</f>
        <v>Gold</v>
      </c>
      <c r="O2" s="245" t="str">
        <f>TEXT(VLOOKUP(tblServicebusNmSpc[[#This Row],[ApplicationName]],tblDefaultTag[],12,FALSE), "mm/dd/yyyy")</f>
        <v>01/01/2020</v>
      </c>
    </row>
  </sheetData>
  <dataValidations count="1">
    <dataValidation type="list" allowBlank="1" showInputMessage="1" showErrorMessage="1" sqref="B2" xr:uid="{103B0970-CC3B-4B6C-A902-E769D284AE20}">
      <formula1>ServiceBusSku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1.07421875" style="244" bestFit="1" customWidth="1"/>
    <col min="2" max="2" width="20" style="241" bestFit="1" customWidth="1"/>
    <col min="3" max="3" width="5.15234375" style="241" bestFit="1" customWidth="1"/>
    <col min="4" max="4" width="4.84375" style="238" bestFit="1" customWidth="1"/>
    <col min="5" max="5" width="20" style="241" bestFit="1" customWidth="1"/>
    <col min="6" max="6" width="5.4609375" style="238" bestFit="1" customWidth="1"/>
    <col min="7" max="7" width="21.07421875" style="238" bestFit="1" customWidth="1"/>
    <col min="8" max="8" width="3.3828125" style="238" bestFit="1" customWidth="1"/>
    <col min="9" max="9" width="5.4609375" style="238" bestFit="1" customWidth="1"/>
    <col min="10" max="10" width="8.3046875" style="238" bestFit="1" customWidth="1"/>
    <col min="11" max="11" width="13.3828125" style="238" bestFit="1" customWidth="1"/>
    <col min="12" max="12" width="10.23046875" style="238" bestFit="1" customWidth="1"/>
    <col min="13" max="13" width="3.61328125" style="238" bestFit="1" customWidth="1"/>
    <col min="14" max="14" width="18" style="238" bestFit="1" customWidth="1"/>
    <col min="15" max="15" width="22.07421875" style="238" bestFit="1" customWidth="1"/>
    <col min="16" max="16" width="4.53515625" style="238" bestFit="1" customWidth="1"/>
    <col min="17" max="17" width="10.23046875" style="238" bestFit="1" customWidth="1"/>
    <col min="18" max="16384" width="9.15234375" style="238"/>
  </cols>
  <sheetData>
    <row r="1" spans="1:17" s="223" customFormat="1" ht="163.5" customHeight="1" x14ac:dyDescent="0.4">
      <c r="A1" s="243" t="s">
        <v>1882</v>
      </c>
      <c r="B1" s="242" t="s">
        <v>1880</v>
      </c>
      <c r="C1" s="242" t="s">
        <v>1883</v>
      </c>
      <c r="D1" s="235" t="s">
        <v>1884</v>
      </c>
      <c r="E1" s="242" t="s">
        <v>1508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1863</v>
      </c>
      <c r="P1" s="236" t="s">
        <v>1474</v>
      </c>
      <c r="Q1" s="236" t="s">
        <v>1477</v>
      </c>
    </row>
    <row r="2" spans="1:17" x14ac:dyDescent="0.35">
      <c r="A2" s="272" t="str">
        <f ca="1">LOWER(_xlfn.CONCAT(VLOOKUP(tblServiceBusTopic[[#Headers],[ServiceBusTopicName]], tblNamingKeys[],2,FALSE),"-",Company_Tag,"-",INDIRECT(ADDRESS(ROW(),MATCH("ApplicationName", $1:$1,0),4,1)),"-",envTag,"-",PrimaryRegionTag))</f>
        <v>sbt-qui-adap-dev-eus</v>
      </c>
      <c r="B2" s="272" t="str">
        <f ca="1">LOWER(_xlfn.CONCAT(VLOOKUP(tblServiceBusTopic[[#Headers],[ServiceBusNamespaceName]], tblNamingKeys[],2,FALSE),"-",Company_Tag,"-",INDIRECT(ADDRESS(ROW(),MATCH("ApplicationName", $1:$1,0),4,1)),"-",envTag,"-",PrimaryRegionTag))</f>
        <v>sb-qui-adap-dev-eus</v>
      </c>
      <c r="C2" s="241" t="s">
        <v>1885</v>
      </c>
      <c r="D2" s="238" t="s">
        <v>1886</v>
      </c>
      <c r="E2" s="272" t="str">
        <f ca="1">LOWER(_xlfn.CONCAT(VLOOKUP(tblServiceBusTopic[[#Headers],[ResourceGroupName]], tblNamingKeys[],2,FALSE),"-",Company_Tag,"-",INDIRECT(ADDRESS(2,MATCH("ApplicationName", $1:$1,0),4,1)),"-",envTag,"-",PrimaryRegionTag))</f>
        <v>rg-qui-adap-dev-eus</v>
      </c>
      <c r="F2" s="220" t="s">
        <v>820</v>
      </c>
      <c r="G2" s="259" t="str">
        <f>VLOOKUP(tblServiceBusTopic[[#This Row],[ApplicationName]],tblDefaultTag[],2,FALSE)</f>
        <v>approver@company.org</v>
      </c>
      <c r="H2" s="252">
        <f>VLOOKUP(tblServiceBusTopic[[#This Row],[ApplicationName]],tblDefaultTag[],3,FALSE)</f>
        <v>0</v>
      </c>
      <c r="I2" s="245" t="str">
        <f>VLOOKUP(tblServiceBusTopic[[#This Row],[ApplicationName]],tblDefaultTag[],4,FALSE)</f>
        <v>CORP</v>
      </c>
      <c r="J2" s="245" t="str">
        <f>VLOOKUP(tblServiceBusTopic[[#This Row],[ApplicationName]],tblDefaultTag[],5,FALSE)</f>
        <v>8675-309</v>
      </c>
      <c r="K2" s="245" t="str">
        <f>VLOOKUP(tblServiceBusTopic[[#This Row],[ApplicationName]],tblDefaultTag[],6,FALSE)</f>
        <v>Mission-Critical</v>
      </c>
      <c r="L2" s="245" t="str">
        <f>TEXT(VLOOKUP(tblServiceBusTopic[[#This Row],[ApplicationName]],tblDefaultTag[],7,FALSE), "mm/dd/yyyy")</f>
        <v>12/31/9999</v>
      </c>
      <c r="M2" s="245" t="str">
        <f>VLOOKUP(tblServiceBusTopic[[#This Row],[ApplicationName]],tblDefaultTag[],8,FALSE)</f>
        <v>dev</v>
      </c>
      <c r="N2" s="259" t="str">
        <f>VLOOKUP(tblServiceBusTopic[[#This Row],[ApplicationName]],tblDefaultTag[],9,FALSE)</f>
        <v>owner@company.org</v>
      </c>
      <c r="O2" s="259" t="str">
        <f>VLOOKUP(tblServiceBusTopic[[#This Row],[ApplicationName]],tblDefaultTag[],10,FALSE)</f>
        <v>requester@company.org</v>
      </c>
      <c r="P2" s="245" t="str">
        <f>VLOOKUP(tblServiceBusTopic[[#This Row],[ApplicationName]],tblDefaultTag[],11,FALSE)</f>
        <v>Gold</v>
      </c>
      <c r="Q2" s="245" t="str">
        <f>TEXT(VLOOKUP(tblServiceBusTopic[[#This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2.07421875" style="241" bestFit="1" customWidth="1"/>
    <col min="2" max="2" width="21.07421875" style="241" bestFit="1" customWidth="1"/>
    <col min="3" max="4" width="20" style="241" bestFit="1" customWidth="1"/>
    <col min="5" max="5" width="5.4609375" style="238" bestFit="1" customWidth="1"/>
    <col min="6" max="6" width="21.07421875" style="238" bestFit="1" customWidth="1"/>
    <col min="7" max="7" width="3.3828125" style="238" bestFit="1" customWidth="1"/>
    <col min="8" max="8" width="5.4609375" style="238" bestFit="1" customWidth="1"/>
    <col min="9" max="9" width="8.3046875" style="238" bestFit="1" customWidth="1"/>
    <col min="10" max="10" width="13.3828125" style="238" bestFit="1" customWidth="1"/>
    <col min="11" max="11" width="10.23046875" style="238" bestFit="1" customWidth="1"/>
    <col min="12" max="12" width="3.61328125" style="238" bestFit="1" customWidth="1"/>
    <col min="13" max="13" width="18" style="238" bestFit="1" customWidth="1"/>
    <col min="14" max="14" width="22.07421875" style="238" bestFit="1" customWidth="1"/>
    <col min="15" max="15" width="4.53515625" style="238" bestFit="1" customWidth="1"/>
    <col min="16" max="16" width="10.23046875" style="238" bestFit="1" customWidth="1"/>
    <col min="17" max="16384" width="9.15234375" style="238"/>
  </cols>
  <sheetData>
    <row r="1" spans="1:16" s="223" customFormat="1" ht="163.5" customHeight="1" x14ac:dyDescent="0.4">
      <c r="A1" s="242" t="s">
        <v>1898</v>
      </c>
      <c r="B1" s="242" t="s">
        <v>1882</v>
      </c>
      <c r="C1" s="242" t="s">
        <v>1880</v>
      </c>
      <c r="D1" s="242" t="s">
        <v>1508</v>
      </c>
      <c r="E1" s="236" t="s">
        <v>941</v>
      </c>
      <c r="F1" s="236" t="s">
        <v>1443</v>
      </c>
      <c r="G1" s="236" t="s">
        <v>1447</v>
      </c>
      <c r="H1" s="236" t="s">
        <v>1451</v>
      </c>
      <c r="I1" s="236" t="s">
        <v>1455</v>
      </c>
      <c r="J1" s="236" t="s">
        <v>1459</v>
      </c>
      <c r="K1" s="236" t="s">
        <v>1463</v>
      </c>
      <c r="L1" s="236" t="s">
        <v>1467</v>
      </c>
      <c r="M1" s="236" t="s">
        <v>8</v>
      </c>
      <c r="N1" s="236" t="s">
        <v>1863</v>
      </c>
      <c r="O1" s="236" t="s">
        <v>1474</v>
      </c>
      <c r="P1" s="236" t="s">
        <v>1477</v>
      </c>
    </row>
    <row r="2" spans="1:16" x14ac:dyDescent="0.35">
      <c r="A2" s="272" t="str">
        <f ca="1">LOWER(_xlfn.CONCAT(VLOOKUP(tblServicebusTopicSub[[#Headers],[ServiceBusTopicSubName]], tblNamingKeys[],2,FALSE),"-",Company_Tag,"-",INDIRECT(ADDRESS(ROW(),MATCH("ApplicationName", $1:$1,0),4,1)),"-",envTag,"-",PrimaryRegionTag))</f>
        <v>sbts-qui-adap-dev-eus</v>
      </c>
      <c r="B2" s="272" t="str">
        <f ca="1">LOWER(_xlfn.CONCAT(VLOOKUP(tblServicebusTopicSub[[#Headers],[ServiceBusTopicName]], tblNamingKeys[],2,FALSE),"-",Company_Tag,"-",INDIRECT(ADDRESS(ROW(),MATCH("ApplicationName", $1:$1,0),4,1)),"-",envTag,"-",PrimaryRegionTag))</f>
        <v>sbt-qui-adap-dev-eus</v>
      </c>
      <c r="C2" s="272" t="str">
        <f ca="1">LOWER(_xlfn.CONCAT(VLOOKUP(tblServicebusTopicSub[[#Headers],[ServiceBusNamespaceName]], tblNamingKeys[],2,FALSE),"-",Company_Tag,"-",INDIRECT(ADDRESS(ROW(),MATCH("ApplicationName", $1:$1,0),4,1)),"-",envTag,"-",PrimaryRegionTag))</f>
        <v>sb-qui-adap-dev-eus</v>
      </c>
      <c r="D2" s="272" t="str">
        <f ca="1">LOWER(_xlfn.CONCAT(VLOOKUP(tblServicebusTopicSub[[#Headers],[ResourceGroupName]], tblNamingKeys[],2,FALSE),"-",Company_Tag,"-",INDIRECT(ADDRESS(ROW(),MATCH("ApplicationName", $1:$1,0),4,1)),"-",envTag,"-",PrimaryRegionTag))</f>
        <v>rg-qui-adap-dev-eus</v>
      </c>
      <c r="E2" s="220" t="s">
        <v>820</v>
      </c>
      <c r="F2" s="259" t="str">
        <f>VLOOKUP(tblServicebusTopicSub[[#This Row],[ApplicationName]],tblDefaultTag[],2,FALSE)</f>
        <v>approver@company.org</v>
      </c>
      <c r="G2" s="252">
        <f>VLOOKUP(tblServicebusTopicSub[[#This Row],[ApplicationName]],tblDefaultTag[],3,FALSE)</f>
        <v>0</v>
      </c>
      <c r="H2" s="245" t="str">
        <f>VLOOKUP(tblServicebusTopicSub[[#This Row],[ApplicationName]],tblDefaultTag[],4,FALSE)</f>
        <v>CORP</v>
      </c>
      <c r="I2" s="245" t="str">
        <f>VLOOKUP(tblServicebusTopicSub[[#This Row],[ApplicationName]],tblDefaultTag[],5,FALSE)</f>
        <v>8675-309</v>
      </c>
      <c r="J2" s="245" t="str">
        <f>VLOOKUP(tblServicebusTopicSub[[#This Row],[ApplicationName]],tblDefaultTag[],6,FALSE)</f>
        <v>Mission-Critical</v>
      </c>
      <c r="K2" s="245" t="str">
        <f>TEXT(VLOOKUP(tblServicebusTopicSub[[#This Row],[ApplicationName]],tblDefaultTag[],7,FALSE), "mm/dd/yyyy")</f>
        <v>12/31/9999</v>
      </c>
      <c r="L2" s="245" t="str">
        <f>VLOOKUP(tblServicebusTopicSub[[#This Row],[ApplicationName]],tblDefaultTag[],8,FALSE)</f>
        <v>dev</v>
      </c>
      <c r="M2" s="259" t="str">
        <f>VLOOKUP(tblServicebusTopicSub[[#This Row],[ApplicationName]],tblDefaultTag[],9,FALSE)</f>
        <v>owner@company.org</v>
      </c>
      <c r="N2" s="259" t="str">
        <f>VLOOKUP(tblServicebusTopicSub[[#This Row],[ApplicationName]],tblDefaultTag[],10,FALSE)</f>
        <v>requester@company.org</v>
      </c>
      <c r="O2" s="245" t="str">
        <f>VLOOKUP(tblServicebusTopicSub[[#This Row],[ApplicationName]],tblDefaultTag[],11,FALSE)</f>
        <v>Gold</v>
      </c>
      <c r="P2" s="245" t="str">
        <f>TEXT(VLOOKUP(tblServicebusTopicSub[[#This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5234375" defaultRowHeight="12.9" x14ac:dyDescent="0.35"/>
  <cols>
    <col min="1" max="1" width="23.07421875" style="241" bestFit="1" customWidth="1"/>
    <col min="2" max="2" width="21.07421875" style="241" bestFit="1" customWidth="1"/>
    <col min="3" max="3" width="20" style="241" bestFit="1" customWidth="1"/>
    <col min="4" max="4" width="7.3046875" style="241" bestFit="1" customWidth="1"/>
    <col min="5" max="5" width="20" style="241" bestFit="1" customWidth="1"/>
    <col min="6" max="6" width="5.4609375" style="238" bestFit="1" customWidth="1"/>
    <col min="7" max="7" width="21.07421875" style="238" bestFit="1" customWidth="1"/>
    <col min="8" max="8" width="3.3828125" style="238" bestFit="1" customWidth="1"/>
    <col min="9" max="9" width="5.4609375" style="238" bestFit="1" customWidth="1"/>
    <col min="10" max="10" width="8.3046875" style="238" bestFit="1" customWidth="1"/>
    <col min="11" max="11" width="13.3828125" style="238" bestFit="1" customWidth="1"/>
    <col min="12" max="12" width="10.23046875" style="238" bestFit="1" customWidth="1"/>
    <col min="13" max="13" width="3.61328125" style="238" bestFit="1" customWidth="1"/>
    <col min="14" max="14" width="18" style="238" bestFit="1" customWidth="1"/>
    <col min="15" max="15" width="22.07421875" style="238" bestFit="1" customWidth="1"/>
    <col min="16" max="16" width="4.53515625" style="238" bestFit="1" customWidth="1"/>
    <col min="17" max="17" width="10.23046875" style="238" bestFit="1" customWidth="1"/>
    <col min="18" max="16384" width="9.15234375" style="238"/>
  </cols>
  <sheetData>
    <row r="1" spans="1:17" s="223" customFormat="1" ht="173.25" customHeight="1" x14ac:dyDescent="0.4">
      <c r="A1" s="242" t="s">
        <v>1900</v>
      </c>
      <c r="B1" s="242" t="s">
        <v>1882</v>
      </c>
      <c r="C1" s="242" t="s">
        <v>1880</v>
      </c>
      <c r="D1" s="242" t="s">
        <v>1901</v>
      </c>
      <c r="E1" s="242" t="s">
        <v>1508</v>
      </c>
      <c r="F1" s="236" t="s">
        <v>941</v>
      </c>
      <c r="G1" s="236" t="s">
        <v>1443</v>
      </c>
      <c r="H1" s="236" t="s">
        <v>1447</v>
      </c>
      <c r="I1" s="236" t="s">
        <v>1451</v>
      </c>
      <c r="J1" s="236" t="s">
        <v>1455</v>
      </c>
      <c r="K1" s="236" t="s">
        <v>1459</v>
      </c>
      <c r="L1" s="236" t="s">
        <v>1463</v>
      </c>
      <c r="M1" s="236" t="s">
        <v>1467</v>
      </c>
      <c r="N1" s="236" t="s">
        <v>8</v>
      </c>
      <c r="O1" s="236" t="s">
        <v>1863</v>
      </c>
      <c r="P1" s="236" t="s">
        <v>1474</v>
      </c>
      <c r="Q1" s="236" t="s">
        <v>1477</v>
      </c>
    </row>
    <row r="2" spans="1:17" x14ac:dyDescent="0.35">
      <c r="A2" s="272" t="str">
        <f ca="1">LOWER(_xlfn.CONCAT(VLOOKUP(tblServiceBusTopicAuth[[#Headers],[ServiceBusTopicAuthRuleName]], tblNamingKeys[],2,FALSE),"-",Company_Tag,"-",INDIRECT(ADDRESS(ROW(),MATCH("ApplicationName", $1:$1,0),4,1)),"-",envTag,"-",PrimaryRegionTag))</f>
        <v>sbtar-qui-adap-dev-eus</v>
      </c>
      <c r="B2" s="272" t="str">
        <f ca="1">LOWER(_xlfn.CONCAT(VLOOKUP(tblServiceBusTopicAuth[[#Headers],[ServiceBusTopicName]], tblNamingKeys[],2,FALSE),"-",Company_Tag,"-",INDIRECT(ADDRESS(ROW(),MATCH("ApplicationName", $1:$1,0),4,1)),"-",envTag,"-",PrimaryRegionTag))</f>
        <v>sbt-qui-adap-dev-eus</v>
      </c>
      <c r="C2" s="272" t="str">
        <f ca="1">LOWER(_xlfn.CONCAT(VLOOKUP(tblServiceBusTopicAuth[[#Headers],[ServiceBusNamespaceName]], tblNamingKeys[],2,FALSE),"-",Company_Tag,"-",INDIRECT(ADDRESS(ROW(),MATCH("ApplicationName", $1:$1,0),4,1)),"-",envTag,"-",PrimaryRegionTag))</f>
        <v>sb-qui-adap-dev-eus</v>
      </c>
      <c r="D2" s="241" t="s">
        <v>1902</v>
      </c>
      <c r="E2" s="272" t="str">
        <f ca="1">LOWER(_xlfn.CONCAT(VLOOKUP(tblServiceBusTopicAuth[[#Headers],[ResourceGroupName]], tblNamingKeys[],2,FALSE),"-",Company_Tag,"-",INDIRECT(ADDRESS(ROW(),MATCH("ApplicationName", $1:$1,0),4,1)),"-",envTag,"-",PrimaryRegionTag))</f>
        <v>rg-qui-adap-dev-eus</v>
      </c>
      <c r="F2" s="220" t="s">
        <v>820</v>
      </c>
      <c r="G2" s="259" t="str">
        <f>VLOOKUP(tblServiceBusTopicAuth[[#This Row],[ApplicationName]],tblDefaultTag[],2,FALSE)</f>
        <v>approver@company.org</v>
      </c>
      <c r="H2" s="252">
        <f>VLOOKUP(tblServiceBusTopicAuth[[#This Row],[ApplicationName]],tblDefaultTag[],3,FALSE)</f>
        <v>0</v>
      </c>
      <c r="I2" s="245" t="str">
        <f>VLOOKUP(tblServiceBusTopicAuth[[#This Row],[ApplicationName]],tblDefaultTag[],4,FALSE)</f>
        <v>CORP</v>
      </c>
      <c r="J2" s="245" t="str">
        <f>VLOOKUP(tblServiceBusTopicAuth[[#This Row],[ApplicationName]],tblDefaultTag[],5,FALSE)</f>
        <v>8675-309</v>
      </c>
      <c r="K2" s="245" t="str">
        <f>VLOOKUP(tblServiceBusTopicAuth[[#This Row],[ApplicationName]],tblDefaultTag[],6,FALSE)</f>
        <v>Mission-Critical</v>
      </c>
      <c r="L2" s="245" t="str">
        <f>TEXT(VLOOKUP(tblServiceBusTopicAuth[[#This Row],[ApplicationName]],tblDefaultTag[],7,FALSE), "mm/dd/yyyy")</f>
        <v>12/31/9999</v>
      </c>
      <c r="M2" s="245" t="str">
        <f>VLOOKUP(tblServiceBusTopicAuth[[#This Row],[ApplicationName]],tblDefaultTag[],8,FALSE)</f>
        <v>dev</v>
      </c>
      <c r="N2" s="259" t="str">
        <f>VLOOKUP(tblServiceBusTopicAuth[[#This Row],[ApplicationName]],tblDefaultTag[],9,FALSE)</f>
        <v>owner@company.org</v>
      </c>
      <c r="O2" s="259" t="str">
        <f>VLOOKUP(tblServiceBusTopicAuth[[#This Row],[ApplicationName]],tblDefaultTag[],10,FALSE)</f>
        <v>requester@company.org</v>
      </c>
      <c r="P2" s="245" t="str">
        <f>VLOOKUP(tblServiceBusTopicAuth[[#This Row],[ApplicationName]],tblDefaultTag[],11,FALSE)</f>
        <v>Gold</v>
      </c>
      <c r="Q2" s="245" t="str">
        <f>TEXT(VLOOKUP(tblServiceBusTopicAuth[[#This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5234375" defaultRowHeight="12.9" x14ac:dyDescent="0.35"/>
  <cols>
    <col min="1" max="1" width="32.3828125" style="179" customWidth="1"/>
    <col min="2" max="2" width="20.15234375" style="179"/>
    <col min="3" max="3" width="21.69140625" style="179" customWidth="1"/>
    <col min="4" max="4" width="20.15234375" style="179"/>
    <col min="5" max="5" width="43.15234375" style="173" bestFit="1" customWidth="1"/>
    <col min="6" max="6" width="8" style="174" bestFit="1" customWidth="1"/>
    <col min="7" max="7" width="17.3046875" style="173" bestFit="1" customWidth="1"/>
    <col min="8" max="11" width="5.3828125" style="173" customWidth="1"/>
    <col min="12" max="12" width="13.15234375" style="173" bestFit="1" customWidth="1"/>
    <col min="13" max="16384" width="20.15234375" style="179"/>
  </cols>
  <sheetData>
    <row r="1" spans="1:13" ht="89.15" x14ac:dyDescent="0.35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35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35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35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35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35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35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35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35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35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35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35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35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35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35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35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35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35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35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35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35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35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35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35">
      <c r="A24" s="179" t="s">
        <v>1893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35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35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35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35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35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35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35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35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35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35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35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35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35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35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35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35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35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35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35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35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35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35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35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35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35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35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35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35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35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35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35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35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2.9" x14ac:dyDescent="0.35"/>
  <cols>
    <col min="1" max="1" width="7.69140625" customWidth="1"/>
    <col min="2" max="2" width="55.84375" customWidth="1"/>
    <col min="3" max="3" width="38.53515625" customWidth="1"/>
    <col min="4" max="4" width="95.3046875" style="84" customWidth="1"/>
    <col min="5" max="5" width="57.3828125" style="84" customWidth="1"/>
    <col min="6" max="6" width="19.3046875" style="84" customWidth="1"/>
    <col min="7" max="7" width="30.3828125" style="84" customWidth="1"/>
    <col min="8" max="8" width="18.84375" style="84" customWidth="1"/>
    <col min="9" max="9" width="12.84375" style="84" customWidth="1"/>
    <col min="10" max="10" width="43.15234375" style="173" bestFit="1" customWidth="1"/>
    <col min="11" max="11" width="8" style="174" bestFit="1" customWidth="1"/>
    <col min="12" max="12" width="17.3046875" style="173" bestFit="1" customWidth="1"/>
    <col min="13" max="16" width="6.15234375" style="173" customWidth="1"/>
    <col min="17" max="17" width="13.15234375" style="173" bestFit="1" customWidth="1"/>
  </cols>
  <sheetData>
    <row r="1" spans="1:18" ht="125.15" customHeight="1" x14ac:dyDescent="0.35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35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75" x14ac:dyDescent="0.35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35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75" x14ac:dyDescent="0.35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35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35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75" x14ac:dyDescent="0.35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35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35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35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35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35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35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35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35">
      <c r="A16" t="s">
        <v>351</v>
      </c>
      <c r="B16" t="s">
        <v>299</v>
      </c>
      <c r="C16" s="84" t="s">
        <v>235</v>
      </c>
      <c r="D16" s="84" t="s">
        <v>1874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35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35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35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35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35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35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35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75" x14ac:dyDescent="0.35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35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35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35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75" x14ac:dyDescent="0.35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35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75" x14ac:dyDescent="0.35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75" x14ac:dyDescent="0.35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75" x14ac:dyDescent="0.35">
      <c r="A32" t="s">
        <v>351</v>
      </c>
      <c r="B32" t="s">
        <v>321</v>
      </c>
      <c r="C32" s="84" t="s">
        <v>251</v>
      </c>
      <c r="D32" s="84" t="s">
        <v>1875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35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35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75" x14ac:dyDescent="0.35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35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35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35">
      <c r="A38" t="s">
        <v>351</v>
      </c>
      <c r="B38" t="s">
        <v>1876</v>
      </c>
      <c r="C38" s="84" t="s">
        <v>257</v>
      </c>
      <c r="D38" s="84" t="s">
        <v>1877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35">
      <c r="A39" t="s">
        <v>351</v>
      </c>
      <c r="B39" t="s">
        <v>1878</v>
      </c>
      <c r="C39" s="84" t="s">
        <v>258</v>
      </c>
      <c r="D39" s="84" t="s">
        <v>1879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75" x14ac:dyDescent="0.35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35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35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35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35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35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35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35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75" x14ac:dyDescent="0.35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35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35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35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35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35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35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35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35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75" x14ac:dyDescent="0.35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35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75" x14ac:dyDescent="0.35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35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35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35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35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35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35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35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35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35">
      <c r="A68" t="s">
        <v>351</v>
      </c>
      <c r="B68" t="s">
        <v>1876</v>
      </c>
      <c r="C68" s="84" t="s">
        <v>257</v>
      </c>
      <c r="D68" s="84" t="s">
        <v>1877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75" x14ac:dyDescent="0.35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35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35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35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35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35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35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35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35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35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5234375" defaultRowHeight="12.9" x14ac:dyDescent="0.35"/>
  <cols>
    <col min="1" max="1" width="6.53515625" style="179" bestFit="1" customWidth="1"/>
    <col min="2" max="4" width="5.3828125" style="179" customWidth="1"/>
    <col min="5" max="5" width="27.53515625" style="173" bestFit="1" customWidth="1"/>
    <col min="6" max="6" width="8" style="174" bestFit="1" customWidth="1"/>
    <col min="7" max="7" width="17.3046875" style="173" bestFit="1" customWidth="1"/>
    <col min="8" max="11" width="5.3828125" style="173" customWidth="1"/>
    <col min="12" max="12" width="13.15234375" style="173" bestFit="1" customWidth="1"/>
    <col min="13" max="16384" width="9.15234375" style="179"/>
  </cols>
  <sheetData>
    <row r="1" spans="1:13" s="183" customFormat="1" ht="125.15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35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35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5234375" defaultRowHeight="12.9" x14ac:dyDescent="0.35"/>
  <cols>
    <col min="1" max="3" width="6.53515625" style="179" bestFit="1" customWidth="1"/>
    <col min="4" max="4" width="5.3828125" style="179" customWidth="1"/>
    <col min="5" max="5" width="6.53515625" style="179" bestFit="1" customWidth="1"/>
    <col min="6" max="6" width="27.53515625" style="173" bestFit="1" customWidth="1"/>
    <col min="7" max="7" width="8" style="174" bestFit="1" customWidth="1"/>
    <col min="8" max="8" width="17.3046875" style="173" bestFit="1" customWidth="1"/>
    <col min="9" max="12" width="5.3828125" style="173" customWidth="1"/>
    <col min="13" max="13" width="13.15234375" style="173" bestFit="1" customWidth="1"/>
    <col min="14" max="16384" width="9.15234375" style="179"/>
  </cols>
  <sheetData>
    <row r="1" spans="1:14" s="183" customFormat="1" ht="125.15" customHeight="1" x14ac:dyDescent="0.4">
      <c r="A1" s="181" t="s">
        <v>1894</v>
      </c>
      <c r="B1" s="181" t="s">
        <v>1508</v>
      </c>
      <c r="C1" s="181" t="s">
        <v>4</v>
      </c>
      <c r="D1" s="181" t="s">
        <v>897</v>
      </c>
      <c r="E1" s="181" t="s">
        <v>1895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35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35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9" x14ac:dyDescent="0.35"/>
  <cols>
    <col min="1" max="1" width="12.3828125" customWidth="1"/>
    <col min="2" max="2" width="11.3046875" customWidth="1"/>
    <col min="3" max="3" width="18.3828125" customWidth="1"/>
    <col min="4" max="4" width="12.3828125" customWidth="1"/>
    <col min="5" max="6" width="5.53515625" customWidth="1"/>
    <col min="7" max="7" width="3.69140625" customWidth="1"/>
    <col min="8" max="9" width="5.53515625" customWidth="1"/>
    <col min="11" max="17" width="8.69140625" style="1" customWidth="1"/>
    <col min="25" max="25" width="23.53515625" customWidth="1"/>
  </cols>
  <sheetData>
    <row r="1" spans="1:17" ht="193.75" thickBot="1" x14ac:dyDescent="0.45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4.6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4.6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4.6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4.6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4.6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4.6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4.6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4.6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4.6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4.6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4.6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4.6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4.6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4.6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4.6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4.6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35">
      <c r="B23" s="1" t="s">
        <v>198</v>
      </c>
      <c r="C23" t="s">
        <v>199</v>
      </c>
    </row>
    <row r="24" spans="1:17" x14ac:dyDescent="0.35">
      <c r="B24" s="1" t="s">
        <v>194</v>
      </c>
      <c r="C24" t="s">
        <v>197</v>
      </c>
    </row>
    <row r="25" spans="1:17" x14ac:dyDescent="0.35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5234375" defaultRowHeight="14.6" x14ac:dyDescent="0.4"/>
  <cols>
    <col min="1" max="1" width="17.3828125" style="12" customWidth="1"/>
    <col min="2" max="2" width="15.69140625" style="20" customWidth="1"/>
    <col min="3" max="3" width="23.15234375" style="21" customWidth="1"/>
    <col min="4" max="4" width="13.53515625" style="12" customWidth="1"/>
    <col min="5" max="11" width="11.69140625" style="19" customWidth="1"/>
    <col min="12" max="12" width="8.69140625" style="12" customWidth="1"/>
    <col min="13" max="13" width="11.69140625" style="19" customWidth="1"/>
    <col min="14" max="14" width="9.15234375" style="12"/>
    <col min="15" max="15" width="11.3046875" style="12" customWidth="1"/>
    <col min="16" max="16384" width="9.15234375" style="12"/>
  </cols>
  <sheetData>
    <row r="1" spans="1:16" ht="144.9" thickBot="1" x14ac:dyDescent="0.45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4.6" x14ac:dyDescent="0.4"/>
  <cols>
    <col min="1" max="1" width="16.3828125" customWidth="1"/>
    <col min="2" max="2" width="35" style="12" customWidth="1"/>
    <col min="3" max="3" width="12.53515625" style="19" customWidth="1"/>
    <col min="4" max="4" width="68.382812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 x14ac:dyDescent="0.4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3253C-07F4-434D-83D3-D558FD73CF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Richard Sidebottom</cp:lastModifiedBy>
  <dcterms:created xsi:type="dcterms:W3CDTF">2019-12-02T04:15:55Z</dcterms:created>
  <dcterms:modified xsi:type="dcterms:W3CDTF">2020-03-26T15:46:56Z</dcterms:modified>
  <cp:category/>
  <cp:contentStatus/>
</cp:coreProperties>
</file>